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ables/table1.xml" ContentType="application/vnd.openxmlformats-officedocument.spreadsheetml.table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montoya\Documents\ESPECIALIZACION\SEMINARIO MONOGRAFICO\CAROLINA Y MARIA\"/>
    </mc:Choice>
  </mc:AlternateContent>
  <xr:revisionPtr revIDLastSave="0" documentId="13_ncr:1_{485F0114-D9D9-4F67-B6F6-DCCD1D0C64D0}" xr6:coauthVersionLast="45" xr6:coauthVersionMax="45" xr10:uidLastSave="{00000000-0000-0000-0000-000000000000}"/>
  <bookViews>
    <workbookView xWindow="-120" yWindow="-120" windowWidth="20730" windowHeight="11160" firstSheet="7" activeTab="8" xr2:uid="{00000000-000D-0000-FFFF-FFFF00000000}"/>
  </bookViews>
  <sheets>
    <sheet name="CONTENIDO" sheetId="21" r:id="rId1"/>
    <sheet name="RiskSim" sheetId="29" state="veryHidden" r:id="rId2"/>
    <sheet name="INFORMACIÓN INICIAL " sheetId="1" r:id="rId3"/>
    <sheet name="OCUPACIÓN TARIFAS" sheetId="2" r:id="rId4"/>
    <sheet name="COSTOS Y GASTOS " sheetId="4" r:id="rId5"/>
    <sheet name="SERV DEUDA" sheetId="5" r:id="rId6"/>
    <sheet name="AMORT-DEPREC" sheetId="6" r:id="rId7"/>
    <sheet name="ER" sheetId="7" r:id="rId8"/>
    <sheet name="FC" sheetId="8" r:id="rId9"/>
    <sheet name="PARÁM-SENSIBILIDAD" sheetId="3" r:id="rId10"/>
    <sheet name="ESF" sheetId="11" r:id="rId11"/>
    <sheet name="FyU" sheetId="12" r:id="rId12"/>
    <sheet name="WACC" sheetId="9" r:id="rId13"/>
    <sheet name="Rolling WACC" sheetId="13" r:id="rId14"/>
    <sheet name="Métricas" sheetId="14" r:id="rId15"/>
    <sheet name="Ejercicio 3 Riesgos" sheetId="22" r:id="rId16"/>
    <sheet name="Ejer 3 Resumen del escenario" sheetId="23" r:id="rId17"/>
    <sheet name="Industry Averages" sheetId="10" state="hidden" r:id="rId18"/>
    <sheet name="Desarrollo" sheetId="19" state="hidden" r:id="rId19"/>
    <sheet name="Solución" sheetId="20" state="hidden" r:id="rId20"/>
    <sheet name="Indicadores" sheetId="17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0" localSheetId="18">#REF!</definedName>
    <definedName name="\0" localSheetId="20">#REF!</definedName>
    <definedName name="\0" localSheetId="19">#REF!</definedName>
    <definedName name="\0">#REF!</definedName>
    <definedName name="\b" localSheetId="18">#REF!</definedName>
    <definedName name="\b" localSheetId="20">#REF!</definedName>
    <definedName name="\b" localSheetId="19">#REF!</definedName>
    <definedName name="\b">#REF!</definedName>
    <definedName name="\c" localSheetId="18">#REF!</definedName>
    <definedName name="\c" localSheetId="20">#REF!</definedName>
    <definedName name="\c" localSheetId="19">#REF!</definedName>
    <definedName name="\c">#REF!</definedName>
    <definedName name="\i">#REF!</definedName>
    <definedName name="\m">#REF!</definedName>
    <definedName name="\t">#REF!</definedName>
    <definedName name="\x">#REF!</definedName>
    <definedName name="\z">#REF!</definedName>
    <definedName name="_1">#REF!</definedName>
    <definedName name="_2">#REF!</definedName>
    <definedName name="_Fill" hidden="1">#REF!</definedName>
    <definedName name="_Full" hidden="1">#REF!</definedName>
    <definedName name="_Key1" hidden="1">#REF!</definedName>
    <definedName name="_Key2" hidden="1">#REF!</definedName>
    <definedName name="_Lucerito" hidden="1">#REF!</definedName>
    <definedName name="_Luz" hidden="1">#REF!</definedName>
    <definedName name="_MM" hidden="1">#REF!</definedName>
    <definedName name="_Order1" hidden="1">255</definedName>
    <definedName name="_Parse_Out" hidden="1">#REF!</definedName>
    <definedName name="_RR" hidden="1">'[1]Datos-Gráfica-Apartada'!#REF!</definedName>
    <definedName name="_Sort" hidden="1">#REF!</definedName>
    <definedName name="A_impresión_IM">#REF!</definedName>
    <definedName name="Abr">4</definedName>
    <definedName name="Abril10" localSheetId="18">CHOOSE([2]PYGE!E1,[2]PYGE!#REF!,([2]PYGA!#REF!/[2]PYGPM!#REF!)*[2]PYGPM!#REF!,[2]PYGE!#REF!,[2]PYGE!#REF!,([2]PYGA!#REF!/[2]PYGPM!#REF!)*[2]PYGPM!#REF!,[2]PYGE!T1)</definedName>
    <definedName name="Abril10" localSheetId="20">CHOOSE([2]PYGE!E1,[2]PYGE!#REF!,([2]PYGA!#REF!/[2]PYGPM!#REF!)*[2]PYGPM!#REF!,[2]PYGE!#REF!,[2]PYGE!#REF!,([2]PYGA!#REF!/[2]PYGPM!#REF!)*[2]PYGPM!#REF!,[2]PYGE!T1)</definedName>
    <definedName name="Abril10" localSheetId="19">CHOOSE([2]PYGE!E1,[2]PYGE!#REF!,([2]PYGA!#REF!/[2]PYGPM!#REF!)*[2]PYGPM!#REF!,[2]PYGE!#REF!,[2]PYGE!#REF!,([2]PYGA!#REF!/[2]PYGPM!#REF!)*[2]PYGPM!#REF!,[2]PYGE!T1)</definedName>
    <definedName name="Abril10">CHOOSE([2]PYGE!E1,[2]PYGE!#REF!,([2]PYGA!#REF!/[2]PYGPM!#REF!)*[2]PYGPM!#REF!,[2]PYGE!#REF!,[2]PYGE!#REF!,([2]PYGA!#REF!/[2]PYGPM!#REF!)*[2]PYGPM!#REF!,[2]PYGE!T1)</definedName>
    <definedName name="Abril10a" localSheetId="18">CHOOSE([2]PYGE!E1,[2]PYGE!#REF!,([2]PYGA!#REF!/[2]PYGPM!#REF!)*[2]PYGPM!#REF!,[2]PYGE!#REF!,[2]PYGE!#REF!,([2]PYGA!#REF!/[2]PYGPM!#REF!)*[2]PYGPM!#REF!,[2]PYGE!T1)</definedName>
    <definedName name="Abril10a" localSheetId="20">CHOOSE([2]PYGE!E1,[2]PYGE!#REF!,([2]PYGA!#REF!/[2]PYGPM!#REF!)*[2]PYGPM!#REF!,[2]PYGE!#REF!,[2]PYGE!#REF!,([2]PYGA!#REF!/[2]PYGPM!#REF!)*[2]PYGPM!#REF!,[2]PYGE!T1)</definedName>
    <definedName name="Abril10a" localSheetId="19">CHOOSE([2]PYGE!E1,[2]PYGE!#REF!,([2]PYGA!#REF!/[2]PYGPM!#REF!)*[2]PYGPM!#REF!,[2]PYGE!#REF!,[2]PYGE!#REF!,([2]PYGA!#REF!/[2]PYGPM!#REF!)*[2]PYGPM!#REF!,[2]PYGE!T1)</definedName>
    <definedName name="Abril10a">CHOOSE([2]PYGE!E1,[2]PYGE!#REF!,([2]PYGA!#REF!/[2]PYGPM!#REF!)*[2]PYGPM!#REF!,[2]PYGE!#REF!,[2]PYGE!#REF!,([2]PYGA!#REF!/[2]PYGPM!#REF!)*[2]PYGPM!#REF!,[2]PYGE!T1)</definedName>
    <definedName name="Abril11" localSheetId="18">CHOOSE([2]PYGE!D1,[2]PYGE!#REF!,([2]PYGA!#REF!/[2]PYGPM!#REF!)*[2]PYGPM!#REF!,[2]PYGE!#REF!,[2]PYGE!#REF!,([2]PYGA!#REF!/[2]PYGPM!#REF!)*[2]PYGPM!#REF!,[2]PYGE!T1)</definedName>
    <definedName name="Abril11" localSheetId="20">CHOOSE([2]PYGE!D1,[2]PYGE!#REF!,([2]PYGA!#REF!/[2]PYGPM!#REF!)*[2]PYGPM!#REF!,[2]PYGE!#REF!,[2]PYGE!#REF!,([2]PYGA!#REF!/[2]PYGPM!#REF!)*[2]PYGPM!#REF!,[2]PYGE!T1)</definedName>
    <definedName name="Abril11" localSheetId="19">CHOOSE([2]PYGE!D1,[2]PYGE!#REF!,([2]PYGA!#REF!/[2]PYGPM!#REF!)*[2]PYGPM!#REF!,[2]PYGE!#REF!,[2]PYGE!#REF!,([2]PYGA!#REF!/[2]PYGPM!#REF!)*[2]PYGPM!#REF!,[2]PYGE!T1)</definedName>
    <definedName name="Abril11">CHOOSE([2]PYGE!D1,[2]PYGE!#REF!,([2]PYGA!#REF!/[2]PYGPM!#REF!)*[2]PYGPM!#REF!,[2]PYGE!#REF!,[2]PYGE!#REF!,([2]PYGA!#REF!/[2]PYGPM!#REF!)*[2]PYGPM!#REF!,[2]PYGE!T1)</definedName>
    <definedName name="Abril11a" localSheetId="18">CHOOSE([2]PYGE!D1,[2]PYGE!#REF!,([2]PYGA!#REF!/[2]PYGPM!#REF!)*[2]PYGPM!#REF!,[2]PYGE!#REF!,[2]PYGE!#REF!,([2]PYGA!#REF!/[2]PYGPM!#REF!)*[2]PYGPM!#REF!,[2]PYGE!T1)</definedName>
    <definedName name="Abril11a" localSheetId="20">CHOOSE([2]PYGE!D1,[2]PYGE!#REF!,([2]PYGA!#REF!/[2]PYGPM!#REF!)*[2]PYGPM!#REF!,[2]PYGE!#REF!,[2]PYGE!#REF!,([2]PYGA!#REF!/[2]PYGPM!#REF!)*[2]PYGPM!#REF!,[2]PYGE!T1)</definedName>
    <definedName name="Abril11a" localSheetId="19">CHOOSE([2]PYGE!D1,[2]PYGE!#REF!,([2]PYGA!#REF!/[2]PYGPM!#REF!)*[2]PYGPM!#REF!,[2]PYGE!#REF!,[2]PYGE!#REF!,([2]PYGA!#REF!/[2]PYGPM!#REF!)*[2]PYGPM!#REF!,[2]PYGE!T1)</definedName>
    <definedName name="Abril11a">CHOOSE([2]PYGE!D1,[2]PYGE!#REF!,([2]PYGA!#REF!/[2]PYGPM!#REF!)*[2]PYGPM!#REF!,[2]PYGE!#REF!,[2]PYGE!#REF!,([2]PYGA!#REF!/[2]PYGPM!#REF!)*[2]PYGPM!#REF!,[2]PYGE!T1)</definedName>
    <definedName name="Abril12" localSheetId="18">CHOOSE([2]PYGE!C1,[2]PYGE!#REF!,([2]PYGA!#REF!/[2]PYGPM!#REF!)*[2]PYGPM!#REF!,[2]PYGE!#REF!,[2]PYGE!#REF!,([2]PYGA!#REF!/[2]PYGPM!#REF!)*[2]PYGPM!#REF!,[2]PYGE!T1)</definedName>
    <definedName name="Abril12" localSheetId="20">CHOOSE([2]PYGE!C1,[2]PYGE!#REF!,([2]PYGA!#REF!/[2]PYGPM!#REF!)*[2]PYGPM!#REF!,[2]PYGE!#REF!,[2]PYGE!#REF!,([2]PYGA!#REF!/[2]PYGPM!#REF!)*[2]PYGPM!#REF!,[2]PYGE!T1)</definedName>
    <definedName name="Abril12" localSheetId="19">CHOOSE([2]PYGE!C1,[2]PYGE!#REF!,([2]PYGA!#REF!/[2]PYGPM!#REF!)*[2]PYGPM!#REF!,[2]PYGE!#REF!,[2]PYGE!#REF!,([2]PYGA!#REF!/[2]PYGPM!#REF!)*[2]PYGPM!#REF!,[2]PYGE!T1)</definedName>
    <definedName name="Abril12">CHOOSE([2]PYGE!C1,[2]PYGE!#REF!,([2]PYGA!#REF!/[2]PYGPM!#REF!)*[2]PYGPM!#REF!,[2]PYGE!#REF!,[2]PYGE!#REF!,([2]PYGA!#REF!/[2]PYGPM!#REF!)*[2]PYGPM!#REF!,[2]PYGE!T1)</definedName>
    <definedName name="Abril12a" localSheetId="18">CHOOSE([2]PYGE!C1,[2]PYGE!#REF!,([2]PYGA!#REF!/[2]PYGPM!#REF!)*[2]PYGPM!#REF!,[2]PYGE!#REF!,[2]PYGE!#REF!,([2]PYGA!#REF!/[2]PYGPM!#REF!)*[2]PYGPM!#REF!,[2]PYGE!T1)</definedName>
    <definedName name="Abril12a" localSheetId="20">CHOOSE([2]PYGE!C1,[2]PYGE!#REF!,([2]PYGA!#REF!/[2]PYGPM!#REF!)*[2]PYGPM!#REF!,[2]PYGE!#REF!,[2]PYGE!#REF!,([2]PYGA!#REF!/[2]PYGPM!#REF!)*[2]PYGPM!#REF!,[2]PYGE!T1)</definedName>
    <definedName name="Abril12a" localSheetId="19">CHOOSE([2]PYGE!C1,[2]PYGE!#REF!,([2]PYGA!#REF!/[2]PYGPM!#REF!)*[2]PYGPM!#REF!,[2]PYGE!#REF!,[2]PYGE!#REF!,([2]PYGA!#REF!/[2]PYGPM!#REF!)*[2]PYGPM!#REF!,[2]PYGE!T1)</definedName>
    <definedName name="Abril12a">CHOOSE([2]PYGE!C1,[2]PYGE!#REF!,([2]PYGA!#REF!/[2]PYGPM!#REF!)*[2]PYGPM!#REF!,[2]PYGE!#REF!,[2]PYGE!#REF!,([2]PYGA!#REF!/[2]PYGPM!#REF!)*[2]PYGPM!#REF!,[2]PYGE!T1)</definedName>
    <definedName name="Abril6" localSheetId="18">CHOOSE([2]PYGE!I1,[2]PYGE!#REF!,([2]PYGA!#REF!/[2]PYGPM!#REF!)*[2]PYGPM!#REF!,[2]PYGE!#REF!,[2]PYGE!#REF!,([2]PYGA!#REF!/[2]PYGPM!#REF!)*[2]PYGPM!#REF!,[2]PYGE!T1)</definedName>
    <definedName name="Abril6" localSheetId="20">CHOOSE([2]PYGE!I1,[2]PYGE!#REF!,([2]PYGA!#REF!/[2]PYGPM!#REF!)*[2]PYGPM!#REF!,[2]PYGE!#REF!,[2]PYGE!#REF!,([2]PYGA!#REF!/[2]PYGPM!#REF!)*[2]PYGPM!#REF!,[2]PYGE!T1)</definedName>
    <definedName name="Abril6" localSheetId="19">CHOOSE([2]PYGE!I1,[2]PYGE!#REF!,([2]PYGA!#REF!/[2]PYGPM!#REF!)*[2]PYGPM!#REF!,[2]PYGE!#REF!,[2]PYGE!#REF!,([2]PYGA!#REF!/[2]PYGPM!#REF!)*[2]PYGPM!#REF!,[2]PYGE!T1)</definedName>
    <definedName name="Abril6">CHOOSE([2]PYGE!I1,[2]PYGE!#REF!,([2]PYGA!#REF!/[2]PYGPM!#REF!)*[2]PYGPM!#REF!,[2]PYGE!#REF!,[2]PYGE!#REF!,([2]PYGA!#REF!/[2]PYGPM!#REF!)*[2]PYGPM!#REF!,[2]PYGE!T1)</definedName>
    <definedName name="Abril6a" localSheetId="18">CHOOSE([2]PYGE!I1,[2]PYGE!#REF!,([2]PYGA!#REF!/[2]PYGPM!#REF!)*[2]PYGPM!#REF!,[2]PYGE!#REF!,[2]PYGE!#REF!,([2]PYGA!#REF!/[2]PYGPM!#REF!)*[2]PYGPM!#REF!,[2]PYGE!T1)</definedName>
    <definedName name="Abril6a" localSheetId="20">CHOOSE([2]PYGE!I1,[2]PYGE!#REF!,([2]PYGA!#REF!/[2]PYGPM!#REF!)*[2]PYGPM!#REF!,[2]PYGE!#REF!,[2]PYGE!#REF!,([2]PYGA!#REF!/[2]PYGPM!#REF!)*[2]PYGPM!#REF!,[2]PYGE!T1)</definedName>
    <definedName name="Abril6a" localSheetId="19">CHOOSE([2]PYGE!I1,[2]PYGE!#REF!,([2]PYGA!#REF!/[2]PYGPM!#REF!)*[2]PYGPM!#REF!,[2]PYGE!#REF!,[2]PYGE!#REF!,([2]PYGA!#REF!/[2]PYGPM!#REF!)*[2]PYGPM!#REF!,[2]PYGE!T1)</definedName>
    <definedName name="Abril6a">CHOOSE([2]PYGE!I1,[2]PYGE!#REF!,([2]PYGA!#REF!/[2]PYGPM!#REF!)*[2]PYGPM!#REF!,[2]PYGE!#REF!,[2]PYGE!#REF!,([2]PYGA!#REF!/[2]PYGPM!#REF!)*[2]PYGPM!#REF!,[2]PYGE!T1)</definedName>
    <definedName name="Abril7" localSheetId="18">CHOOSE([2]PYGE!H1,[2]PYGE!#REF!,([2]PYGA!#REF!/[2]PYGPM!#REF!)*[2]PYGPM!#REF!,[2]PYGE!#REF!,[2]PYGE!#REF!,([2]PYGA!#REF!/[2]PYGPM!#REF!)*[2]PYGPM!#REF!,[2]PYGE!T1)</definedName>
    <definedName name="Abril7" localSheetId="20">CHOOSE([2]PYGE!H1,[2]PYGE!#REF!,([2]PYGA!#REF!/[2]PYGPM!#REF!)*[2]PYGPM!#REF!,[2]PYGE!#REF!,[2]PYGE!#REF!,([2]PYGA!#REF!/[2]PYGPM!#REF!)*[2]PYGPM!#REF!,[2]PYGE!T1)</definedName>
    <definedName name="Abril7" localSheetId="19">CHOOSE([2]PYGE!H1,[2]PYGE!#REF!,([2]PYGA!#REF!/[2]PYGPM!#REF!)*[2]PYGPM!#REF!,[2]PYGE!#REF!,[2]PYGE!#REF!,([2]PYGA!#REF!/[2]PYGPM!#REF!)*[2]PYGPM!#REF!,[2]PYGE!T1)</definedName>
    <definedName name="Abril7">CHOOSE([2]PYGE!H1,[2]PYGE!#REF!,([2]PYGA!#REF!/[2]PYGPM!#REF!)*[2]PYGPM!#REF!,[2]PYGE!#REF!,[2]PYGE!#REF!,([2]PYGA!#REF!/[2]PYGPM!#REF!)*[2]PYGPM!#REF!,[2]PYGE!T1)</definedName>
    <definedName name="Abril7a">CHOOSE([2]PYGE!H1,[2]PYGE!#REF!,([2]PYGA!#REF!/[2]PYGPM!#REF!)*[2]PYGPM!#REF!,[2]PYGE!#REF!,[2]PYGE!#REF!,([2]PYGA!#REF!/[2]PYGPM!#REF!)*[2]PYGPM!#REF!,[2]PYGE!T1)</definedName>
    <definedName name="Abril8">CHOOSE([2]PYGE!G1,[2]PYGE!#REF!,([2]PYGA!#REF!/[2]PYGPM!#REF!)*[2]PYGPM!#REF!,[2]PYGE!#REF!,[2]PYGE!#REF!,([2]PYGA!#REF!/[2]PYGPM!#REF!)*[2]PYGPM!#REF!,[2]PYGE!T1)</definedName>
    <definedName name="Abril8a">CHOOSE([2]PYGE!G1,[2]PYGE!#REF!,([2]PYGA!#REF!/[2]PYGPM!#REF!)*[2]PYGPM!#REF!,[2]PYGE!#REF!,[2]PYGE!#REF!,([2]PYGA!#REF!/[2]PYGPM!#REF!)*[2]PYGPM!#REF!,[2]PYGE!T1)</definedName>
    <definedName name="Abril9">CHOOSE([2]PYGE!F1,[2]PYGE!#REF!,([2]PYGA!#REF!/[2]PYGPM!#REF!)*[2]PYGPM!#REF!,[2]PYGE!#REF!,[2]PYGE!#REF!,([2]PYGA!#REF!/[2]PYGPM!#REF!)*[2]PYGPM!#REF!,[2]PYGE!T1)</definedName>
    <definedName name="Abril9a">CHOOSE([2]PYGE!F1,[2]PYGE!#REF!,([2]PYGA!#REF!/[2]PYGPM!#REF!)*[2]PYGPM!#REF!,[2]PYGE!#REF!,[2]PYGE!#REF!,([2]PYGA!#REF!/[2]PYGPM!#REF!)*[2]PYGPM!#REF!,[2]PYGE!T1)</definedName>
    <definedName name="Actividades_Costo_Tiempo_Planeación">#REF!</definedName>
    <definedName name="Ago">8</definedName>
    <definedName name="Agosto10">CHOOSE([2]PYGE!E1,[2]PYGE!#REF!,([2]PYGA!#REF!/[2]PYGPM!#REF!)*[2]PYGPM!#REF!,[2]PYGE!#REF!,[2]PYGE!#REF!,([2]PYGA!#REF!/[2]PYGPM!#REF!)*[2]PYGPM!#REF!,[2]PYGE!T1)</definedName>
    <definedName name="Agosto10a">CHOOSE([2]PYGE!E1,[2]PYGE!#REF!,([2]PYGA!#REF!/[2]PYGPM!#REF!)*[2]PYGPM!#REF!,[2]PYGE!#REF!,[2]PYGE!#REF!,([2]PYGA!#REF!/[2]PYGPM!#REF!)*[2]PYGPM!#REF!,[2]PYGE!T1)</definedName>
    <definedName name="Agosto11">CHOOSE([2]PYGE!D1,[2]PYGE!#REF!,([2]PYGA!#REF!/[2]PYGPM!#REF!)*[2]PYGPM!#REF!,[2]PYGE!#REF!,[2]PYGE!#REF!,([2]PYGA!#REF!/[2]PYGPM!#REF!)*[2]PYGPM!#REF!,[2]PYGE!T1)</definedName>
    <definedName name="Agosto11a">CHOOSE([2]PYGE!D1,[2]PYGE!#REF!,([2]PYGA!#REF!/[2]PYGPM!#REF!)*[2]PYGPM!#REF!,[2]PYGE!#REF!,[2]PYGE!#REF!,([2]PYGA!#REF!/[2]PYGPM!#REF!)*[2]PYGPM!#REF!,[2]PYGE!T1)</definedName>
    <definedName name="Agosto12">CHOOSE([2]PYGE!C1,[2]PYGE!#REF!,([2]PYGA!#REF!/[2]PYGPM!#REF!)*[2]PYGPM!#REF!,[2]PYGE!#REF!,[2]PYGE!#REF!,([2]PYGA!#REF!/[2]PYGPM!#REF!)*[2]PYGPM!#REF!,[2]PYGE!T1)</definedName>
    <definedName name="Agosto12a">CHOOSE([2]PYGE!C1,[2]PYGE!#REF!,([2]PYGA!#REF!/[2]PYGPM!#REF!)*[2]PYGPM!#REF!,[2]PYGE!#REF!,[2]PYGE!#REF!,([2]PYGA!#REF!/[2]PYGPM!#REF!)*[2]PYGPM!#REF!,[2]PYGE!T1)</definedName>
    <definedName name="ANALISIS">#REF!</definedName>
    <definedName name="Anexo1">[3]Betas!$C$6</definedName>
    <definedName name="Anexo2">[3]Múltiplos!$B$2</definedName>
    <definedName name="_xlnm.Extract">#REF!</definedName>
    <definedName name="_xlnm.Print_Area">!#REF!</definedName>
    <definedName name="banco">[4]Listas!$G$2:$G$91</definedName>
    <definedName name="_xlnm.Database">#REF!</definedName>
    <definedName name="BaseYear">#REF!</definedName>
    <definedName name="BORDE1">#REF!</definedName>
    <definedName name="BORDE2">#REF!</definedName>
    <definedName name="BORDE3">#REF!</definedName>
    <definedName name="borde4">#REF!</definedName>
    <definedName name="BuiltIn_Print_Area">#REF!</definedName>
    <definedName name="BuiltIn_Print_Area___0">#REF!</definedName>
    <definedName name="CAbril10">CHOOSE([2]PYGE!$O1,[2]PYGE!#REF!,([2]CYG!#REF!/[2]CYG!L15)*[2]CYG!A15,[2]PYGE!#REF!,[2]PYGE!#REF!,([2]CYG!#REF!/[2]CYG!#REF!)*[2]CYG!A15,[2]PYGE!T1)</definedName>
    <definedName name="CAbril11">CHOOSE([2]PYGE!$O1,[2]PYGE!#REF!,([2]CYG!#REF!/[2]CYG!K15)*[2]CYG!A15,[2]PYGE!#REF!,[2]PYGE!#REF!,([2]CYG!#REF!/[2]CYG!#REF!)*[2]CYG!A15,[2]PYGE!T1)</definedName>
    <definedName name="CAbril12">CHOOSE([2]PYGE!$O1,[2]PYGE!#REF!,([2]CYG!#REF!/[2]CYG!J15)*[2]CYG!A15,[2]PYGE!#REF!,[2]PYGE!#REF!,([2]CYG!#REF!/[2]CYG!#REF!)*[2]CYG!A15,[2]PYGE!T1)</definedName>
    <definedName name="CAbril6">CHOOSE([2]PYGE!$O1,[2]PYGE!#REF!,([2]CYG!#REF!/[2]CYG!P15)*[2]CYG!A15,[2]PYGE!#REF!,[2]PYGE!#REF!,([2]CYG!#REF!/[2]CYG!#REF!)*[2]CYG!A15,[2]PYGE!T1)</definedName>
    <definedName name="CAbril7">CHOOSE([2]PYGE!$O1,[2]PYGE!#REF!,([2]CYG!#REF!/[2]CYG!O15)*[2]CYG!A15,[2]PYGE!#REF!,[2]PYGE!#REF!,([2]CYG!#REF!/[2]CYG!#REF!)*[2]CYG!A15,[2]PYGE!T1)</definedName>
    <definedName name="CAbril8">CHOOSE([2]PYGE!$O1,[2]PYGE!#REF!,([2]CYG!#REF!/[2]CYG!N15)*[2]CYG!A15,[2]PYGE!#REF!,[2]PYGE!#REF!,([2]CYG!#REF!/[2]CYG!#REF!)*[2]CYG!A15,[2]PYGE!T1)</definedName>
    <definedName name="CAbril9">CHOOSE([2]PYGE!$O1,[2]PYGE!#REF!,([2]CYG!#REF!/[2]CYG!M15)*[2]CYG!A15,[2]PYGE!#REF!,[2]PYGE!#REF!,([2]CYG!#REF!/[2]CYG!#REF!)*[2]CYG!A15,[2]PYGE!T1)</definedName>
    <definedName name="CAgosto10">CHOOSE([2]PYGE!$O1,[2]PYGE!#REF!,([2]CYG!#REF!/[2]CYG!P15)*[2]CYG!A15,[2]PYGE!#REF!,[2]PYGE!#REF!,([2]CYG!#REF!/[2]CYG!#REF!)*[2]CYG!A15,[2]PYGE!T1)</definedName>
    <definedName name="CAgosto11">CHOOSE([2]PYGE!$O1,[2]PYGE!#REF!,([2]CYG!#REF!/[2]CYG!O15)*[2]CYG!A15,[2]PYGE!#REF!,[2]PYGE!#REF!,([2]CYG!#REF!/[2]CYG!#REF!)*[2]CYG!A15,[2]PYGE!T1)</definedName>
    <definedName name="CAgosto12">CHOOSE([2]PYGE!$O1,[2]PYGE!#REF!,([2]CYG!#REF!/[2]CYG!N15)*[2]CYG!A15,[2]PYGE!#REF!,[2]PYGE!#REF!,([2]CYG!#REF!/[2]CYG!#REF!)*[2]CYG!A15,[2]PYGE!T1)</definedName>
    <definedName name="CATASTRO_HONDURAS">'[5]Cuadro Pn'!#REF!</definedName>
    <definedName name="CBWorkbookPriority" hidden="1">-1935235038</definedName>
    <definedName name="cccccc">#REF!</definedName>
    <definedName name="CEnero10">CHOOSE([2]PYGE!$O1,[2]PYGE!#REF!,([2]CYG!#REF!/[2]CYG!I15)*[2]CYG!A15,[2]PYGE!#REF!,[2]PYGE!#REF!,([2]CYG!#REF!/[2]CYG!#REF!)*[2]CYG!A15,[2]PYGE!T1)</definedName>
    <definedName name="CEnero11">CHOOSE([2]PYGE!$O1,[2]PYGE!#REF!,([2]CYG!#REF!/[2]CYG!H15)*[2]CYG!A15,[2]PYGE!#REF!,[2]PYGE!#REF!,([2]CYG!#REF!/[2]CYG!#REF!)*[2]CYG!A15,[2]PYGE!T1)</definedName>
    <definedName name="CEnero12">CHOOSE([2]PYGE!$O1,[2]PYGE!#REF!,([2]CYG!#REF!/[2]CYG!G15)*[2]CYG!A15,[2]PYGE!#REF!,[2]PYGE!#REF!,([2]CYG!#REF!/[2]CYG!#REF!)*[2]CYG!A15,[2]PYGE!T1)</definedName>
    <definedName name="CEnero3">CHOOSE([2]PYGE!$O1,[2]CYG!#REF!,([2]CYG!#REF!/[2]CYG!P15)*[2]CYG!A15,[2]CYG!#REF!,([2]CYG!AA15-[2]CYG!#REF!)/11,([2]CYG!#REF!/[2]CYG!#REF!)*[2]CYG!A15,[2]PYGE!T1)</definedName>
    <definedName name="CEnero4">CHOOSE([2]PYGE!$O1,[2]PYGE!#REF!,([2]CYG!#REF!/[2]CYG!O15)*[2]CYG!A15,[2]PYGE!#REF!,([2]CYG!Z15-[2]CYG!#REF!)/11,([2]CYG!#REF!/[2]CYG!#REF!)*[2]CYG!A15,[2]PYGE!T1)</definedName>
    <definedName name="CEnero5">CHOOSE([2]PYGE!$O1,[2]PYGE!#REF!,([2]CYG!#REF!/[2]CYG!N15)*[2]CYG!A15,[2]PYGE!#REF!,[2]PYGE!#REF!,([2]CYG!#REF!/[2]CYG!#REF!)*[2]CYG!A15,[2]PYGE!T1)</definedName>
    <definedName name="CEnero6">CHOOSE([2]PYGE!$O1,[2]PYGE!#REF!,([2]CYG!#REF!/[2]CYG!M15)*[2]CYG!A15,[2]PYGE!#REF!,[2]PYGE!#REF!,([2]CYG!#REF!/[2]CYG!#REF!)*[2]CYG!A15,[2]PYGE!T1)</definedName>
    <definedName name="CEnero7">CHOOSE([2]PYGE!$O1,[2]PYGE!#REF!,([2]CYG!#REF!/[2]CYG!L15)*[2]CYG!A15,[2]PYGE!#REF!,[2]PYGE!#REF!,([2]CYG!#REF!/[2]CYG!#REF!)*[2]CYG!A15,[2]PYGE!T1)</definedName>
    <definedName name="CEnero8">CHOOSE([2]PYGE!$O1,[2]PYGE!#REF!,([2]CYG!#REF!/[2]CYG!K15)*[2]CYG!A15,[2]PYGE!#REF!,[2]PYGE!#REF!,([2]CYG!#REF!/[2]CYG!#REF!)*[2]CYG!A15,[2]PYGE!T1)</definedName>
    <definedName name="CEnero9">CHOOSE([2]PYGE!$O1,[2]PYGE!#REF!,([2]CYG!#REF!/[2]CYG!J15)*[2]CYG!A15,[2]PYGE!#REF!,[2]PYGE!#REF!,([2]CYG!#REF!/[2]CYG!#REF!)*[2]CYG!A15,[2]PYGE!T1)</definedName>
    <definedName name="CFebrero10">CHOOSE([2]PYGE!$O1,[2]PYGE!#REF!,([2]CYG!#REF!/[2]CYG!J15)*[2]CYG!A15,[2]PYGE!#REF!,[2]PYGE!#REF!,([2]CYG!#REF!/[2]CYG!#REF!)*[2]CYG!A15,[2]PYGE!T1)</definedName>
    <definedName name="CFebrero11">CHOOSE([2]PYGE!$O1,[2]PYGE!#REF!,([2]CYG!#REF!/[2]CYG!I15)*[2]CYG!A15,[2]PYGE!#REF!,[2]PYGE!#REF!,([2]CYG!#REF!/[2]CYG!#REF!)*[2]CYG!A15,[2]PYGE!T1)</definedName>
    <definedName name="CFebrero12">CHOOSE([2]PYGE!$O1,[2]PYGE!#REF!,([2]CYG!#REF!/[2]CYG!H15)*[2]CYG!A15,[2]PYGE!#REF!,[2]PYGE!#REF!,([2]CYG!#REF!/[2]CYG!#REF!)*[2]CYG!A15,[2]PYGE!T1)</definedName>
    <definedName name="CFebrero4">CHOOSE([2]PYGE!$O1,[2]PYGE!#REF!,([2]CYG!#REF!/[2]CYG!P15)*[2]CYG!A15,[2]PYGE!#REF!,[2]PYGE!#REF!,([2]CYG!#REF!/[2]CYG!#REF!)*[2]CYG!A15,[2]PYGE!T1)</definedName>
    <definedName name="CFebrero5">CHOOSE([2]PYGE!$O1,[2]PYGE!#REF!,([2]CYG!#REF!/[2]CYG!O15)*[2]CYG!A15,[2]PYGE!#REF!,[2]PYGE!#REF!,([2]CYG!#REF!/[2]CYG!#REF!)*[2]CYG!A15,[2]PYGE!T1)</definedName>
    <definedName name="CFebrero6">CHOOSE([2]PYGE!$O1,[2]PYGE!#REF!,([2]CYG!#REF!/[2]CYG!N15)*[2]CYG!A15,[2]PYGE!#REF!,[2]PYGE!#REF!,([2]CYG!#REF!/[2]CYG!#REF!)*[2]CYG!A15,[2]PYGE!T1)</definedName>
    <definedName name="CFebrero7">CHOOSE([2]PYGE!$O1,[2]PYGE!#REF!,([2]CYG!#REF!/[2]CYG!M15)*[2]CYG!A15,[2]PYGE!#REF!,[2]PYGE!#REF!,([2]CYG!#REF!/[2]CYG!#REF!)*[2]CYG!A15,[2]PYGE!T1)</definedName>
    <definedName name="CFebrero8">CHOOSE([2]PYGE!$O1,[2]PYGE!#REF!,([2]CYG!#REF!/[2]CYG!L15)*[2]CYG!A15,[2]PYGE!#REF!,[2]PYGE!#REF!,([2]CYG!#REF!/[2]CYG!#REF!)*[2]CYG!A15,[2]PYGE!T1)</definedName>
    <definedName name="CFebrero9">CHOOSE([2]PYGE!$O1,[2]PYGE!#REF!,([2]CYG!#REF!/[2]CYG!K15)*[2]CYG!A15,[2]PYGE!#REF!,[2]PYGE!#REF!,([2]CYG!#REF!/[2]CYG!#REF!)*[2]CYG!A15,[2]PYGE!T1)</definedName>
    <definedName name="CJulio10">CHOOSE([2]PYGE!$O1,[2]PYGE!#REF!,([2]CYG!#REF!/[2]CYG!O15)*[2]CYG!A15,[2]PYGE!#REF!,[2]PYGE!#REF!,([2]CYG!#REF!/[2]CYG!#REF!)*[2]CYG!A15,[2]PYGE!T1)</definedName>
    <definedName name="CJulio11">CHOOSE([2]PYGE!$O1,[2]PYGE!#REF!,([2]CYG!#REF!/[2]CYG!N15)*[2]CYG!A15,[2]PYGE!#REF!,[2]PYGE!#REF!,([2]CYG!#REF!/[2]CYG!#REF!)*[2]CYG!A15,[2]PYGE!T1)</definedName>
    <definedName name="CJulio12">CHOOSE([2]PYGE!$O1,[2]PYGE!#REF!,([2]CYG!#REF!/[2]CYG!M15)*[2]CYG!A15,[2]PYGE!#REF!,[2]PYGE!#REF!,([2]CYG!#REF!/[2]CYG!#REF!)*[2]CYG!A15,[2]PYGE!T1)</definedName>
    <definedName name="CJulio9">CHOOSE([2]PYGE!$O1,[2]PYGE!#REF!,([2]CYG!#REF!/[2]CYG!P15)*[2]CYG!A15,[2]PYGE!#REF!,[2]PYGE!#REF!,([2]CYG!#REF!/[2]CYG!#REF!)*[2]CYG!A15,[2]PYGE!T1)</definedName>
    <definedName name="CJunio10">CHOOSE([2]PYGE!$O1,[2]PYGE!#REF!,([2]CYG!#REF!/[2]CYG!N15)*[2]CYG!A15,[2]PYGE!#REF!,[2]PYGE!#REF!,([2]CYG!#REF!/[2]CYG!#REF!)*[2]CYG!A15,[2]PYGE!T1)</definedName>
    <definedName name="CJunio11">CHOOSE([2]PYGE!$O1,[2]PYGE!#REF!,([2]CYG!#REF!/[2]CYG!M15)*[2]CYG!A15,[2]PYGE!#REF!,[2]PYGE!#REF!,([2]CYG!#REF!/[2]CYG!#REF!)*[2]CYG!A15,[2]PYGE!T1)</definedName>
    <definedName name="CJunio12">CHOOSE([2]PYGE!$O1,[2]PYGE!#REF!,([2]CYG!#REF!/[2]CYG!L15)*[2]CYG!A15,[2]PYGE!#REF!,[2]PYGE!#REF!,([2]CYG!#REF!/[2]CYG!#REF!)*[2]CYG!A15,[2]PYGE!T1)</definedName>
    <definedName name="CJunio8">CHOOSE([2]PYGE!$O1,[2]PYGE!#REF!,([2]CYG!#REF!/[2]CYG!P16)*[2]CYG!A16,[2]PYGE!#REF!,[2]PYGE!#REF!,([2]CYG!#REF!/[2]CYG!#REF!)*[2]CYG!A16,[2]PYGE!T1)</definedName>
    <definedName name="CJunio9">CHOOSE([2]PYGE!$O1,[2]PYGE!#REF!,([2]CYG!#REF!/[2]CYG!O15)*[2]CYG!A15,[2]PYGE!#REF!,[2]PYGE!#REF!,([2]CYG!#REF!/[2]CYG!#REF!)*[2]CYG!A15,[2]PYGE!T1)</definedName>
    <definedName name="CMarzo10">CHOOSE([2]PYGE!$O1,[2]PYGE!#REF!,([2]CYG!#REF!/[2]CYG!K15)*[2]CYG!A15,[2]PYGE!#REF!,[2]PYGE!#REF!,([2]CYG!#REF!/[2]CYG!#REF!)*[2]CYG!A15,[2]PYGE!T1)</definedName>
    <definedName name="CMarzo11">CHOOSE([2]PYGE!$O1,[2]PYGE!#REF!,([2]CYG!#REF!/[2]CYG!J15)*[2]CYG!A15,[2]PYGE!#REF!,[2]PYGE!#REF!,([2]CYG!#REF!/[2]CYG!#REF!)*[2]CYG!A15,[2]PYGE!T1)</definedName>
    <definedName name="CMarzo12">CHOOSE([2]PYGE!$O1,[2]PYGE!#REF!,([2]CYG!#REF!/[2]CYG!I15)*[2]CYG!A15,[2]PYGE!#REF!,[2]PYGE!#REF!,([2]CYG!#REF!/[2]CYG!#REF!)*[2]CYG!A15,[2]PYGE!T1)</definedName>
    <definedName name="CMarzo5">CHOOSE([2]PYGE!$O1,[2]PYGE!#REF!,([2]CYG!#REF!/[2]CYG!P15)*[2]CYG!A15,[2]PYGE!#REF!,[2]PYGE!#REF!,([2]CYG!#REF!/[2]CYG!#REF!)*[2]CYG!A15,[2]PYGE!T1)</definedName>
    <definedName name="CMarzo6">CHOOSE([2]PYGE!$O1,[2]PYGE!#REF!,([2]CYG!#REF!/[2]CYG!O15)*[2]CYG!A15,[2]PYGE!#REF!,[2]PYGE!#REF!,([2]CYG!#REF!/[2]CYG!#REF!)*[2]CYG!A15,[2]PYGE!T1)</definedName>
    <definedName name="CMarzo7">CHOOSE([2]PYGE!$O1,[2]PYGE!#REF!,([2]CYG!#REF!/[2]CYG!N15)*[2]CYG!A15,[2]PYGE!#REF!,[2]PYGE!#REF!,([2]CYG!#REF!/[2]CYG!#REF!)*[2]CYG!A15,[2]PYGE!T1)</definedName>
    <definedName name="CMarzo8">CHOOSE([2]PYGE!$O1,[2]PYGE!#REF!,([2]CYG!#REF!/[2]CYG!M15)*[2]CYG!A15,[2]PYGE!#REF!,[2]PYGE!#REF!,([2]CYG!#REF!/[2]CYG!#REF!)*[2]CYG!A15,[2]PYGE!T1)</definedName>
    <definedName name="CMarzo9">CHOOSE([2]PYGE!$O1,[2]PYGE!#REF!,([2]CYG!#REF!/[2]CYG!L15)*[2]CYG!A15,[2]PYGE!#REF!,[2]PYGE!#REF!,([2]CYG!#REF!/[2]CYG!#REF!)*[2]CYG!A15,[2]PYGE!T1)</definedName>
    <definedName name="CMayo10">CHOOSE([2]PYGE!$O1,[2]PYGE!#REF!,([2]CYG!#REF!/[2]CYG!L15)*[2]CYG!A15,[2]PYGE!#REF!,[2]PYGE!#REF!,([2]CYG!#REF!/[2]CYG!#REF!)*[2]CYG!A15,[2]PYGE!T1)</definedName>
    <definedName name="CMayo11">CHOOSE([2]PYGE!$O1,[2]PYGE!#REF!,([2]CYG!#REF!/[2]CYG!J15)*[2]CYG!A15,[2]PYGE!#REF!,[2]PYGE!#REF!,([2]CYG!#REF!/[2]CYG!#REF!)*[2]CYG!A15,[2]PYGE!T1)</definedName>
    <definedName name="CMayo12">CHOOSE([2]PYGE!$O1,[2]PYGE!#REF!,([2]CYG!#REF!/[2]CYG!K15)*[2]CYG!A15,[2]PYGE!#REF!,[2]PYGE!#REF!,([2]CYG!#REF!/[2]CYG!#REF!)*[2]CYG!A15,[2]PYGE!T1)</definedName>
    <definedName name="CMayo7">CHOOSE([2]PYGE!$O1,[2]PYGE!#REF!,([2]CYG!#REF!/[2]CYG!P15)*[2]CYG!A15,[2]PYGE!#REF!,[2]PYGE!#REF!,([2]CYG!#REF!/[2]CYG!#REF!)*[2]CYG!A15,[2]PYGE!T1)</definedName>
    <definedName name="CMayo8">CHOOSE([2]PYGE!$O1,[2]PYGE!#REF!,([2]CYG!#REF!/[2]CYG!O15)*[2]CYG!A15,[2]PYGE!#REF!,[2]PYGE!#REF!,([2]CYG!#REF!/[2]CYG!#REF!)*[2]CYG!A15,[2]PYGE!T1)</definedName>
    <definedName name="CMayo9">CHOOSE([2]PYGE!$O1,[2]PYGE!#REF!,([2]CYG!#REF!/[2]CYG!N15)*[2]CYG!A15,[2]PYGE!#REF!,[2]PYGE!#REF!,([2]CYG!#REF!/[2]CYG!#REF!)*[2]CYG!A15,[2]PYGE!T1)</definedName>
    <definedName name="COctubre12">CHOOSE([2]PYGE!$O1,[2]PYGE!#REF!,([2]CYG!#REF!/[2]CYG!P15)*[2]CYG!A15,[2]PYGE!#REF!,[2]PYGE!#REF!,([2]CYG!#REF!/[2]CYG!#REF!)*[2]CYG!A15,[2]PYGE!T1)</definedName>
    <definedName name="costo">'PARÁM-SENSIBILIDAD'!$C$18</definedName>
    <definedName name="costos">'PARÁM-SENSIBILIDAD'!$J$19</definedName>
    <definedName name="CRITERIO">#REF!</definedName>
    <definedName name="_xlnm.Criteria">#REF!</definedName>
    <definedName name="Cronograma">#REF!</definedName>
    <definedName name="CSeptiembre11">CHOOSE([2]PYGE!$O1,[2]PYGE!#REF!,([2]CYG!#REF!/[2]CYG!P15)*[2]CYG!A15,[2]PYGE!#REF!,[2]PYGE!#REF!,([2]CYG!#REF!/[2]CYG!#REF!)*[2]CYG!A15,[2]PYGE!T1)</definedName>
    <definedName name="CSeptiembre12">CHOOSE([2]PYGE!$O1,[2]PYGE!#REF!,([2]CYG!#REF!/[2]CYG!O15)*[2]CYG!A15,[2]PYGE!#REF!,[2]PYGE!#REF!,([2]CYG!#REF!/[2]CYG!#REF!)*[2]CYG!A15,[2]PYGE!T1)</definedName>
    <definedName name="cuenta">[4]Listas!$F$2:$F$3</definedName>
    <definedName name="CYGAbril6">CHOOSE([2]PYGE!$O1,[2]PYGE!#REF!,([2]CYG!#REF!/[2]CYG!P17)*[2]CYG!A17,[2]PYGE!#REF!,[2]PYGE!#REF!,([2]CYG!#REF!/[2]CYG!#REF!)*[2]CYG!A17,[2]PYGE!T1)</definedName>
    <definedName name="CYGAbril7">CHOOSE([2]PYGE!$O1,[2]PYGE!#REF!,([2]CYG!#REF!/[2]CYG!O17)*[2]CYG!A17,[2]PYGE!#REF!,[2]PYGE!#REF!,([2]CYG!#REF!/[2]CYG!#REF!)*[2]CYG!A17,[2]PYGE!T1)</definedName>
    <definedName name="CYGAbril8">CHOOSE([2]PYGE!$O1,[2]PYGE!#REF!,([2]CYG!#REF!/[2]CYG!N17)*[2]CYG!A17,[2]PYGE!#REF!,[2]PYGE!#REF!,([2]CYG!#REF!/[2]CYG!#REF!)*[2]CYG!A17,[2]PYGE!T1)</definedName>
    <definedName name="CYGAbril9">CHOOSE([2]PYGE!$O1,[2]PYGE!#REF!,([2]CYG!#REF!/[2]CYG!M17)*[2]CYG!A17,[2]PYGE!#REF!,[2]PYGE!#REF!,([2]CYG!#REF!/[2]CYG!#REF!)*[2]CYG!A17,[2]PYGE!T1)</definedName>
    <definedName name="CYGEnero3">CHOOSE([2]PYGE!$O1,[2]CYG!#REF!,([2]CYG!#REF!/[2]CYG!P17)*[2]CYG!A17,[2]CYG!#REF!,([2]CYG!AA17-[2]CYG!#REF!)/11,([2]CYG!#REF!/[2]CYG!#REF!)*[2]CYG!A17,[2]PYGE!T1)</definedName>
    <definedName name="CYGEnero4">CHOOSE([2]PYGE!$O1,[2]PYGE!#REF!,([2]CYG!#REF!/[2]CYG!O17)*[2]CYG!A17,[2]PYGE!#REF!,([2]CYG!Z17-[2]CYG!#REF!)/11,([2]CYG!#REF!/[2]CYG!#REF!)*[2]CYG!A17,[2]PYGE!T1)</definedName>
    <definedName name="CYGEnero5">CHOOSE([2]PYGE!$O1,[2]PYGE!#REF!,([2]CYG!#REF!/[2]CYG!N17)*[2]CYG!A17,[2]PYGE!#REF!,[2]PYGE!#REF!,([2]CYG!#REF!/[2]CYG!#REF!)*[2]CYG!A17,[2]PYGE!T1)</definedName>
    <definedName name="CYGEnero6">CHOOSE([2]PYGE!$O1,[2]PYGE!#REF!,([2]CYG!#REF!/[2]CYG!M17)*[2]CYG!A17,[2]PYGE!#REF!,[2]PYGE!#REF!,([2]CYG!#REF!/[2]CYG!#REF!)*[2]CYG!A17,[2]PYGE!T1)</definedName>
    <definedName name="CYGEnero7">CHOOSE([2]PYGE!$O1,[2]PYGE!#REF!,([2]CYG!#REF!/[2]CYG!L17)*[2]CYG!A17,[2]PYGE!#REF!,[2]PYGE!#REF!,([2]CYG!#REF!/[2]CYG!#REF!)*[2]CYG!A17,[2]PYGE!T1)</definedName>
    <definedName name="CYGEnero8">CHOOSE([2]PYGE!$O1,[2]PYGE!#REF!,([2]CYG!#REF!/[2]CYG!K17)*[2]CYG!A17,[2]PYGE!#REF!,[2]PYGE!#REF!,([2]CYG!#REF!/[2]CYG!#REF!)*[2]CYG!A17,[2]PYGE!T1)</definedName>
    <definedName name="CYGEnero9">CHOOSE([2]PYGE!$O1,[2]PYGE!#REF!,([2]CYG!#REF!/[2]CYG!J17)*[2]CYG!A17,[2]PYGE!#REF!,[2]PYGE!#REF!,([2]CYG!#REF!/[2]CYG!#REF!)*[2]CYG!A17,[2]PYGE!T1)</definedName>
    <definedName name="CYGFebrero4">CHOOSE([2]PYGE!$O1,[2]PYGE!#REF!,([2]CYG!#REF!/[2]CYG!P17)*[2]CYG!A17,[2]PYGE!#REF!,[2]PYGE!#REF!,([2]CYG!#REF!/[2]CYG!#REF!)*[2]CYG!A17,[2]PYGE!T1)</definedName>
    <definedName name="CYGFebrero5">CHOOSE([2]PYGE!$O1,[2]PYGE!#REF!,([2]CYG!#REF!/[2]CYG!O15)*[2]CYG!A17,[2]PYGE!#REF!,[2]PYGE!#REF!,([2]CYG!#REF!/[2]CYG!#REF!)*[2]CYG!A17,[2]PYGE!T1)</definedName>
    <definedName name="CYGFebrero6">CHOOSE([2]PYGE!$O1,[2]PYGE!#REF!,([2]CYG!#REF!/[2]CYG!N17)*[2]CYG!A17,[2]PYGE!#REF!,[2]PYGE!#REF!,([2]CYG!#REF!/[2]CYG!#REF!)*[2]CYG!A17,[2]PYGE!T1)</definedName>
    <definedName name="CYGFebrero7">CHOOSE([2]PYGE!$O1,[2]PYGE!#REF!,([2]CYG!#REF!/[2]CYG!M17)*[2]CYG!A17,[2]PYGE!#REF!,[2]PYGE!#REF!,([2]CYG!#REF!/[2]CYG!#REF!)*[2]CYG!A17,[2]PYGE!T1)</definedName>
    <definedName name="CYGFebrero8">CHOOSE([2]PYGE!$O1,[2]PYGE!#REF!,([2]CYG!#REF!/[2]CYG!L17)*[2]CYG!A17,[2]PYGE!#REF!,[2]PYGE!#REF!,([2]CYG!#REF!/[2]CYG!#REF!)*[2]CYG!A17,[2]PYGE!T1)</definedName>
    <definedName name="CYGFebrero9">CHOOSE([2]PYGE!$O1,[2]PYGE!#REF!,([2]CYG!#REF!/[2]CYG!K17)*[2]CYG!A17,[2]PYGE!#REF!,[2]PYGE!#REF!,([2]CYG!#REF!/[2]CYG!#REF!)*[2]CYG!A17,[2]PYGE!T1)</definedName>
    <definedName name="CYGJulio9">CHOOSE([2]PYGE!$O1,[2]PYGE!#REF!,([2]CYG!#REF!/[2]CYG!P17)*[2]CYG!A17,[2]PYGE!#REF!,[2]PYGE!#REF!,([2]CYG!#REF!/[2]CYG!#REF!)*[2]CYG!A17,[2]PYGE!T1)</definedName>
    <definedName name="CYGJunio8">CHOOSE([2]PYGE!$O1,[2]PYGE!#REF!,([2]CYG!#REF!/[2]CYG!P17)*[2]CYG!A17,[2]PYGE!#REF!,[2]PYGE!#REF!,([2]CYG!#REF!/[2]CYG!#REF!)*[2]CYG!A17,[2]PYGE!T1)</definedName>
    <definedName name="CYGJunio9">CHOOSE([2]PYGE!$O1,[2]PYGE!#REF!,([2]CYG!#REF!/[2]CYG!O17)*[2]CYG!A17,[2]PYGE!#REF!,[2]PYGE!#REF!,([2]CYG!#REF!/[2]CYG!#REF!)*[2]CYG!A17,[2]PYGE!T1)</definedName>
    <definedName name="CYGMarzo5">CHOOSE([2]PYGE!$O1,[2]PYGE!#REF!,([2]CYG!#REF!/[2]CYG!P17)*[2]CYG!A17,[2]PYGE!#REF!,[2]PYGE!#REF!,([2]CYG!#REF!/[2]CYG!#REF!)*[2]CYG!A15,[2]PYGE!T1)</definedName>
    <definedName name="CYGMarzo6">CHOOSE([2]PYGE!$O1,[2]PYGE!#REF!,([2]CYG!#REF!/[2]CYG!O17)*[2]CYG!A17,[2]PYGE!#REF!,[2]PYGE!#REF!,([2]CYG!#REF!/[2]CYG!#REF!)*[2]CYG!A17,[2]PYGE!T1)</definedName>
    <definedName name="CYGMarzo7">CHOOSE([2]PYGE!$O1,[2]PYGE!#REF!,([2]CYG!#REF!/[2]CYG!N17)*[2]CYG!A17,[2]PYGE!#REF!,[2]PYGE!#REF!,([2]CYG!#REF!/[2]CYG!#REF!)*[2]CYG!A17,[2]PYGE!T1)</definedName>
    <definedName name="CYGMarzo8">CHOOSE([2]PYGE!$O1,[2]PYGE!#REF!,([2]CYG!#REF!/[2]CYG!M17)*[2]CYG!A17,[2]PYGE!#REF!,[2]PYGE!#REF!,([2]CYG!#REF!/[2]CYG!#REF!)*[2]CYG!A17,[2]PYGE!T1)</definedName>
    <definedName name="CYGMarzo9">CHOOSE([2]PYGE!$O1,[2]PYGE!#REF!,([2]CYG!#REF!/[2]CYG!L17)*[2]CYG!A17,[2]PYGE!#REF!,[2]PYGE!#REF!,([2]CYG!#REF!/[2]CYG!#REF!)*[2]CYG!A17,[2]PYGE!T1)</definedName>
    <definedName name="CYGMayo7">CHOOSE([2]PYGE!$O1,[2]PYGE!#REF!,([2]CYG!#REF!/[2]CYG!P17)*[2]CYG!A17,[2]PYGE!#REF!,[2]PYGE!#REF!,([2]CYG!#REF!/[2]CYG!#REF!)*[2]CYG!A17,[2]PYGE!T1)</definedName>
    <definedName name="CYGMayo8">CHOOSE([2]PYGE!$O1,[2]PYGE!#REF!,([2]CYG!#REF!/[2]CYG!O17)*[2]CYG!A17,[2]PYGE!#REF!,[2]PYGE!#REF!,([2]CYG!#REF!/[2]CYG!#REF!)*[2]CYG!A17,[2]PYGE!T1)</definedName>
    <definedName name="CYGMayo9">CHOOSE([2]PYGE!$O1,[2]PYGE!#REF!,([2]CYG!#REF!/[2]CYG!N17)*[2]CYG!A17,[2]PYGE!#REF!,[2]PYGE!#REF!,([2]CYG!#REF!/[2]CYG!#REF!)*[2]CYG!A17,[2]PYGE!T1)</definedName>
    <definedName name="datos">'[6]Cuadro Pn'!#REF!</definedName>
    <definedName name="Datos_Tarea">#REF!</definedName>
    <definedName name="DCAbril10">CHOOSE([2]PYGE!$O1,[2]PYGE!#REF!,([2]DAPA!#REF!/[2]DAPA!#REF!)*[2]DAPA!#REF!,[2]PYGE!#REF!,[2]PYGE!#REF!,([2]DAPA!#REF!/[2]DAPA!#REF!)*[2]DAPA!#REF!,[2]PYGE!T1)</definedName>
    <definedName name="DCAbril11">CHOOSE([2]PYGE!$O1,[2]PYGE!#REF!,([2]DAPA!#REF!/[2]DAPA!#REF!)*[2]DAPA!#REF!,[2]PYGE!#REF!,[2]PYGE!#REF!,([2]DAPA!#REF!/[2]DAPA!#REF!)*[2]DAPA!#REF!,[2]PYGE!T1)</definedName>
    <definedName name="DCAbril12">CHOOSE([2]PYGE!$O1,[2]PYGE!#REF!,([2]DAPA!#REF!/[2]DAPA!#REF!)*[2]DAPA!#REF!,[2]PYGE!#REF!,[2]PYGE!#REF!,([2]DAPA!#REF!/[2]DAPA!#REF!)*[2]DAPA!#REF!,[2]PYGE!T1)</definedName>
    <definedName name="DCAbril6">CHOOSE([2]PYGE!$O1,[2]PYGE!#REF!,([2]DAPA!#REF!/[2]DAPA!#REF!)*[2]DAPA!#REF!,[2]PYGE!#REF!,[2]PYGE!#REF!,([2]DAPA!#REF!/[2]DAPA!#REF!)*[2]DAPA!#REF!,[2]PYGE!T1)</definedName>
    <definedName name="DCAbril7">CHOOSE([2]PYGE!$O1,[2]PYGE!#REF!,([2]DAPA!#REF!/[2]DAPA!#REF!)*[2]DAPA!#REF!,[2]PYGE!#REF!,[2]PYGE!#REF!,([2]DAPA!#REF!/[2]DAPA!#REF!)*[2]DAPA!#REF!,[2]PYGE!T1)</definedName>
    <definedName name="DCAbril8">CHOOSE([2]PYGE!$O1,[2]PYGE!#REF!,([2]DAPA!#REF!/[2]DAPA!#REF!)*[2]DAPA!#REF!,[2]PYGE!#REF!,[2]PYGE!#REF!,([2]DAPA!#REF!/[2]DAPA!#REF!)*[2]DAPA!#REF!,[2]PYGE!T1)</definedName>
    <definedName name="DCAbril9">CHOOSE([2]PYGE!$O1,[2]PYGE!#REF!,([2]DAPA!#REF!/[2]DAPA!#REF!)*[2]DAPA!#REF!,[2]PYGE!#REF!,[2]PYGE!#REF!,([2]DAPA!#REF!/[2]DAPA!#REF!)*[2]DAPA!#REF!,[2]PYGE!T1)</definedName>
    <definedName name="DCAgosto10">CHOOSE([2]PYGE!$O1,[2]PYGE!#REF!,([2]DAPA!#REF!/[2]DAPA!#REF!)*[2]DAPA!#REF!,[2]PYGE!#REF!,[2]PYGE!#REF!,([2]DAPA!#REF!/[2]DAPA!#REF!)*[2]DAPA!#REF!,[2]PYGE!T1)</definedName>
    <definedName name="DCAgosto11">CHOOSE([2]PYGE!$O1,[2]PYGE!#REF!,([2]DAPA!#REF!/[2]DAPA!#REF!)*[2]DAPA!#REF!,[2]PYGE!#REF!,[2]PYGE!#REF!,([2]DAPA!#REF!/[2]DAPA!#REF!)*[2]DAPA!#REF!,[2]PYGE!T1)</definedName>
    <definedName name="DCAgosto12">CHOOSE([2]PYGE!$O1,[2]PYGE!#REF!,([2]DAPA!#REF!/[2]DAPA!#REF!)*[2]DAPA!#REF!,[2]PYGE!#REF!,[2]PYGE!#REF!,([2]DAPA!#REF!/[2]DAPA!#REF!)*[2]DAPA!#REF!,[2]PYGE!T1)</definedName>
    <definedName name="DCEnero10">CHOOSE([2]PYGE!$O1,[2]PYGE!#REF!,([2]DAPA!#REF!/[2]DAPA!#REF!)*[2]DAPA!#REF!,[2]PYGE!#REF!,[2]PYGE!#REF!,([2]DAPA!#REF!/[2]DAPA!#REF!)*[2]DAPA!#REF!,[2]PYGE!T1)</definedName>
    <definedName name="DCEnero11">CHOOSE([2]PYGE!$O1,[2]PYGE!#REF!,([2]DAPA!#REF!/[2]DAPA!#REF!)*[2]DAPA!#REF!,[2]PYGE!#REF!,[2]PYGE!#REF!,([2]DAPA!#REF!/[2]DAPA!#REF!)*[2]DAPA!#REF!,[2]PYGE!T1)</definedName>
    <definedName name="DCEnero12">CHOOSE([2]PYGE!$O1,[2]PYGE!#REF!,([2]DAPA!#REF!/[2]DAPA!#REF!)*[2]DAPA!#REF!,[2]PYGE!#REF!,[2]PYGE!#REF!,([2]DAPA!#REF!/[2]DAPA!#REF!)*[2]DAPA!#REF!,[2]PYGE!T1)</definedName>
    <definedName name="DCEnero3">CHOOSE([2]PYGE!$O1,[2]DAPA!#REF!,([2]DAPA!#REF!/[2]DAPA!#REF!)*[2]DAPA!#REF!,[2]DAPA!#REF!,([2]DAPA!#REF!-[2]DAPA!#REF!)/11,([2]DAPA!#REF!/[2]DAPA!#REF!)*[2]DAPA!#REF!,[2]PYGE!T1)</definedName>
    <definedName name="DCEnero4">CHOOSE([2]PYGE!$O1,[2]PYGE!#REF!,([2]DAPA!#REF!/[2]DAPA!#REF!)*[2]DAPA!#REF!,[2]PYGE!#REF!,([2]DAPA!#REF!-[2]DAPA!#REF!)/11,([2]DAPA!#REF!/[2]DAPA!#REF!)*[2]DAPA!#REF!,[2]PYGE!T1)</definedName>
    <definedName name="DCEnero5">CHOOSE([2]PYGE!$O1,[2]PYGE!#REF!,([2]DAPA!#REF!/[2]DAPA!#REF!)*[2]DAPA!#REF!,[2]PYGE!#REF!,[2]PYGE!#REF!,([2]DAPA!#REF!/[2]DAPA!#REF!)*[2]DAPA!#REF!,[2]PYGE!T1)</definedName>
    <definedName name="DCEnero6">CHOOSE([2]PYGE!$O1,[2]PYGE!#REF!,([2]DAPA!#REF!/[2]DAPA!#REF!)*[2]DAPA!#REF!,[2]PYGE!#REF!,[2]PYGE!#REF!,([2]DAPA!#REF!/[2]DAPA!#REF!)*[2]DAPA!#REF!,[2]PYGE!T1)</definedName>
    <definedName name="DCEnero7">CHOOSE([2]PYGE!$O1,[2]PYGE!#REF!,([2]DAPA!#REF!/[2]DAPA!#REF!)*[2]DAPA!#REF!,[2]PYGE!#REF!,[2]PYGE!#REF!,([2]DAPA!#REF!/[2]DAPA!#REF!)*[2]DAPA!#REF!,[2]PYGE!T1)</definedName>
    <definedName name="DCEnero8">CHOOSE([2]PYGE!$O1,[2]PYGE!#REF!,([2]DAPA!#REF!/[2]DAPA!#REF!)*[2]DAPA!#REF!,[2]PYGE!#REF!,[2]PYGE!#REF!,([2]DAPA!#REF!/[2]DAPA!#REF!)*[2]DAPA!#REF!,[2]PYGE!T1)</definedName>
    <definedName name="DCEnero9">CHOOSE([2]PYGE!$O1,[2]DAPA!#REF!,([2]DAPA!#REF!/[2]DAPA!#REF!)*[2]DAPA!#REF!,[2]PYGE!#REF!,[2]PYGE!#REF!,([2]DAPA!#REF!/[2]DAPA!#REF!)*[2]DAPA!#REF!,[2]PYGE!T1)</definedName>
    <definedName name="DCFebrero10">CHOOSE([2]PYGE!$O1,[2]PYGE!#REF!,([2]DAPA!#REF!/[2]DAPA!#REF!)*[2]DAPA!#REF!,[2]PYGE!#REF!,[2]PYGE!#REF!,([2]DAPA!#REF!/[2]DAPA!#REF!)*[2]DAPA!#REF!,[2]PYGE!T1)</definedName>
    <definedName name="DCFebrero11">CHOOSE([2]PYGE!$O1,[2]PYGE!#REF!,([2]DAPA!#REF!/[2]DAPA!#REF!)*[2]DAPA!#REF!,[2]PYGE!#REF!,[2]PYGE!#REF!,([2]DAPA!#REF!/[2]DAPA!#REF!)*[2]DAPA!#REF!,[2]PYGE!T1)</definedName>
    <definedName name="DCFebrero12">CHOOSE([2]PYGE!$O1,[2]PYGE!#REF!,([2]DAPA!#REF!/[2]DAPA!#REF!)*[2]DAPA!#REF!,[2]PYGE!#REF!,[2]PYGE!#REF!,([2]DAPA!#REF!/[2]DAPA!#REF!)*[2]DAPA!#REF!,[2]PYGE!T1)</definedName>
    <definedName name="DCFebrero4">CHOOSE([2]PYGE!$O1,[2]PYGE!#REF!,([2]DAPA!#REF!/[2]DAPA!#REF!)*[2]DAPA!#REF!,[2]PYGE!#REF!,[2]PYGE!#REF!,([2]DAPA!#REF!/[2]DAPA!#REF!)*[2]DAPA!#REF!,[2]PYGE!T1)</definedName>
    <definedName name="DCFebrero5">CHOOSE([2]PYGE!$O1,[2]PYGE!#REF!,([2]DAPA!#REF!/[2]DAPA!#REF!)*[2]DAPA!#REF!,[2]PYGE!#REF!,[2]PYGE!#REF!,([2]DAPA!#REF!/[2]DAPA!#REF!)*[2]DAPA!#REF!,[2]PYGE!T1)</definedName>
    <definedName name="DCFebrero6">CHOOSE([2]PYGE!$O1,[2]PYGE!#REF!,([2]DAPA!#REF!/[2]DAPA!#REF!)*[2]DAPA!#REF!,[2]PYGE!#REF!,[2]PYGE!#REF!,([2]DAPA!#REF!/[2]DAPA!#REF!)*[2]DAPA!#REF!,[2]PYGE!T1)</definedName>
    <definedName name="DCFebrero7">CHOOSE([2]PYGE!$O1,[2]PYGE!#REF!,([2]DAPA!#REF!/[2]DAPA!#REF!)*[2]DAPA!#REF!,[2]PYGE!#REF!,[2]PYGE!#REF!,([2]DAPA!#REF!/[2]DAPA!#REF!)*[2]DAPA!#REF!,[2]PYGE!T1)</definedName>
    <definedName name="DCFebrero8">CHOOSE([2]PYGE!$O1,[2]PYGE!#REF!,([2]DAPA!#REF!/[2]DAPA!#REF!)*[2]DAPA!#REF!,[2]PYGE!#REF!,[2]PYGE!#REF!,([2]DAPA!#REF!/[2]DAPA!#REF!)*[2]DAPA!#REF!,[2]PYGE!T1)</definedName>
    <definedName name="DCFebrero9">CHOOSE([2]PYGE!$O1,[2]PYGE!#REF!,([2]DAPA!#REF!/[2]DAPA!#REF!)*[2]DAPA!#REF!,[2]PYGE!#REF!,[2]PYGE!#REF!,([2]DAPA!#REF!/[2]DAPA!#REF!)*[2]DAPA!#REF!,[2]PYGE!T1)</definedName>
    <definedName name="DCJulio10">CHOOSE([2]PYGE!$O1,[2]PYGE!#REF!,([2]DAPA!#REF!/[2]DAPA!#REF!)*[2]DAPA!#REF!,[2]PYGE!#REF!,[2]PYGE!#REF!,([2]DAPA!#REF!/[2]DAPA!#REF!)*[2]DAPA!#REF!,[2]PYGE!T1)</definedName>
    <definedName name="DCJulio11">CHOOSE([2]PYGE!$O1,[2]PYGE!#REF!,([2]DAPA!#REF!/[2]DAPA!#REF!)*[2]DAPA!#REF!,[2]PYGE!#REF!,[2]PYGE!#REF!,([2]DAPA!#REF!/[2]DAPA!#REF!)*[2]DAPA!#REF!,[2]PYGE!T1)</definedName>
    <definedName name="DCJulio12">CHOOSE([2]PYGE!$O1,[2]PYGE!#REF!,([2]DAPA!#REF!/[2]DAPA!#REF!)*[2]DAPA!#REF!,[2]PYGE!#REF!,[2]PYGE!#REF!,([2]DAPA!#REF!/[2]DAPA!#REF!)*[2]DAPA!#REF!,[2]PYGE!T1)</definedName>
    <definedName name="DCJulio9">CHOOSE([2]PYGE!$O1,[2]PYGE!#REF!,([2]DAPA!#REF!/[2]DAPA!#REF!)*[2]DAPA!#REF!,[2]PYGE!#REF!,[2]PYGE!#REF!,([2]DAPA!#REF!/[2]DAPA!#REF!)*[2]DAPA!#REF!,[2]PYGE!T1)</definedName>
    <definedName name="DCJunio10">CHOOSE([2]PYGE!$O1,[2]PYGE!#REF!,([2]DAPA!#REF!/[2]DAPA!#REF!)*[2]DAPA!#REF!,[2]PYGE!#REF!,[2]PYGE!#REF!,([2]DAPA!#REF!/[2]DAPA!#REF!)*[2]DAPA!#REF!,[2]PYGE!T1)</definedName>
    <definedName name="DCJunio11">CHOOSE([2]PYGE!$O1,[2]PYGE!#REF!,([2]DAPA!#REF!/[2]DAPA!#REF!)*[2]DAPA!#REF!,[2]PYGE!#REF!,[2]PYGE!#REF!,([2]DAPA!#REF!/[2]DAPA!#REF!)*[2]DAPA!#REF!,[2]PYGE!T1)</definedName>
    <definedName name="DCJunio12">CHOOSE([2]PYGE!$O1,[2]PYGE!#REF!,([2]DAPA!#REF!/[2]DAPA!#REF!)*[2]DAPA!#REF!,[2]PYGE!#REF!,[2]PYGE!#REF!,([2]DAPA!#REF!/[2]DAPA!#REF!)*[2]DAPA!#REF!,[2]PYGE!T1)</definedName>
    <definedName name="DCJunio8">CHOOSE([2]PYGE!$O1,[2]PYGE!#REF!,([2]DAPA!#REF!/[2]DAPA!#REF!)*[2]DAPA!#REF!,[2]PYGE!#REF!,[2]PYGE!#REF!,([2]DAPA!#REF!/[2]DAPA!#REF!)*[2]DAPA!#REF!,[2]PYGE!T1)</definedName>
    <definedName name="DCJunio9">CHOOSE([2]PYGE!$O1,[2]PYGE!#REF!,([2]DAPA!#REF!/[2]DAPA!#REF!)*[2]DAPA!#REF!,[2]PYGE!#REF!,[2]PYGE!#REF!,([2]DAPA!#REF!/[2]DAPA!#REF!)*[2]DAPA!#REF!,[2]PYGE!T1)</definedName>
    <definedName name="DCMarzo10">CHOOSE([2]PYGE!$O1,[2]PYGE!#REF!,([2]DAPA!#REF!/[2]DAPA!#REF!)*[2]DAPA!#REF!,[2]PYGE!#REF!,[2]PYGE!#REF!,([2]DAPA!#REF!/[2]DAPA!#REF!)*[2]DAPA!#REF!,[2]PYGE!T1)</definedName>
    <definedName name="DCMarzo11">CHOOSE([2]PYGE!$O1,[2]PYGE!#REF!,([2]DAPA!#REF!/[2]DAPA!#REF!)*[2]DAPA!#REF!,[2]PYGE!#REF!,[2]PYGE!#REF!,([2]DAPA!#REF!/[2]DAPA!#REF!)*[2]DAPA!#REF!,[2]PYGE!T1)</definedName>
    <definedName name="DCMarzo12">CHOOSE([2]PYGE!$O1,[2]PYGE!#REF!,([2]DAPA!#REF!/[2]DAPA!#REF!)*[2]DAPA!#REF!,[2]PYGE!#REF!,[2]PYGE!#REF!,([2]DAPA!#REF!/[2]DAPA!#REF!)*[2]DAPA!#REF!,[2]PYGE!T1)</definedName>
    <definedName name="DCMarzo5">CHOOSE([2]PYGE!$O1,[2]PYGE!#REF!,([2]DAPA!#REF!/[2]DAPA!#REF!)*[2]DAPA!#REF!,[2]PYGE!#REF!,[2]PYGE!#REF!,([2]DAPA!#REF!/[2]DAPA!#REF!)*[2]DAPA!#REF!,[2]PYGE!T1)</definedName>
    <definedName name="DCMarzo6">CHOOSE([2]PYGE!$O1,[2]PYGE!#REF!,([2]DAPA!#REF!/[2]DAPA!#REF!)*[2]DAPA!#REF!,[2]PYGE!#REF!,[2]PYGE!#REF!,([2]DAPA!#REF!/[2]DAPA!#REF!)*[2]DAPA!#REF!,[2]PYGE!T1)</definedName>
    <definedName name="DCMarzo7">CHOOSE([2]PYGE!$O1,[2]PYGE!#REF!,([2]DAPA!#REF!/[2]DAPA!#REF!)*[2]DAPA!#REF!,[2]PYGE!#REF!,[2]PYGE!#REF!,([2]DAPA!#REF!/[2]DAPA!#REF!)*[2]DAPA!#REF!,[2]PYGE!T1)</definedName>
    <definedName name="DCMarzo8">CHOOSE([2]PYGE!$O1,[2]PYGE!#REF!,([2]DAPA!#REF!/[2]DAPA!#REF!)*[2]DAPA!#REF!,[2]PYGE!#REF!,[2]PYGE!#REF!,([2]DAPA!#REF!/[2]DAPA!#REF!)*[2]DAPA!#REF!,[2]PYGE!T1)</definedName>
    <definedName name="DCMarzo9">CHOOSE([2]PYGE!$O1,[2]PYGE!#REF!,([2]DAPA!#REF!/[2]DAPA!#REF!)*[2]DAPA!#REF!,[2]PYGE!#REF!,[2]PYGE!#REF!,([2]DAPA!#REF!/[2]DAPA!#REF!)*[2]DAPA!#REF!,[2]PYGE!T1)</definedName>
    <definedName name="DCMayo10">CHOOSE([2]PYGE!$O1,[2]PYGE!#REF!,([2]DAPA!#REF!/[2]DAPA!#REF!)*[2]DAPA!#REF!,[2]PYGE!#REF!,[2]PYGE!#REF!,([2]DAPA!#REF!/[2]DAPA!#REF!)*[2]DAPA!#REF!,[2]PYGE!T1)</definedName>
    <definedName name="DCMayo11">CHOOSE([2]PYGE!$O1,[2]PYGE!#REF!,([2]DAPA!#REF!/[2]DAPA!#REF!)*[2]DAPA!#REF!,[2]PYGE!#REF!,[2]PYGE!#REF!,([2]DAPA!#REF!/[2]DAPA!#REF!)*[2]DAPA!#REF!,[2]PYGE!T1)</definedName>
    <definedName name="DCMayo12">CHOOSE([2]PYGE!$O1,[2]PYGE!#REF!,([2]DAPA!#REF!/[2]DAPA!#REF!)*[2]DAPA!#REF!,[2]PYGE!#REF!,[2]PYGE!#REF!,([2]DAPA!#REF!/[2]DAPA!#REF!)*[2]DAPA!#REF!,[2]PYGE!T1)</definedName>
    <definedName name="DCMayo7">CHOOSE([2]PYGE!$O1,[2]PYGE!#REF!,([2]DAPA!#REF!/[2]DAPA!#REF!)*[2]DAPA!#REF!,[2]PYGE!#REF!,[2]PYGE!#REF!,([2]DAPA!#REF!/[2]DAPA!#REF!)*[2]DAPA!#REF!,[2]PYGE!T1)</definedName>
    <definedName name="DCMayo8">CHOOSE([2]PYGE!$O1,[2]PYGE!#REF!,([2]DAPA!#REF!/[2]DAPA!#REF!)*[2]DAPA!#REF!,[2]PYGE!#REF!,[2]PYGE!#REF!,([2]DAPA!#REF!/[2]DAPA!#REF!)*[2]DAPA!#REF!,[2]PYGE!T1)</definedName>
    <definedName name="DCMayo9">CHOOSE([2]PYGE!$O1,[2]PYGE!#REF!,([2]DAPA!#REF!/[2]DAPA!#REF!)*[2]DAPA!#REF!,[2]PYGE!#REF!,[2]PYGE!#REF!,([2]DAPA!#REF!/[2]DAPA!#REF!)*[2]DAPA!#REF!,[2]PYGE!T1)</definedName>
    <definedName name="DCOctubre12">CHOOSE([2]PYGE!$O1,[2]PYGE!#REF!,([2]DAPA!#REF!/[2]DAPA!#REF!)*[2]DAPA!#REF!,[2]PYGE!#REF!,[2]PYGE!#REF!,([2]DAPA!#REF!/[2]DAPA!#REF!)*[2]DAPA!#REF!,[2]PYGE!T1)</definedName>
    <definedName name="DCSeptiembre11">CHOOSE([2]PYGE!$O1,[2]PYGE!#REF!,([2]DAPA!#REF!/[2]DAPA!#REF!)*[2]DAPA!#REF!,[2]PYGE!#REF!,[2]PYGE!#REF!,([2]DAPA!#REF!/[2]DAPA!#REF!)*[2]DAPA!#REF!,[2]PYGE!T1)</definedName>
    <definedName name="DCSeptiembre12">CHOOSE([2]PYGE!$O1,[2]PYGE!#REF!,([2]DAPA!#REF!/[2]DAPA!#REF!)*[2]DAPA!#REF!,[2]PYGE!#REF!,[2]PYGE!#REF!,([2]DAPA!#REF!/[2]DAPA!#REF!)*[2]DAPA!#REF!,[2]PYGE!T1)</definedName>
    <definedName name="de">#REF!</definedName>
    <definedName name="decidir">[7]Listas!$D$2:$D$4</definedName>
    <definedName name="DETENCION">'[8]CHEQUEO '!#REF!</definedName>
    <definedName name="df">CHOOSE([2]PYGE!H1,[2]PYGE!#REF!,([2]PYGA!#REF!/[2]PYGPM!#REF!)*[2]PYGPM!#REF!,[2]PYGE!#REF!,[2]PYGE!#REF!,([2]PYGA!#REF!/[2]PYGPM!#REF!)*[2]PYGPM!#REF!,[2]PYGE!T1)</definedName>
    <definedName name="DGAbril10">CHOOSE([2]PYGE!$O1,[2]PYGE!#REF!,([2]DAPA!#REF!/[2]DAPA!#REF!)*[2]DAPA!#REF!,[2]PYGE!#REF!,[2]PYGE!#REF!,([2]DAPA!#REF!/[2]DAPA!#REF!)*[2]DAPA!#REF!,[2]PYGE!T1)</definedName>
    <definedName name="DGAbril11">CHOOSE([2]PYGE!$O1,[2]PYGE!#REF!,([2]DAPA!#REF!/[2]DAPA!#REF!)*[2]DAPA!#REF!,[2]PYGE!#REF!,[2]PYGE!#REF!,([2]DAPA!#REF!/[2]DAPA!#REF!)*[2]DAPA!#REF!,[2]PYGE!T1)</definedName>
    <definedName name="DGAbril12">CHOOSE([2]PYGE!$O1,[2]PYGE!#REF!,([2]DAPA!#REF!/[2]DAPA!#REF!)*[2]DAPA!#REF!,[2]PYGE!#REF!,[2]PYGE!#REF!,([2]DAPA!#REF!/[2]DAPA!#REF!)*[2]DAPA!#REF!,[2]PYGE!T1)</definedName>
    <definedName name="DGAbril6">CHOOSE([2]PYGE!$O1,[2]PYGE!#REF!,([2]DAPA!#REF!/[2]DAPA!#REF!)*[2]DAPA!#REF!,[2]PYGE!#REF!,[2]PYGE!#REF!,([2]DAPA!#REF!/[2]DAPA!#REF!)*[2]DAPA!#REF!,[2]PYGE!T1)</definedName>
    <definedName name="DGAbril7">CHOOSE([2]PYGE!$O1,[2]PYGE!#REF!,([2]DAPA!#REF!/[2]DAPA!#REF!)*[2]DAPA!#REF!,[2]PYGE!#REF!,[2]PYGE!#REF!,([2]DAPA!#REF!/[2]DAPA!#REF!)*[2]DAPA!#REF!,[2]PYGE!T1)</definedName>
    <definedName name="DGAbril8">CHOOSE([2]PYGE!$O1,[2]PYGE!#REF!,([2]DAPA!#REF!/[2]DAPA!#REF!)*[2]DAPA!#REF!,[2]PYGE!#REF!,[2]PYGE!#REF!,([2]DAPA!#REF!/[2]DAPA!#REF!)*[2]DAPA!#REF!,[2]PYGE!T1)</definedName>
    <definedName name="DGAbril9">CHOOSE([2]PYGE!$O1,[2]PYGE!#REF!,([2]DAPA!#REF!/[2]DAPA!#REF!)*[2]DAPA!#REF!,[2]PYGE!#REF!,[2]PYGE!#REF!,([2]DAPA!#REF!/[2]DAPA!#REF!)*[2]DAPA!#REF!,[2]PYGE!T1)</definedName>
    <definedName name="DGAgosto10">CHOOSE([2]PYGE!$O1,[2]PYGE!#REF!,([2]DAPA!#REF!/[2]DAPA!#REF!)*[2]DAPA!#REF!,[2]PYGE!#REF!,[2]PYGE!#REF!,([2]DAPA!#REF!/[2]DAPA!#REF!)*[2]DAPA!#REF!,[2]PYGE!T1)</definedName>
    <definedName name="DGAgosto11">CHOOSE([2]PYGE!$O1,[2]PYGE!#REF!,([2]DAPA!#REF!/[2]DAPA!#REF!)*[2]DAPA!#REF!,[2]PYGE!#REF!,[2]PYGE!#REF!,([2]DAPA!#REF!/[2]DAPA!#REF!)*[2]DAPA!#REF!,[2]PYGE!T1)</definedName>
    <definedName name="DGAgosto12">CHOOSE([2]PYGE!$O1,[2]PYGE!#REF!,([2]DAPA!#REF!/[2]DAPA!#REF!)*[2]DAPA!#REF!,[2]PYGE!#REF!,[2]PYGE!#REF!,([2]DAPA!#REF!/[2]DAPA!#REF!)*[2]DAPA!#REF!,[2]PYGE!T1)</definedName>
    <definedName name="DGEnero10">CHOOSE([2]PYGE!$O1,[2]PYGE!#REF!,([2]DAPA!#REF!/[2]DAPA!#REF!)*[2]DAPA!#REF!,[2]PYGE!#REF!,[2]PYGE!#REF!,([2]DAPA!#REF!/[2]DAPA!#REF!)*[2]DAPA!#REF!,[2]PYGE!T1)</definedName>
    <definedName name="DGEnero11">CHOOSE([2]PYGE!$O1,[2]PYGE!#REF!,([2]DAPA!#REF!/[2]DAPA!#REF!)*[2]DAPA!#REF!,[2]PYGE!#REF!,[2]PYGE!#REF!,([2]DAPA!#REF!/[2]DAPA!#REF!)*[2]DAPA!#REF!,[2]PYGE!T1)</definedName>
    <definedName name="DGEnero12">CHOOSE([2]PYGE!$O1,[2]PYGE!#REF!,([2]DAPA!#REF!/[2]DAPA!#REF!)*[2]DAPA!#REF!,[2]PYGE!#REF!,[2]PYGE!#REF!,([2]DAPA!#REF!/[2]DAPA!#REF!)*[2]DAPA!#REF!,[2]PYGE!T1)</definedName>
    <definedName name="DGEnero3">CHOOSE([2]PYGE!$O1,[2]DAPA!#REF!,([2]DAPA!#REF!/[2]DAPA!#REF!)*[2]DAPA!#REF!,[2]DAPA!#REF!,([2]DAPA!#REF!-[2]DAPA!#REF!)/11,([2]DAPA!#REF!/[2]DAPA!#REF!)*[2]DAPA!#REF!,[2]PYGE!T1)</definedName>
    <definedName name="DGEnero4">CHOOSE([2]PYGE!$O1,[2]PYGE!#REF!,([2]DAPA!#REF!/[2]DAPA!#REF!)*[2]DAPA!#REF!,[2]PYGE!#REF!,([2]DAPA!#REF!-[2]DAPA!#REF!)/11,([2]DAPA!#REF!/[2]DAPA!#REF!)*[2]DAPA!#REF!,[2]PYGE!T1)</definedName>
    <definedName name="DGEnero5">CHOOSE([2]PYGE!$O1,[2]PYGE!#REF!,([2]DAPA!#REF!/[2]DAPA!#REF!)*[2]DAPA!#REF!,[2]PYGE!#REF!,[2]PYGE!#REF!,([2]DAPA!#REF!/[2]DAPA!#REF!)*[2]DAPA!#REF!,[2]PYGE!T1)</definedName>
    <definedName name="DGEnero6">CHOOSE([2]PYGE!$O1,[2]PYGE!#REF!,([2]DAPA!#REF!/[2]DAPA!#REF!)*[2]DAPA!#REF!,[2]PYGE!#REF!,[2]PYGE!#REF!,([2]DAPA!#REF!/[2]DAPA!#REF!)*[2]DAPA!#REF!,[2]PYGE!T1)</definedName>
    <definedName name="DGEnero7">CHOOSE([2]PYGE!$O1,[2]PYGE!#REF!,([2]DAPA!#REF!/[2]DAPA!#REF!)*[2]DAPA!#REF!,[2]PYGE!#REF!,[2]PYGE!#REF!,([2]DAPA!#REF!/[2]DAPA!#REF!)*[2]DAPA!#REF!,[2]PYGE!T1)</definedName>
    <definedName name="DGEnero8">CHOOSE([2]PYGE!$O1,[2]PYGE!#REF!,([2]DAPA!#REF!/[2]DAPA!#REF!)*[2]DAPA!#REF!,[2]PYGE!#REF!,[2]PYGE!#REF!,([2]DAPA!#REF!/[2]DAPA!#REF!)*[2]DAPA!#REF!,[2]PYGE!T1)</definedName>
    <definedName name="DGEnero9">CHOOSE([2]PYGE!$O1,[2]DAPA!#REF!,([2]DAPA!#REF!/[2]DAPA!#REF!)*[2]DAPA!#REF!,[2]PYGE!#REF!,[2]PYGE!#REF!,([2]DAPA!#REF!/[2]DAPA!#REF!)*[2]DAPA!#REF!,[2]PYGE!T1)</definedName>
    <definedName name="DGFebrero10">CHOOSE([2]PYGE!$O1,[2]PYGE!#REF!,([2]DAPA!#REF!/[2]DAPA!#REF!)*[2]DAPA!#REF!,[2]PYGE!#REF!,[2]PYGE!#REF!,([2]DAPA!#REF!/[2]DAPA!#REF!)*[2]DAPA!#REF!,[2]PYGE!T1)</definedName>
    <definedName name="DGFebrero11">CHOOSE([2]PYGE!$O1,[2]PYGE!#REF!,([2]DAPA!#REF!/[2]DAPA!#REF!)*[2]DAPA!#REF!,[2]PYGE!#REF!,[2]PYGE!#REF!,([2]DAPA!#REF!/[2]DAPA!#REF!)*[2]DAPA!#REF!,[2]PYGE!T1)</definedName>
    <definedName name="DGFebrero12">CHOOSE([2]PYGE!$O1,[2]PYGE!#REF!,([2]DAPA!#REF!/[2]DAPA!#REF!)*[2]DAPA!#REF!,[2]PYGE!#REF!,[2]PYGE!#REF!,([2]DAPA!#REF!/[2]DAPA!#REF!)*[2]DAPA!#REF!,[2]PYGE!T1)</definedName>
    <definedName name="DGFebrero4">CHOOSE([2]PYGE!$O1,[2]PYGE!#REF!,([2]DAPA!#REF!/[2]DAPA!#REF!)*[2]DAPA!#REF!,[2]PYGE!#REF!,[2]PYGE!#REF!,([2]DAPA!#REF!/[2]DAPA!#REF!)*[2]DAPA!#REF!,[2]PYGE!T1)</definedName>
    <definedName name="DGFebrero5">CHOOSE([2]PYGE!$O1,[2]PYGE!#REF!,([2]DAPA!#REF!/[2]DAPA!#REF!)*[2]DAPA!#REF!,[2]PYGE!#REF!,[2]PYGE!#REF!,([2]DAPA!#REF!/[2]DAPA!#REF!)*[2]DAPA!#REF!,[2]PYGE!T1)</definedName>
    <definedName name="DGFebrero6">CHOOSE([2]PYGE!$O1,[2]PYGE!#REF!,([2]DAPA!#REF!/[2]DAPA!#REF!)*[2]DAPA!#REF!,[2]PYGE!#REF!,[2]PYGE!#REF!,([2]DAPA!#REF!/[2]DAPA!#REF!)*[2]DAPA!#REF!,[2]PYGE!T1)</definedName>
    <definedName name="DGFebrero7">CHOOSE([2]PYGE!$O1,[2]PYGE!#REF!,([2]DAPA!#REF!/[2]DAPA!#REF!)*[2]DAPA!#REF!,[2]PYGE!#REF!,[2]PYGE!#REF!,([2]DAPA!#REF!/[2]DAPA!#REF!)*[2]DAPA!#REF!,[2]PYGE!T1)</definedName>
    <definedName name="DGFebrero8">CHOOSE([2]PYGE!$O1,[2]PYGE!#REF!,([2]DAPA!#REF!/[2]DAPA!#REF!)*[2]DAPA!#REF!,[2]PYGE!#REF!,[2]PYGE!#REF!,([2]DAPA!#REF!/[2]DAPA!#REF!)*[2]DAPA!#REF!,[2]PYGE!T1)</definedName>
    <definedName name="DGFebrero9">CHOOSE([2]PYGE!$O1,[2]PYGE!#REF!,([2]DAPA!#REF!/[2]DAPA!#REF!)*[2]DAPA!#REF!,[2]PYGE!#REF!,[2]PYGE!#REF!,([2]DAPA!#REF!/[2]DAPA!#REF!)*[2]DAPA!#REF!,[2]PYGE!T1)</definedName>
    <definedName name="DGJulio10">CHOOSE([2]PYGE!$O1,[2]PYGE!#REF!,([2]DAPA!#REF!/[2]DAPA!#REF!)*[2]DAPA!#REF!,[2]PYGE!#REF!,[2]PYGE!#REF!,([2]DAPA!#REF!/[2]DAPA!#REF!)*[2]DAPA!#REF!,[2]PYGE!T1)</definedName>
    <definedName name="DGJulio11">CHOOSE([2]PYGE!$O1,[2]PYGE!#REF!,([2]DAPA!#REF!/[2]DAPA!#REF!)*[2]DAPA!#REF!,[2]PYGE!#REF!,[2]PYGE!#REF!,([2]DAPA!#REF!/[2]DAPA!#REF!)*[2]DAPA!#REF!,[2]PYGE!T1)</definedName>
    <definedName name="DGJulio12">CHOOSE([2]PYGE!$O1,[2]PYGE!#REF!,([2]DAPA!#REF!/[2]DAPA!#REF!)*[2]DAPA!#REF!,[2]PYGE!#REF!,[2]PYGE!#REF!,([2]DAPA!#REF!/[2]DAPA!#REF!)*[2]DAPA!#REF!,[2]PYGE!T1)</definedName>
    <definedName name="DGJulio9">CHOOSE([2]PYGE!$O1,[2]PYGE!#REF!,([2]DAPA!#REF!/[2]DAPA!#REF!)*[2]DAPA!#REF!,[2]PYGE!#REF!,[2]PYGE!#REF!,([2]DAPA!#REF!/[2]DAPA!#REF!)*[2]DAPA!#REF!,[2]PYGE!T1)</definedName>
    <definedName name="DGJunio10">CHOOSE([2]PYGE!$O1,[2]PYGE!#REF!,([2]DAPA!#REF!/[2]DAPA!#REF!)*[2]DAPA!#REF!,[2]PYGE!#REF!,[2]PYGE!#REF!,([2]DAPA!#REF!/[2]DAPA!#REF!)*[2]DAPA!#REF!,[2]PYGE!T1)</definedName>
    <definedName name="DGJunio11">CHOOSE([2]PYGE!$O1,[2]PYGE!#REF!,([2]DAPA!#REF!/[2]DAPA!#REF!)*[2]DAPA!#REF!,[2]PYGE!#REF!,[2]PYGE!#REF!,([2]DAPA!#REF!/[2]DAPA!#REF!)*[2]DAPA!#REF!,[2]PYGE!T1)</definedName>
    <definedName name="DGJunio12">CHOOSE([2]PYGE!$O1,[2]PYGE!#REF!,([2]DAPA!#REF!/[2]DAPA!#REF!)*[2]DAPA!#REF!,[2]PYGE!#REF!,[2]PYGE!#REF!,([2]DAPA!#REF!/[2]DAPA!#REF!)*[2]DAPA!#REF!,[2]PYGE!T1)</definedName>
    <definedName name="DGJunio8">CHOOSE([2]PYGE!$O1,[2]PYGE!#REF!,([2]DAPA!#REF!/[2]DAPA!#REF!)*[2]DAPA!#REF!,[2]PYGE!#REF!,[2]PYGE!#REF!,([2]DAPA!#REF!/[2]DAPA!#REF!)*[2]DAPA!#REF!,[2]PYGE!T1)</definedName>
    <definedName name="DGJunio9">CHOOSE([2]PYGE!$O1,[2]PYGE!#REF!,([2]DAPA!#REF!/[2]DAPA!#REF!)*[2]DAPA!#REF!,[2]PYGE!#REF!,[2]PYGE!#REF!,([2]DAPA!#REF!/[2]DAPA!#REF!)*[2]DAPA!#REF!,[2]PYGE!T1)</definedName>
    <definedName name="DGMarzo10">CHOOSE([2]PYGE!$O1,[2]PYGE!#REF!,([2]DAPA!#REF!/[2]DAPA!#REF!)*[2]DAPA!#REF!,[2]PYGE!#REF!,[2]PYGE!#REF!,([2]DAPA!#REF!/[2]DAPA!#REF!)*[2]DAPA!#REF!,[2]PYGE!T1)</definedName>
    <definedName name="DGMarzo11">CHOOSE([2]PYGE!$O1,[2]PYGE!#REF!,([2]DAPA!#REF!/[2]DAPA!#REF!)*[2]DAPA!#REF!,[2]PYGE!#REF!,[2]PYGE!#REF!,([2]DAPA!#REF!/[2]DAPA!#REF!)*[2]DAPA!#REF!,[2]PYGE!T1)</definedName>
    <definedName name="DGMarzo12">CHOOSE([2]PYGE!$O1,[2]PYGE!#REF!,([2]DAPA!#REF!/[2]DAPA!#REF!)*[2]DAPA!#REF!,[2]PYGE!#REF!,[2]PYGE!#REF!,([2]DAPA!#REF!/[2]DAPA!#REF!)*[2]DAPA!#REF!,[2]PYGE!T1)</definedName>
    <definedName name="DGMarzo5">CHOOSE([2]PYGE!$O1,[2]PYGE!#REF!,([2]DAPA!#REF!/[2]DAPA!#REF!)*[2]DAPA!#REF!,[2]PYGE!#REF!,[2]PYGE!#REF!,([2]DAPA!#REF!/[2]DAPA!#REF!)*[2]DAPA!#REF!,[2]PYGE!T1)</definedName>
    <definedName name="DGMarzo6">CHOOSE([2]PYGE!$O1,[2]PYGE!#REF!,([2]DAPA!#REF!/[2]DAPA!#REF!)*[2]DAPA!#REF!,[2]PYGE!#REF!,[2]PYGE!#REF!,([2]DAPA!#REF!/[2]DAPA!#REF!)*[2]DAPA!#REF!,[2]PYGE!T1)</definedName>
    <definedName name="DGMarzo7">CHOOSE([2]PYGE!$O1,[2]PYGE!#REF!,([2]DAPA!#REF!/[2]DAPA!#REF!)*[2]DAPA!#REF!,[2]PYGE!#REF!,[2]PYGE!#REF!,([2]DAPA!#REF!/[2]DAPA!#REF!)*[2]DAPA!#REF!,[2]PYGE!T1)</definedName>
    <definedName name="DGMarzo8">CHOOSE([2]PYGE!$O1,[2]PYGE!#REF!,([2]DAPA!#REF!/[2]DAPA!#REF!)*[2]DAPA!#REF!,[2]PYGE!#REF!,[2]PYGE!#REF!,([2]DAPA!#REF!/[2]DAPA!#REF!)*[2]DAPA!#REF!,[2]PYGE!T1)</definedName>
    <definedName name="DGMarzo9">CHOOSE([2]PYGE!$O1,[2]PYGE!#REF!,([2]DAPA!#REF!/[2]DAPA!#REF!)*[2]DAPA!#REF!,[2]PYGE!#REF!,[2]PYGE!#REF!,([2]DAPA!#REF!/[2]DAPA!#REF!)*[2]DAPA!#REF!,[2]PYGE!T1)</definedName>
    <definedName name="DGMayo10">CHOOSE([2]PYGE!$O1,[2]PYGE!#REF!,([2]DAPA!#REF!/[2]DAPA!#REF!)*[2]DAPA!#REF!,[2]PYGE!#REF!,[2]PYGE!#REF!,([2]DAPA!#REF!/[2]DAPA!#REF!)*[2]DAPA!#REF!,[2]PYGE!T1)</definedName>
    <definedName name="DGMayo11">CHOOSE([2]PYGE!$O1,[2]PYGE!#REF!,([2]DAPA!#REF!/[2]DAPA!#REF!)*[2]DAPA!#REF!,[2]PYGE!#REF!,[2]PYGE!#REF!,([2]DAPA!#REF!/[2]DAPA!#REF!)*[2]DAPA!#REF!,[2]PYGE!T1)</definedName>
    <definedName name="DGMayo12">CHOOSE([2]PYGE!$O1,[2]PYGE!#REF!,([2]DAPA!#REF!/[2]DAPA!#REF!)*[2]DAPA!#REF!,[2]PYGE!#REF!,[2]PYGE!#REF!,([2]DAPA!#REF!/[2]DAPA!#REF!)*[2]DAPA!#REF!,[2]PYGE!T1)</definedName>
    <definedName name="DGMayo7">CHOOSE([2]PYGE!$O1,[2]PYGE!#REF!,([2]DAPA!#REF!/[2]DAPA!#REF!)*[2]DAPA!#REF!,[2]PYGE!#REF!,[2]PYGE!#REF!,([2]DAPA!#REF!/[2]DAPA!#REF!)*[2]DAPA!#REF!,[2]PYGE!T1)</definedName>
    <definedName name="DGMayo8">CHOOSE([2]PYGE!$O1,[2]PYGE!#REF!,([2]DAPA!#REF!/[2]DAPA!#REF!)*[2]DAPA!#REF!,[2]PYGE!#REF!,[2]PYGE!#REF!,([2]DAPA!#REF!/[2]DAPA!#REF!)*[2]DAPA!#REF!,[2]PYGE!T1)</definedName>
    <definedName name="DGMayo9">CHOOSE([2]PYGE!$O1,[2]PYGE!#REF!,([2]DAPA!#REF!/[2]DAPA!#REF!)*[2]DAPA!#REF!,[2]PYGE!#REF!,[2]PYGE!#REF!,([2]DAPA!#REF!/[2]DAPA!#REF!)*[2]DAPA!#REF!,[2]PYGE!T1)</definedName>
    <definedName name="DGOctubre12">CHOOSE([2]PYGE!$O1,[2]PYGE!#REF!,([2]DAPA!#REF!/[2]DAPA!#REF!)*[2]DAPA!#REF!,[2]PYGE!#REF!,[2]PYGE!#REF!,([2]DAPA!#REF!/[2]DAPA!#REF!)*[2]DAPA!#REF!,[2]PYGE!T1)</definedName>
    <definedName name="DGSeptiembre11">CHOOSE([2]PYGE!$O1,[2]PYGE!#REF!,([2]DAPA!#REF!/[2]DAPA!#REF!)*[2]DAPA!#REF!,[2]PYGE!#REF!,[2]PYGE!#REF!,([2]DAPA!#REF!/[2]DAPA!#REF!)*[2]DAPA!#REF!,[2]PYGE!T1)</definedName>
    <definedName name="DGSeptiembre12">CHOOSE([2]PYGE!$O1,[2]PYGE!#REF!,([2]DAPA!#REF!/[2]DAPA!#REF!)*[2]DAPA!#REF!,[2]PYGE!#REF!,[2]PYGE!#REF!,([2]DAPA!#REF!/[2]DAPA!#REF!)*[2]DAPA!#REF!,[2]PYGE!T1)</definedName>
    <definedName name="Dic">12</definedName>
    <definedName name="DiscountRate">#REF!</definedName>
    <definedName name="E">#REF!</definedName>
    <definedName name="ED">'[9]INDICADORES ECONOMICOS'!$E$13:$E$16</definedName>
    <definedName name="Empresa">[2]Entrada!$B$10</definedName>
    <definedName name="Endeudamiento">'PARÁM-SENSIBILIDAD'!$B$46</definedName>
    <definedName name="Ene">1</definedName>
    <definedName name="Enero10">CHOOSE([2]PYGE!E1,[2]PYGE!#REF!,([2]PYGA!#REF!/[2]PYGPM!#REF!)*[2]PYGPM!#REF!,[2]PYGE!#REF!,[2]PYGE!#REF!,([2]PYGA!#REF!/[2]PYGPM!#REF!)*[2]PYGPM!#REF!,[2]PYGE!T1)</definedName>
    <definedName name="Enero10a">CHOOSE([2]PYGE!E1,[2]PYGE!#REF!,([2]PYGA!#REF!/[2]PYGPM!#REF!)*[2]PYGPM!#REF!,[2]PYGE!#REF!,[2]PYGE!#REF!,([2]PYGA!#REF!/[2]PYGPM!#REF!)*[2]PYGPM!#REF!,[2]PYGE!T1)</definedName>
    <definedName name="Enero11">CHOOSE([2]PYGE!D1,[2]PYGE!#REF!,([2]PYGA!#REF!/[2]PYGPM!#REF!)*[2]PYGPM!#REF!,[2]PYGE!#REF!,[2]PYGE!#REF!,([2]PYGA!#REF!/[2]PYGPM!#REF!)*[2]PYGPM!#REF!,[2]PYGE!T1)</definedName>
    <definedName name="Enero11a">CHOOSE([2]PYGE!D1,[2]PYGE!#REF!,([2]PYGA!#REF!/[2]PYGPM!#REF!)*[2]PYGPM!#REF!,[2]PYGE!#REF!,[2]PYGE!#REF!,([2]PYGA!#REF!/[2]PYGPM!#REF!)*[2]PYGPM!#REF!,[2]PYGE!T1)</definedName>
    <definedName name="Enero12">CHOOSE([2]PYGE!C1,[2]PYGE!#REF!,([2]PYGA!#REF!/[2]PYGPM!#REF!)*[2]PYGPM!#REF!,[2]PYGE!#REF!,[2]PYGE!#REF!,([2]PYGA!#REF!/[2]PYGPM!#REF!)*[2]PYGPM!#REF!,[2]PYGE!T1)</definedName>
    <definedName name="Enero12a">CHOOSE([2]PYGE!C1,[2]PYGE!#REF!,([2]PYGA!#REF!/[2]PYGPM!#REF!)*[2]PYGPM!#REF!,[2]PYGE!#REF!,[2]PYGE!#REF!,([2]PYGA!#REF!/[2]PYGPM!#REF!)*[2]PYGPM!#REF!,[2]PYGE!T1)</definedName>
    <definedName name="Enero3">CHOOSE([2]PYGE!$O1,[2]PYGE!#REF!,([2]PYGA!#REF!/[2]PYGPM!#REF!)*[2]PYGPM!#REF!,[2]PYGE!#REF!,[2]PYGE!#REF!,([2]PYGA!#REF!/[2]PYGPM!#REF!)*[2]PYGPM!#REF!,[2]PYGE!T1)</definedName>
    <definedName name="Enero3a">CHOOSE([2]PYGE!$O1,[2]PYGE!#REF!,([2]PYGA!#REF!/[2]PYGPM!#REF!)*[2]PYGPM!#REF!,[2]PYGE!#REF!,[2]PYGE!#REF!,([2]PYGA!#REF!/[2]PYGPM!#REF!)*[2]PYGPM!#REF!,[2]PYGE!T1)</definedName>
    <definedName name="Enero4">CHOOSE([2]PYGE!K1,[2]PYGE!#REF!,([2]PYGA!#REF!/[2]PYGPM!#REF!)*[2]PYGPM!#REF!,[2]PYGE!#REF!,[2]PYGE!#REF!,([2]PYGA!#REF!/[2]PYGPM!#REF!)*[2]PYGPM!#REF!,[2]PYGE!T1)</definedName>
    <definedName name="Enero4a">CHOOSE([2]PYGE!K1,[2]PYGE!#REF!,([2]PYGA!#REF!/[2]PYGPM!#REF!)*[2]PYGPM!#REF!,[2]PYGE!#REF!,[2]PYGE!#REF!,([2]PYGA!#REF!/[2]PYGPM!#REF!)*[2]PYGPM!#REF!,[2]PYGE!T1)</definedName>
    <definedName name="Enero5">CHOOSE([2]PYGE!J1,[2]PYGE!#REF!,([2]PYGA!#REF!/[2]PYGPM!#REF!)*[2]PYGPM!#REF!,[2]PYGE!#REF!,[2]PYGE!#REF!,([2]PYGA!#REF!/[2]PYGPM!#REF!)*[2]PYGPM!#REF!,[2]PYGE!T1)</definedName>
    <definedName name="Enero5a">CHOOSE([2]PYGE!J1,[2]PYGE!#REF!,([2]PYGA!#REF!/[2]PYGPM!#REF!)*[2]PYGPM!#REF!,[2]PYGE!#REF!,[2]PYGE!#REF!,([2]PYGA!#REF!/[2]PYGPM!#REF!)*[2]PYGPM!#REF!,[2]PYGE!T1)</definedName>
    <definedName name="Enero6">CHOOSE([2]PYGE!I1,[2]PYGE!#REF!,([2]PYGA!#REF!/[2]PYGPM!#REF!)*[2]PYGPM!#REF!,[2]PYGE!#REF!,[2]PYGE!#REF!,([2]PYGA!#REF!/[2]PYGPM!#REF!)*[2]PYGPM!#REF!,[2]PYGE!T1)</definedName>
    <definedName name="Enero6a">CHOOSE([2]PYGE!I1,[2]PYGE!#REF!,([2]PYGA!#REF!/[2]PYGPM!#REF!)*[2]PYGPM!#REF!,[2]PYGE!#REF!,[2]PYGE!#REF!,([2]PYGA!#REF!/[2]PYGPM!#REF!)*[2]PYGPM!#REF!,[2]PYGE!T1)</definedName>
    <definedName name="Enero7">CHOOSE([2]PYGE!H1,[2]PYGE!#REF!,([2]PYGA!#REF!/[2]PYGPM!#REF!)*[2]PYGPM!#REF!,[2]PYGE!#REF!,[2]PYGE!#REF!,([2]PYGA!#REF!/[2]PYGPM!#REF!)*[2]PYGPM!#REF!,[2]PYGE!T1)</definedName>
    <definedName name="Enero7a">CHOOSE([2]PYGE!H1,[2]PYGE!#REF!,([2]PYGA!#REF!/[2]PYGPM!#REF!)*[2]PYGPM!#REF!,[2]PYGE!#REF!,[2]PYGE!#REF!,([2]PYGA!#REF!/[2]PYGPM!#REF!)*[2]PYGPM!#REF!,[2]PYGE!T1)</definedName>
    <definedName name="Enero8">CHOOSE([2]PYGE!G1,[2]PYGE!#REF!,([2]PYGA!#REF!/[2]PYGPM!#REF!)*[2]PYGPM!#REF!,[2]PYGE!#REF!,[2]PYGE!#REF!,([2]PYGA!#REF!/[2]PYGPM!#REF!)*[2]PYGPM!#REF!,[2]PYGE!T1)</definedName>
    <definedName name="Enero8a">CHOOSE([2]PYGE!G1,[2]PYGE!#REF!,([2]PYGA!#REF!/[2]PYGPM!#REF!)*[2]PYGPM!#REF!,[2]PYGE!#REF!,[2]PYGE!#REF!,([2]PYGA!#REF!/[2]PYGPM!#REF!)*[2]PYGPM!#REF!,[2]PYGE!T1)</definedName>
    <definedName name="Enero9">CHOOSE([2]PYGE!F1,[2]PYGE!#REF!,([2]PYGA!#REF!/[2]PYGPM!#REF!)*[2]PYGPM!#REF!,[2]PYGE!#REF!,[2]PYGE!#REF!,([2]PYGA!#REF!/[2]PYGPM!#REF!)*[2]PYGPM!#REF!,[2]PYGE!T1)</definedName>
    <definedName name="Enero9a">CHOOSE([2]PYGE!F1,[2]PYGE!#REF!,([2]PYGA!#REF!/[2]PYGPM!#REF!)*[2]PYGPM!#REF!,[2]PYGE!#REF!,[2]PYGE!#REF!,([2]PYGA!#REF!/[2]PYGPM!#REF!)*[2]PYGPM!#REF!,[2]PYGE!T1)</definedName>
    <definedName name="EQUIPO">#REF!</definedName>
    <definedName name="Erosion">#REF!</definedName>
    <definedName name="estado">[7]Listas!$H$2:$H$5</definedName>
    <definedName name="etapas">#REF!</definedName>
    <definedName name="Feb">2</definedName>
    <definedName name="Febrero10">CHOOSE([2]PYGE!E1,[2]PYGE!#REF!,([2]PYGA!#REF!/[2]PYGPM!#REF!)*[2]PYGPM!#REF!,[2]PYGE!#REF!,[2]PYGE!#REF!,([2]PYGA!#REF!/[2]PYGPM!#REF!)*[2]PYGPM!#REF!,[2]PYGE!T1)</definedName>
    <definedName name="Febrero10a">CHOOSE([2]PYGE!E1,[2]PYGE!#REF!,([2]PYGA!#REF!/[2]PYGPM!#REF!)*[2]PYGPM!#REF!,[2]PYGE!#REF!,[2]PYGE!#REF!,([2]PYGA!#REF!/[2]PYGPM!#REF!)*[2]PYGPM!#REF!,[2]PYGE!T1)</definedName>
    <definedName name="Febrero11">CHOOSE([2]PYGE!D1,[2]PYGE!#REF!,([2]PYGA!#REF!/[2]PYGPM!#REF!)*[2]PYGPM!#REF!,[2]PYGE!#REF!,[2]PYGE!#REF!,([2]PYGA!#REF!/[2]PYGPM!#REF!)*[2]PYGPM!#REF!,[2]PYGE!T1)</definedName>
    <definedName name="Febrero11a">CHOOSE([2]PYGE!D1,[2]PYGE!#REF!,([2]PYGA!#REF!/[2]PYGPM!#REF!)*[2]PYGPM!#REF!,[2]PYGE!#REF!,[2]PYGE!#REF!,([2]PYGA!#REF!/[2]PYGPM!#REF!)*[2]PYGPM!#REF!,[2]PYGE!T1)</definedName>
    <definedName name="Febrero12">CHOOSE([2]PYGE!C1,[2]PYGE!#REF!,([2]PYGA!#REF!/[2]PYGPM!#REF!)*[2]PYGPM!#REF!,[2]PYGE!#REF!,[2]PYGE!#REF!,([2]PYGA!#REF!/[2]PYGPM!#REF!)*[2]PYGPM!#REF!,[2]PYGE!T1)</definedName>
    <definedName name="Febrero12a">CHOOSE([2]PYGE!C1,[2]PYGE!#REF!,([2]PYGA!#REF!/[2]PYGPM!#REF!)*[2]PYGPM!#REF!,[2]PYGE!#REF!,[2]PYGE!#REF!,([2]PYGA!#REF!/[2]PYGPM!#REF!)*[2]PYGPM!#REF!,[2]PYGE!T1)</definedName>
    <definedName name="Febrero4">CHOOSE([2]PYGE!K1,[2]PYGE!#REF!,([2]PYGA!#REF!/[2]PYGPM!#REF!)*[2]PYGPM!#REF!,[2]PYGE!#REF!,[2]PYGE!#REF!,([2]PYGA!#REF!/[2]PYGPM!#REF!)*[2]PYGPM!#REF!,[2]PYGE!T1)</definedName>
    <definedName name="Febrero4a">CHOOSE([2]PYGE!K1,[2]PYGE!#REF!,([2]PYGA!#REF!/[2]PYGPM!#REF!)*[2]PYGPM!#REF!,[2]PYGE!#REF!,[2]PYGE!#REF!,([2]PYGA!#REF!/[2]PYGPM!#REF!)*[2]PYGPM!#REF!,[2]PYGE!T1)</definedName>
    <definedName name="Febrero5">CHOOSE([2]PYGE!J1,[2]PYGE!#REF!,([2]PYGA!#REF!/[2]PYGPM!#REF!)*[2]PYGPM!#REF!,[2]PYGE!#REF!,[2]PYGE!#REF!,([2]PYGA!#REF!/[2]PYGPM!#REF!)*[2]PYGPM!#REF!,[2]PYGE!T1)</definedName>
    <definedName name="Febrero5a">CHOOSE([2]PYGE!J1,[2]PYGE!#REF!,([2]PYGA!#REF!/[2]PYGPM!#REF!)*[2]PYGPM!#REF!,[2]PYGE!#REF!,[2]PYGE!#REF!,([2]PYGA!#REF!/[2]PYGPM!#REF!)*[2]PYGPM!#REF!,[2]PYGE!T1)</definedName>
    <definedName name="Febrero6">CHOOSE([2]PYGE!I1,[2]PYGE!#REF!,([2]PYGA!#REF!/[2]PYGPM!#REF!)*[2]PYGPM!#REF!,[2]PYGE!#REF!,[2]PYGE!#REF!,([2]PYGA!#REF!/[2]PYGPM!#REF!)*[2]PYGPM!#REF!,[2]PYGE!T1)</definedName>
    <definedName name="Febrero6a">CHOOSE([2]PYGE!I1,[2]PYGE!#REF!,([2]PYGA!#REF!/[2]PYGPM!#REF!)*[2]PYGPM!#REF!,[2]PYGE!#REF!,[2]PYGE!#REF!,([2]PYGA!#REF!/[2]PYGPM!#REF!)*[2]PYGPM!#REF!,[2]PYGE!T1)</definedName>
    <definedName name="Febrero7">CHOOSE([2]PYGE!H1,[2]PYGE!#REF!,([2]PYGA!#REF!/[2]PYGPM!#REF!)*[2]PYGPM!#REF!,[2]PYGE!#REF!,[2]PYGE!#REF!,([2]PYGA!#REF!/[2]PYGPM!#REF!)*[2]PYGPM!#REF!,[2]PYGE!T1)</definedName>
    <definedName name="Febrero7a">CHOOSE([2]PYGE!H1,[2]PYGE!#REF!,([2]PYGA!#REF!/[2]PYGPM!#REF!)*[2]PYGPM!#REF!,[2]PYGE!#REF!,[2]PYGE!#REF!,([2]PYGA!#REF!/[2]PYGPM!#REF!)*[2]PYGPM!#REF!,[2]PYGE!T1)</definedName>
    <definedName name="Febrero8">CHOOSE([2]PYGE!G1,[2]PYGE!#REF!,([2]PYGA!#REF!/[2]PYGPM!#REF!)*[2]PYGPM!#REF!,[2]PYGE!#REF!,[2]PYGE!#REF!,([2]PYGA!#REF!/[2]PYGPM!#REF!)*[2]PYGPM!#REF!,[2]PYGE!T1)</definedName>
    <definedName name="Febrero8a">CHOOSE([2]PYGE!G1,[2]PYGE!#REF!,([2]PYGA!#REF!/[2]PYGPM!#REF!)*[2]PYGPM!#REF!,[2]PYGE!#REF!,[2]PYGE!#REF!,([2]PYGA!#REF!/[2]PYGPM!#REF!)*[2]PYGPM!#REF!,[2]PYGE!T1)</definedName>
    <definedName name="Febrero9">CHOOSE([2]PYGE!F1,[2]PYGE!#REF!,([2]PYGA!#REF!/[2]PYGPM!#REF!)*[2]PYGPM!#REF!,[2]PYGE!#REF!,[2]PYGE!#REF!,([2]PYGA!#REF!/[2]PYGPM!#REF!)*[2]PYGPM!#REF!,[2]PYGE!T1)</definedName>
    <definedName name="Febrero9a">CHOOSE([2]PYGE!F1,[2]PYGE!#REF!,([2]PYGA!#REF!/[2]PYGPM!#REF!)*[2]PYGPM!#REF!,[2]PYGE!#REF!,[2]PYGE!#REF!,([2]PYGA!#REF!/[2]PYGPM!#REF!)*[2]PYGPM!#REF!,[2]PYGE!T1)</definedName>
    <definedName name="FINDETER" hidden="1">#REF!</definedName>
    <definedName name="frecuencia">[7]Listas!$E$2:$E$5</definedName>
    <definedName name="GAbril10">CHOOSE([2]PYGE!$O1,[2]PYGE!#REF!,([2]CYG!#REF!/[2]CYG!L9)*[2]CYG!A9,[2]PYGE!#REF!,[2]PYGE!#REF!,([2]CYG!#REF!/[2]CYG!#REF!)*[2]CYG!A9,[2]PYGE!T1)</definedName>
    <definedName name="GAbril11">CHOOSE([2]PYGE!$O1,[2]PYGE!#REF!,([2]CYG!#REF!/[2]CYG!K9)*[2]CYG!A9,[2]PYGE!#REF!,[2]PYGE!#REF!,([2]CYG!#REF!/[2]CYG!#REF!)*[2]CYG!A9,[2]PYGE!T1)</definedName>
    <definedName name="GAbril12">CHOOSE([2]PYGE!$O1,[2]PYGE!#REF!,([2]CYG!#REF!/[2]CYG!J9)*[2]CYG!A9,[2]PYGE!#REF!,[2]PYGE!#REF!,([2]CYG!#REF!/[2]CYG!#REF!)*[2]CYG!A9,[2]PYGE!T1)</definedName>
    <definedName name="GAbril6">CHOOSE([2]PYGE!$O1,[2]PYGE!#REF!,([2]CYG!#REF!/[2]CYG!P9)*[2]CYG!A9,[2]PYGE!#REF!,[2]PYGE!#REF!,([2]CYG!#REF!/[2]CYG!#REF!)*[2]CYG!A9,[2]PYGE!T1)</definedName>
    <definedName name="GAbril7">CHOOSE([2]PYGE!$O1,[2]PYGE!#REF!,([2]CYG!#REF!/[2]CYG!O9)*[2]CYG!A9,[2]PYGE!#REF!,[2]PYGE!#REF!,([2]CYG!#REF!/[2]CYG!#REF!)*[2]CYG!A9,[2]PYGE!T1)</definedName>
    <definedName name="GAbril8">CHOOSE([2]PYGE!$O1,[2]PYGE!#REF!,([2]CYG!#REF!/[2]CYG!N9)*[2]CYG!A9,[2]PYGE!#REF!,[2]PYGE!#REF!,([2]CYG!#REF!/[2]CYG!#REF!)*[2]CYG!A9,[2]PYGE!T1)</definedName>
    <definedName name="GAbril9">CHOOSE([2]PYGE!$O1,[2]PYGE!#REF!,([2]CYG!#REF!/[2]CYG!M9)*[2]CYG!A9,[2]PYGE!#REF!,[2]PYGE!#REF!,([2]CYG!#REF!/[2]CYG!#REF!)*[2]CYG!A9,[2]PYGE!T1)</definedName>
    <definedName name="GAgosto10">CHOOSE([2]PYGE!$O1,[2]PYGE!#REF!,([2]CYG!#REF!/[2]CYG!P9)*[2]CYG!A9,[2]PYGE!#REF!,[2]PYGE!#REF!,([2]CYG!#REF!/[2]CYG!#REF!)*[2]CYG!A9,[2]PYGE!T1)</definedName>
    <definedName name="GAgosto11">CHOOSE([2]PYGE!$O1,[2]PYGE!#REF!,([2]CYG!#REF!/[2]CYG!O9)*[2]CYG!A9,[2]PYGE!#REF!,[2]PYGE!#REF!,([2]CYG!#REF!/[2]CYG!#REF!)*[2]CYG!A9,[2]PYGE!T1)</definedName>
    <definedName name="GAgosto12">CHOOSE([2]PYGE!$O1,[2]PYGE!#REF!,([2]CYG!#REF!/[2]CYG!N9)*[2]CYG!A9,[2]PYGE!#REF!,[2]PYGE!#REF!,([2]CYG!#REF!/[2]CYG!#REF!)*[2]CYG!A9,[2]PYGE!T1)</definedName>
    <definedName name="gdfgdfg">CHOOSE([2]PYGE!$O1,[2]PYGE!#REF!,([2]CYG!#REF!/[2]CYG!M15)*[2]CYG!A15,[2]PYGE!#REF!,[2]PYGE!#REF!,([2]CYG!#REF!/[2]CYG!#REF!)*[2]CYG!A15,[2]PYGE!T1)</definedName>
    <definedName name="GEnero10">CHOOSE([2]PYGE!$O1,[2]PYGE!#REF!,([2]CYG!#REF!/[2]CYG!I9)*[2]CYG!A9,[2]PYGE!#REF!,[2]PYGE!#REF!,([2]CYG!#REF!/[2]CYG!#REF!)*[2]CYG!A9,[2]PYGE!T1)</definedName>
    <definedName name="GEnero11">CHOOSE([2]PYGE!$O1,[2]PYGE!#REF!,([2]CYG!#REF!/[2]CYG!H9)*[2]CYG!A9,[2]PYGE!#REF!,[2]PYGE!#REF!,([2]CYG!#REF!/[2]CYG!#REF!)*[2]CYG!A9,[2]PYGE!T1)</definedName>
    <definedName name="GEnero12">CHOOSE([2]PYGE!$O1,[2]PYGE!#REF!,([2]CYG!#REF!/[2]CYG!G9)*[2]CYG!A9,[2]PYGE!#REF!,[2]PYGE!#REF!,([2]CYG!#REF!/[2]CYG!#REF!)*[2]CYG!A9,[2]PYGE!T1)</definedName>
    <definedName name="GEnero3">CHOOSE([2]PYGE!$O1,[2]CYG!#REF!,([2]CYG!#REF!/[2]CYG!P9)*[2]CYG!A9,[2]CYG!#REF!,([2]CYG!AA9-[2]CYG!#REF!)/11,([2]CYG!#REF!/[2]CYG!#REF!)*[2]CYG!A9,[2]PYGE!T1)</definedName>
    <definedName name="GEnero4">CHOOSE([2]PYGE!$O1,[2]PYGE!#REF!,([2]CYG!#REF!/[2]CYG!O9)*[2]CYG!A9,[2]PYGE!#REF!,([2]CYG!Z9-[2]CYG!#REF!)/11,([2]CYG!#REF!/[2]CYG!#REF!)*[2]CYG!A9,[2]PYGE!T1)</definedName>
    <definedName name="GEnero5">CHOOSE([2]PYGE!$O1,[2]PYGE!#REF!,([2]CYG!#REF!/[2]CYG!N9)*[2]CYG!A9,[2]PYGE!#REF!,[2]PYGE!#REF!,([2]CYG!#REF!/[2]CYG!#REF!)*[2]CYG!A9,[2]PYGE!T1)</definedName>
    <definedName name="GEnero6">CHOOSE([2]PYGE!$O1,[2]PYGE!#REF!,([2]CYG!#REF!/[2]CYG!M9)*[2]CYG!A9,[2]PYGE!#REF!,[2]PYGE!#REF!,([2]CYG!#REF!/[2]CYG!#REF!)*[2]CYG!A9,[2]PYGE!T1)</definedName>
    <definedName name="GEnero7">CHOOSE([2]PYGE!$O1,[2]PYGE!#REF!,([2]CYG!#REF!/[2]CYG!L9)*[2]CYG!A9,[2]PYGE!#REF!,[2]PYGE!#REF!,([2]CYG!#REF!/[2]CYG!#REF!)*[2]CYG!A9,[2]PYGE!T1)</definedName>
    <definedName name="GEnero8">CHOOSE([2]PYGE!$O1,[2]PYGE!#REF!,([2]CYG!#REF!/[2]CYG!K9)*[2]CYG!A9,[2]PYGE!#REF!,[2]PYGE!#REF!,([2]CYG!#REF!/[2]CYG!#REF!)*[2]CYG!A9,[2]PYGE!T1)</definedName>
    <definedName name="GEnero9">CHOOSE([2]PYGE!$O1,[2]PYGE!#REF!,([2]CYG!#REF!/[2]CYG!J9)*[2]CYG!A9,[2]PYGE!#REF!,[2]PYGE!#REF!,([2]CYG!#REF!/[2]CYG!#REF!)*[2]CYG!A9,[2]PYGE!T1)</definedName>
    <definedName name="GFebrero10">CHOOSE([2]PYGE!$O1,[2]PYGE!#REF!,([2]CYG!#REF!/[2]CYG!J9)*[2]CYG!A9,[2]PYGE!#REF!,[2]PYGE!#REF!,([2]CYG!#REF!/[2]CYG!#REF!)*[2]CYG!A9,[2]PYGE!T1)</definedName>
    <definedName name="GFebrero11">CHOOSE([2]PYGE!$O1,[2]PYGE!#REF!,([2]CYG!#REF!/[2]CYG!I9)*[2]CYG!A9,[2]PYGE!#REF!,[2]PYGE!#REF!,([2]CYG!#REF!/[2]CYG!#REF!)*[2]CYG!A9,[2]PYGE!T1)</definedName>
    <definedName name="GFebrero12">CHOOSE([2]PYGE!$O1,[2]PYGE!#REF!,([2]CYG!#REF!/[2]CYG!H9)*[2]CYG!A9,[2]PYGE!#REF!,[2]PYGE!#REF!,([2]CYG!#REF!/[2]CYG!#REF!)*[2]CYG!A9,[2]PYGE!T1)</definedName>
    <definedName name="GFebrero4">CHOOSE([2]PYGE!$O1,[2]PYGE!#REF!,([2]CYG!#REF!/[2]CYG!P9)*[2]CYG!A9,[2]PYGE!#REF!,[2]PYGE!#REF!,([2]CYG!#REF!/[2]CYG!#REF!)*[2]CYG!A9,[2]PYGE!T1)</definedName>
    <definedName name="GFebrero5">CHOOSE([2]PYGE!$O1,[2]PYGE!#REF!,([2]CYG!#REF!/[2]CYG!O9)*[2]CYG!A9,[2]PYGE!#REF!,[2]PYGE!#REF!,([2]CYG!#REF!/[2]CYG!#REF!)*[2]CYG!A9,[2]PYGE!T1)</definedName>
    <definedName name="GFebrero6">CHOOSE([2]PYGE!$O1,[2]PYGE!#REF!,([2]CYG!#REF!/[2]CYG!N9)*[2]CYG!A9,[2]PYGE!#REF!,[2]PYGE!#REF!,([2]CYG!#REF!/[2]CYG!#REF!)*[2]CYG!A9,[2]PYGE!T1)</definedName>
    <definedName name="GFebrero7">CHOOSE([2]PYGE!$O1,[2]PYGE!#REF!,([2]CYG!#REF!/[2]CYG!M9)*[2]CYG!A9,[2]PYGE!#REF!,[2]PYGE!#REF!,([2]CYG!#REF!/[2]CYG!#REF!)*[2]CYG!A9,[2]PYGE!T1)</definedName>
    <definedName name="GFebrero8">CHOOSE([2]PYGE!$O1,[2]PYGE!#REF!,([2]CYG!#REF!/[2]CYG!L9)*[2]CYG!A9,[2]PYGE!#REF!,[2]PYGE!#REF!,([2]CYG!#REF!/[2]CYG!#REF!)*[2]CYG!#REF!,[2]PYGE!T1)</definedName>
    <definedName name="GFebrero9">CHOOSE([2]PYGE!$O1,[2]PYGE!#REF!,([2]CYG!#REF!/[2]CYG!K9)*[2]CYG!A9,[2]PYGE!#REF!,[2]PYGE!#REF!,([2]CYG!#REF!/[2]CYG!#REF!)*[2]CYG!A9,[2]PYGE!T1)</definedName>
    <definedName name="gggg">#REF!</definedName>
    <definedName name="GJulio10">CHOOSE([2]PYGE!$O1,[2]PYGE!#REF!,([2]CYG!#REF!/[2]CYG!O9)*[2]CYG!A9,[2]PYGE!#REF!,[2]PYGE!#REF!,([2]CYG!#REF!/[2]CYG!#REF!)*[2]CYG!A9,[2]PYGE!T1)</definedName>
    <definedName name="GJulio11">CHOOSE([2]PYGE!$O1,[2]PYGE!#REF!,([2]CYG!#REF!/[2]CYG!N9)*[2]CYG!A9,[2]PYGE!#REF!,[2]PYGE!#REF!,([2]CYG!#REF!/[2]CYG!#REF!)*[2]CYG!A9,[2]PYGE!T1)</definedName>
    <definedName name="GJulio12">CHOOSE([2]PYGE!$O1,[2]PYGE!#REF!,([2]CYG!#REF!/[2]CYG!M9)*[2]CYG!A9,[2]PYGE!#REF!,[2]PYGE!#REF!,([2]CYG!#REF!/[2]CYG!#REF!)*[2]CYG!A9,[2]PYGE!T1)</definedName>
    <definedName name="GJulio9">CHOOSE([2]PYGE!$O1,[2]PYGE!#REF!,([2]CYG!#REF!/[2]CYG!P9)*[2]CYG!A9,[2]PYGE!#REF!,[2]PYGE!#REF!,([2]CYG!#REF!/[2]CYG!#REF!)*[2]CYG!A9,[2]PYGE!T1)</definedName>
    <definedName name="GJunio10">CHOOSE([2]PYGE!$O1,[2]PYGE!#REF!,([2]CYG!#REF!/[2]CYG!N9)*[2]CYG!A9,[2]PYGE!#REF!,[2]PYGE!#REF!,([2]CYG!#REF!/[2]CYG!#REF!)*[2]CYG!A9,[2]PYGE!T1)</definedName>
    <definedName name="GJunio11">CHOOSE([2]PYGE!$O1,[2]PYGE!#REF!,([2]CYG!#REF!/[2]CYG!M9)*[2]CYG!A9,[2]PYGE!#REF!,[2]PYGE!#REF!,([2]CYG!#REF!/[2]CYG!#REF!)*[2]CYG!A9,[2]PYGE!T1)</definedName>
    <definedName name="GJunio12">CHOOSE([2]PYGE!$O1,[2]PYGE!#REF!,([2]CYG!#REF!/[2]CYG!L9)*[2]CYG!A9,[2]PYGE!#REF!,[2]PYGE!#REF!,([2]CYG!#REF!/[2]CYG!#REF!)*[2]CYG!A9,[2]PYGE!T1)</definedName>
    <definedName name="GJunio8">CHOOSE([2]PYGE!$O1,[2]PYGE!#REF!,([2]CYG!#REF!/[2]CYG!P9)*[2]CYG!A9,[2]PYGE!#REF!,[2]PYGE!#REF!,([2]CYG!#REF!/[2]CYG!#REF!)*[2]CYG!A9,[2]PYGE!T1)</definedName>
    <definedName name="GJunio9">CHOOSE([2]PYGE!$O1,[2]PYGE!#REF!,([2]CYG!#REF!/[2]CYG!O9)*[2]CYG!A9,[2]PYGE!#REF!,[2]PYGE!#REF!,([2]CYG!#REF!/[2]CYG!#REF!)*[2]CYG!A9,[2]PYGE!T1)</definedName>
    <definedName name="GMarzo10">CHOOSE([2]PYGE!$O1,[2]PYGE!#REF!,([2]CYG!#REF!/[2]CYG!K9)*[2]CYG!A9,[2]PYGE!#REF!,[2]PYGE!#REF!,([2]CYG!#REF!/[2]CYG!#REF!)*[2]CYG!A9,[2]PYGE!T1)</definedName>
    <definedName name="GMarzo11">CHOOSE([2]PYGE!$O1,[2]PYGE!#REF!,([2]CYG!#REF!/[2]CYG!J9)*[2]CYG!A9,[2]PYGE!#REF!,[2]PYGE!#REF!,([2]CYG!#REF!/[2]CYG!#REF!)*[2]CYG!A9,[2]PYGE!T1)</definedName>
    <definedName name="GMarzo12">CHOOSE([2]PYGE!$O1,[2]PYGE!#REF!,([2]CYG!#REF!/[2]CYG!I9)*[2]CYG!A9,[2]PYGE!#REF!,[2]PYGE!#REF!,([2]CYG!#REF!/[2]CYG!#REF!)*[2]CYG!A9,[2]PYGE!T1)</definedName>
    <definedName name="GMarzo5">CHOOSE([2]PYGE!$O1,[2]PYGE!#REF!,([2]CYG!#REF!/[2]CYG!P9)*[2]CYG!A9,[2]PYGE!#REF!,[2]PYGE!#REF!,([2]CYG!#REF!/[2]CYG!#REF!)*[2]CYG!A9,[2]PYGE!T1)</definedName>
    <definedName name="GMarzo6">CHOOSE([2]PYGE!$O1,[2]PYGE!#REF!,([2]CYG!#REF!/[2]CYG!O9)*[2]CYG!A9,[2]PYGE!#REF!,[2]PYGE!#REF!,([2]CYG!#REF!/[2]CYG!#REF!)*[2]CYG!A9,[2]PYGE!T1)</definedName>
    <definedName name="GMarzo7">CHOOSE([2]PYGE!$O1,[2]PYGE!#REF!,([2]CYG!#REF!/[2]CYG!N9)*[2]CYG!A9,[2]PYGE!#REF!,[2]PYGE!#REF!,([2]CYG!#REF!/[2]CYG!#REF!)*[2]CYG!A9,[2]PYGE!T1)</definedName>
    <definedName name="GMarzo8">CHOOSE([2]PYGE!$O1,[2]PYGE!#REF!,([2]CYG!#REF!/[2]CYG!M9)*[2]CYG!A9,[2]PYGE!#REF!,[2]PYGE!#REF!,([2]CYG!#REF!/[2]CYG!#REF!)*[2]CYG!A9,[2]PYGE!T1)</definedName>
    <definedName name="GMarzo9">CHOOSE([2]PYGE!$O1,[2]PYGE!#REF!,([2]CYG!#REF!/[2]CYG!L9)*[2]CYG!A9,[2]PYGE!#REF!,[2]PYGE!#REF!,([2]CYG!#REF!/[2]CYG!#REF!)*[2]CYG!A9,[2]PYGE!T1)</definedName>
    <definedName name="GMayo10">CHOOSE([2]PYGE!$O1,[2]PYGE!#REF!,([2]CYG!#REF!/[2]CYG!L9)*[2]CYG!A9,[2]PYGE!#REF!,[2]PYGE!#REF!,([2]CYG!#REF!/[2]CYG!#REF!)*[2]CYG!A9,[2]PYGE!T1)</definedName>
    <definedName name="GMayo11">CHOOSE([2]PYGE!$O1,[2]PYGE!#REF!,([2]CYG!#REF!/[2]CYG!J9)*[2]CYG!A9,[2]PYGE!#REF!,[2]PYGE!#REF!,([2]CYG!#REF!/[2]CYG!#REF!)*[2]CYG!A9,[2]PYGE!T1)</definedName>
    <definedName name="GMayo12">CHOOSE([2]PYGE!$O1,[2]PYGE!#REF!,([2]CYG!#REF!/[2]CYG!K9)*[2]CYG!A9,[2]PYGE!#REF!,[2]PYGE!#REF!,([2]CYG!#REF!/[2]CYG!#REF!)*[2]CYG!A9,[2]PYGE!T1)</definedName>
    <definedName name="GMayo7">CHOOSE([2]PYGE!$O1,[2]PYGE!#REF!,([2]CYG!#REF!/[2]CYG!P9)*[2]CYG!A9,[2]PYGE!#REF!,[2]PYGE!#REF!,([2]CYG!#REF!/[2]CYG!#REF!)*[2]CYG!A9,[2]PYGE!T1)</definedName>
    <definedName name="GMayo8">CHOOSE([2]PYGE!$O1,[2]PYGE!#REF!,([2]CYG!#REF!/[2]CYG!O9)*[2]CYG!A9,[2]PYGE!#REF!,[2]PYGE!#REF!,([2]CYG!#REF!/[2]CYG!#REF!)*[2]CYG!A9,[2]PYGE!T1)</definedName>
    <definedName name="GMayo9">CHOOSE([2]PYGE!$O1,[2]PYGE!#REF!,([2]CYG!#REF!/[2]CYG!N9)*[2]CYG!A9,[2]PYGE!#REF!,[2]PYGE!#REF!,([2]CYG!#REF!/[2]CYG!#REF!)*[2]CYG!A9,[2]PYGE!T1)</definedName>
    <definedName name="GOctubre12">CHOOSE([2]PYGE!$O1,[2]PYGE!#REF!,([2]CYG!#REF!/[2]CYG!P9)*[2]CYG!A9,[2]PYGE!#REF!,[2]PYGE!#REF!,([2]CYG!#REF!/[2]CYG!#REF!)*[2]CYG!A9,[2]PYGE!T1)</definedName>
    <definedName name="GrowthRate">#REF!</definedName>
    <definedName name="GSeptiembre11">CHOOSE([2]PYGE!$O1,[2]PYGE!#REF!,([2]CYG!#REF!/[2]CYG!P9)*[2]CYG!A9,[2]PYGE!#REF!,[2]PYGE!#REF!,([2]CYG!#REF!/[2]CYG!#REF!)*[2]CYG!A9,[2]PYGE!T1)</definedName>
    <definedName name="GSeptiembre12">CHOOSE([2]PYGE!$O1,[2]PYGE!#REF!,([2]CYG!#REF!/[2]CYG!O9)*[2]CYG!A9,[2]PYGE!#REF!,[2]PYGE!#REF!,([2]CYG!#REF!/[2]CYG!#REF!)*[2]CYG!A9,[2]PYGE!T1)</definedName>
    <definedName name="h">#REF!</definedName>
    <definedName name="HTM_Control" localSheetId="18" hidden="1">{"'Parámetros'!$A$3:$C$3"}</definedName>
    <definedName name="HTM_Control" localSheetId="20" hidden="1">{"'Parámetros'!$A$3:$C$3"}</definedName>
    <definedName name="HTM_Control" localSheetId="19" hidden="1">{"'Parámetros'!$A$3:$C$3"}</definedName>
    <definedName name="HTM_Control" hidden="1">{"'Parámetros'!$A$3:$C$3"}</definedName>
    <definedName name="HTML_CodePage" hidden="1">1252</definedName>
    <definedName name="HTML_Control" localSheetId="18" hidden="1">{"'Parámetros'!$A$3:$C$3"}</definedName>
    <definedName name="HTML_Control" localSheetId="20" hidden="1">{"'Parámetros'!$A$3:$C$3"}</definedName>
    <definedName name="HTML_Control" localSheetId="19" hidden="1">{"'Parámetros'!$A$3:$C$3"}</definedName>
    <definedName name="HTML_Control" hidden="1">{"'Parámetros'!$A$3:$C$3"}</definedName>
    <definedName name="HTML_Description" hidden="1">""</definedName>
    <definedName name="HTML_Email" hidden="1">""</definedName>
    <definedName name="HTML_Header" hidden="1">"Parámetros"</definedName>
    <definedName name="HTML_LastUpdate" hidden="1">"7/06/2001"</definedName>
    <definedName name="HTML_LineAfter" hidden="1">FALSE</definedName>
    <definedName name="HTML_LineBefore" hidden="1">TRUE</definedName>
    <definedName name="HTML_Name" hidden="1">"EMPRESA DE ACUEDUCTO Y ALCANT"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"C:\Verificacion\Modelo.htm"</definedName>
    <definedName name="HTML_PathTemplate" hidden="1">"C:\Verificacion\&lt;!--##Table##--&gt;"</definedName>
    <definedName name="HTML_Title" hidden="1">"Empresarial"</definedName>
    <definedName name="IAbril10">CHOOSE([2]PYGE!$O1,[2]PYGE!#REF!,([2]Ingresos!L2/[2]Ingresos!L17)*[2]Ingresos!A17,[2]PYGE!#REF!,[2]PYGE!#REF!,([2]Ingresos!#REF!/[2]Ingresos!#REF!)*[2]Ingresos!A17,[2]PYGE!T1)</definedName>
    <definedName name="IAbril11">CHOOSE([2]PYGE!$O1,[2]PYGE!#REF!,([2]Ingresos!K2/[2]Ingresos!K17)*[2]Ingresos!A17,[2]PYGE!#REF!,[2]PYGE!#REF!,([2]Ingresos!#REF!/[2]Ingresos!#REF!)*[2]Ingresos!A17,[2]PYGE!T1)</definedName>
    <definedName name="IAbril12">CHOOSE([2]PYGE!$O1,[2]PYGE!#REF!,([2]Ingresos!J2/[2]Ingresos!J17)*[2]Ingresos!A17,[2]PYGE!#REF!,[2]PYGE!#REF!,([2]Ingresos!#REF!/[2]Ingresos!#REF!)*[2]Ingresos!A17,[2]PYGE!T1)</definedName>
    <definedName name="IAbril6">CHOOSE([2]PYGE!$O1,[2]PYGE!#REF!,([2]Ingresos!P2/[2]Ingresos!P17)*[2]Ingresos!A17,[2]PYGE!#REF!,[2]PYGE!#REF!,([2]Ingresos!#REF!/[2]Ingresos!#REF!)*[2]Ingresos!A17,[2]PYGE!T1)</definedName>
    <definedName name="IAbril7">CHOOSE([2]PYGE!$O1,[2]PYGE!#REF!,([2]Ingresos!O2/[2]Ingresos!O17)*[2]Ingresos!A17,[2]PYGE!#REF!,[2]PYGE!#REF!,([2]Ingresos!#REF!/[2]Ingresos!#REF!)*[2]Ingresos!A17,[2]PYGE!T1)</definedName>
    <definedName name="IAbril8">CHOOSE([2]PYGE!$O1,[2]PYGE!#REF!,([2]Ingresos!N2/[2]Ingresos!N17)*[2]Ingresos!A17,[2]PYGE!#REF!,[2]PYGE!#REF!,([2]Ingresos!#REF!/[2]Ingresos!#REF!)*[2]Ingresos!A17,[2]PYGE!T1)</definedName>
    <definedName name="IAbril9">CHOOSE([2]PYGE!$O1,[2]PYGE!#REF!,([2]Ingresos!M2/[2]Ingresos!M17)*[2]Ingresos!A17,[2]PYGE!#REF!,[2]PYGE!#REF!,([2]Ingresos!#REF!/[2]Ingresos!#REF!)*[2]Ingresos!A17,[2]PYGE!T1)</definedName>
    <definedName name="IAgosto10">CHOOSE([2]PYGE!$O1,[2]PYGE!#REF!,([2]Ingresos!P2/[2]Ingresos!P17)*[2]Ingresos!A17,[2]PYGE!#REF!,[2]PYGE!#REF!,([2]Ingresos!#REF!/[2]Ingresos!#REF!)*[2]Ingresos!A17,[2]PYGE!T1)</definedName>
    <definedName name="IAgosto11">CHOOSE([2]PYGE!$O1,[2]PYGE!#REF!,([2]Ingresos!O2/[2]Ingresos!O17)*[2]Ingresos!A17,[2]PYGE!#REF!,[2]PYGE!#REF!,([2]Ingresos!#REF!/[2]Ingresos!#REF!)*[2]Ingresos!A17,[2]PYGE!T1)</definedName>
    <definedName name="IAgosto12">CHOOSE([2]PYGE!$O1,[2]PYGE!#REF!,([2]Ingresos!N2/[2]Ingresos!N17)*[2]Ingresos!A17,[2]PYGE!#REF!,[2]PYGE!#REF!,([2]Ingresos!#REF!/[2]Ingresos!#REF!)*[2]Ingresos!A17,[2]PYGE!T1)</definedName>
    <definedName name="IEnero10">CHOOSE([2]PYGE!$O1,[2]PYGE!#REF!,([2]Ingresos!I2/[2]Ingresos!I17)*[2]Ingresos!A17,[2]PYGE!#REF!,[2]PYGE!#REF!,([2]Ingresos!#REF!/[2]Ingresos!#REF!)*[2]Ingresos!A17,[2]PYGE!T1)</definedName>
    <definedName name="IEnero11">CHOOSE([2]PYGE!$O1,[2]PYGE!#REF!,([2]Ingresos!H2/[2]Ingresos!H17)*[2]Ingresos!A17,[2]PYGE!#REF!,[2]PYGE!#REF!,([2]Ingresos!#REF!/[2]Ingresos!#REF!)*[2]Ingresos!A17,[2]PYGE!T1)</definedName>
    <definedName name="IEnero12">CHOOSE([2]PYGE!$O1,[2]PYGE!#REF!,([2]Ingresos!G2/[2]Ingresos!G17)*[2]Ingresos!A17,[2]PYGE!#REF!,[2]PYGE!#REF!,([2]Ingresos!#REF!/[2]Ingresos!#REF!)*[2]Ingresos!A17,[2]PYGE!T1)</definedName>
    <definedName name="IEnero3">CHOOSE([2]PYGE!$O1,[2]Ingresos!#REF!,([2]Ingresos!P2/[2]Ingresos!P17)*[2]Ingresos!A17,[2]Ingresos!#REF!,([2]Ingresos!AA17-[2]Ingresos!P2)/11,([2]Ingresos!#REF!/[2]Ingresos!#REF!)*[2]Ingresos!A17,[2]PYGE!T1)</definedName>
    <definedName name="IEnero4">CHOOSE([2]PYGE!$O1,[2]PYGE!#REF!,([2]Ingresos!O2/[2]Ingresos!O17)*[2]Ingresos!A17,[2]PYGE!#REF!,([2]Ingresos!Z17-[2]Ingresos!O2)/11,([2]Ingresos!#REF!/[2]Ingresos!#REF!)*[2]Ingresos!A17,[2]PYGE!T1)</definedName>
    <definedName name="IEnero5">CHOOSE([2]PYGE!$O1,[2]PYGE!#REF!,([2]Ingresos!N2/[2]Ingresos!N17)*[2]Ingresos!A17,[2]PYGE!#REF!,[2]PYGE!#REF!,([2]Ingresos!#REF!/[2]Ingresos!#REF!)*[2]Ingresos!A17,[2]PYGE!T1)</definedName>
    <definedName name="IEnero6">CHOOSE([2]PYGE!$O1,[2]PYGE!#REF!,([2]Ingresos!M2/[2]Ingresos!M17)*[2]Ingresos!A17,[2]PYGE!#REF!,[2]PYGE!#REF!,([2]Ingresos!#REF!/[2]Ingresos!#REF!)*[2]Ingresos!A17,[2]PYGE!T1)</definedName>
    <definedName name="IEnero7">CHOOSE([2]PYGE!$O1,[2]PYGE!#REF!,([2]Ingresos!L2/[2]Ingresos!L17)*[2]Ingresos!A17,[2]PYGE!#REF!,[2]PYGE!#REF!,([2]Ingresos!#REF!/[2]Ingresos!#REF!)*[2]Ingresos!A17,[2]PYGE!T1)</definedName>
    <definedName name="IEnero8">CHOOSE([2]PYGE!$O1,[2]PYGE!#REF!,([2]Ingresos!K2/[2]Ingresos!K17)*[2]Ingresos!A17,[2]PYGE!#REF!,[2]PYGE!#REF!,([2]Ingresos!#REF!/[2]Ingresos!#REF!)*[2]Ingresos!A17,[2]PYGE!T1)</definedName>
    <definedName name="IEnero9">CHOOSE([2]PYGE!$O1,[2]PYGE!#REF!,([2]Ingresos!J2/[2]Ingresos!J17)*[2]Ingresos!A17,[2]PYGE!#REF!,[2]PYGE!#REF!,([2]Ingresos!#REF!/[2]Ingresos!#REF!)*[2]Ingresos!A17,[2]PYGE!T1)</definedName>
    <definedName name="IFebrero10">CHOOSE([2]PYGE!$O1,[2]PYGE!#REF!,([2]Ingresos!J2/[2]Ingresos!J17)*[2]Ingresos!A17,[2]PYGE!#REF!,[2]PYGE!#REF!,([2]Ingresos!#REF!/[2]Ingresos!#REF!)*[2]Ingresos!A17,[2]PYGE!T1)</definedName>
    <definedName name="IFebrero11">CHOOSE([2]PYGE!$O1,[2]PYGE!#REF!,([2]Ingresos!I2/[2]Ingresos!I17)*[2]Ingresos!A17,[2]PYGE!#REF!,[2]PYGE!#REF!,([2]Ingresos!#REF!/[2]Ingresos!#REF!)*[2]Ingresos!A17,[2]PYGE!T1)</definedName>
    <definedName name="IFebrero12">CHOOSE([2]PYGE!$O1,[2]PYGE!#REF!,([2]Ingresos!H2/[2]Ingresos!H17)*[2]Ingresos!A17,[2]PYGE!#REF!,[2]PYGE!#REF!,([2]Ingresos!#REF!/[2]Ingresos!#REF!)*[2]Ingresos!A17,[2]PYGE!T1)</definedName>
    <definedName name="IFebrero4">CHOOSE([2]PYGE!$O1,[2]PYGE!#REF!,([2]Ingresos!P2/[2]Ingresos!P17)*[2]Ingresos!A17,[2]PYGE!#REF!,[2]PYGE!#REF!,([2]Ingresos!#REF!/[2]Ingresos!#REF!)*[2]Ingresos!A17,[2]PYGE!T1)</definedName>
    <definedName name="IFebrero5">CHOOSE([2]PYGE!$O1,[2]PYGE!#REF!,([2]Ingresos!O2/[2]Ingresos!O17)*[2]Ingresos!A17,[2]PYGE!#REF!,[2]PYGE!#REF!,([2]Ingresos!#REF!/[2]Ingresos!#REF!)*[2]Ingresos!A17,[2]PYGE!T1)</definedName>
    <definedName name="IFebrero6">CHOOSE([2]PYGE!$O1,[2]PYGE!#REF!,([2]Ingresos!N2/[2]Ingresos!N17)*[2]Ingresos!A17,[2]PYGE!#REF!,[2]PYGE!#REF!,([2]Ingresos!#REF!/[2]Ingresos!#REF!)*[2]Ingresos!A17,[2]PYGE!T1)</definedName>
    <definedName name="IFebrero7">CHOOSE([2]PYGE!$O1,[2]PYGE!#REF!,([2]Ingresos!M2/[2]Ingresos!M17)*[2]Ingresos!A17,[2]PYGE!#REF!,[2]PYGE!#REF!,([2]Ingresos!#REF!/[2]Ingresos!#REF!)*[2]Ingresos!A17,[2]PYGE!T1)</definedName>
    <definedName name="IFebrero8">CHOOSE([2]PYGE!$O1,[2]PYGE!#REF!,([2]Ingresos!L2/[2]Ingresos!L17)*[2]Ingresos!A17,[2]PYGE!#REF!,[2]PYGE!#REF!,([2]Ingresos!#REF!/[2]Ingresos!#REF!)*[2]Ingresos!A17,[2]PYGE!T1)</definedName>
    <definedName name="IFebrero9">CHOOSE([2]PYGE!$O1,[2]PYGE!#REF!,([2]Ingresos!K2/[2]Ingresos!K17)*[2]Ingresos!A17,[2]PYGE!#REF!,[2]PYGE!#REF!,([2]Ingresos!#REF!/[2]Ingresos!#REF!)*[2]Ingresos!A17,[2]PYGE!T1)</definedName>
    <definedName name="IJulio10">CHOOSE([2]PYGE!$O1,[2]PYGE!#REF!,([2]Ingresos!O2/[2]Ingresos!O17)*[2]Ingresos!A17,[2]PYGE!#REF!,[2]PYGE!#REF!,([2]Ingresos!#REF!/[2]Ingresos!#REF!)*[2]Ingresos!A17,[2]PYGE!T1)</definedName>
    <definedName name="IJulio11">CHOOSE([2]PYGE!$O1,[2]PYGE!#REF!,([2]Ingresos!N2/[2]Ingresos!N17)*[2]Ingresos!A17,[2]PYGE!#REF!,[2]PYGE!#REF!,([2]Ingresos!#REF!/[2]Ingresos!#REF!)*[2]Ingresos!A17,[2]PYGE!T1)</definedName>
    <definedName name="IJulio12">CHOOSE([2]PYGE!$O1,[2]PYGE!#REF!,([2]Ingresos!M2/[2]Ingresos!M17)*[2]Ingresos!A17,[2]PYGE!#REF!,[2]PYGE!#REF!,([2]Ingresos!#REF!/[2]Ingresos!#REF!)*[2]Ingresos!A17,[2]PYGE!T1)</definedName>
    <definedName name="IJulio9">CHOOSE([2]PYGE!$O1,[2]PYGE!#REF!,([2]Ingresos!P2/[2]Ingresos!P17)*[2]Ingresos!A17,[2]PYGE!#REF!,[2]PYGE!#REF!,([2]Ingresos!#REF!/[2]Ingresos!#REF!)*[2]Ingresos!A17,[2]PYGE!T1)</definedName>
    <definedName name="IJunio10">CHOOSE([2]PYGE!$O1,[2]PYGE!#REF!,([2]Ingresos!N2/[2]Ingresos!N17)*[2]Ingresos!A17,[2]PYGE!#REF!,[2]PYGE!#REF!,([2]Ingresos!#REF!/[2]Ingresos!#REF!)*[2]Ingresos!A17,[2]PYGE!T1)</definedName>
    <definedName name="IJunio11">CHOOSE([2]PYGE!$O1,[2]PYGE!#REF!,([2]Ingresos!M2/[2]Ingresos!M17)*[2]Ingresos!A17,[2]PYGE!#REF!,[2]PYGE!#REF!,([2]Ingresos!#REF!/[2]Ingresos!#REF!)*[2]Ingresos!A17,[2]PYGE!T1)</definedName>
    <definedName name="IJunio12">CHOOSE([2]PYGE!$O1,[2]PYGE!#REF!,([2]Ingresos!L2/[2]Ingresos!L17)*[2]Ingresos!A17,[2]PYGE!#REF!,[2]PYGE!#REF!,([2]Ingresos!#REF!/[2]Ingresos!#REF!)*[2]Ingresos!A17,[2]PYGE!T1)</definedName>
    <definedName name="IJunio8">CHOOSE([2]PYGE!$O1,[2]PYGE!#REF!,([2]Ingresos!P2/[2]Ingresos!P17)*[2]Ingresos!A17,[2]PYGE!#REF!,[2]PYGE!#REF!,([2]Ingresos!#REF!/[2]Ingresos!#REF!)*[2]Ingresos!A17,[2]PYGE!T1)</definedName>
    <definedName name="IJunio9">CHOOSE([2]PYGE!$O1,[2]PYGE!#REF!,([2]Ingresos!O2/[2]Ingresos!O17)*[2]Ingresos!A17,[2]PYGE!#REF!,[2]PYGE!#REF!,([2]Ingresos!#REF!/[2]Ingresos!#REF!)*[2]Ingresos!A17,[2]PYGE!T1)</definedName>
    <definedName name="IMarzo10">CHOOSE([2]PYGE!$O1,[2]PYGE!#REF!,([2]Ingresos!K2/[2]Ingresos!K17)*[2]Ingresos!A17,[2]PYGE!#REF!,[2]PYGE!#REF!,([2]Ingresos!#REF!/[2]Ingresos!#REF!)*[2]Ingresos!A17,[2]PYGE!T1)</definedName>
    <definedName name="IMarzo11">CHOOSE([2]PYGE!$O1,[2]PYGE!#REF!,([2]Ingresos!J2/[2]Ingresos!J17)*[2]Ingresos!A17,[2]PYGE!#REF!,[2]PYGE!#REF!,([2]Ingresos!#REF!/[2]Ingresos!#REF!)*[2]Ingresos!A17,[2]PYGE!T1)</definedName>
    <definedName name="IMarzo12">CHOOSE([2]PYGE!$O1,[2]PYGE!#REF!,([2]Ingresos!I2/[2]Ingresos!I17)*[2]Ingresos!A17,[2]PYGE!#REF!,[2]PYGE!#REF!,([2]Ingresos!#REF!/[2]Ingresos!#REF!)*[2]Ingresos!A17,[2]PYGE!T1)</definedName>
    <definedName name="IMarzo5">CHOOSE([2]PYGE!$O1,[2]PYGE!#REF!,([2]Ingresos!P2/[2]Ingresos!P17)*[2]Ingresos!A17,[2]PYGE!#REF!,[2]PYGE!#REF!,([2]Ingresos!#REF!/[2]Ingresos!#REF!)*[2]Ingresos!A17,[2]PYGE!T1)</definedName>
    <definedName name="IMarzo6">CHOOSE([2]PYGE!$O1,[2]PYGE!#REF!,([2]Ingresos!O2/[2]Ingresos!O17)*[2]Ingresos!A17,[2]PYGE!#REF!,[2]PYGE!#REF!,([2]Ingresos!#REF!/[2]Ingresos!#REF!)*[2]Ingresos!A17,[2]PYGE!T1)</definedName>
    <definedName name="IMarzo7">CHOOSE([2]PYGE!$O1,[2]PYGE!#REF!,([2]Ingresos!N2/[2]Ingresos!N17)*[2]Ingresos!A17,[2]PYGE!#REF!,[2]PYGE!#REF!,([2]Ingresos!#REF!/[2]Ingresos!#REF!)*[2]Ingresos!A17,[2]PYGE!T1)</definedName>
    <definedName name="IMarzo8">CHOOSE([2]PYGE!$O1,[2]PYGE!#REF!,([2]Ingresos!M2/[2]Ingresos!M17)*[2]Ingresos!A17,[2]PYGE!#REF!,[2]PYGE!#REF!,([2]Ingresos!#REF!/[2]Ingresos!#REF!)*[2]Ingresos!A17,[2]PYGE!T1)</definedName>
    <definedName name="IMarzo9">CHOOSE([2]PYGE!$O1,[2]PYGE!#REF!,([2]Ingresos!L2/[2]Ingresos!L17)*[2]Ingresos!A17,[2]PYGE!#REF!,[2]PYGE!#REF!,([2]Ingresos!#REF!/[2]Ingresos!#REF!)*[2]Ingresos!A17,[2]PYGE!T1)</definedName>
    <definedName name="IMayo10">CHOOSE([2]PYGE!$O1,[2]PYGE!#REF!,([2]Ingresos!L2/[2]Ingresos!L17)*[2]Ingresos!A17,[2]PYGE!#REF!,[2]PYGE!#REF!,([2]Ingresos!#REF!/[2]Ingresos!#REF!)*[2]Ingresos!A17,[2]PYGE!T1)</definedName>
    <definedName name="IMayo11">CHOOSE([2]PYGE!$O1,[2]PYGE!#REF!,([2]Ingresos!J2/[2]Ingresos!J17)*[2]Ingresos!A17,[2]PYGE!#REF!,[2]PYGE!#REF!,([2]Ingresos!#REF!/[2]Ingresos!#REF!)*[2]Ingresos!A17,[2]PYGE!T1)</definedName>
    <definedName name="IMayo12">CHOOSE([2]PYGE!$O1,[2]PYGE!#REF!,([2]Ingresos!K2/[2]Ingresos!K17)*[2]Ingresos!A17,[2]PYGE!#REF!,[2]PYGE!#REF!,([2]Ingresos!#REF!/[2]Ingresos!#REF!)*[2]Ingresos!A17,[2]PYGE!T1)</definedName>
    <definedName name="IMayo7">CHOOSE([2]PYGE!$O1,[2]PYGE!#REF!,([2]Ingresos!P2/[2]Ingresos!P17)*[2]Ingresos!A17,[2]PYGE!#REF!,[2]PYGE!#REF!,([2]Ingresos!#REF!/[2]Ingresos!#REF!)*[2]Ingresos!A17,[2]PYGE!T1)</definedName>
    <definedName name="IMayo8">CHOOSE([2]PYGE!$O1,[2]PYGE!#REF!,([2]Ingresos!O2/[2]Ingresos!O17)*[2]Ingresos!A17,[2]PYGE!#REF!,[2]PYGE!#REF!,([2]Ingresos!#REF!/[2]Ingresos!#REF!)*[2]Ingresos!A17,[2]PYGE!T1)</definedName>
    <definedName name="IMayo9">CHOOSE([2]PYGE!$O1,[2]PYGE!#REF!,([2]Ingresos!N2/[2]Ingresos!N17)*[2]Ingresos!A17,[2]PYGE!#REF!,[2]PYGE!#REF!,([2]Ingresos!#REF!/[2]Ingresos!#REF!)*[2]Ingresos!A17,[2]PYGE!T1)</definedName>
    <definedName name="Indice">#REF!</definedName>
    <definedName name="Ingresos">'PARÁM-SENSIBILIDAD'!$C$8</definedName>
    <definedName name="Inicio1">#REF!</definedName>
    <definedName name="Inicio10">#REF!</definedName>
    <definedName name="Inicio11">#REF!</definedName>
    <definedName name="Inicio12">#REF!</definedName>
    <definedName name="Inicio13">#REF!</definedName>
    <definedName name="Inicio14">#REF!</definedName>
    <definedName name="Inicio15">#REF!</definedName>
    <definedName name="Inicio16">#REF!</definedName>
    <definedName name="Inicio17">#REF!</definedName>
    <definedName name="Inicio18">#REF!</definedName>
    <definedName name="Inicio2">#REF!</definedName>
    <definedName name="Inicio3">#REF!</definedName>
    <definedName name="Inicio4">#REF!</definedName>
    <definedName name="Inicio5">#REF!</definedName>
    <definedName name="Inicio6">#REF!</definedName>
    <definedName name="Inicio7">#REF!</definedName>
    <definedName name="Inicio8">#REF!</definedName>
    <definedName name="Inicio9">#REF!</definedName>
    <definedName name="INOAbril10">CHOOSE([2]PYGE!$O1,[2]PYGE!#REF!,([2]NOC!#REF!/[2]NOC!#REF!)*[2]NOC!#REF!,[2]PYGE!#REF!,[2]PYGE!#REF!,([2]NOC!#REF!/[2]NOC!#REF!)*[2]NOC!#REF!,[2]PYGE!T1)</definedName>
    <definedName name="INOAbril11">CHOOSE([2]PYGE!$O1,[2]PYGE!#REF!,([2]NOC!#REF!/[2]NOC!#REF!)*[2]NOC!#REF!,[2]PYGE!#REF!,[2]PYGE!#REF!,([2]NOC!#REF!/[2]NOC!#REF!)*[2]NOC!#REF!,[2]PYGE!T1)</definedName>
    <definedName name="INOAbril12">CHOOSE([2]PYGE!$O1,[2]PYGE!#REF!,([2]NOC!#REF!/[2]NOC!#REF!)*[2]NOC!#REF!,[2]PYGE!#REF!,[2]PYGE!#REF!,([2]NOC!#REF!/[2]NOC!#REF!)*[2]NOC!#REF!,[2]PYGE!T1)</definedName>
    <definedName name="INOAbril6">CHOOSE([2]PYGE!$O1,[2]PYGE!#REF!,([2]NOC!#REF!/[2]NOC!#REF!)*[2]NOC!#REF!,[2]PYGE!#REF!,[2]PYGE!#REF!,([2]NOC!#REF!/[2]NOC!#REF!)*[2]NOC!#REF!,[2]PYGE!T1)</definedName>
    <definedName name="INOAbril7">CHOOSE([2]PYGE!$O1,[2]PYGE!#REF!,([2]NOC!#REF!/[2]NOC!#REF!)*[2]NOC!#REF!,[2]PYGE!#REF!,[2]PYGE!#REF!,([2]NOC!#REF!/[2]NOC!#REF!)*[2]NOC!#REF!,[2]PYGE!T1)</definedName>
    <definedName name="INOAbril8">CHOOSE([2]PYGE!$O1,[2]PYGE!#REF!,([2]NOC!#REF!/[2]NOC!#REF!)*[2]NOC!#REF!,[2]PYGE!#REF!,[2]PYGE!#REF!,([2]NOC!#REF!/[2]NOC!#REF!)*[2]NOC!#REF!,[2]PYGE!T1)</definedName>
    <definedName name="INOAbril9">CHOOSE([2]PYGE!$O1,[2]PYGE!#REF!,([2]NOC!#REF!/[2]NOC!#REF!)*[2]NOC!#REF!,[2]PYGE!#REF!,[2]PYGE!#REF!,([2]NOC!#REF!/[2]NOC!#REF!)*[2]NOC!#REF!,[2]PYGE!T1)</definedName>
    <definedName name="INOAgosto10">CHOOSE([2]PYGE!$O1,[2]PYGE!#REF!,([2]NOC!#REF!/[2]NOC!#REF!)*[2]NOC!#REF!,[2]PYGE!#REF!,[2]PYGE!#REF!,([2]NOC!#REF!/[2]NOC!#REF!)*[2]NOC!#REF!,[2]PYGE!T1)</definedName>
    <definedName name="INOAgosto11">CHOOSE([2]PYGE!$O1,[2]PYGE!#REF!,([2]NOC!#REF!/[2]NOC!#REF!)*[2]NOC!#REF!,[2]PYGE!#REF!,[2]PYGE!#REF!,([2]NOC!#REF!/[2]NOC!#REF!)*[2]NOC!#REF!,[2]PYGE!T1)</definedName>
    <definedName name="INOAgosto12">CHOOSE([2]PYGE!$O1,[2]PYGE!#REF!,([2]NOC!#REF!/[2]NOC!#REF!)*[2]NOC!#REF!,[2]PYGE!#REF!,[2]PYGE!#REF!,([2]NOC!#REF!/[2]NOC!#REF!)*[2]NOC!#REF!,[2]PYGE!T1)</definedName>
    <definedName name="INOEnero10">CHOOSE([2]PYGE!$O1,[2]PYGE!#REF!,([2]NOC!#REF!/[2]NOC!#REF!)*[2]NOC!#REF!,[2]PYGE!#REF!,[2]PYGE!#REF!,([2]NOC!#REF!/[2]NOC!#REF!)*[2]NOC!#REF!,[2]PYGE!T1)</definedName>
    <definedName name="INOEnero11">CHOOSE([2]PYGE!$O1,[2]PYGE!#REF!,([2]NOC!#REF!/[2]NOC!#REF!)*[2]NOC!#REF!,[2]PYGE!#REF!,[2]PYGE!#REF!,([2]NOC!#REF!/[2]NOC!#REF!)*[2]NOC!#REF!,[2]PYGE!T1)</definedName>
    <definedName name="INOEnero12">CHOOSE([2]PYGE!$O1,[2]PYGE!#REF!,([2]NOC!#REF!/[2]NOC!#REF!)*[2]NOC!#REF!,[2]PYGE!#REF!,[2]PYGE!#REF!,([2]NOC!#REF!/[2]NOC!#REF!)*[2]NOC!#REF!,[2]PYGE!T1)</definedName>
    <definedName name="INOEnero3">CHOOSE([2]PYGE!$O1,[2]NOC!#REF!,([2]NOC!#REF!/[2]NOC!#REF!)*[2]NOC!#REF!,[2]NOC!#REF!,([2]NOC!#REF!-[2]NOC!#REF!)/11,([2]NOC!#REF!/[2]NOC!#REF!)*[2]NOC!#REF!,[2]PYGE!T1)</definedName>
    <definedName name="INOEnero4">CHOOSE([2]PYGE!$O1,[2]PYGE!#REF!,([2]NOC!#REF!/[2]NOC!#REF!)*[2]NOC!#REF!,[2]PYGE!#REF!,([2]NOC!#REF!-[2]NOC!#REF!)/11,([2]NOC!#REF!/[2]NOC!#REF!)*[2]NOC!#REF!,[2]PYGE!T1)</definedName>
    <definedName name="INOEnero5">CHOOSE([2]PYGE!$O1,[2]PYGE!#REF!,([2]NOC!#REF!/[2]NOC!#REF!)*[2]NOC!#REF!,[2]PYGE!#REF!,[2]PYGE!#REF!,([2]NOC!#REF!/[2]NOC!#REF!)*[2]NOC!#REF!,[2]PYGE!T1)</definedName>
    <definedName name="INOEnero6">CHOOSE([2]PYGE!$O1,[2]PYGE!#REF!,([2]NOC!#REF!/[2]NOC!#REF!)*[2]NOC!#REF!,[2]PYGE!#REF!,[2]PYGE!#REF!,([2]NOC!#REF!/[2]NOC!#REF!)*[2]NOC!#REF!,[2]PYGE!T1)</definedName>
    <definedName name="INOEnero7">CHOOSE([2]PYGE!$O1,[2]PYGE!#REF!,([2]NOC!#REF!/[2]NOC!#REF!)*[2]NOC!#REF!,[2]PYGE!#REF!,[2]PYGE!#REF!,([2]NOC!#REF!/[2]NOC!#REF!)*[2]NOC!#REF!,[2]PYGE!T1)</definedName>
    <definedName name="INOEnero8">CHOOSE([2]PYGE!$O1,[2]PYGE!#REF!,([2]NOC!#REF!/[2]NOC!#REF!)*[2]NOC!#REF!,[2]PYGE!#REF!,[2]PYGE!#REF!,([2]NOC!#REF!/[2]NOC!#REF!)*[2]NOC!#REF!,[2]PYGE!T1)</definedName>
    <definedName name="INOEnero9">CHOOSE([2]PYGE!$O1,[2]PYGE!#REF!,([2]NOC!#REF!/[2]NOC!#REF!)*[2]NOC!#REF!,[2]PYGE!#REF!,[2]PYGE!#REF!,([2]NOC!#REF!/[2]NOC!#REF!)*[2]NOC!#REF!,[2]PYGE!T1)</definedName>
    <definedName name="INOFebrero10">CHOOSE([2]PYGE!$O1,[2]PYGE!#REF!,([2]NOC!#REF!/[2]NOC!#REF!)*[2]NOC!#REF!,[2]PYGE!#REF!,[2]PYGE!#REF!,([2]NOC!#REF!/[2]NOC!#REF!)*[2]NOC!#REF!,[2]PYGE!T1)</definedName>
    <definedName name="INOFebrero11">CHOOSE([2]PYGE!$O1,[2]PYGE!#REF!,([2]NOC!#REF!/[2]NOC!#REF!)*[2]NOC!#REF!,[2]PYGE!#REF!,[2]PYGE!#REF!,([2]NOC!#REF!/[2]NOC!#REF!)*[2]NOC!#REF!,[2]PYGE!T1)</definedName>
    <definedName name="INOFebrero12">CHOOSE([2]PYGE!$O1,[2]PYGE!#REF!,([2]NOC!#REF!/[2]NOC!#REF!)*[2]NOC!#REF!,[2]PYGE!#REF!,[2]PYGE!#REF!,([2]NOC!#REF!/[2]NOC!#REF!)*[2]NOC!#REF!,[2]PYGE!T1)</definedName>
    <definedName name="INOFebrero4">CHOOSE([2]PYGE!$O1,[2]PYGE!#REF!,([2]NOC!#REF!/[2]NOC!#REF!)*[2]NOC!#REF!,[2]PYGE!#REF!,[2]PYGE!#REF!,([2]NOC!#REF!/[2]NOC!#REF!)*[2]NOC!#REF!,[2]PYGE!T1)</definedName>
    <definedName name="INOFebrero5">CHOOSE([2]PYGE!$O1,[2]PYGE!#REF!,([2]NOC!#REF!/[2]NOC!#REF!)*[2]NOC!#REF!,[2]PYGE!#REF!,[2]PYGE!#REF!,([2]NOC!#REF!/[2]NOC!#REF!)*[2]NOC!#REF!,[2]PYGE!T1)</definedName>
    <definedName name="INOFebrero6">CHOOSE([2]PYGE!$O1,[2]PYGE!#REF!,([2]NOC!#REF!/[2]NOC!#REF!)*[2]NOC!#REF!,[2]PYGE!#REF!,[2]PYGE!#REF!,([2]NOC!#REF!/[2]NOC!#REF!)*[2]NOC!#REF!,[2]PYGE!T1)</definedName>
    <definedName name="INOFebrero7">CHOOSE([2]PYGE!$O1,[2]PYGE!#REF!,([2]NOC!#REF!/[2]NOC!#REF!)*[2]NOC!#REF!,[2]PYGE!#REF!,[2]PYGE!#REF!,([2]NOC!#REF!/[2]NOC!#REF!)*[2]NOC!#REF!,[2]PYGE!T1)</definedName>
    <definedName name="INOFebrero8">CHOOSE([2]PYGE!$O1,[2]PYGE!#REF!,([2]NOC!#REF!/[2]NOC!#REF!)*[2]NOC!#REF!,[2]PYGE!#REF!,[2]PYGE!#REF!,([2]NOC!#REF!/[2]NOC!#REF!)*[2]NOC!#REF!,[2]PYGE!T1)</definedName>
    <definedName name="INOFebrero9">CHOOSE([2]PYGE!$O1,[2]PYGE!#REF!,([2]NOC!#REF!/[2]NOC!#REF!)*[2]NOC!#REF!,[2]PYGE!#REF!,[2]PYGE!#REF!,([2]NOC!#REF!/[2]NOC!#REF!)*[2]NOC!#REF!,[2]PYGE!T1)</definedName>
    <definedName name="INOJulio10">CHOOSE([2]PYGE!$O1,[2]PYGE!#REF!,([2]NOC!#REF!/[2]NOC!#REF!)*[2]NOC!#REF!,[2]PYGE!#REF!,[2]PYGE!#REF!,([2]NOC!#REF!/[2]NOC!#REF!)*[2]NOC!#REF!,[2]PYGE!T1)</definedName>
    <definedName name="INOJulio11">CHOOSE([2]PYGE!$O1,[2]PYGE!#REF!,([2]NOC!#REF!/[2]NOC!#REF!)*[2]NOC!#REF!,[2]PYGE!#REF!,[2]PYGE!#REF!,([2]NOC!#REF!/[2]NOC!#REF!)*[2]NOC!#REF!,[2]PYGE!T1)</definedName>
    <definedName name="INOJulio12">CHOOSE([2]PYGE!$O1,[2]PYGE!#REF!,([2]NOC!#REF!/[2]NOC!#REF!)*[2]NOC!#REF!,[2]PYGE!#REF!,[2]PYGE!#REF!,([2]NOC!#REF!/[2]NOC!#REF!)*[2]NOC!#REF!,[2]PYGE!T1)</definedName>
    <definedName name="INOJulio9">CHOOSE([2]PYGE!$O1,[2]PYGE!#REF!,([2]NOC!#REF!/[2]NOC!#REF!)*[2]NOC!#REF!,[2]PYGE!#REF!,[2]PYGE!#REF!,([2]NOC!#REF!/[2]NOC!#REF!)*[2]NOC!#REF!,[2]PYGE!T1)</definedName>
    <definedName name="INOJunio10">CHOOSE([2]PYGE!$O1,[2]PYGE!#REF!,([2]NOC!#REF!/[2]NOC!#REF!)*[2]NOC!#REF!,[2]PYGE!#REF!,[2]PYGE!#REF!,([2]NOC!#REF!/[2]NOC!#REF!)*[2]NOC!#REF!,[2]PYGE!T1)</definedName>
    <definedName name="INOJunio11">CHOOSE([2]PYGE!$O1,[2]PYGE!#REF!,([2]NOC!#REF!/[2]NOC!#REF!)*[2]NOC!#REF!,[2]PYGE!#REF!,[2]PYGE!#REF!,([2]NOC!#REF!/[2]NOC!#REF!)*[2]NOC!#REF!,[2]PYGE!T1)</definedName>
    <definedName name="INOJunio12">CHOOSE([2]PYGE!$O1,[2]PYGE!#REF!,([2]NOC!#REF!/[2]NOC!#REF!)*[2]NOC!#REF!,[2]PYGE!#REF!,[2]PYGE!#REF!,([2]NOC!#REF!/[2]NOC!#REF!)*[2]NOC!#REF!,[2]PYGE!T1)</definedName>
    <definedName name="INOJunio8">CHOOSE([2]PYGE!$O1,[2]PYGE!#REF!,([2]NOC!#REF!/[2]NOC!#REF!)*[2]NOC!#REF!,[2]PYGE!#REF!,[2]PYGE!#REF!,([2]NOC!#REF!/[2]NOC!#REF!)*[2]NOC!#REF!,[2]PYGE!T1)</definedName>
    <definedName name="INOJunio9">CHOOSE([2]PYGE!$O1,[2]PYGE!#REF!,([2]NOC!#REF!/[2]NOC!#REF!)*[2]NOC!#REF!,[2]PYGE!#REF!,[2]PYGE!#REF!,([2]NOC!#REF!/[2]NOC!#REF!)*[2]NOC!#REF!,[2]PYGE!T1)</definedName>
    <definedName name="INOMarzo10">CHOOSE([2]PYGE!$O1,[2]PYGE!#REF!,([2]NOC!#REF!/[2]NOC!#REF!)*[2]NOC!#REF!,[2]PYGE!#REF!,[2]PYGE!#REF!,([2]NOC!#REF!/[2]NOC!#REF!)*[2]NOC!#REF!,[2]PYGE!T1)</definedName>
    <definedName name="INOMarzo11">CHOOSE([2]PYGE!$O1,[2]PYGE!#REF!,([2]NOC!#REF!/[2]NOC!#REF!)*[2]NOC!#REF!,[2]PYGE!#REF!,[2]PYGE!#REF!,([2]NOC!#REF!/[2]NOC!#REF!)*[2]NOC!#REF!,[2]PYGE!T1)</definedName>
    <definedName name="INOMarzo12">CHOOSE([2]PYGE!$O1,[2]PYGE!#REF!,([2]NOC!#REF!/[2]NOC!#REF!)*[2]NOC!#REF!,[2]PYGE!#REF!,[2]PYGE!#REF!,([2]NOC!#REF!/[2]NOC!#REF!)*[2]NOC!#REF!,[2]PYGE!T1)</definedName>
    <definedName name="INOMarzo5">CHOOSE([2]PYGE!$O1,[2]PYGE!#REF!,([2]NOC!#REF!/[2]NOC!#REF!)*[2]NOC!#REF!,[2]PYGE!#REF!,[2]PYGE!#REF!,([2]NOC!#REF!/[2]NOC!#REF!)*[2]NOC!#REF!,[2]PYGE!T1)</definedName>
    <definedName name="INOMarzo6">CHOOSE([2]PYGE!$O1,[2]PYGE!#REF!,([2]NOC!#REF!/[2]NOC!#REF!)*[2]NOC!#REF!,[2]PYGE!#REF!,[2]PYGE!#REF!,([2]NOC!#REF!/[2]NOC!#REF!)*[2]NOC!#REF!,[2]PYGE!T1)</definedName>
    <definedName name="INOMarzo7">CHOOSE([2]PYGE!$O1,[2]PYGE!#REF!,([2]NOC!#REF!/[2]NOC!#REF!)*[2]NOC!#REF!,[2]PYGE!#REF!,[2]PYGE!#REF!,([2]NOC!#REF!/[2]NOC!#REF!)*[2]NOC!#REF!,[2]PYGE!T1)</definedName>
    <definedName name="INOMarzo8">CHOOSE([2]PYGE!$O1,[2]PYGE!#REF!,([2]NOC!#REF!/[2]NOC!#REF!)*[2]NOC!#REF!,[2]PYGE!#REF!,[2]PYGE!#REF!,([2]NOC!#REF!/[2]NOC!#REF!)*[2]NOC!#REF!,[2]PYGE!T1)</definedName>
    <definedName name="INOMarzo9">CHOOSE([2]PYGE!$O1,[2]PYGE!#REF!,([2]NOC!#REF!/[2]NOC!#REF!)*[2]NOC!#REF!,[2]PYGE!#REF!,[2]PYGE!#REF!,([2]NOC!#REF!/[2]NOC!#REF!)*[2]NOC!#REF!,[2]PYGE!T1)</definedName>
    <definedName name="INOMayo10">CHOOSE([2]PYGE!$O1,[2]PYGE!#REF!,([2]NOC!#REF!/[2]NOC!#REF!)*[2]NOC!#REF!,[2]PYGE!#REF!,[2]PYGE!#REF!,([2]NOC!#REF!/[2]NOC!#REF!)*[2]NOC!#REF!,[2]PYGE!T1)</definedName>
    <definedName name="INOMayo11">CHOOSE([2]PYGE!$O1,[2]PYGE!#REF!,([2]NOC!#REF!/[2]NOC!#REF!)*[2]NOC!#REF!,[2]PYGE!#REF!,[2]PYGE!#REF!,([2]NOC!#REF!/[2]NOC!#REF!)*[2]NOC!#REF!,[2]PYGE!T1)</definedName>
    <definedName name="INOMayo12">CHOOSE([2]PYGE!$O1,[2]PYGE!#REF!,([2]NOC!#REF!/[2]NOC!#REF!)*[2]NOC!#REF!,[2]PYGE!#REF!,[2]PYGE!#REF!,([2]NOC!#REF!/[2]NOC!#REF!)*[2]NOC!#REF!,[2]PYGE!T1)</definedName>
    <definedName name="INOMayo7">CHOOSE([2]PYGE!$O1,[2]PYGE!#REF!,([2]NOC!#REF!/[2]NOC!#REF!)*[2]NOC!#REF!,[2]PYGE!#REF!,[2]PYGE!#REF!,([2]NOC!#REF!/[2]NOC!#REF!)*[2]NOC!#REF!,[2]PYGE!T1)</definedName>
    <definedName name="INOMayo8">CHOOSE([2]PYGE!$O1,[2]PYGE!#REF!,([2]NOC!#REF!/[2]NOC!#REF!)*[2]NOC!#REF!,[2]PYGE!#REF!,[2]PYGE!#REF!,([2]NOC!#REF!/[2]NOC!#REF!)*[2]NOC!#REF!,[2]PYGE!T1)</definedName>
    <definedName name="INOMayo9">CHOOSE([2]PYGE!$O1,[2]PYGE!#REF!,([2]NOC!#REF!/[2]NOC!#REF!)*[2]NOC!#REF!,[2]PYGE!#REF!,[2]PYGE!#REF!,([2]NOC!#REF!/[2]NOC!#REF!)*[2]NOC!#REF!,[2]PYGE!T1)</definedName>
    <definedName name="INOOctubre12">CHOOSE([2]PYGE!$O1,[2]PYGE!#REF!,([2]NOC!#REF!/[2]NOC!#REF!)*[2]NOC!#REF!,[2]PYGE!#REF!,[2]PYGE!#REF!,([2]NOC!#REF!/[2]NOC!#REF!)*[2]NOC!#REF!,[2]PYGE!T1)</definedName>
    <definedName name="INOSeptiembre11">CHOOSE([2]PYGE!$O1,[2]PYGE!#REF!,([2]NOC!#REF!/[2]NOC!#REF!)*[2]NOC!#REF!,[2]PYGE!#REF!,[2]PYGE!#REF!,([2]NOC!#REF!/[2]NOC!#REF!)*[2]NOC!#REF!,[2]PYGE!T1)</definedName>
    <definedName name="INOSeptiembre12">CHOOSE([2]PYGE!$O1,[2]PYGE!#REF!,([2]NOC!#REF!/[2]NOC!#REF!)*[2]NOC!#REF!,[2]PYGE!#REF!,[2]PYGE!#REF!,([2]NOC!#REF!/[2]NOC!#REF!)*[2]NOC!#REF!,[2]PYGE!T1)</definedName>
    <definedName name="INSUMOS">#REF!</definedName>
    <definedName name="Interes">'PARÁM-SENSIBILIDAD'!$J$20</definedName>
    <definedName name="Inversion">'PARÁM-SENSIBILIDAD'!$J$17</definedName>
    <definedName name="Inversión">'PARÁM-SENSIBILIDAD'!$B$40</definedName>
    <definedName name="IOctubre12">CHOOSE([2]PYGE!$O1,[2]PYGE!#REF!,([2]Ingresos!P2/[2]Ingresos!P17)*[2]Ingresos!A17,[2]PYGE!#REF!,[2]PYGE!#REF!,([2]Ingresos!#REF!/[2]Ingresos!#REF!)*[2]Ingresos!A17,[2]PYGE!T1)</definedName>
    <definedName name="ISeptiembre11">CHOOSE([2]PYGE!$O1,[2]PYGE!#REF!,([2]Ingresos!P2/[2]Ingresos!P17)*[2]Ingresos!A17,[2]PYGE!#REF!,[2]PYGE!#REF!,([2]Ingresos!#REF!/[2]Ingresos!#REF!)*[2]Ingresos!A17,[2]PYGE!T1)</definedName>
    <definedName name="ISeptiembre12">CHOOSE([2]PYGE!$O1,[2]PYGE!#REF!,([2]Ingresos!O2/[2]Ingresos!O17)*[2]Ingresos!A17,[2]PYGE!#REF!,[2]PYGE!#REF!,([2]Ingresos!#REF!/[2]Ingresos!#REF!)*[2]Ingresos!A17,[2]PYGE!T1)</definedName>
    <definedName name="ITEMS">#REF!</definedName>
    <definedName name="j">#REF!</definedName>
    <definedName name="jader" hidden="1">#REF!</definedName>
    <definedName name="jfv" hidden="1">#REF!</definedName>
    <definedName name="Jul">7</definedName>
    <definedName name="Julio10">CHOOSE([2]PYGE!E1,[2]PYGE!#REF!,([2]PYGA!#REF!/[2]PYGPM!#REF!)*[2]PYGPM!#REF!,[2]PYGE!#REF!,[2]PYGE!#REF!,([2]PYGA!#REF!/[2]PYGPM!#REF!)*[2]PYGPM!#REF!,[2]PYGE!T1)</definedName>
    <definedName name="Julio10a">CHOOSE([2]PYGE!E1,[2]PYGE!#REF!,([2]PYGA!#REF!/[2]PYGPM!#REF!)*[2]PYGPM!#REF!,[2]PYGE!#REF!,[2]PYGE!#REF!,([2]PYGA!#REF!/[2]PYGPM!#REF!)*[2]PYGPM!#REF!,[2]PYGE!T1)</definedName>
    <definedName name="Julio11">CHOOSE([2]PYGE!$O1,[2]PYGE!#REF!,([2]PYGA!#REF!/[2]PYGPM!#REF!)*[2]PYGPM!#REF!,[2]PYGE!#REF!,[2]PYGE!#REF!,([2]PYGA!#REF!/[2]PYGPM!#REF!)*[2]PYGPM!#REF!,[2]PYGE!T1)</definedName>
    <definedName name="Julio11a">CHOOSE([2]PYGE!$O1,[2]PYGE!#REF!,([2]PYGA!#REF!/[2]PYGPM!#REF!)*[2]PYGPM!#REF!,[2]PYGE!#REF!,[2]PYGE!#REF!,([2]PYGA!#REF!/[2]PYGPM!#REF!)*[2]PYGPM!#REF!,[2]PYGE!T1)</definedName>
    <definedName name="Julio12">CHOOSE([2]PYGE!C1,[2]PYGE!#REF!,([2]PYGA!#REF!/[2]PYGPM!#REF!)*[2]PYGPM!#REF!,[2]PYGE!#REF!,[2]PYGE!#REF!,([2]PYGA!#REF!/[2]PYGPM!#REF!)*[2]PYGPM!#REF!,[2]PYGE!T1)</definedName>
    <definedName name="Julio12a">CHOOSE([2]PYGE!C1,[2]PYGE!#REF!,([2]PYGA!#REF!/[2]PYGPM!#REF!)*[2]PYGPM!#REF!,[2]PYGE!#REF!,[2]PYGE!#REF!,([2]PYGA!#REF!/[2]PYGPM!#REF!)*[2]PYGPM!#REF!,[2]PYGE!T1)</definedName>
    <definedName name="Julio9">CHOOSE([2]PYGE!F1,[2]PYGE!#REF!,([2]PYGA!#REF!/[2]PYGPM!#REF!)*[2]PYGPM!#REF!,[2]PYGE!#REF!,[2]PYGE!#REF!,([2]PYGA!#REF!/[2]PYGPM!#REF!)*[2]PYGPM!#REF!,[2]PYGE!T1)</definedName>
    <definedName name="Julio9a">CHOOSE([2]PYGE!F1,[2]PYGE!#REF!,([2]PYGA!#REF!/[2]PYGPM!#REF!)*[2]PYGPM!#REF!,[2]PYGE!#REF!,[2]PYGE!#REF!,([2]PYGA!#REF!/[2]PYGPM!#REF!)*[2]PYGPM!#REF!,[2]PYGE!T1)</definedName>
    <definedName name="Jun">6</definedName>
    <definedName name="Junio10">CHOOSE([2]PYGE!E1,[2]PYGE!#REF!,([2]PYGA!#REF!/[2]PYGPM!#REF!)*[2]PYGPM!#REF!,[2]PYGE!#REF!,[2]PYGE!#REF!,([2]PYGA!#REF!/[2]PYGPM!#REF!)*[2]PYGPM!#REF!,[2]PYGE!T1)</definedName>
    <definedName name="Junio10a">CHOOSE([2]PYGE!E1,[2]PYGE!#REF!,([2]PYGA!#REF!/[2]PYGPM!#REF!)*[2]PYGPM!#REF!,[2]PYGE!#REF!,[2]PYGE!#REF!,([2]PYGA!#REF!/[2]PYGPM!#REF!)*[2]PYGPM!#REF!,[2]PYGE!T1)</definedName>
    <definedName name="Junio11">CHOOSE([2]PYGE!$O1,[2]PYGE!#REF!,([2]PYGA!#REF!/[2]PYGPM!#REF!)*[2]PYGPM!#REF!,[2]PYGE!#REF!,[2]PYGE!#REF!,([2]PYGA!#REF!/[2]PYGPM!#REF!)*[2]PYGPM!#REF!,[2]PYGE!T1)</definedName>
    <definedName name="Junio11a">CHOOSE([2]PYGE!D1,[2]PYGE!#REF!,([2]PYGA!#REF!/[2]PYGPM!#REF!)*[2]PYGPM!#REF!,[2]PYGE!#REF!,[2]PYGE!#REF!,([2]PYGA!#REF!/[2]PYGPM!#REF!)*[2]PYGPM!#REF!,[2]PYGE!T1)</definedName>
    <definedName name="Junio12">CHOOSE([2]PYGE!C1,[2]PYGE!#REF!,([2]PYGA!#REF!/[2]PYGPM!#REF!)*[2]PYGPM!#REF!,[2]PYGE!#REF!,[2]PYGE!#REF!,([2]PYGA!#REF!/[2]PYGPM!#REF!)*[2]PYGPM!#REF!,[2]PYGE!T1)</definedName>
    <definedName name="Junio12a">CHOOSE([2]PYGE!C1,[2]PYGE!#REF!,([2]PYGA!#REF!/[2]PYGPM!#REF!)*[2]PYGPM!#REF!,[2]PYGE!#REF!,[2]PYGE!#REF!,([2]PYGA!#REF!/[2]PYGPM!#REF!)*[2]PYGPM!#REF!,[2]PYGE!T1)</definedName>
    <definedName name="Junio8">CHOOSE([2]PYGE!G1,[2]PYGE!#REF!,([2]PYGA!#REF!/[2]PYGPM!#REF!)*[2]PYGPM!#REF!,[2]PYGE!#REF!,[2]PYGE!#REF!,([2]PYGA!#REF!/[2]PYGPM!#REF!)*[2]PYGPM!#REF!,[2]PYGE!T1)</definedName>
    <definedName name="Junio8a">CHOOSE([2]PYGE!G1,[2]PYGE!#REF!,([2]PYGA!#REF!/[2]PYGPM!#REF!)*[2]PYGPM!#REF!,[2]PYGE!#REF!,[2]PYGE!#REF!,([2]PYGA!#REF!/[2]PYGPM!#REF!)*[2]PYGPM!#REF!,[2]PYGE!T1)</definedName>
    <definedName name="Junio9">CHOOSE([2]PYGE!F1,[2]PYGE!#REF!,([2]PYGA!#REF!/[2]PYGPM!#REF!)*[2]PYGPM!#REF!,[2]PYGE!#REF!,[2]PYGE!#REF!,([2]PYGA!#REF!/[2]PYGPM!#REF!)*[2]PYGPM!#REF!,[2]PYGE!T1)</definedName>
    <definedName name="Junio9a">CHOOSE([2]PYGE!F1,[2]PYGE!#REF!,([2]PYGA!#REF!/[2]PYGPM!#REF!)*[2]PYGPM!#REF!,[2]PYGE!#REF!,[2]PYGE!#REF!,([2]PYGA!#REF!/[2]PYGPM!#REF!)*[2]PYGPM!#REF!,[2]PYGE!T1)</definedName>
    <definedName name="LINEAS">'[10]INDICADORES ECONOMICOS'!$E$13:$E$16</definedName>
    <definedName name="LINEAS2">#REF!</definedName>
    <definedName name="mama" hidden="1">'[1]Datos-Gráfica-Apartada'!#REF!</definedName>
    <definedName name="MANOBRA">#REF!</definedName>
    <definedName name="Mar">3</definedName>
    <definedName name="Marzo10">CHOOSE([2]PYGE!E1,[2]PYGE!#REF!,([2]PYGA!#REF!/[2]PYGPM!#REF!)*[2]PYGPM!#REF!,[2]PYGE!#REF!,[2]PYGE!#REF!,([2]PYGA!#REF!/[2]PYGPM!#REF!)*[2]PYGPM!#REF!,[2]PYGE!T1)</definedName>
    <definedName name="Marzo10a">CHOOSE([2]PYGE!E1,[2]PYGE!#REF!,([2]PYGA!#REF!/[2]PYGPM!#REF!)*[2]PYGPM!#REF!,[2]PYGE!#REF!,[2]PYGE!#REF!,([2]PYGA!#REF!/[2]PYGPM!#REF!)*[2]PYGPM!#REF!,[2]PYGE!T1)</definedName>
    <definedName name="Marzo11">CHOOSE([2]PYGE!D1,[2]PYGE!#REF!,([2]PYGA!#REF!/[2]PYGPM!#REF!)*[2]PYGPM!#REF!,[2]PYGE!#REF!,[2]PYGE!#REF!,([2]PYGA!#REF!/[2]PYGPM!#REF!)*[2]PYGPM!#REF!,[2]PYGE!T1)</definedName>
    <definedName name="Marzo11a">CHOOSE([2]PYGE!D1,[2]PYGE!#REF!,([2]PYGA!#REF!/[2]PYGPM!#REF!)*[2]PYGPM!#REF!,[2]PYGE!#REF!,[2]PYGE!#REF!,([2]PYGA!#REF!/[2]PYGPM!#REF!)*[2]PYGPM!#REF!,[2]PYGE!T1)</definedName>
    <definedName name="Marzo12">CHOOSE([2]PYGE!C1,[2]PYGE!#REF!,([2]PYGA!#REF!/[2]PYGPM!#REF!)*[2]PYGPM!#REF!,[2]PYGE!#REF!,[2]PYGE!#REF!,([2]PYGA!#REF!/[2]PYGPM!#REF!)*[2]PYGPM!#REF!,[2]PYGE!T1)</definedName>
    <definedName name="Marzo12a">CHOOSE([2]PYGE!C1,[2]PYGE!#REF!,([2]PYGA!#REF!/[2]PYGPM!#REF!)*[2]PYGPM!#REF!,[2]PYGE!#REF!,[2]PYGE!#REF!,([2]PYGA!#REF!/[2]PYGPM!#REF!)*[2]PYGPM!#REF!,[2]PYGE!T1)</definedName>
    <definedName name="Marzo5">CHOOSE([2]PYGE!J1,[2]PYGE!#REF!,([2]PYGA!#REF!/[2]PYGPM!#REF!)*[2]PYGPM!#REF!,[2]PYGE!#REF!,[2]PYGE!#REF!,([2]PYGA!#REF!/[2]PYGPM!#REF!)*[2]PYGPM!#REF!,[2]PYGE!T1)</definedName>
    <definedName name="Marzo5a">CHOOSE([2]PYGE!J1,[2]PYGE!#REF!,([2]PYGA!#REF!/[2]PYGPM!#REF!)*[2]PYGPM!#REF!,[2]PYGE!#REF!,[2]PYGE!#REF!,([2]PYGA!#REF!/[2]PYGPM!#REF!)*[2]PYGPM!#REF!,[2]PYGE!T1)</definedName>
    <definedName name="Marzo6">CHOOSE([2]PYGE!I1,[2]PYGE!#REF!,([2]PYGA!#REF!/[2]PYGPM!#REF!)*[2]PYGPM!#REF!,[2]PYGE!#REF!,[2]PYGE!#REF!,([2]PYGA!#REF!/[2]PYGPM!#REF!)*[2]PYGPM!#REF!,[2]PYGE!T1)</definedName>
    <definedName name="Marzo6a">CHOOSE([2]PYGE!I1,[2]PYGE!#REF!,([2]PYGA!#REF!/[2]PYGPM!#REF!)*[2]PYGPM!#REF!,[2]PYGE!#REF!,[2]PYGE!#REF!,([2]PYGA!#REF!/[2]PYGPM!#REF!)*[2]PYGPM!#REF!,[2]PYGE!T1)</definedName>
    <definedName name="Marzo7">CHOOSE([2]PYGE!H1,[2]PYGE!#REF!,([2]PYGA!#REF!/[2]PYGPM!#REF!)*[2]PYGPM!#REF!,[2]PYGE!#REF!,[2]PYGE!#REF!,([2]PYGA!#REF!/[2]PYGPM!#REF!)*[2]PYGPM!#REF!,[2]PYGE!T1)</definedName>
    <definedName name="Marzo7a">CHOOSE([2]PYGE!H1,[2]PYGE!#REF!,([2]PYGA!#REF!/[2]PYGPM!#REF!)*[2]PYGPM!#REF!,[2]PYGE!#REF!,[2]PYGE!#REF!,([2]PYGA!#REF!/[2]PYGPM!#REF!)*[2]PYGPM!#REF!,[2]PYGE!T1)</definedName>
    <definedName name="Marzo8">CHOOSE([2]PYGE!G1,[2]PYGE!#REF!,([2]PYGA!#REF!/[2]PYGPM!#REF!)*[2]PYGPM!#REF!,[2]PYGE!#REF!,[2]PYGE!#REF!,([2]PYGA!#REF!/[2]PYGPM!#REF!)*[2]PYGPM!#REF!,[2]PYGE!T1)</definedName>
    <definedName name="Marzo8a">CHOOSE([2]PYGE!G1,[2]PYGE!#REF!,([2]PYGA!#REF!/[2]PYGPM!#REF!)*[2]PYGPM!#REF!,[2]PYGE!#REF!,[2]PYGE!#REF!,([2]PYGA!#REF!/[2]PYGPM!#REF!)*[2]PYGPM!#REF!,[2]PYGE!T1)</definedName>
    <definedName name="Marzo9">CHOOSE([2]PYGE!F1,[2]PYGE!#REF!,([2]PYGA!#REF!/[2]PYGPM!#REF!)*[2]PYGPM!#REF!,[2]PYGE!#REF!,[2]PYGE!#REF!,([2]PYGA!#REF!/[2]PYGPM!#REF!)*[2]PYGPM!#REF!,[2]PYGE!T1)</definedName>
    <definedName name="Marzo9a">CHOOSE([2]PYGE!F1,[2]PYGE!#REF!,([2]PYGA!#REF!/[2]PYGPM!#REF!)*[2]PYGPM!#REF!,[2]PYGE!#REF!,[2]PYGE!#REF!,([2]PYGA!#REF!/[2]PYGPM!#REF!)*[2]PYGPM!#REF!,[2]PYGE!T1)</definedName>
    <definedName name="MATERIAL">#REF!</definedName>
    <definedName name="May">5</definedName>
    <definedName name="Mayo10">CHOOSE([2]PYGE!E1,[2]PYGE!#REF!,([2]PYGA!#REF!/[2]PYGPM!#REF!)*[2]PYGPM!#REF!,[2]PYGE!#REF!,[2]PYGE!#REF!,([2]PYGA!#REF!/[2]PYGPM!#REF!)*[2]PYGPM!#REF!,[2]PYGE!T1)</definedName>
    <definedName name="Mayo10a">CHOOSE([2]PYGE!E1,[2]PYGE!#REF!,([2]PYGA!#REF!/[2]PYGPM!#REF!)*[2]PYGPM!#REF!,[2]PYGE!#REF!,[2]PYGE!#REF!,([2]PYGA!#REF!/[2]PYGPM!#REF!)*[2]PYGPM!#REF!,[2]PYGE!T1)</definedName>
    <definedName name="Mayo11">CHOOSE([2]PYGE!D1,[2]PYGE!#REF!,([2]PYGA!#REF!/[2]PYGPM!#REF!)*[2]PYGPM!#REF!,[2]PYGE!#REF!,[2]PYGE!#REF!,([2]PYGA!#REF!/[2]PYGPM!#REF!)*[2]PYGPM!#REF!,[2]PYGE!T1)</definedName>
    <definedName name="Mayo11a">CHOOSE([2]PYGE!D1,[2]PYGE!#REF!,([2]PYGA!#REF!/[2]PYGPM!#REF!)*[2]PYGPM!#REF!,[2]PYGE!#REF!,[2]PYGE!#REF!,([2]PYGA!#REF!/[2]PYGPM!#REF!)*[2]PYGPM!#REF!,[2]PYGE!T1)</definedName>
    <definedName name="Mayo12">CHOOSE([2]PYGE!C1,[2]PYGE!#REF!,([2]PYGA!#REF!/[2]PYGPM!#REF!)*[2]PYGPM!#REF!,[2]PYGE!#REF!,[2]PYGE!#REF!,([2]PYGA!#REF!/[2]PYGPM!#REF!)*[2]PYGPM!#REF!,[2]PYGE!T1)</definedName>
    <definedName name="Mayo12a">CHOOSE([2]PYGE!C1,[2]PYGE!#REF!,([2]PYGA!#REF!/[2]PYGPM!#REF!)*[2]PYGPM!#REF!,[2]PYGE!#REF!,[2]PYGE!#REF!,([2]PYGA!#REF!/[2]PYGPM!#REF!)*[2]PYGPM!#REF!,[2]PYGE!T1)</definedName>
    <definedName name="Mayo7">CHOOSE([2]PYGE!H1,[2]PYGE!#REF!,([2]PYGA!#REF!/[2]PYGPM!#REF!)*[2]PYGPM!#REF!,[2]PYGE!#REF!,[2]PYGE!#REF!,([2]PYGA!#REF!/[2]PYGPM!#REF!)*[2]PYGPM!#REF!,[2]PYGE!T1)</definedName>
    <definedName name="Mayo7a">CHOOSE([2]PYGE!H1,[2]PYGE!#REF!,([2]PYGA!#REF!/[2]PYGPM!#REF!)*[2]PYGPM!#REF!,[2]PYGE!#REF!,[2]PYGE!#REF!,([2]PYGA!#REF!/[2]PYGPM!#REF!)*[2]PYGPM!#REF!,[2]PYGE!T1)</definedName>
    <definedName name="Mayo8">CHOOSE([2]PYGE!G1,[2]PYGE!#REF!,([2]PYGA!#REF!/[2]PYGPM!#REF!)*[2]PYGPM!#REF!,[2]PYGE!#REF!,[2]PYGE!#REF!,([2]PYGA!#REF!/[2]PYGPM!#REF!)*[2]PYGPM!#REF!,[2]PYGE!T1)</definedName>
    <definedName name="Mayo8a">CHOOSE([2]PYGE!G1,[2]PYGE!#REF!,([2]PYGA!#REF!/[2]PYGPM!#REF!)*[2]PYGPM!#REF!,[2]PYGE!#REF!,[2]PYGE!#REF!,([2]PYGA!#REF!/[2]PYGPM!#REF!)*[2]PYGPM!#REF!,[2]PYGE!T1)</definedName>
    <definedName name="Mayo9">CHOOSE([2]PYGE!F1,[2]PYGE!#REF!,([2]PYGA!#REF!/[2]PYGPM!#REF!)*[2]PYGPM!#REF!,[2]PYGE!#REF!,[2]PYGE!#REF!,([2]PYGA!#REF!/[2]PYGPM!#REF!)*[2]PYGPM!#REF!,[2]PYGE!T1)</definedName>
    <definedName name="Mayo9a">CHOOSE([2]PYGE!F1,[2]PYGE!#REF!,([2]PYGA!#REF!/[2]PYGPM!#REF!)*[2]PYGPM!#REF!,[2]PYGE!#REF!,[2]PYGE!#REF!,([2]PYGA!#REF!/[2]PYGPM!#REF!)*[2]PYGPM!#REF!,[2]PYGE!T1)</definedName>
    <definedName name="Mes">[2]PYGE!$B$5</definedName>
    <definedName name="MES_2">#REF!</definedName>
    <definedName name="N">#REF!</definedName>
    <definedName name="nivelformacion">#REF!</definedName>
    <definedName name="nivelprofesional">#REF!</definedName>
    <definedName name="NO">#REF!</definedName>
    <definedName name="NO1Abril10">CHOOSE([2]PYGE!$O1,[2]PYGE!#REF!,([2]NOA!#REF!/[2]NOA!#REF!)*[2]NOA!#REF!,[2]PYGE!#REF!,[2]PYGE!#REF!,([2]NOA!#REF!/[2]NOA!#REF!)*[2]NOA!#REF!,[2]PYGE!T1)</definedName>
    <definedName name="NO1Abril11">CHOOSE([2]PYGE!$O1,[2]PYGE!#REF!,([2]NOA!#REF!/[2]NOA!#REF!)*[2]NOA!#REF!,[2]PYGE!#REF!,[2]PYGE!#REF!,([2]NOA!#REF!/[2]NOA!#REF!)*[2]NOA!#REF!,[2]PYGE!T1)</definedName>
    <definedName name="NO1Abril12">CHOOSE([2]PYGE!$O1,[2]PYGE!#REF!,([2]NOA!#REF!/[2]NOA!#REF!)*[2]NOA!#REF!,[2]PYGE!#REF!,[2]PYGE!#REF!,([2]NOA!#REF!/[2]NOA!#REF!)*[2]NOA!#REF!,[2]PYGE!T1)</definedName>
    <definedName name="NO1Abril6">CHOOSE([2]PYGE!$O1,[2]PYGE!#REF!,([2]NOA!#REF!/[2]NOA!#REF!)*[2]NOA!#REF!,[2]PYGE!#REF!,[2]PYGE!#REF!,([2]NOA!#REF!/[2]NOA!#REF!)*[2]NOA!#REF!,[2]PYGE!T1)</definedName>
    <definedName name="NO1Abril7">CHOOSE([2]PYGE!$O1,[2]PYGE!#REF!,([2]NOA!#REF!/[2]NOA!#REF!)*[2]NOA!#REF!,[2]PYGE!#REF!,[2]PYGE!#REF!,([2]NOA!#REF!/[2]NOA!#REF!)*[2]NOA!#REF!,[2]PYGE!T1)</definedName>
    <definedName name="NO1Abril8">CHOOSE([2]PYGE!$O1,[2]PYGE!#REF!,([2]NOA!#REF!/[2]NOA!#REF!)*[2]NOA!#REF!,[2]PYGE!#REF!,[2]PYGE!#REF!,([2]NOA!#REF!/[2]NOA!#REF!)*[2]NOA!#REF!,[2]PYGE!T1)</definedName>
    <definedName name="NO1Abril9">CHOOSE([2]PYGE!$O1,[2]PYGE!#REF!,([2]NOA!#REF!/[2]NOA!#REF!)*[2]NOA!#REF!,[2]PYGE!#REF!,[2]PYGE!#REF!,([2]NOA!#REF!/[2]NOA!#REF!)*[2]NOA!#REF!,[2]PYGE!T1)</definedName>
    <definedName name="NO1Agosto10">CHOOSE([2]PYGE!$O1,[2]PYGE!#REF!,([2]NOA!#REF!/[2]NOA!#REF!)*[2]NOA!#REF!,[2]PYGE!#REF!,[2]PYGE!#REF!,([2]NOA!#REF!/[2]NOA!#REF!)*[2]NOA!#REF!,[2]PYGE!T1)</definedName>
    <definedName name="NO1Agosto11">CHOOSE([2]PYGE!$O1,[2]PYGE!#REF!,([2]NOA!#REF!/[2]NOA!#REF!)*[2]NOA!#REF!,[2]PYGE!#REF!,[2]PYGE!#REF!,([2]NOA!#REF!/[2]NOA!#REF!)*[2]NOA!#REF!,[2]PYGE!T1)</definedName>
    <definedName name="NO1Agosto12">CHOOSE([2]PYGE!$O1,[2]PYGE!#REF!,([2]NOA!#REF!/[2]NOA!#REF!)*[2]NOA!#REF!,[2]PYGE!#REF!,[2]PYGE!#REF!,([2]NOA!#REF!/[2]NOA!#REF!)*[2]NOA!#REF!,[2]PYGE!T1)</definedName>
    <definedName name="NO1Enero10">CHOOSE([2]PYGE!$O1,[2]PYGE!#REF!,([2]NOA!#REF!/[2]NOA!#REF!)*[2]NOA!#REF!,[2]PYGE!#REF!,[2]PYGE!#REF!,([2]NOA!#REF!/[2]NOA!#REF!)*[2]NOA!#REF!,[2]PYGE!T1)</definedName>
    <definedName name="NO1Enero11">CHOOSE([2]PYGE!$O1,[2]PYGE!#REF!,([2]NOA!#REF!/[2]NOA!#REF!)*[2]NOA!#REF!,[2]PYGE!#REF!,[2]PYGE!#REF!,([2]NOA!#REF!/[2]NOA!#REF!)*[2]NOA!#REF!,[2]PYGE!T1)</definedName>
    <definedName name="NO1Enero12">CHOOSE([2]PYGE!$O1,[2]PYGE!#REF!,([2]NOA!#REF!/[2]NOA!#REF!)*[2]NOA!#REF!,[2]PYGE!#REF!,[2]PYGE!#REF!,([2]NOA!#REF!/[2]NOA!#REF!)*[2]NOA!#REF!,[2]PYGE!T1)</definedName>
    <definedName name="NO1Enero3">CHOOSE([2]PYGE!$O1,[2]NOA!#REF!,([2]NOA!#REF!/[2]NOA!#REF!)*[2]NOA!#REF!,[2]NOA!#REF!,([2]NOA!#REF!-[2]NOA!#REF!)/11,([2]NOA!#REF!/[2]NOA!#REF!)*[2]NOA!#REF!,[2]PYGE!T1)</definedName>
    <definedName name="NO1Enero4">CHOOSE([2]PYGE!$O1,[2]PYGE!#REF!,([2]NOA!#REF!/[2]NOA!#REF!)*[2]NOA!#REF!,[2]PYGE!#REF!,([2]NOA!#REF!-[2]NOA!#REF!)/11,([2]NOA!#REF!/[2]NOA!#REF!)*[2]NOA!#REF!,[2]PYGE!T1)</definedName>
    <definedName name="NO1Enero5">CHOOSE([2]PYGE!$O1,[2]PYGE!#REF!,([2]NOA!#REF!/[2]NOA!#REF!)*[2]NOA!#REF!,[2]PYGE!#REF!,[2]PYGE!#REF!,([2]NOA!#REF!/[2]NOA!#REF!)*[2]NOA!#REF!,[2]PYGE!T1)</definedName>
    <definedName name="NO1Enero6">CHOOSE([2]PYGE!$O1,[2]PYGE!#REF!,([2]NOA!#REF!/[2]NOA!#REF!)*[2]NOA!#REF!,[2]PYGE!#REF!,[2]PYGE!#REF!,([2]NOA!#REF!/[2]NOA!#REF!)*[2]NOA!#REF!,[2]PYGE!T1)</definedName>
    <definedName name="NO1Enero7">CHOOSE([2]PYGE!$O1,[2]PYGE!#REF!,([2]NOA!#REF!/[2]NOA!#REF!)*[2]NOA!#REF!,[2]PYGE!#REF!,[2]PYGE!#REF!,([2]NOA!#REF!/[2]NOA!#REF!)*[2]NOA!#REF!,[2]PYGE!T1)</definedName>
    <definedName name="NO1Enero8">CHOOSE([2]PYGE!$O1,[2]PYGE!#REF!,([2]NOA!#REF!/[2]NOA!#REF!)*[2]NOA!#REF!,[2]PYGE!#REF!,[2]PYGE!#REF!,([2]NOA!#REF!/[2]NOA!#REF!)*[2]NOA!#REF!,[2]PYGE!T1)</definedName>
    <definedName name="NO1Enero9">CHOOSE([2]PYGE!$O1,[2]NOA!#REF!,([2]NOA!#REF!/[2]NOA!#REF!)*[2]NOA!#REF!,[2]PYGE!#REF!,[2]PYGE!#REF!,([2]NOA!#REF!/[2]NOA!#REF!)*[2]NOA!#REF!,[2]PYGE!T1)</definedName>
    <definedName name="NO1Febrero10">CHOOSE([2]PYGE!$O1,[2]PYGE!#REF!,([2]NOA!#REF!/[2]NOA!#REF!)*[2]NOA!#REF!,[2]PYGE!#REF!,[2]PYGE!#REF!,([2]NOA!#REF!/[2]NOA!#REF!)*[2]NOA!#REF!,[2]PYGE!T1)</definedName>
    <definedName name="NO1Febrero11">CHOOSE([2]PYGE!$O1,[2]PYGE!#REF!,([2]NOA!#REF!/[2]NOA!#REF!)*[2]NOA!#REF!,[2]PYGE!#REF!,[2]PYGE!#REF!,([2]NOA!#REF!/[2]NOA!#REF!)*[2]NOA!#REF!,[2]PYGE!T1)</definedName>
    <definedName name="NO1Febrero12">CHOOSE([2]PYGE!$O1,[2]PYGE!#REF!,([2]NOA!#REF!/[2]NOA!#REF!)*[2]NOA!#REF!,[2]PYGE!#REF!,[2]PYGE!#REF!,([2]NOA!#REF!/[2]NOA!#REF!)*[2]NOA!#REF!,[2]PYGE!T1)</definedName>
    <definedName name="NO1Febrero4">CHOOSE([2]PYGE!$O1,[2]PYGE!#REF!,([2]NOA!#REF!/[2]NOA!#REF!)*[2]NOA!#REF!,[2]PYGE!#REF!,[2]PYGE!#REF!,([2]NOA!#REF!/[2]NOA!#REF!)*[2]NOA!#REF!,[2]PYGE!T1)</definedName>
    <definedName name="NO1Febrero5">CHOOSE([2]PYGE!$O1,[2]PYGE!#REF!,([2]NOA!#REF!/[2]NOA!#REF!)*[2]NOA!#REF!,[2]PYGE!#REF!,[2]PYGE!#REF!,([2]NOA!#REF!/[2]NOA!#REF!)*[2]NOA!#REF!,[2]PYGE!T1)</definedName>
    <definedName name="NO1Febrero6">CHOOSE([2]PYGE!$O1,[2]PYGE!#REF!,([2]NOA!#REF!/[2]NOA!#REF!)*[2]NOA!#REF!,[2]PYGE!#REF!,[2]PYGE!#REF!,([2]NOA!#REF!/[2]NOA!#REF!)*[2]NOA!#REF!,[2]PYGE!T1)</definedName>
    <definedName name="NO1Febrero7">CHOOSE([2]PYGE!$O1,[2]PYGE!#REF!,([2]NOA!#REF!/[2]NOA!#REF!)*[2]NOA!#REF!,[2]PYGE!#REF!,[2]PYGE!#REF!,([2]NOA!#REF!/[2]NOA!#REF!)*[2]NOA!#REF!,[2]PYGE!T1)</definedName>
    <definedName name="NO1Febrero8">CHOOSE([2]PYGE!$O1,[2]PYGE!#REF!,([2]NOA!#REF!/[2]NOA!#REF!)*[2]NOA!#REF!,[2]PYGE!#REF!,[2]PYGE!#REF!,([2]NOA!#REF!/[2]NOA!#REF!)*[2]NOA!#REF!,[2]PYGE!T1)</definedName>
    <definedName name="NO1Febrero9">CHOOSE([2]PYGE!$O1,[2]PYGE!#REF!,([2]NOA!#REF!/[2]NOA!#REF!)*[2]NOA!#REF!,[2]PYGE!#REF!,[2]PYGE!#REF!,([2]NOA!#REF!/[2]NOA!#REF!)*[2]NOA!#REF!,[2]PYGE!T1)</definedName>
    <definedName name="NO1Julio10">CHOOSE([2]PYGE!$O1,[2]PYGE!#REF!,([2]NOA!#REF!/[2]NOA!#REF!)*[2]NOA!#REF!,[2]PYGE!#REF!,[2]PYGE!#REF!,([2]NOA!#REF!/[2]NOA!#REF!)*[2]NOA!#REF!,[2]PYGE!T1)</definedName>
    <definedName name="NO1Julio11">CHOOSE([2]PYGE!$O1,[2]PYGE!#REF!,([2]NOA!#REF!/[2]NOA!#REF!)*[2]NOA!#REF!,[2]PYGE!#REF!,[2]PYGE!#REF!,([2]NOA!#REF!/[2]NOA!#REF!)*[2]NOA!#REF!,[2]PYGE!T1)</definedName>
    <definedName name="NO1Julio12">CHOOSE([2]PYGE!$O1,[2]PYGE!#REF!,([2]NOA!#REF!/[2]NOA!#REF!)*[2]NOA!#REF!,[2]PYGE!#REF!,[2]PYGE!#REF!,([2]NOA!#REF!/[2]NOA!#REF!)*[2]NOA!#REF!,[2]PYGE!T1)</definedName>
    <definedName name="NO1Julio9">CHOOSE([2]PYGE!$O1,[2]PYGE!#REF!,([2]NOA!#REF!/[2]NOA!#REF!)*[2]NOA!#REF!,[2]PYGE!#REF!,[2]PYGE!#REF!,([2]NOA!#REF!/[2]NOA!#REF!)*[2]NOA!#REF!,[2]PYGE!T1)</definedName>
    <definedName name="NO1Junio10">CHOOSE([2]PYGE!$O1,[2]PYGE!#REF!,([2]NOA!#REF!/[2]NOA!#REF!)*[2]NOA!#REF!,[2]PYGE!#REF!,[2]PYGE!#REF!,([2]NOA!#REF!/[2]NOA!#REF!)*[2]NOA!#REF!,[2]PYGE!T1)</definedName>
    <definedName name="NO1Junio11">CHOOSE([2]PYGE!$O1,[2]PYGE!#REF!,([2]NOA!#REF!/[2]NOA!#REF!)*[2]NOA!#REF!,[2]PYGE!#REF!,[2]PYGE!#REF!,([2]NOA!#REF!/[2]NOA!#REF!)*[2]NOA!#REF!,[2]PYGE!T1)</definedName>
    <definedName name="NO1Junio12">CHOOSE([2]PYGE!$O1,[2]PYGE!#REF!,([2]NOA!#REF!/[2]NOA!#REF!)*[2]NOA!#REF!,[2]PYGE!#REF!,[2]PYGE!#REF!,([2]NOA!#REF!/[2]NOA!#REF!)*[2]NOA!#REF!,[2]PYGE!T1)</definedName>
    <definedName name="NO1Junio8">CHOOSE([2]PYGE!$O1,[2]PYGE!#REF!,([2]NOA!#REF!/[2]NOA!#REF!)*[2]NOA!#REF!,[2]PYGE!#REF!,[2]PYGE!#REF!,([2]NOA!#REF!/[2]NOA!#REF!)*[2]NOA!#REF!,[2]PYGE!T1)</definedName>
    <definedName name="NO1Junio9">CHOOSE([2]PYGE!$O1,[2]PYGE!#REF!,([2]NOA!#REF!/[2]NOA!#REF!)*[2]NOA!#REF!,[2]PYGE!#REF!,[2]PYGE!#REF!,([2]NOA!#REF!/[2]NOA!#REF!)*[2]NOA!#REF!,[2]PYGE!T1)</definedName>
    <definedName name="NO1Marzo10">CHOOSE([2]PYGE!$O1,[2]PYGE!#REF!,([2]NOA!#REF!/[2]NOA!#REF!)*[2]NOA!#REF!,[2]PYGE!#REF!,[2]PYGE!#REF!,([2]NOA!#REF!/[2]NOA!#REF!)*[2]NOA!#REF!,[2]PYGE!T1)</definedName>
    <definedName name="NO1Marzo11">CHOOSE([2]PYGE!$O1,[2]PYGE!#REF!,([2]NOA!#REF!/[2]NOA!#REF!)*[2]NOA!#REF!,[2]PYGE!#REF!,[2]PYGE!#REF!,([2]NOA!#REF!/[2]NOA!#REF!)*[2]NOA!#REF!,[2]PYGE!T1)</definedName>
    <definedName name="NO1Marzo12">CHOOSE([2]PYGE!$O1,[2]PYGE!#REF!,([2]NOA!#REF!/[2]NOA!#REF!)*[2]NOA!#REF!,[2]PYGE!#REF!,[2]PYGE!#REF!,([2]NOA!#REF!/[2]NOA!#REF!)*[2]NOA!#REF!,[2]PYGE!T1)</definedName>
    <definedName name="NO1Marzo5">CHOOSE([2]PYGE!$O1,[2]PYGE!#REF!,([2]NOA!#REF!/[2]NOA!#REF!)*[2]NOA!#REF!,[2]PYGE!#REF!,[2]PYGE!#REF!,([2]NOA!#REF!/[2]NOA!#REF!)*[2]NOA!#REF!,[2]PYGE!T1)</definedName>
    <definedName name="NO1Marzo6">CHOOSE([2]PYGE!$O1,[2]PYGE!#REF!,([2]NOA!#REF!/[2]NOA!#REF!)*[2]NOA!#REF!,[2]PYGE!#REF!,[2]PYGE!#REF!,([2]NOA!#REF!/[2]NOA!#REF!)*[2]NOA!#REF!,[2]PYGE!T1)</definedName>
    <definedName name="NO1Marzo7">CHOOSE([2]PYGE!$O1,[2]PYGE!#REF!,([2]NOA!#REF!/[2]NOA!#REF!)*[2]NOA!#REF!,[2]PYGE!#REF!,[2]PYGE!#REF!,([2]NOA!#REF!/[2]NOA!#REF!)*[2]NOA!#REF!,[2]PYGE!T1)</definedName>
    <definedName name="NO1Marzo8">CHOOSE([2]PYGE!$O1,[2]PYGE!#REF!,([2]NOA!#REF!/[2]NOA!#REF!)*[2]NOA!#REF!,[2]PYGE!#REF!,[2]PYGE!#REF!,([2]NOA!#REF!/[2]NOA!#REF!)*[2]NOA!#REF!,[2]PYGE!T1)</definedName>
    <definedName name="NO1Marzo9">CHOOSE([2]PYGE!$O1,[2]PYGE!#REF!,([2]NOA!#REF!/[2]NOA!#REF!)*[2]NOA!#REF!,[2]PYGE!#REF!,[2]PYGE!#REF!,([2]NOA!#REF!/[2]NOA!#REF!)*[2]NOA!#REF!,[2]PYGE!T1)</definedName>
    <definedName name="NO1Mayo10">CHOOSE([2]PYGE!$O1,[2]PYGE!#REF!,([2]NOA!#REF!/[2]NOA!#REF!)*[2]NOA!#REF!,[2]PYGE!#REF!,[2]PYGE!#REF!,([2]NOA!#REF!/[2]NOA!#REF!)*[2]NOA!#REF!,[2]PYGE!T1)</definedName>
    <definedName name="NO1Mayo11">CHOOSE([2]PYGE!$O1,[2]PYGE!#REF!,([2]NOA!#REF!/[2]NOA!#REF!)*[2]NOA!#REF!,[2]PYGE!#REF!,[2]PYGE!#REF!,([2]NOA!#REF!/[2]NOA!#REF!)*[2]NOA!#REF!,[2]PYGE!T1)</definedName>
    <definedName name="NO1Mayo12">CHOOSE([2]PYGE!$O1,[2]PYGE!#REF!,([2]NOA!#REF!/[2]NOA!#REF!)*[2]NOA!#REF!,[2]PYGE!#REF!,[2]PYGE!#REF!,([2]NOA!#REF!/[2]NOA!#REF!)*[2]NOA!#REF!,[2]PYGE!T1)</definedName>
    <definedName name="NO1Mayo7">CHOOSE([2]PYGE!$O1,[2]PYGE!#REF!,([2]NOA!#REF!/[2]NOA!#REF!)*[2]NOA!#REF!,[2]PYGE!#REF!,[2]PYGE!#REF!,([2]NOA!#REF!/[2]NOA!#REF!)*[2]NOA!#REF!,[2]PYGE!T1)</definedName>
    <definedName name="NO1Mayo8">CHOOSE([2]PYGE!$O1,[2]PYGE!#REF!,([2]NOA!#REF!/[2]NOA!#REF!)*[2]NOA!#REF!,[2]PYGE!#REF!,[2]PYGE!#REF!,([2]NOA!#REF!/[2]NOA!#REF!)*[2]NOA!#REF!,[2]PYGE!T1)</definedName>
    <definedName name="NO1Mayo9">CHOOSE([2]PYGE!$O1,[2]PYGE!#REF!,([2]NOA!#REF!/[2]NOA!#REF!)*[2]NOA!#REF!,[2]PYGE!#REF!,[2]PYGE!#REF!,([2]NOA!#REF!/[2]NOA!#REF!)*[2]NOA!#REF!,[2]PYGE!T1)</definedName>
    <definedName name="NO1Octubre12">CHOOSE([2]PYGE!$O1,[2]PYGE!#REF!,([2]NOA!#REF!/[2]NOA!#REF!)*[2]NOA!#REF!,[2]PYGE!#REF!,[2]PYGE!#REF!,([2]NOA!#REF!/[2]NOA!#REF!)*[2]NOA!#REF!,[2]PYGE!T1)</definedName>
    <definedName name="NO1Septiembre11">CHOOSE([2]PYGE!$O1,[2]PYGE!#REF!,([2]NOA!#REF!/[2]NOA!#REF!)*[2]NOA!#REF!,[2]PYGE!#REF!,[2]PYGE!#REF!,([2]NOA!#REF!/[2]NOA!#REF!)*[2]NOA!#REF!,[2]PYGE!T1)</definedName>
    <definedName name="NO1Septiembre12">CHOOSE([2]PYGE!$O1,[2]PYGE!#REF!,([2]NOA!#REF!/[2]NOA!#REF!)*[2]NOA!#REF!,[2]PYGE!#REF!,[2]PYGE!#REF!,([2]NOA!#REF!/[2]NOA!#REF!)*[2]NOA!#REF!,[2]PYGE!T1)</definedName>
    <definedName name="Nov">11</definedName>
    <definedName name="Oct">10</definedName>
    <definedName name="Octubre12">CHOOSE([2]PYGE!C1,[2]PYGE!#REF!,([2]PYGA!#REF!/[2]PYGPM!#REF!)*[2]PYGPM!#REF!,[2]PYGE!#REF!,[2]PYGE!#REF!,([2]PYGA!#REF!/[2]PYGPM!#REF!)*[2]PYGPM!#REF!,[2]PYGE!T1)</definedName>
    <definedName name="Octubre12a">CHOOSE([2]PYGE!C1,[2]PYGE!#REF!,([2]PYGA!#REF!/[2]PYGPM!#REF!)*[2]PYGPM!#REF!,[2]PYGE!#REF!,[2]PYGE!#REF!,([2]PYGA!#REF!/[2]PYGPM!#REF!)*[2]PYGPM!#REF!,[2]PYGE!T1)</definedName>
    <definedName name="ocupac">'PARÁM-SENSIBILIDAD'!$J$16</definedName>
    <definedName name="ocupacion">'PARÁM-SENSIBILIDAD'!$I$16</definedName>
    <definedName name="OGNOAbril10">CHOOSE([2]PYGE!$O1,[2]PYGE!#REF!,([2]NOA!#REF!/[2]NOA!#REF!)*[2]NOA!#REF!,[2]PYGE!#REF!,[2]PYGE!#REF!,([2]NOA!#REF!/[2]NOA!#REF!)*[2]NOA!#REF!,[2]PYGE!T1)</definedName>
    <definedName name="OGNOAbril11">CHOOSE([2]PYGE!$O1,[2]PYGE!#REF!,([2]NOA!#REF!/[2]NOA!#REF!)*[2]NOA!#REF!,[2]PYGE!#REF!,[2]PYGE!#REF!,([2]NOA!#REF!/[2]NOA!#REF!)*[2]NOA!#REF!,[2]PYGE!T1)</definedName>
    <definedName name="OGNOAbril12">CHOOSE([2]PYGE!$O1,[2]PYGE!#REF!,([2]NOA!#REF!/[2]NOA!#REF!)*[2]NOA!#REF!,[2]PYGE!#REF!,[2]PYGE!#REF!,([2]NOA!#REF!/[2]NOA!#REF!)*[2]NOA!#REF!,[2]PYGE!T1)</definedName>
    <definedName name="OGNOAbril6">CHOOSE([2]PYGE!$O1,[2]PYGE!#REF!,([2]NOA!#REF!/[2]NOA!#REF!)*[2]NOA!#REF!,[2]PYGE!#REF!,[2]PYGE!#REF!,([2]NOA!#REF!/[2]NOA!#REF!)*[2]NOA!#REF!,[2]PYGE!T1)</definedName>
    <definedName name="OGNOAbril7">CHOOSE([2]PYGE!$O1,[2]PYGE!#REF!,([2]NOA!#REF!/[2]NOA!#REF!)*[2]NOA!#REF!,[2]PYGE!#REF!,[2]PYGE!#REF!,([2]NOA!#REF!/[2]NOC!#REF!)*[2]NOA!#REF!,[2]PYGE!T1)</definedName>
    <definedName name="OGNOAbril8">CHOOSE([2]PYGE!$O1,[2]PYGE!#REF!,([2]NOA!#REF!/[2]NOA!#REF!)*[2]NOA!#REF!,[2]PYGE!#REF!,[2]PYGE!#REF!,([2]NOA!#REF!/[2]NOA!#REF!)*[2]NOA!#REF!,[2]PYGE!T1)</definedName>
    <definedName name="OGNOAbril9">CHOOSE([2]PYGE!$O1,[2]PYGE!#REF!,([2]NOA!#REF!/[2]NOA!#REF!)*[2]NOA!#REF!,[2]PYGE!#REF!,[2]PYGE!#REF!,([2]NOA!#REF!/[2]NOA!#REF!)*[2]NOA!#REF!,[2]PYGE!T1)</definedName>
    <definedName name="OGNOAgosto10">CHOOSE([2]PYGE!$O1,[2]PYGE!#REF!,([2]NOA!#REF!/[2]NOA!#REF!)*[2]NOA!#REF!,[2]PYGE!#REF!,[2]PYGE!#REF!,([2]NOA!#REF!/[2]NOC!#REF!)*[2]NOA!#REF!,[2]PYGE!T1)</definedName>
    <definedName name="OGNOAgosto11">CHOOSE([2]PYGE!$O1,[2]PYGE!#REF!,([2]NOA!#REF!/[2]NOA!#REF!)*[2]NOA!#REF!,[2]PYGE!#REF!,[2]PYGE!#REF!,([2]NOA!#REF!/[2]NOA!#REF!)*[2]NOA!#REF!,[2]PYGE!T1)</definedName>
    <definedName name="OGNOAgosto12">CHOOSE([2]PYGE!$O1,[2]PYGE!#REF!,([2]NOA!#REF!/[2]NOA!#REF!)*[2]NOA!#REF!,[2]PYGE!#REF!,[2]PYGE!#REF!,([2]NOA!#REF!/[2]NOA!#REF!)*[2]NOA!#REF!,[2]PYGE!T1)</definedName>
    <definedName name="OGNOEnero10">CHOOSE([2]PYGE!$O1,[2]PYGE!#REF!,([2]NOA!#REF!/[2]NOA!#REF!)*[2]NOA!#REF!,[2]PYGE!#REF!,[2]PYGE!#REF!,([2]NOA!#REF!/[2]NOA!#REF!)*[2]NOA!#REF!,[2]PYGE!T1)</definedName>
    <definedName name="OGNOEnero11">CHOOSE([2]PYGE!$O1,[2]PYGE!#REF!,([2]NOA!#REF!/[2]NOA!#REF!)*[2]NOA!#REF!,[2]PYGE!#REF!,[2]PYGE!#REF!,([2]NOA!#REF!/[2]NOA!#REF!)*[2]NOA!#REF!,[2]PYGE!T1)</definedName>
    <definedName name="OGNOEnero12">CHOOSE([2]PYGE!$O1,[2]PYGE!#REF!,([2]NOA!#REF!/[2]NOA!#REF!)*[2]NOA!#REF!,[2]PYGE!#REF!,[2]PYGE!#REF!,([2]NOA!#REF!/[2]NOA!#REF!)*[2]NOA!#REF!,[2]PYGE!T1)</definedName>
    <definedName name="OGNOEnero3">CHOOSE([2]PYGE!$O1,[2]NOA!#REF!,([2]NOA!#REF!/[2]NOA!#REF!)*[2]NOA!#REF!,[2]NOA!#REF!,([2]NOA!#REF!-[2]NOA!#REF!)/11,([2]NOA!#REF!/[2]NOA!#REF!)*[2]NOA!#REF!,[2]PYGE!T1)</definedName>
    <definedName name="OGNOEnero4">CHOOSE([2]PYGE!$O1,[2]PYGE!#REF!,([2]NOA!#REF!/[2]NOA!#REF!)*[2]NOA!#REF!,[2]PYGE!#REF!,([2]NOA!#REF!-[2]NOA!#REF!)/11,([2]NOA!#REF!/[2]NOA!#REF!)*[2]NOA!#REF!,[2]PYGE!T1)</definedName>
    <definedName name="OGNOEnero5">CHOOSE([2]PYGE!$O1,[2]PYGE!#REF!,([2]NOA!#REF!/[2]NOA!#REF!)*[2]NOA!#REF!,[2]PYGE!#REF!,[2]PYGE!#REF!,([2]NOA!#REF!/[2]NOA!#REF!)*[2]NOA!#REF!,[2]PYGE!T1)</definedName>
    <definedName name="OGNOEnero6">CHOOSE([2]PYGE!$O1,[2]PYGE!#REF!,([2]NOA!#REF!/[2]NOA!#REF!)*[2]NOA!#REF!,[2]PYGE!#REF!,[2]PYGE!#REF!,([2]NOA!#REF!/[2]NOA!#REF!)*[2]NOA!#REF!,[2]PYGE!T1)</definedName>
    <definedName name="OGNOEnero7">CHOOSE([2]PYGE!$O1,[2]PYGE!#REF!,([2]NOA!#REF!/[2]NOA!#REF!)*[2]NOA!#REF!,[2]PYGE!#REF!,[2]PYGE!#REF!,([2]NOA!#REF!/[2]NOA!#REF!)*[2]NOA!#REF!,[2]PYGE!T1)</definedName>
    <definedName name="OGNOEnero8">CHOOSE([2]PYGE!$O1,[2]PYGE!#REF!,([2]NOA!#REF!/[2]NOA!#REF!)*[2]NOA!#REF!,[2]PYGE!#REF!,[2]PYGE!#REF!,([2]NOA!#REF!/[2]NOA!#REF!)*[2]NOA!#REF!,[2]PYGE!T1)</definedName>
    <definedName name="OGNOEnero9">CHOOSE([2]PYGE!$O1,[2]PYGE!#REF!,([2]NOA!#REF!/[2]NOA!#REF!)*[2]NOA!#REF!,[2]PYGE!#REF!,[2]PYGE!#REF!,([2]NOA!#REF!/[2]NOA!#REF!)*[2]NOA!#REF!,[2]PYGE!T1)</definedName>
    <definedName name="OGNOFebrero10">CHOOSE([2]PYGE!$O1,[2]PYGE!#REF!,([2]NOA!#REF!/[2]NOA!#REF!)*[2]NOA!#REF!,[2]PYGE!#REF!,[2]PYGE!#REF!,([2]NOA!#REF!/[2]NOA!#REF!)*[2]NOA!#REF!,[2]PYGE!T1)</definedName>
    <definedName name="OGNOFebrero11">CHOOSE([2]PYGE!$O1,[2]PYGE!#REF!,([2]NOA!#REF!/[2]NOA!#REF!)*[2]NOA!#REF!,[2]PYGE!#REF!,[2]PYGE!#REF!,([2]NOA!#REF!/[2]NOA!#REF!)*[2]NOA!#REF!,[2]PYGE!T1)</definedName>
    <definedName name="OGNOFebrero12">CHOOSE([2]PYGE!$O1,[2]PYGE!#REF!,([2]NOA!#REF!/[2]NOA!#REF!)*[2]NOA!#REF!,[2]PYGE!#REF!,[2]PYGE!#REF!,([2]NOA!#REF!/[2]NOA!#REF!)*[2]NOA!#REF!,[2]PYGE!T1)</definedName>
    <definedName name="OGNOFebrero4">CHOOSE([2]PYGE!$O1,[2]PYGE!#REF!,([2]NOA!#REF!/[2]NOA!#REF!)*[2]NOA!#REF!,[2]PYGE!#REF!,[2]PYGE!#REF!,([2]NOA!#REF!/[2]NOA!#REF!)*[2]NOA!#REF!,[2]PYGE!T1)</definedName>
    <definedName name="OGNOFebrero5">CHOOSE([2]PYGE!$O1,[2]PYGE!#REF!,([2]NOA!#REF!/[2]NOA!#REF!)*[2]NOA!#REF!,[2]PYGE!#REF!,[2]PYGE!#REF!,([2]NOA!#REF!/[2]NOA!#REF!)*[2]NOA!#REF!,[2]PYGE!T1)</definedName>
    <definedName name="OGNOFebrero6">CHOOSE([2]PYGE!$O1,[2]PYGE!#REF!,([2]NOA!#REF!/[2]NOA!#REF!)*[2]NOA!#REF!,[2]PYGE!#REF!,[2]PYGE!#REF!,([2]NOA!#REF!/[2]NOA!#REF!)*[2]NOA!#REF!,[2]PYGE!T1)</definedName>
    <definedName name="OGNOFebrero7">CHOOSE([2]PYGE!$O1,[2]PYGE!#REF!,([2]NOA!#REF!/[2]NOA!#REF!)*[2]NOA!#REF!,[2]PYGE!#REF!,[2]PYGE!#REF!,([2]NOA!#REF!/[2]NOA!#REF!)*[2]NOA!#REF!,[2]PYGE!T1)</definedName>
    <definedName name="OGNOFebrero8">CHOOSE([2]PYGE!$O1,[2]PYGE!#REF!,([2]NOA!#REF!/[2]NOA!#REF!)*[2]NOA!#REF!,[2]PYGE!#REF!,[2]PYGE!#REF!,([2]NOA!#REF!/[2]NOA!#REF!)*[2]NOA!#REF!,[2]PYGE!T1)</definedName>
    <definedName name="OGNOFebrero9">CHOOSE([2]PYGE!$O1,[2]PYGE!#REF!,([2]NOA!#REF!/[2]NOA!#REF!)*[2]NOA!#REF!,[2]PYGE!#REF!,[2]PYGE!#REF!,([2]NOA!#REF!/[2]NOA!#REF!)*[2]NOA!#REF!,[2]PYGE!T1)</definedName>
    <definedName name="OGNOJulio10">CHOOSE([2]PYGE!$O1,[2]PYGE!#REF!,([2]NOA!#REF!/[2]NOA!#REF!)*[2]NOA!#REF!,[2]PYGE!#REF!,[2]PYGE!#REF!,([2]NOA!#REF!/[2]NOA!#REF!)*[2]NOA!#REF!,[2]PYGE!T1)</definedName>
    <definedName name="OGNOJulio11">CHOOSE([2]PYGE!$O1,[2]PYGE!#REF!,([2]NOA!#REF!/[2]NOA!#REF!)*[2]NOA!#REF!,[2]PYGE!#REF!,[2]PYGE!#REF!,([2]NOA!#REF!/[2]NOA!#REF!)*[2]NOA!#REF!,[2]PYGE!T1)</definedName>
    <definedName name="OGNOJulio12">CHOOSE([2]PYGE!$O1,[2]PYGE!#REF!,([2]NOA!#REF!/[2]NOA!#REF!)*[2]NOA!#REF!,[2]PYGE!#REF!,[2]PYGE!#REF!,([2]NOA!#REF!/[2]NOA!#REF!)*[2]NOA!#REF!,[2]PYGE!T1)</definedName>
    <definedName name="OGNOJulio9">CHOOSE([2]PYGE!$O1,[2]PYGE!#REF!,([2]NOA!#REF!/[2]NOA!#REF!)*[2]NOA!#REF!,[2]PYGE!#REF!,[2]PYGE!#REF!,([2]NOA!#REF!/[2]NOA!#REF!)*[2]NOA!#REF!,[2]PYGE!T1)</definedName>
    <definedName name="OGNOJunio10">CHOOSE([2]PYGE!$O1,[2]PYGE!#REF!,([2]NOA!#REF!/[2]NOA!#REF!)*[2]NOA!#REF!,[2]PYGE!#REF!,[2]PYGE!#REF!,([2]NOA!#REF!/[2]NOC!#REF!)*[2]NOA!#REF!,[2]PYGE!T1)</definedName>
    <definedName name="OGNOJunio11">CHOOSE([2]PYGE!$O1,[2]PYGE!#REF!,([2]NOA!#REF!/[2]NOA!#REF!)*[2]NOA!#REF!,[2]PYGE!#REF!,[2]PYGE!#REF!,([2]NOA!#REF!/[2]NOA!#REF!)*[2]NOA!#REF!,[2]PYGE!T1)</definedName>
    <definedName name="OGNOJunio12">CHOOSE([2]PYGE!$O1,[2]PYGE!#REF!,([2]NOA!#REF!/[2]NOA!#REF!)*[2]NOA!#REF!,[2]PYGE!#REF!,[2]PYGE!#REF!,([2]NOA!#REF!/[2]NOA!#REF!)*[2]NOA!#REF!,[2]PYGE!T1)</definedName>
    <definedName name="OGNOJunio8">CHOOSE([2]PYGE!$O1,[2]PYGE!#REF!,([2]NOA!#REF!/[2]NOA!#REF!)*[2]NOA!#REF!,[2]PYGE!#REF!,[2]PYGE!#REF!,([2]NOA!#REF!/[2]NOA!#REF!)*[2]NOA!#REF!,[2]PYGE!T1)</definedName>
    <definedName name="OGNOJunio9">CHOOSE([2]PYGE!$O1,[2]PYGE!#REF!,([2]NOA!#REF!/[2]NOA!#REF!)*[2]NOA!#REF!,[2]PYGE!#REF!,[2]PYGE!#REF!,([2]NOA!#REF!/[2]NOA!#REF!)*[2]NOA!#REF!,[2]PYGE!T1)</definedName>
    <definedName name="OGNOMarzo10">CHOOSE([2]PYGE!$O1,[2]PYGE!#REF!,([2]NOA!#REF!/[2]NOA!#REF!)*[2]NOA!#REF!,[2]PYGE!#REF!,[2]PYGE!#REF!,([2]NOA!#REF!/[2]NOA!#REF!)*[2]NOA!#REF!,[2]PYGE!T1)</definedName>
    <definedName name="OGNOMarzo11">CHOOSE([2]PYGE!$O1,[2]PYGE!#REF!,([2]NOA!#REF!/[2]NOA!#REF!)*[2]NOA!#REF!,[2]PYGE!#REF!,[2]PYGE!#REF!,([2]NOA!#REF!/[2]NOA!#REF!)*[2]NOA!#REF!,[2]PYGE!T1)</definedName>
    <definedName name="OGNOMarzo12">CHOOSE([2]PYGE!$O1,[2]PYGE!#REF!,([2]NOA!#REF!/[2]NOA!#REF!)*[2]NOA!#REF!,[2]PYGE!#REF!,[2]PYGE!#REF!,([2]NOA!#REF!/[2]NOA!#REF!)*[2]NOA!#REF!,[2]PYGE!T1)</definedName>
    <definedName name="OGNOMarzo5">CHOOSE([2]PYGE!$O1,[2]PYGE!#REF!,([2]NOA!#REF!/[2]NOA!#REF!)*[2]NOA!#REF!,[2]PYGE!#REF!,[2]PYGE!#REF!,([2]NOA!#REF!/[2]NOA!#REF!)*[2]NOA!#REF!,[2]PYGE!T1)</definedName>
    <definedName name="OGNOMarzo6">CHOOSE([2]PYGE!$O1,[2]PYGE!#REF!,([2]NOA!#REF!/[2]NOA!#REF!)*[2]NOC!#REF!,[2]PYGE!#REF!,[2]PYGE!#REF!,([2]NOA!#REF!/[2]NOA!#REF!)*[2]NOA!#REF!,[2]PYGE!T1)</definedName>
    <definedName name="OGNOMarzo7">CHOOSE([2]PYGE!$O1,[2]PYGE!#REF!,([2]NOA!#REF!/[2]NOA!#REF!)*[2]NOA!#REF!,[2]PYGE!#REF!,[2]PYGE!#REF!,([2]NOA!#REF!/[2]NOA!#REF!)*[2]NOA!#REF!,[2]PYGE!T1)</definedName>
    <definedName name="OGNOMarzo8">CHOOSE([2]PYGE!$O1,[2]PYGE!#REF!,([2]NOA!#REF!/[2]NOA!#REF!)*[2]NOA!#REF!,[2]PYGE!#REF!,[2]PYGE!#REF!,([2]NOA!#REF!/[2]NOA!#REF!)*[2]NOA!#REF!,[2]PYGE!T1)</definedName>
    <definedName name="OGNOMarzo9">CHOOSE([2]PYGE!$O1,[2]PYGE!#REF!,([2]NOA!#REF!/[2]NOA!#REF!)*[2]NOA!#REF!,[2]PYGE!#REF!,[2]PYGE!#REF!,([2]NOA!#REF!/[2]NOA!#REF!)*[2]NOA!#REF!,[2]PYGE!T1)</definedName>
    <definedName name="OGNOMayo10">CHOOSE([2]PYGE!$O1,[2]PYGE!#REF!,([2]NOA!#REF!/[2]NOA!#REF!)*[2]NOA!#REF!,[2]PYGE!#REF!,[2]PYGE!#REF!,([2]NOA!#REF!/[2]NOC!#REF!)*[2]NOA!#REF!,[2]PYGE!T1)</definedName>
    <definedName name="OGNOMayo11">CHOOSE([2]PYGE!$O1,[2]PYGE!#REF!,([2]NOA!#REF!/[2]NOA!#REF!)*[2]NOA!#REF!,[2]PYGE!#REF!,[2]PYGE!#REF!,([2]NOA!#REF!/[2]NOA!#REF!)*[2]NOA!#REF!,[2]PYGE!T1)</definedName>
    <definedName name="OGNOMayo12">CHOOSE([2]PYGE!$O1,[2]PYGE!#REF!,([2]NOA!#REF!/[2]NOA!#REF!)*[2]NOA!#REF!,[2]PYGE!#REF!,[2]PYGE!#REF!,([2]NOA!#REF!/[2]NOC!#REF!)*[2]NOA!#REF!,[2]PYGE!T1)</definedName>
    <definedName name="OGNOMayo7">CHOOSE([2]PYGE!$O1,[2]PYGE!#REF!,([2]NOA!#REF!/[2]NOA!#REF!)*[2]NOA!#REF!,[2]PYGE!#REF!,[2]PYGE!#REF!,([2]NOA!#REF!/[2]NOA!#REF!)*[2]NOA!#REF!,[2]PYGE!T1)</definedName>
    <definedName name="OGNOMayo8">CHOOSE([2]PYGE!$O1,[2]PYGE!#REF!,([2]NOA!#REF!/[2]NOA!#REF!)*[2]NOA!#REF!,[2]PYGE!#REF!,[2]PYGE!#REF!,([2]NOA!#REF!/[2]NOA!#REF!)*[2]NOA!#REF!,[2]PYGE!T1)</definedName>
    <definedName name="OGNOMayo9">CHOOSE([2]PYGE!$O1,[2]PYGE!#REF!,([2]NOA!#REF!/[2]NOA!#REF!)*[2]NOA!#REF!,[2]PYGE!#REF!,[2]PYGE!#REF!,([2]NOA!#REF!/[2]NOA!#REF!)*[2]NOA!#REF!,[2]PYGE!T1)</definedName>
    <definedName name="OGNOOctubre12">CHOOSE([2]PYGE!$O1,[2]PYGE!#REF!,([2]NOA!#REF!/[2]NOA!#REF!)*[2]NOA!#REF!,[2]PYGE!#REF!,[2]PYGE!#REF!,([2]NOA!#REF!/[2]NOA!#REF!)*[2]NOA!#REF!,[2]PYGE!T1)</definedName>
    <definedName name="OGNOSeptiembre11">CHOOSE([2]PYGE!$O1,[2]PYGE!#REF!,([2]NOA!#REF!/[2]NOA!#REF!)*[2]NOA!#REF!,[2]PYGE!#REF!,[2]PYGE!#REF!,([2]NOA!#REF!/[2]NOA!#REF!)*[2]NOA!#REF!,[2]PYGE!T1)</definedName>
    <definedName name="OGNOSeptiembre12">CHOOSE([2]PYGE!$O1,[2]PYGE!#REF!,([2]NOA!#REF!/[2]NOA!#REF!)*[2]NOA!#REF!,[2]PYGE!#REF!,[2]PYGE!#REF!,([2]NOA!#REF!/[2]NOA!#REF!)*[2]NOA!#REF!,[2]PYGE!T1)</definedName>
    <definedName name="otros">'[6]Cuadro Pn'!$Z$1:$Z$65536</definedName>
    <definedName name="PAGINA">'[11]F-PRO-005'!#REF!</definedName>
    <definedName name="pais">[7]Listas!$I$2:$I$7</definedName>
    <definedName name="persona">[7]Listas!$F$2:$F$5</definedName>
    <definedName name="Precio">'PARÁM-SENSIBILIDAD'!$C$11</definedName>
    <definedName name="PRINT_AREA">#REF!</definedName>
    <definedName name="PRINT_AREA_MI">#REF!</definedName>
    <definedName name="PRINT_TITLES">#N/A</definedName>
    <definedName name="PRINT_TITLES_MI">#N/A</definedName>
    <definedName name="PrivateRate">#REF!</definedName>
    <definedName name="prueba">#REF!</definedName>
    <definedName name="Q">'[5]Cuadro Pn'!#REF!</definedName>
    <definedName name="QMAX">[8]CALCULOS!$A$3</definedName>
    <definedName name="sector">[7]Listas!$C$2:$C$24</definedName>
    <definedName name="Sep">9</definedName>
    <definedName name="Septiembre11">CHOOSE([2]PYGE!D1,[2]PYGE!#REF!,([2]PYGA!#REF!/[2]PYGPM!#REF!)*[2]PYGPM!#REF!,[2]PYGE!#REF!,[2]PYGE!#REF!,([2]PYGA!#REF!/[2]PYGPM!#REF!)*[2]PYGPM!#REF!,[2]PYGE!T1)</definedName>
    <definedName name="Septiembre11a">CHOOSE([2]PYGE!D1,[2]PYGE!#REF!,([2]PYGA!#REF!/[2]PYGPM!#REF!)*[2]PYGPM!#REF!,[2]PYGE!#REF!,[2]PYGE!#REF!,([2]PYGA!#REF!/[2]PYGPM!#REF!)*[2]PYGPM!#REF!,[2]PYGE!T1)</definedName>
    <definedName name="Septiembre12">CHOOSE([2]PYGE!C1,[2]PYGE!#REF!,([2]PYGA!#REF!/[2]PYGPM!#REF!)*[2]PYGPM!#REF!,[2]PYGE!#REF!,[2]PYGE!#REF!,([2]PYGA!#REF!/[2]PYGPM!#REF!)*[2]PYGPM!#REF!,[2]PYGE!T1)</definedName>
    <definedName name="Septiembre12a">CHOOSE([2]PYGE!C1,[2]PYGE!#REF!,([2]PYGA!#REF!/[2]PYGPM!#REF!)*[2]PYGPM!#REF!,[2]PYGE!#REF!,[2]PYGE!#REF!,([2]PYGA!#REF!/[2]PYGPM!#REF!)*[2]PYGPM!#REF!,[2]PYGE!T1)</definedName>
    <definedName name="SI">#REF!</definedName>
    <definedName name="solver_adj" localSheetId="9" hidden="1">'PARÁM-SENSIBILIDAD'!$C$11</definedName>
    <definedName name="solver_cvg" localSheetId="9" hidden="1">0.0001</definedName>
    <definedName name="solver_drv" localSheetId="9" hidden="1">1</definedName>
    <definedName name="solver_eng" localSheetId="9" hidden="1">1</definedName>
    <definedName name="solver_est" localSheetId="9" hidden="1">1</definedName>
    <definedName name="solver_itr" localSheetId="9" hidden="1">2147483647</definedName>
    <definedName name="solver_mip" localSheetId="9" hidden="1">2147483647</definedName>
    <definedName name="solver_mni" localSheetId="9" hidden="1">30</definedName>
    <definedName name="solver_mrt" localSheetId="9" hidden="1">0.075</definedName>
    <definedName name="solver_msl" localSheetId="9" hidden="1">2</definedName>
    <definedName name="solver_neg" localSheetId="9" hidden="1">1</definedName>
    <definedName name="solver_nod" localSheetId="9" hidden="1">2147483647</definedName>
    <definedName name="solver_num" localSheetId="9" hidden="1">0</definedName>
    <definedName name="solver_nwt" localSheetId="9" hidden="1">1</definedName>
    <definedName name="solver_opt" localSheetId="9" hidden="1">'PARÁM-SENSIBILIDAD'!$A$69</definedName>
    <definedName name="solver_pre" localSheetId="9" hidden="1">0.000001</definedName>
    <definedName name="solver_rbv" localSheetId="9" hidden="1">1</definedName>
    <definedName name="solver_rlx" localSheetId="9" hidden="1">2</definedName>
    <definedName name="solver_rsd" localSheetId="9" hidden="1">0</definedName>
    <definedName name="solver_scl" localSheetId="9" hidden="1">1</definedName>
    <definedName name="solver_sho" localSheetId="9" hidden="1">2</definedName>
    <definedName name="solver_ssz" localSheetId="9" hidden="1">100</definedName>
    <definedName name="solver_tim" localSheetId="9" hidden="1">2147483647</definedName>
    <definedName name="solver_tol" localSheetId="9" hidden="1">0.01</definedName>
    <definedName name="solver_typ" localSheetId="9" hidden="1">3</definedName>
    <definedName name="solver_val" localSheetId="9" hidden="1">0</definedName>
    <definedName name="solver_ver" localSheetId="9" hidden="1">3</definedName>
    <definedName name="StartYear">#REF!</definedName>
    <definedName name="Tabal4">'[3]PL Proy'!$B$8</definedName>
    <definedName name="Tabal5">'[3]FCL Proy'!$B$7</definedName>
    <definedName name="Tabla_asignación">#REF!</definedName>
    <definedName name="Tabla_Recursos">#REF!</definedName>
    <definedName name="Tabla_Tareas">#REF!</definedName>
    <definedName name="Tabla1">'[3]EEFF''s'!$B$5</definedName>
    <definedName name="Tabla2">'[3]EEFF''s'!$B$47</definedName>
    <definedName name="Tabla3">[3]Supuestos!$B$5</definedName>
    <definedName name="Tabla6">[3]WACC!$B$2</definedName>
    <definedName name="Tabla7">[3]Vración!$B$9</definedName>
    <definedName name="Tarifas">'PARÁM-SENSIBILIDAD'!$J$18</definedName>
    <definedName name="TaxRate">#REF!</definedName>
    <definedName name="Tipo">[2]PYGE!N1</definedName>
    <definedName name="tipocomunicacion">#REF!</definedName>
    <definedName name="tipocontrato">#REF!</definedName>
    <definedName name="tipocuenta">#REF!</definedName>
    <definedName name="tipolabor">#REF!</definedName>
    <definedName name="tipoobjetiivo">#REF!</definedName>
    <definedName name="TIR">'PARÁM-SENSIBILIDAD'!$J$24</definedName>
    <definedName name="_xlnm.Print_Titles" localSheetId="17">'Industry Averages'!$10:$10</definedName>
    <definedName name="_xlnm.Print_Titles">#N/A</definedName>
    <definedName name="Títulos_a_imprimir_IM">#REF!</definedName>
    <definedName name="TODOANA">#REF!</definedName>
    <definedName name="TODOINSU">#REF!</definedName>
    <definedName name="TODOITEM">#REF!</definedName>
    <definedName name="tventa">[7]Listas!$G$2:$G$4</definedName>
    <definedName name="und">[12]listas!$C$2:$C$4</definedName>
    <definedName name="vicky">#REF!</definedName>
    <definedName name="VPN">'PARÁM-SENSIBILIDAD'!$J$22</definedName>
    <definedName name="w" hidden="1">#REF!</definedName>
    <definedName name="wrn.resumen." localSheetId="18" hidden="1">{"total",#N/A,FALSE,"TD 0% ";"total",#N/A,FALSE,"TD 12%";"total",#N/A,FALSE,"TD 10%"}</definedName>
    <definedName name="wrn.resumen." localSheetId="20" hidden="1">{"total",#N/A,FALSE,"TD 0% ";"total",#N/A,FALSE,"TD 12%";"total",#N/A,FALSE,"TD 10%"}</definedName>
    <definedName name="wrn.resumen." localSheetId="19" hidden="1">{"total",#N/A,FALSE,"TD 0% ";"total",#N/A,FALSE,"TD 12%";"total",#N/A,FALSE,"TD 10%"}</definedName>
    <definedName name="wrn.resumen." hidden="1">{"total",#N/A,FALSE,"TD 0% ";"total",#N/A,FALSE,"TD 12%";"total",#N/A,FALSE,"TD 10%"}</definedName>
    <definedName name="X">[2]RE!$A$79:$Q$99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2" i="23" l="1"/>
  <c r="E4" i="3"/>
  <c r="F4" i="3"/>
  <c r="F3" i="3"/>
  <c r="E3" i="3"/>
  <c r="F107" i="3"/>
  <c r="F142" i="3" s="1"/>
  <c r="F141" i="3" s="1"/>
  <c r="A37" i="22"/>
  <c r="A36" i="22"/>
  <c r="A35" i="22"/>
  <c r="A34" i="22"/>
  <c r="A33" i="22"/>
  <c r="F30" i="22"/>
  <c r="E30" i="22"/>
  <c r="D30" i="22"/>
  <c r="C30" i="22"/>
  <c r="B30" i="22"/>
  <c r="B29" i="22"/>
  <c r="C29" i="22" s="1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9" i="22"/>
  <c r="A108" i="3"/>
  <c r="A18" i="22"/>
  <c r="E13" i="23" l="1"/>
  <c r="E14" i="23" s="1"/>
  <c r="B31" i="22"/>
  <c r="B36" i="22" s="1"/>
  <c r="C31" i="22"/>
  <c r="B34" i="22" s="1"/>
  <c r="F29" i="22"/>
  <c r="F31" i="22" s="1"/>
  <c r="B33" i="22" s="1"/>
  <c r="E29" i="22"/>
  <c r="E31" i="22" s="1"/>
  <c r="B35" i="22" s="1"/>
  <c r="D29" i="22"/>
  <c r="D31" i="22" s="1"/>
  <c r="B37" i="22" s="1"/>
  <c r="F111" i="3"/>
  <c r="F104" i="3"/>
  <c r="F100" i="3"/>
  <c r="F114" i="3"/>
  <c r="F110" i="3"/>
  <c r="F103" i="3"/>
  <c r="F99" i="3"/>
  <c r="F113" i="3"/>
  <c r="F109" i="3"/>
  <c r="F106" i="3"/>
  <c r="F102" i="3"/>
  <c r="F108" i="3"/>
  <c r="F112" i="3"/>
  <c r="F105" i="3"/>
  <c r="F101" i="3"/>
  <c r="F115" i="3"/>
  <c r="J20" i="4"/>
  <c r="K20" i="4"/>
  <c r="L20" i="4"/>
  <c r="M20" i="4"/>
  <c r="N20" i="4"/>
  <c r="O20" i="4"/>
  <c r="P20" i="4"/>
  <c r="Q20" i="4"/>
  <c r="R20" i="4"/>
  <c r="S20" i="4"/>
  <c r="T20" i="4"/>
  <c r="I20" i="4"/>
  <c r="J12" i="4"/>
  <c r="K12" i="4"/>
  <c r="L12" i="4"/>
  <c r="M12" i="4"/>
  <c r="N12" i="4"/>
  <c r="O12" i="4"/>
  <c r="P12" i="4"/>
  <c r="Q12" i="4"/>
  <c r="R12" i="4"/>
  <c r="S12" i="4"/>
  <c r="T12" i="4"/>
  <c r="I12" i="4"/>
  <c r="J11" i="4"/>
  <c r="K11" i="4"/>
  <c r="L11" i="4"/>
  <c r="M11" i="4"/>
  <c r="N11" i="4"/>
  <c r="O11" i="4"/>
  <c r="P11" i="4"/>
  <c r="Q11" i="4"/>
  <c r="R11" i="4"/>
  <c r="S11" i="4"/>
  <c r="T11" i="4"/>
  <c r="I11" i="4"/>
  <c r="J10" i="4"/>
  <c r="K10" i="4"/>
  <c r="L10" i="4"/>
  <c r="M10" i="4"/>
  <c r="N10" i="4"/>
  <c r="O10" i="4"/>
  <c r="P10" i="4"/>
  <c r="Q10" i="4"/>
  <c r="R10" i="4"/>
  <c r="S10" i="4"/>
  <c r="T10" i="4"/>
  <c r="I10" i="4"/>
  <c r="J9" i="4"/>
  <c r="K9" i="4"/>
  <c r="L9" i="4"/>
  <c r="M9" i="4"/>
  <c r="N9" i="4"/>
  <c r="O9" i="4"/>
  <c r="P9" i="4"/>
  <c r="Q9" i="4"/>
  <c r="R9" i="4"/>
  <c r="S9" i="4"/>
  <c r="T9" i="4"/>
  <c r="I9" i="4"/>
  <c r="E10" i="20"/>
  <c r="G5" i="20"/>
  <c r="E5" i="20"/>
  <c r="B18" i="9" s="1"/>
  <c r="D5" i="20"/>
  <c r="AD121" i="19"/>
  <c r="Q121" i="19"/>
  <c r="M121" i="19"/>
  <c r="J121" i="19"/>
  <c r="C121" i="19"/>
  <c r="M120" i="19"/>
  <c r="J120" i="19"/>
  <c r="C120" i="19"/>
  <c r="AD118" i="19"/>
  <c r="S118" i="19"/>
  <c r="Q118" i="19"/>
  <c r="Q120" i="19" s="1"/>
  <c r="G118" i="19"/>
  <c r="Q117" i="19"/>
  <c r="R117" i="19" s="1"/>
  <c r="G117" i="19"/>
  <c r="Q116" i="19"/>
  <c r="R116" i="19" s="1"/>
  <c r="G116" i="19"/>
  <c r="Q115" i="19"/>
  <c r="R115" i="19" s="1"/>
  <c r="G115" i="19"/>
  <c r="Q114" i="19"/>
  <c r="R114" i="19" s="1"/>
  <c r="G114" i="19"/>
  <c r="Q113" i="19"/>
  <c r="R113" i="19" s="1"/>
  <c r="G113" i="19"/>
  <c r="Q112" i="19"/>
  <c r="R112" i="19" s="1"/>
  <c r="G112" i="19"/>
  <c r="Q111" i="19"/>
  <c r="R111" i="19" s="1"/>
  <c r="G111" i="19"/>
  <c r="Q110" i="19"/>
  <c r="R110" i="19" s="1"/>
  <c r="G110" i="19"/>
  <c r="Q109" i="19"/>
  <c r="R109" i="19" s="1"/>
  <c r="G109" i="19"/>
  <c r="Q108" i="19"/>
  <c r="R108" i="19" s="1"/>
  <c r="G108" i="19"/>
  <c r="Q107" i="19"/>
  <c r="R107" i="19" s="1"/>
  <c r="G107" i="19"/>
  <c r="Q106" i="19"/>
  <c r="R106" i="19" s="1"/>
  <c r="G106" i="19"/>
  <c r="Q105" i="19"/>
  <c r="R105" i="19" s="1"/>
  <c r="G105" i="19"/>
  <c r="Q104" i="19"/>
  <c r="R104" i="19" s="1"/>
  <c r="G104" i="19"/>
  <c r="Q103" i="19"/>
  <c r="R103" i="19" s="1"/>
  <c r="G103" i="19"/>
  <c r="Q102" i="19"/>
  <c r="R102" i="19" s="1"/>
  <c r="G102" i="19"/>
  <c r="Q101" i="19"/>
  <c r="R101" i="19" s="1"/>
  <c r="G101" i="19"/>
  <c r="Q100" i="19"/>
  <c r="R100" i="19" s="1"/>
  <c r="G100" i="19"/>
  <c r="Q99" i="19"/>
  <c r="R99" i="19" s="1"/>
  <c r="G99" i="19"/>
  <c r="Q98" i="19"/>
  <c r="R98" i="19" s="1"/>
  <c r="G98" i="19"/>
  <c r="Q97" i="19"/>
  <c r="R97" i="19" s="1"/>
  <c r="G97" i="19"/>
  <c r="Q96" i="19"/>
  <c r="R96" i="19" s="1"/>
  <c r="G96" i="19"/>
  <c r="Q95" i="19"/>
  <c r="R95" i="19" s="1"/>
  <c r="G95" i="19"/>
  <c r="Q94" i="19"/>
  <c r="R94" i="19" s="1"/>
  <c r="G94" i="19"/>
  <c r="Q93" i="19"/>
  <c r="R93" i="19" s="1"/>
  <c r="G93" i="19"/>
  <c r="Q92" i="19"/>
  <c r="R92" i="19" s="1"/>
  <c r="G92" i="19"/>
  <c r="Q91" i="19"/>
  <c r="R91" i="19" s="1"/>
  <c r="G91" i="19"/>
  <c r="Q90" i="19"/>
  <c r="R90" i="19" s="1"/>
  <c r="G90" i="19"/>
  <c r="Q89" i="19"/>
  <c r="R89" i="19" s="1"/>
  <c r="G89" i="19"/>
  <c r="Q88" i="19"/>
  <c r="R88" i="19" s="1"/>
  <c r="G88" i="19"/>
  <c r="Q87" i="19"/>
  <c r="R87" i="19" s="1"/>
  <c r="G87" i="19"/>
  <c r="Q86" i="19"/>
  <c r="R86" i="19" s="1"/>
  <c r="O86" i="19"/>
  <c r="O87" i="19" s="1"/>
  <c r="O88" i="19" s="1"/>
  <c r="O89" i="19" s="1"/>
  <c r="O90" i="19" s="1"/>
  <c r="O91" i="19" s="1"/>
  <c r="O92" i="19" s="1"/>
  <c r="O93" i="19" s="1"/>
  <c r="O94" i="19" s="1"/>
  <c r="O95" i="19" s="1"/>
  <c r="O96" i="19" s="1"/>
  <c r="O97" i="19" s="1"/>
  <c r="O98" i="19" s="1"/>
  <c r="O99" i="19" s="1"/>
  <c r="O100" i="19" s="1"/>
  <c r="O101" i="19" s="1"/>
  <c r="O102" i="19" s="1"/>
  <c r="O103" i="19" s="1"/>
  <c r="O104" i="19" s="1"/>
  <c r="O105" i="19" s="1"/>
  <c r="O106" i="19" s="1"/>
  <c r="O107" i="19" s="1"/>
  <c r="O108" i="19" s="1"/>
  <c r="O109" i="19" s="1"/>
  <c r="O110" i="19" s="1"/>
  <c r="O111" i="19" s="1"/>
  <c r="O112" i="19" s="1"/>
  <c r="O113" i="19" s="1"/>
  <c r="O114" i="19" s="1"/>
  <c r="O115" i="19" s="1"/>
  <c r="O116" i="19" s="1"/>
  <c r="O117" i="19" s="1"/>
  <c r="O118" i="19" s="1"/>
  <c r="L86" i="19"/>
  <c r="L87" i="19" s="1"/>
  <c r="L88" i="19" s="1"/>
  <c r="L89" i="19" s="1"/>
  <c r="L90" i="19" s="1"/>
  <c r="L91" i="19" s="1"/>
  <c r="L92" i="19" s="1"/>
  <c r="L93" i="19" s="1"/>
  <c r="L94" i="19" s="1"/>
  <c r="L95" i="19" s="1"/>
  <c r="L96" i="19" s="1"/>
  <c r="L97" i="19" s="1"/>
  <c r="L98" i="19" s="1"/>
  <c r="L99" i="19" s="1"/>
  <c r="L100" i="19" s="1"/>
  <c r="L101" i="19" s="1"/>
  <c r="L102" i="19" s="1"/>
  <c r="L103" i="19" s="1"/>
  <c r="L104" i="19" s="1"/>
  <c r="L105" i="19" s="1"/>
  <c r="L106" i="19" s="1"/>
  <c r="L107" i="19" s="1"/>
  <c r="L108" i="19" s="1"/>
  <c r="L109" i="19" s="1"/>
  <c r="L110" i="19" s="1"/>
  <c r="L111" i="19" s="1"/>
  <c r="L112" i="19" s="1"/>
  <c r="L113" i="19" s="1"/>
  <c r="L114" i="19" s="1"/>
  <c r="L115" i="19" s="1"/>
  <c r="L116" i="19" s="1"/>
  <c r="L117" i="19" s="1"/>
  <c r="L118" i="19" s="1"/>
  <c r="I86" i="19"/>
  <c r="I87" i="19" s="1"/>
  <c r="I88" i="19" s="1"/>
  <c r="I89" i="19" s="1"/>
  <c r="I90" i="19" s="1"/>
  <c r="I91" i="19" s="1"/>
  <c r="I92" i="19" s="1"/>
  <c r="I93" i="19" s="1"/>
  <c r="I94" i="19" s="1"/>
  <c r="I95" i="19" s="1"/>
  <c r="I96" i="19" s="1"/>
  <c r="I97" i="19" s="1"/>
  <c r="I98" i="19" s="1"/>
  <c r="I99" i="19" s="1"/>
  <c r="I100" i="19" s="1"/>
  <c r="I101" i="19" s="1"/>
  <c r="I102" i="19" s="1"/>
  <c r="I103" i="19" s="1"/>
  <c r="I104" i="19" s="1"/>
  <c r="I105" i="19" s="1"/>
  <c r="I106" i="19" s="1"/>
  <c r="I107" i="19" s="1"/>
  <c r="I108" i="19" s="1"/>
  <c r="I109" i="19" s="1"/>
  <c r="I110" i="19" s="1"/>
  <c r="I111" i="19" s="1"/>
  <c r="I112" i="19" s="1"/>
  <c r="I113" i="19" s="1"/>
  <c r="I114" i="19" s="1"/>
  <c r="I115" i="19" s="1"/>
  <c r="I116" i="19" s="1"/>
  <c r="I117" i="19" s="1"/>
  <c r="I118" i="19" s="1"/>
  <c r="G86" i="19"/>
  <c r="E86" i="19"/>
  <c r="E87" i="19" s="1"/>
  <c r="E88" i="19" s="1"/>
  <c r="E89" i="19" s="1"/>
  <c r="E90" i="19" s="1"/>
  <c r="E91" i="19" s="1"/>
  <c r="E92" i="19" s="1"/>
  <c r="E93" i="19" s="1"/>
  <c r="E94" i="19" s="1"/>
  <c r="E95" i="19" s="1"/>
  <c r="E96" i="19" s="1"/>
  <c r="E97" i="19" s="1"/>
  <c r="E98" i="19" s="1"/>
  <c r="E99" i="19" s="1"/>
  <c r="E100" i="19" s="1"/>
  <c r="E101" i="19" s="1"/>
  <c r="E102" i="19" s="1"/>
  <c r="E103" i="19" s="1"/>
  <c r="E104" i="19" s="1"/>
  <c r="E105" i="19" s="1"/>
  <c r="E106" i="19" s="1"/>
  <c r="E107" i="19" s="1"/>
  <c r="E108" i="19" s="1"/>
  <c r="E109" i="19" s="1"/>
  <c r="E110" i="19" s="1"/>
  <c r="E111" i="19" s="1"/>
  <c r="E112" i="19" s="1"/>
  <c r="E113" i="19" s="1"/>
  <c r="E114" i="19" s="1"/>
  <c r="E115" i="19" s="1"/>
  <c r="E116" i="19" s="1"/>
  <c r="E117" i="19" s="1"/>
  <c r="E118" i="19" s="1"/>
  <c r="B86" i="19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Q85" i="19"/>
  <c r="R85" i="19" s="1"/>
  <c r="G85" i="19"/>
  <c r="Q84" i="19"/>
  <c r="R84" i="19" s="1"/>
  <c r="G84" i="19"/>
  <c r="Q83" i="19"/>
  <c r="R83" i="19" s="1"/>
  <c r="G83" i="19"/>
  <c r="Q82" i="19"/>
  <c r="R82" i="19" s="1"/>
  <c r="G82" i="19"/>
  <c r="Q81" i="19"/>
  <c r="R81" i="19" s="1"/>
  <c r="G81" i="19"/>
  <c r="Q80" i="19"/>
  <c r="R80" i="19" s="1"/>
  <c r="G80" i="19"/>
  <c r="Q79" i="19"/>
  <c r="R79" i="19" s="1"/>
  <c r="G79" i="19"/>
  <c r="Q78" i="19"/>
  <c r="R78" i="19" s="1"/>
  <c r="G78" i="19"/>
  <c r="Q77" i="19"/>
  <c r="R77" i="19" s="1"/>
  <c r="G77" i="19"/>
  <c r="Q76" i="19"/>
  <c r="R76" i="19" s="1"/>
  <c r="G76" i="19"/>
  <c r="Q75" i="19"/>
  <c r="R75" i="19" s="1"/>
  <c r="G75" i="19"/>
  <c r="Q74" i="19"/>
  <c r="R74" i="19" s="1"/>
  <c r="G74" i="19"/>
  <c r="Q73" i="19"/>
  <c r="R73" i="19" s="1"/>
  <c r="G73" i="19"/>
  <c r="Q72" i="19"/>
  <c r="R72" i="19" s="1"/>
  <c r="G72" i="19"/>
  <c r="Q71" i="19"/>
  <c r="R71" i="19" s="1"/>
  <c r="G71" i="19"/>
  <c r="Q70" i="19"/>
  <c r="R70" i="19" s="1"/>
  <c r="G70" i="19"/>
  <c r="Q69" i="19"/>
  <c r="R69" i="19" s="1"/>
  <c r="G69" i="19"/>
  <c r="Q68" i="19"/>
  <c r="R68" i="19" s="1"/>
  <c r="G68" i="19"/>
  <c r="Q67" i="19"/>
  <c r="R67" i="19" s="1"/>
  <c r="G67" i="19"/>
  <c r="Q66" i="19"/>
  <c r="R66" i="19" s="1"/>
  <c r="G66" i="19"/>
  <c r="Q65" i="19"/>
  <c r="R65" i="19" s="1"/>
  <c r="G65" i="19"/>
  <c r="Q64" i="19"/>
  <c r="R64" i="19" s="1"/>
  <c r="G64" i="19"/>
  <c r="Q63" i="19"/>
  <c r="R63" i="19" s="1"/>
  <c r="G63" i="19"/>
  <c r="Q62" i="19"/>
  <c r="R62" i="19" s="1"/>
  <c r="G62" i="19"/>
  <c r="Q61" i="19"/>
  <c r="R61" i="19" s="1"/>
  <c r="G61" i="19"/>
  <c r="Q60" i="19"/>
  <c r="R60" i="19" s="1"/>
  <c r="G60" i="19"/>
  <c r="Q59" i="19"/>
  <c r="R59" i="19" s="1"/>
  <c r="G59" i="19"/>
  <c r="Q58" i="19"/>
  <c r="R58" i="19" s="1"/>
  <c r="G58" i="19"/>
  <c r="Q57" i="19"/>
  <c r="R57" i="19" s="1"/>
  <c r="G57" i="19"/>
  <c r="Q56" i="19"/>
  <c r="R56" i="19" s="1"/>
  <c r="G56" i="19"/>
  <c r="Q55" i="19"/>
  <c r="R55" i="19" s="1"/>
  <c r="G55" i="19"/>
  <c r="Q54" i="19"/>
  <c r="R54" i="19" s="1"/>
  <c r="G54" i="19"/>
  <c r="Q53" i="19"/>
  <c r="R53" i="19" s="1"/>
  <c r="G53" i="19"/>
  <c r="Q52" i="19"/>
  <c r="R52" i="19" s="1"/>
  <c r="G52" i="19"/>
  <c r="Q51" i="19"/>
  <c r="R51" i="19" s="1"/>
  <c r="G51" i="19"/>
  <c r="Q50" i="19"/>
  <c r="R50" i="19" s="1"/>
  <c r="G50" i="19"/>
  <c r="Q49" i="19"/>
  <c r="R49" i="19" s="1"/>
  <c r="G49" i="19"/>
  <c r="Q48" i="19"/>
  <c r="R48" i="19" s="1"/>
  <c r="G48" i="19"/>
  <c r="Q47" i="19"/>
  <c r="R47" i="19" s="1"/>
  <c r="G47" i="19"/>
  <c r="Q46" i="19"/>
  <c r="R46" i="19" s="1"/>
  <c r="G46" i="19"/>
  <c r="Q45" i="19"/>
  <c r="R45" i="19" s="1"/>
  <c r="G45" i="19"/>
  <c r="Q44" i="19"/>
  <c r="R44" i="19" s="1"/>
  <c r="G44" i="19"/>
  <c r="Q43" i="19"/>
  <c r="R43" i="19" s="1"/>
  <c r="G43" i="19"/>
  <c r="Q42" i="19"/>
  <c r="R42" i="19" s="1"/>
  <c r="G42" i="19"/>
  <c r="Q41" i="19"/>
  <c r="R41" i="19" s="1"/>
  <c r="G41" i="19"/>
  <c r="Q40" i="19"/>
  <c r="R40" i="19" s="1"/>
  <c r="G40" i="19"/>
  <c r="Q39" i="19"/>
  <c r="R39" i="19" s="1"/>
  <c r="G39" i="19"/>
  <c r="Q38" i="19"/>
  <c r="R38" i="19" s="1"/>
  <c r="G38" i="19"/>
  <c r="Q37" i="19"/>
  <c r="R37" i="19" s="1"/>
  <c r="G37" i="19"/>
  <c r="Q36" i="19"/>
  <c r="R36" i="19" s="1"/>
  <c r="G36" i="19"/>
  <c r="Q35" i="19"/>
  <c r="R35" i="19" s="1"/>
  <c r="G35" i="19"/>
  <c r="Q34" i="19"/>
  <c r="R34" i="19" s="1"/>
  <c r="G34" i="19"/>
  <c r="Q33" i="19"/>
  <c r="R33" i="19" s="1"/>
  <c r="G33" i="19"/>
  <c r="Q32" i="19"/>
  <c r="R32" i="19" s="1"/>
  <c r="G32" i="19"/>
  <c r="Q31" i="19"/>
  <c r="R31" i="19" s="1"/>
  <c r="G31" i="19"/>
  <c r="Q30" i="19"/>
  <c r="R30" i="19" s="1"/>
  <c r="G30" i="19"/>
  <c r="Q29" i="19"/>
  <c r="R29" i="19" s="1"/>
  <c r="G29" i="19"/>
  <c r="Q28" i="19"/>
  <c r="R28" i="19" s="1"/>
  <c r="G28" i="19"/>
  <c r="Q27" i="19"/>
  <c r="R27" i="19" s="1"/>
  <c r="G27" i="19"/>
  <c r="Q26" i="19"/>
  <c r="R26" i="19" s="1"/>
  <c r="G26" i="19"/>
  <c r="Q25" i="19"/>
  <c r="R25" i="19" s="1"/>
  <c r="G25" i="19"/>
  <c r="Q24" i="19"/>
  <c r="R24" i="19" s="1"/>
  <c r="G24" i="19"/>
  <c r="Q23" i="19"/>
  <c r="R23" i="19" s="1"/>
  <c r="G23" i="19"/>
  <c r="Q22" i="19"/>
  <c r="R22" i="19" s="1"/>
  <c r="G22" i="19"/>
  <c r="Q21" i="19"/>
  <c r="R21" i="19" s="1"/>
  <c r="G21" i="19"/>
  <c r="Q20" i="19"/>
  <c r="R20" i="19" s="1"/>
  <c r="G20" i="19"/>
  <c r="Q19" i="19"/>
  <c r="R19" i="19" s="1"/>
  <c r="G19" i="19"/>
  <c r="Q18" i="19"/>
  <c r="R18" i="19" s="1"/>
  <c r="G18" i="19"/>
  <c r="Q17" i="19"/>
  <c r="R17" i="19" s="1"/>
  <c r="G17" i="19"/>
  <c r="Q16" i="19"/>
  <c r="R16" i="19" s="1"/>
  <c r="G16" i="19"/>
  <c r="Q15" i="19"/>
  <c r="R15" i="19" s="1"/>
  <c r="G15" i="19"/>
  <c r="Q14" i="19"/>
  <c r="R14" i="19" s="1"/>
  <c r="G14" i="19"/>
  <c r="Q13" i="19"/>
  <c r="R13" i="19" s="1"/>
  <c r="G13" i="19"/>
  <c r="Q12" i="19"/>
  <c r="R12" i="19" s="1"/>
  <c r="G12" i="19"/>
  <c r="Q11" i="19"/>
  <c r="R11" i="19" s="1"/>
  <c r="G11" i="19"/>
  <c r="G10" i="19"/>
  <c r="D16" i="23" l="1"/>
  <c r="F120" i="19"/>
  <c r="E124" i="19" s="1"/>
  <c r="J122" i="19"/>
  <c r="C122" i="19"/>
  <c r="R118" i="19"/>
  <c r="J123" i="19"/>
  <c r="M122" i="19"/>
  <c r="H5" i="20"/>
  <c r="D10" i="20" s="1"/>
  <c r="F10" i="20" s="1"/>
  <c r="G10" i="20" s="1"/>
  <c r="H10" i="20" s="1"/>
  <c r="B21" i="9" s="1"/>
  <c r="B17" i="9"/>
  <c r="R120" i="19"/>
  <c r="S121" i="19" s="1"/>
  <c r="B26" i="2" l="1"/>
  <c r="C15" i="3" l="1"/>
  <c r="B50" i="3" l="1"/>
  <c r="B65" i="8" s="1"/>
  <c r="F66" i="8" s="1"/>
  <c r="N10" i="9"/>
  <c r="B42" i="8"/>
  <c r="B41" i="8"/>
  <c r="F106" i="10"/>
  <c r="H106" i="10" s="1"/>
  <c r="F105" i="10"/>
  <c r="H105" i="10" s="1"/>
  <c r="F104" i="10"/>
  <c r="H104" i="10" s="1"/>
  <c r="F103" i="10"/>
  <c r="H103" i="10" s="1"/>
  <c r="F102" i="10"/>
  <c r="H102" i="10" s="1"/>
  <c r="F101" i="10"/>
  <c r="H101" i="10" s="1"/>
  <c r="F100" i="10"/>
  <c r="H100" i="10" s="1"/>
  <c r="F99" i="10"/>
  <c r="H99" i="10" s="1"/>
  <c r="F98" i="10"/>
  <c r="H98" i="10" s="1"/>
  <c r="F97" i="10"/>
  <c r="H97" i="10" s="1"/>
  <c r="F96" i="10"/>
  <c r="H96" i="10" s="1"/>
  <c r="F95" i="10"/>
  <c r="H95" i="10" s="1"/>
  <c r="F94" i="10"/>
  <c r="H94" i="10" s="1"/>
  <c r="F93" i="10"/>
  <c r="H93" i="10" s="1"/>
  <c r="F92" i="10"/>
  <c r="H92" i="10" s="1"/>
  <c r="F91" i="10"/>
  <c r="H91" i="10" s="1"/>
  <c r="F90" i="10"/>
  <c r="H90" i="10" s="1"/>
  <c r="F89" i="10"/>
  <c r="H89" i="10" s="1"/>
  <c r="F88" i="10"/>
  <c r="H88" i="10" s="1"/>
  <c r="F87" i="10"/>
  <c r="H87" i="10" s="1"/>
  <c r="F86" i="10"/>
  <c r="H86" i="10" s="1"/>
  <c r="F85" i="10"/>
  <c r="H85" i="10" s="1"/>
  <c r="F84" i="10"/>
  <c r="H84" i="10" s="1"/>
  <c r="F83" i="10"/>
  <c r="H83" i="10" s="1"/>
  <c r="F82" i="10"/>
  <c r="H82" i="10" s="1"/>
  <c r="F81" i="10"/>
  <c r="H81" i="10" s="1"/>
  <c r="F80" i="10"/>
  <c r="H80" i="10" s="1"/>
  <c r="F79" i="10"/>
  <c r="H79" i="10" s="1"/>
  <c r="F78" i="10"/>
  <c r="H78" i="10" s="1"/>
  <c r="F77" i="10"/>
  <c r="H77" i="10" s="1"/>
  <c r="F76" i="10"/>
  <c r="H76" i="10" s="1"/>
  <c r="F75" i="10"/>
  <c r="H75" i="10" s="1"/>
  <c r="F74" i="10"/>
  <c r="H74" i="10" s="1"/>
  <c r="F73" i="10"/>
  <c r="H73" i="10" s="1"/>
  <c r="F72" i="10"/>
  <c r="H72" i="10" s="1"/>
  <c r="F71" i="10"/>
  <c r="H71" i="10" s="1"/>
  <c r="F70" i="10"/>
  <c r="H70" i="10" s="1"/>
  <c r="F69" i="10"/>
  <c r="H69" i="10" s="1"/>
  <c r="F68" i="10"/>
  <c r="H68" i="10" s="1"/>
  <c r="F67" i="10"/>
  <c r="H67" i="10" s="1"/>
  <c r="F66" i="10"/>
  <c r="H66" i="10" s="1"/>
  <c r="F65" i="10"/>
  <c r="H65" i="10" s="1"/>
  <c r="F64" i="10"/>
  <c r="H64" i="10" s="1"/>
  <c r="F63" i="10"/>
  <c r="H63" i="10" s="1"/>
  <c r="F62" i="10"/>
  <c r="H62" i="10" s="1"/>
  <c r="F61" i="10"/>
  <c r="H61" i="10" s="1"/>
  <c r="F60" i="10"/>
  <c r="H60" i="10" s="1"/>
  <c r="F59" i="10"/>
  <c r="H59" i="10" s="1"/>
  <c r="F58" i="10"/>
  <c r="H58" i="10" s="1"/>
  <c r="F57" i="10"/>
  <c r="H57" i="10" s="1"/>
  <c r="F56" i="10"/>
  <c r="H56" i="10" s="1"/>
  <c r="F55" i="10"/>
  <c r="H55" i="10" s="1"/>
  <c r="F54" i="10"/>
  <c r="H54" i="10" s="1"/>
  <c r="F53" i="10"/>
  <c r="H53" i="10" s="1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20" i="10"/>
  <c r="H20" i="10" s="1"/>
  <c r="F19" i="10"/>
  <c r="H19" i="10" s="1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H13" i="10" s="1"/>
  <c r="F12" i="10"/>
  <c r="H12" i="10" s="1"/>
  <c r="F11" i="10"/>
  <c r="H11" i="10" s="1"/>
  <c r="B20" i="9" l="1"/>
  <c r="B10" i="7"/>
  <c r="B9" i="8" l="1"/>
  <c r="B40" i="8" s="1"/>
  <c r="B22" i="7"/>
  <c r="B32" i="11" s="1"/>
  <c r="G38" i="3"/>
  <c r="G12" i="11" l="1"/>
  <c r="G26" i="12"/>
  <c r="B145" i="1" l="1"/>
  <c r="B163" i="1"/>
  <c r="L19" i="4" l="1"/>
  <c r="P19" i="4"/>
  <c r="T19" i="4"/>
  <c r="M19" i="4"/>
  <c r="Q19" i="4"/>
  <c r="I19" i="4"/>
  <c r="J19" i="4"/>
  <c r="N19" i="4"/>
  <c r="R19" i="4"/>
  <c r="K19" i="4"/>
  <c r="O19" i="4"/>
  <c r="S19" i="4"/>
  <c r="D142" i="1"/>
  <c r="D141" i="1"/>
  <c r="D140" i="1"/>
  <c r="D139" i="1"/>
  <c r="D138" i="1"/>
  <c r="D137" i="1"/>
  <c r="D136" i="1"/>
  <c r="D135" i="1"/>
  <c r="D134" i="1"/>
  <c r="D133" i="1"/>
  <c r="B161" i="1" s="1"/>
  <c r="D132" i="1"/>
  <c r="B160" i="1" s="1"/>
  <c r="D131" i="1"/>
  <c r="D130" i="1"/>
  <c r="D119" i="1"/>
  <c r="D118" i="1"/>
  <c r="D117" i="1"/>
  <c r="D116" i="1"/>
  <c r="D115" i="1"/>
  <c r="D114" i="1"/>
  <c r="D113" i="1"/>
  <c r="D112" i="1"/>
  <c r="D111" i="1"/>
  <c r="D110" i="1"/>
  <c r="D107" i="1"/>
  <c r="D106" i="1"/>
  <c r="D105" i="1"/>
  <c r="D104" i="1"/>
  <c r="D103" i="1"/>
  <c r="D102" i="1"/>
  <c r="D101" i="1"/>
  <c r="D98" i="1"/>
  <c r="D97" i="1"/>
  <c r="D96" i="1"/>
  <c r="D95" i="1"/>
  <c r="D94" i="1"/>
  <c r="D91" i="1"/>
  <c r="D90" i="1"/>
  <c r="D89" i="1"/>
  <c r="D88" i="1"/>
  <c r="D87" i="1"/>
  <c r="D86" i="1"/>
  <c r="D85" i="1"/>
  <c r="D84" i="1"/>
  <c r="D81" i="1"/>
  <c r="D80" i="1"/>
  <c r="D79" i="1"/>
  <c r="D78" i="1"/>
  <c r="D77" i="1"/>
  <c r="D74" i="1"/>
  <c r="D73" i="1"/>
  <c r="D72" i="1"/>
  <c r="D71" i="1"/>
  <c r="D70" i="1"/>
  <c r="D69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10" i="1"/>
  <c r="B31" i="3" l="1"/>
  <c r="D24" i="6" s="1"/>
  <c r="K16" i="4"/>
  <c r="O16" i="4"/>
  <c r="S16" i="4"/>
  <c r="L16" i="4"/>
  <c r="P16" i="4"/>
  <c r="T16" i="4"/>
  <c r="M16" i="4"/>
  <c r="Q16" i="4"/>
  <c r="I16" i="4"/>
  <c r="J16" i="4"/>
  <c r="N16" i="4"/>
  <c r="R16" i="4"/>
  <c r="L17" i="4"/>
  <c r="P17" i="4"/>
  <c r="T17" i="4"/>
  <c r="M17" i="4"/>
  <c r="Q17" i="4"/>
  <c r="I17" i="4"/>
  <c r="J17" i="4"/>
  <c r="N17" i="4"/>
  <c r="R17" i="4"/>
  <c r="K17" i="4"/>
  <c r="O17" i="4"/>
  <c r="S17" i="4"/>
  <c r="B162" i="1"/>
  <c r="B157" i="1"/>
  <c r="G24" i="6"/>
  <c r="B23" i="6"/>
  <c r="G16" i="1"/>
  <c r="B33" i="3" s="1"/>
  <c r="B159" i="1"/>
  <c r="B28" i="4"/>
  <c r="C28" i="4" s="1"/>
  <c r="D28" i="4" s="1"/>
  <c r="E28" i="4" s="1"/>
  <c r="F28" i="4" s="1"/>
  <c r="B27" i="4"/>
  <c r="C27" i="4" s="1"/>
  <c r="D27" i="4" s="1"/>
  <c r="E27" i="4" s="1"/>
  <c r="F27" i="4" s="1"/>
  <c r="B26" i="4"/>
  <c r="C26" i="4" s="1"/>
  <c r="D26" i="4" s="1"/>
  <c r="E26" i="4" s="1"/>
  <c r="F26" i="4" s="1"/>
  <c r="B25" i="4"/>
  <c r="E24" i="6" l="1"/>
  <c r="B22" i="8"/>
  <c r="C24" i="6"/>
  <c r="C25" i="6" s="1"/>
  <c r="B54" i="8"/>
  <c r="F24" i="6"/>
  <c r="B12" i="4"/>
  <c r="L13" i="4"/>
  <c r="P13" i="4"/>
  <c r="T13" i="4"/>
  <c r="M13" i="4"/>
  <c r="Q13" i="4"/>
  <c r="I13" i="4"/>
  <c r="J13" i="4"/>
  <c r="N13" i="4"/>
  <c r="R13" i="4"/>
  <c r="K13" i="4"/>
  <c r="O13" i="4"/>
  <c r="S13" i="4"/>
  <c r="L18" i="4"/>
  <c r="P18" i="4"/>
  <c r="T18" i="4"/>
  <c r="M18" i="4"/>
  <c r="Q18" i="4"/>
  <c r="I18" i="4"/>
  <c r="J18" i="4"/>
  <c r="N18" i="4"/>
  <c r="R18" i="4"/>
  <c r="K18" i="4"/>
  <c r="O18" i="4"/>
  <c r="S18" i="4"/>
  <c r="L15" i="4"/>
  <c r="P15" i="4"/>
  <c r="T15" i="4"/>
  <c r="M15" i="4"/>
  <c r="Q15" i="4"/>
  <c r="I15" i="4"/>
  <c r="J15" i="4"/>
  <c r="N15" i="4"/>
  <c r="R15" i="4"/>
  <c r="K15" i="4"/>
  <c r="O15" i="4"/>
  <c r="S15" i="4"/>
  <c r="D25" i="6"/>
  <c r="D26" i="6" s="1"/>
  <c r="D18" i="11" s="1"/>
  <c r="B55" i="8"/>
  <c r="B23" i="8"/>
  <c r="G29" i="6"/>
  <c r="D29" i="6"/>
  <c r="C29" i="6"/>
  <c r="C30" i="6" s="1"/>
  <c r="E29" i="6"/>
  <c r="B28" i="6"/>
  <c r="F29" i="6"/>
  <c r="C26" i="6"/>
  <c r="C18" i="11" s="1"/>
  <c r="B26" i="6"/>
  <c r="B18" i="11" s="1"/>
  <c r="B29" i="4"/>
  <c r="C20" i="3" s="1"/>
  <c r="B38" i="3" s="1"/>
  <c r="C25" i="4"/>
  <c r="C29" i="4" s="1"/>
  <c r="D14" i="3"/>
  <c r="B19" i="4"/>
  <c r="C19" i="4" s="1"/>
  <c r="D19" i="4" s="1"/>
  <c r="E19" i="4" s="1"/>
  <c r="F19" i="4" s="1"/>
  <c r="B18" i="4"/>
  <c r="C18" i="4" s="1"/>
  <c r="D18" i="4" s="1"/>
  <c r="E18" i="4" s="1"/>
  <c r="F18" i="4" s="1"/>
  <c r="B15" i="4"/>
  <c r="C15" i="4" s="1"/>
  <c r="D15" i="4" s="1"/>
  <c r="E15" i="4" s="1"/>
  <c r="F15" i="4" s="1"/>
  <c r="B11" i="4"/>
  <c r="C11" i="4" s="1"/>
  <c r="D11" i="4" s="1"/>
  <c r="E11" i="4" s="1"/>
  <c r="F11" i="4" s="1"/>
  <c r="B10" i="4"/>
  <c r="C10" i="4" s="1"/>
  <c r="D10" i="4" s="1"/>
  <c r="E10" i="4" s="1"/>
  <c r="F10" i="4" s="1"/>
  <c r="B9" i="4"/>
  <c r="C9" i="4" s="1"/>
  <c r="D9" i="4" s="1"/>
  <c r="E9" i="4" s="1"/>
  <c r="F9" i="4" s="1"/>
  <c r="B17" i="4"/>
  <c r="C17" i="4" s="1"/>
  <c r="D17" i="4" s="1"/>
  <c r="E17" i="4" s="1"/>
  <c r="F17" i="4" s="1"/>
  <c r="B14" i="4"/>
  <c r="C14" i="4" s="1"/>
  <c r="D14" i="4" s="1"/>
  <c r="E14" i="4" s="1"/>
  <c r="F14" i="4" s="1"/>
  <c r="B16" i="4"/>
  <c r="C16" i="4" s="1"/>
  <c r="D16" i="4" s="1"/>
  <c r="E16" i="4" s="1"/>
  <c r="F16" i="4" s="1"/>
  <c r="E25" i="6" l="1"/>
  <c r="F25" i="6" s="1"/>
  <c r="G25" i="6" s="1"/>
  <c r="G26" i="6" s="1"/>
  <c r="G18" i="11" s="1"/>
  <c r="E14" i="3"/>
  <c r="E15" i="3" s="1"/>
  <c r="D15" i="3"/>
  <c r="B31" i="6"/>
  <c r="B19" i="11" s="1"/>
  <c r="C31" i="6"/>
  <c r="C19" i="11" s="1"/>
  <c r="D30" i="6"/>
  <c r="E30" i="6" s="1"/>
  <c r="D25" i="4"/>
  <c r="D20" i="3"/>
  <c r="B8" i="4"/>
  <c r="D11" i="3"/>
  <c r="C15" i="2"/>
  <c r="J21" i="4" s="1"/>
  <c r="C16" i="2"/>
  <c r="K21" i="4" s="1"/>
  <c r="C17" i="2"/>
  <c r="L21" i="4" s="1"/>
  <c r="C18" i="2"/>
  <c r="M21" i="4" s="1"/>
  <c r="C19" i="2"/>
  <c r="N21" i="4" s="1"/>
  <c r="C20" i="2"/>
  <c r="O21" i="4" s="1"/>
  <c r="C21" i="2"/>
  <c r="P21" i="4" s="1"/>
  <c r="C22" i="2"/>
  <c r="Q21" i="4" s="1"/>
  <c r="C23" i="2"/>
  <c r="R21" i="4" s="1"/>
  <c r="C24" i="2"/>
  <c r="S21" i="4" s="1"/>
  <c r="C25" i="2"/>
  <c r="T21" i="4" s="1"/>
  <c r="C14" i="2"/>
  <c r="I21" i="4" s="1"/>
  <c r="H58" i="3"/>
  <c r="F26" i="6" l="1"/>
  <c r="F18" i="11" s="1"/>
  <c r="E26" i="6"/>
  <c r="E18" i="11" s="1"/>
  <c r="F14" i="3"/>
  <c r="F15" i="3" s="1"/>
  <c r="E14" i="2"/>
  <c r="E31" i="6"/>
  <c r="E19" i="11" s="1"/>
  <c r="F30" i="6"/>
  <c r="F31" i="6" s="1"/>
  <c r="F19" i="11" s="1"/>
  <c r="D31" i="6"/>
  <c r="D19" i="11" s="1"/>
  <c r="C8" i="4"/>
  <c r="D8" i="4" s="1"/>
  <c r="E8" i="4" s="1"/>
  <c r="F8" i="4" s="1"/>
  <c r="E25" i="4"/>
  <c r="D29" i="4"/>
  <c r="E20" i="3" s="1"/>
  <c r="E11" i="3"/>
  <c r="G30" i="6" l="1"/>
  <c r="G31" i="6" s="1"/>
  <c r="G19" i="11" s="1"/>
  <c r="C13" i="3"/>
  <c r="C12" i="3" s="1"/>
  <c r="B20" i="4"/>
  <c r="C9" i="3"/>
  <c r="G14" i="3"/>
  <c r="G15" i="3" s="1"/>
  <c r="F14" i="2"/>
  <c r="D13" i="3" s="1"/>
  <c r="F25" i="4"/>
  <c r="F29" i="4" s="1"/>
  <c r="G20" i="3" s="1"/>
  <c r="E29" i="4"/>
  <c r="F20" i="3" s="1"/>
  <c r="F11" i="3"/>
  <c r="C107" i="3" l="1"/>
  <c r="C142" i="3" s="1"/>
  <c r="C141" i="3" s="1"/>
  <c r="D10" i="3"/>
  <c r="D9" i="3" s="1"/>
  <c r="C20" i="4"/>
  <c r="G14" i="2"/>
  <c r="E13" i="3" s="1"/>
  <c r="D12" i="3"/>
  <c r="G11" i="3"/>
  <c r="C99" i="3" l="1"/>
  <c r="C106" i="3"/>
  <c r="C104" i="3"/>
  <c r="C111" i="3"/>
  <c r="C109" i="3"/>
  <c r="C102" i="3"/>
  <c r="C115" i="3"/>
  <c r="C113" i="3"/>
  <c r="C112" i="3"/>
  <c r="C100" i="3"/>
  <c r="C103" i="3"/>
  <c r="C110" i="3"/>
  <c r="C101" i="3"/>
  <c r="C114" i="3"/>
  <c r="C108" i="3"/>
  <c r="C105" i="3"/>
  <c r="H14" i="2"/>
  <c r="I14" i="2" s="1"/>
  <c r="E10" i="3"/>
  <c r="E9" i="3" s="1"/>
  <c r="D8" i="3"/>
  <c r="E12" i="3"/>
  <c r="D20" i="4"/>
  <c r="E20" i="4" l="1"/>
  <c r="G10" i="3"/>
  <c r="G9" i="3" s="1"/>
  <c r="G13" i="3"/>
  <c r="G12" i="3" s="1"/>
  <c r="F10" i="3"/>
  <c r="F9" i="3" s="1"/>
  <c r="F13" i="3"/>
  <c r="F12" i="3" s="1"/>
  <c r="E8" i="3"/>
  <c r="F20" i="4"/>
  <c r="B146" i="1"/>
  <c r="B147" i="1"/>
  <c r="B148" i="1"/>
  <c r="B7" i="4" l="1"/>
  <c r="M8" i="4"/>
  <c r="J8" i="4"/>
  <c r="S8" i="4"/>
  <c r="L8" i="4"/>
  <c r="Q8" i="4"/>
  <c r="N8" i="4"/>
  <c r="P8" i="4"/>
  <c r="I8" i="4"/>
  <c r="R8" i="4"/>
  <c r="T8" i="4"/>
  <c r="O8" i="4"/>
  <c r="K8" i="4"/>
  <c r="F8" i="3"/>
  <c r="G8" i="3"/>
  <c r="D12" i="1"/>
  <c r="D13" i="1"/>
  <c r="D120" i="1"/>
  <c r="D121" i="1"/>
  <c r="D122" i="1"/>
  <c r="D123" i="1"/>
  <c r="D124" i="1"/>
  <c r="D125" i="1"/>
  <c r="D126" i="1"/>
  <c r="D14" i="1"/>
  <c r="D127" i="1"/>
  <c r="D128" i="1"/>
  <c r="D129" i="1"/>
  <c r="D15" i="1"/>
  <c r="D17" i="1"/>
  <c r="D18" i="1"/>
  <c r="D19" i="1"/>
  <c r="D20" i="1"/>
  <c r="D16" i="1"/>
  <c r="D21" i="1"/>
  <c r="D22" i="1"/>
  <c r="D23" i="1"/>
  <c r="D24" i="1"/>
  <c r="D25" i="1"/>
  <c r="D26" i="1"/>
  <c r="D27" i="1"/>
  <c r="D28" i="1"/>
  <c r="D29" i="1"/>
  <c r="D30" i="1"/>
  <c r="D11" i="1"/>
  <c r="D8" i="1"/>
  <c r="D7" i="1"/>
  <c r="D6" i="1"/>
  <c r="D5" i="1"/>
  <c r="D4" i="1"/>
  <c r="B25" i="3" s="1"/>
  <c r="G14" i="1" l="1"/>
  <c r="B29" i="3" s="1"/>
  <c r="B158" i="1"/>
  <c r="B51" i="8"/>
  <c r="B19" i="8"/>
  <c r="D9" i="6"/>
  <c r="C9" i="6"/>
  <c r="F9" i="6"/>
  <c r="B8" i="6"/>
  <c r="G9" i="6"/>
  <c r="E9" i="6"/>
  <c r="G15" i="1"/>
  <c r="B35" i="3" s="1"/>
  <c r="B27" i="3"/>
  <c r="C7" i="4"/>
  <c r="B24" i="3" l="1"/>
  <c r="B13" i="4"/>
  <c r="B21" i="4" s="1"/>
  <c r="L14" i="4"/>
  <c r="L22" i="4" s="1"/>
  <c r="P14" i="4"/>
  <c r="P22" i="4" s="1"/>
  <c r="T14" i="4"/>
  <c r="T22" i="4" s="1"/>
  <c r="M14" i="4"/>
  <c r="M22" i="4" s="1"/>
  <c r="Q14" i="4"/>
  <c r="Q22" i="4" s="1"/>
  <c r="I14" i="4"/>
  <c r="I22" i="4" s="1"/>
  <c r="J14" i="4"/>
  <c r="J22" i="4" s="1"/>
  <c r="N14" i="4"/>
  <c r="N22" i="4" s="1"/>
  <c r="R14" i="4"/>
  <c r="R22" i="4" s="1"/>
  <c r="K14" i="4"/>
  <c r="K22" i="4" s="1"/>
  <c r="O14" i="4"/>
  <c r="O22" i="4" s="1"/>
  <c r="S14" i="4"/>
  <c r="S22" i="4" s="1"/>
  <c r="C10" i="6"/>
  <c r="C11" i="6" s="1"/>
  <c r="C15" i="11" s="1"/>
  <c r="B52" i="8"/>
  <c r="B20" i="8"/>
  <c r="D14" i="6"/>
  <c r="C14" i="6"/>
  <c r="C15" i="6" s="1"/>
  <c r="B13" i="6"/>
  <c r="F14" i="6"/>
  <c r="G14" i="6"/>
  <c r="E14" i="6"/>
  <c r="B53" i="8"/>
  <c r="B21" i="8"/>
  <c r="G19" i="6"/>
  <c r="C19" i="6"/>
  <c r="C20" i="6" s="1"/>
  <c r="D19" i="6"/>
  <c r="E19" i="6"/>
  <c r="B18" i="6"/>
  <c r="F19" i="6"/>
  <c r="B11" i="6"/>
  <c r="B15" i="11" s="1"/>
  <c r="B56" i="8"/>
  <c r="B24" i="8"/>
  <c r="E34" i="6"/>
  <c r="B33" i="6"/>
  <c r="F34" i="6"/>
  <c r="G34" i="6"/>
  <c r="D34" i="6"/>
  <c r="C34" i="6"/>
  <c r="C35" i="6" s="1"/>
  <c r="C12" i="4"/>
  <c r="D12" i="4" s="1"/>
  <c r="E12" i="4" s="1"/>
  <c r="F12" i="4" s="1"/>
  <c r="C13" i="4"/>
  <c r="D13" i="4" s="1"/>
  <c r="E13" i="4" s="1"/>
  <c r="F13" i="4" s="1"/>
  <c r="D7" i="4"/>
  <c r="E7" i="4" s="1"/>
  <c r="D107" i="3" l="1"/>
  <c r="D142" i="3" s="1"/>
  <c r="D141" i="3" s="1"/>
  <c r="B34" i="4"/>
  <c r="B22" i="12"/>
  <c r="B23" i="12" s="1"/>
  <c r="D35" i="6"/>
  <c r="E35" i="6" s="1"/>
  <c r="F35" i="6" s="1"/>
  <c r="D10" i="6"/>
  <c r="E10" i="6" s="1"/>
  <c r="F10" i="6" s="1"/>
  <c r="C16" i="6"/>
  <c r="C16" i="11" s="1"/>
  <c r="D12" i="7"/>
  <c r="D14" i="8" s="1"/>
  <c r="B21" i="6"/>
  <c r="B17" i="11" s="1"/>
  <c r="C21" i="6"/>
  <c r="C17" i="11" s="1"/>
  <c r="C12" i="7"/>
  <c r="D15" i="6"/>
  <c r="D16" i="6" s="1"/>
  <c r="D16" i="11" s="1"/>
  <c r="F12" i="7"/>
  <c r="D11" i="6"/>
  <c r="D15" i="11" s="1"/>
  <c r="E12" i="7"/>
  <c r="C36" i="6"/>
  <c r="C20" i="11" s="1"/>
  <c r="B36" i="6"/>
  <c r="B20" i="11" s="1"/>
  <c r="D20" i="6"/>
  <c r="E20" i="6" s="1"/>
  <c r="G12" i="7"/>
  <c r="B16" i="6"/>
  <c r="B16" i="11" s="1"/>
  <c r="C21" i="4"/>
  <c r="D21" i="4"/>
  <c r="F7" i="4"/>
  <c r="F21" i="4" s="1"/>
  <c r="E21" i="4"/>
  <c r="D112" i="3" l="1"/>
  <c r="D108" i="3"/>
  <c r="D102" i="3"/>
  <c r="D106" i="3"/>
  <c r="D111" i="3"/>
  <c r="D101" i="3"/>
  <c r="D109" i="3"/>
  <c r="D113" i="3"/>
  <c r="D99" i="3"/>
  <c r="D103" i="3"/>
  <c r="D115" i="3"/>
  <c r="D110" i="3"/>
  <c r="D114" i="3"/>
  <c r="D100" i="3"/>
  <c r="D104" i="3"/>
  <c r="D105" i="3"/>
  <c r="D18" i="3"/>
  <c r="C38" i="3" s="1"/>
  <c r="C26" i="12" s="1"/>
  <c r="C34" i="4"/>
  <c r="F18" i="3"/>
  <c r="E38" i="3" s="1"/>
  <c r="E26" i="12" s="1"/>
  <c r="E34" i="4"/>
  <c r="G18" i="3"/>
  <c r="G19" i="3" s="1"/>
  <c r="G22" i="3" s="1"/>
  <c r="F34" i="4"/>
  <c r="E18" i="3"/>
  <c r="E19" i="3" s="1"/>
  <c r="E22" i="3" s="1"/>
  <c r="D34" i="4"/>
  <c r="D36" i="6"/>
  <c r="D20" i="11" s="1"/>
  <c r="B12" i="11"/>
  <c r="B23" i="11" s="1"/>
  <c r="B9" i="9" s="1"/>
  <c r="E11" i="6"/>
  <c r="E15" i="11" s="1"/>
  <c r="E36" i="6"/>
  <c r="E20" i="11" s="1"/>
  <c r="D10" i="8"/>
  <c r="D41" i="8" s="1"/>
  <c r="D47" i="8" s="1"/>
  <c r="F36" i="6"/>
  <c r="F20" i="11" s="1"/>
  <c r="G35" i="6"/>
  <c r="G36" i="6" s="1"/>
  <c r="G20" i="11" s="1"/>
  <c r="F20" i="6"/>
  <c r="E21" i="6"/>
  <c r="E17" i="11" s="1"/>
  <c r="G10" i="8"/>
  <c r="G41" i="8" s="1"/>
  <c r="G47" i="8" s="1"/>
  <c r="G14" i="8"/>
  <c r="F11" i="6"/>
  <c r="F15" i="11" s="1"/>
  <c r="G10" i="6"/>
  <c r="G11" i="6" s="1"/>
  <c r="F14" i="8"/>
  <c r="F10" i="8"/>
  <c r="F41" i="8" s="1"/>
  <c r="F47" i="8" s="1"/>
  <c r="C14" i="8"/>
  <c r="C10" i="8"/>
  <c r="C41" i="8" s="1"/>
  <c r="C47" i="8" s="1"/>
  <c r="E14" i="8"/>
  <c r="E10" i="8"/>
  <c r="E41" i="8" s="1"/>
  <c r="E47" i="8" s="1"/>
  <c r="D21" i="6"/>
  <c r="D17" i="11" s="1"/>
  <c r="E15" i="6"/>
  <c r="C19" i="3"/>
  <c r="C22" i="3" s="1"/>
  <c r="F19" i="3" l="1"/>
  <c r="F22" i="3" s="1"/>
  <c r="F10" i="7" s="1"/>
  <c r="D58" i="3"/>
  <c r="B107" i="3"/>
  <c r="B142" i="3" s="1"/>
  <c r="B141" i="3" s="1"/>
  <c r="F38" i="3"/>
  <c r="F26" i="12" s="1"/>
  <c r="G15" i="11"/>
  <c r="D38" i="3"/>
  <c r="D26" i="12" s="1"/>
  <c r="C12" i="11"/>
  <c r="D19" i="3"/>
  <c r="D22" i="3" s="1"/>
  <c r="D10" i="7" s="1"/>
  <c r="D14" i="12"/>
  <c r="C14" i="12"/>
  <c r="B26" i="12"/>
  <c r="F15" i="6"/>
  <c r="E16" i="6"/>
  <c r="E16" i="11" s="1"/>
  <c r="F21" i="6"/>
  <c r="F17" i="11" s="1"/>
  <c r="G20" i="6"/>
  <c r="G21" i="6" s="1"/>
  <c r="G17" i="11" s="1"/>
  <c r="E15" i="12"/>
  <c r="E10" i="7"/>
  <c r="C15" i="12"/>
  <c r="C10" i="7"/>
  <c r="F58" i="3"/>
  <c r="E12" i="11"/>
  <c r="F14" i="12"/>
  <c r="G15" i="12"/>
  <c r="G10" i="7"/>
  <c r="C58" i="3"/>
  <c r="C59" i="3" s="1"/>
  <c r="C62" i="3" s="1"/>
  <c r="B64" i="3" s="1"/>
  <c r="B17" i="8" s="1"/>
  <c r="B57" i="8" s="1"/>
  <c r="F15" i="12" l="1"/>
  <c r="F16" i="12" s="1"/>
  <c r="G14" i="12"/>
  <c r="G16" i="12" s="1"/>
  <c r="B110" i="3"/>
  <c r="B114" i="3"/>
  <c r="B103" i="3"/>
  <c r="B115" i="3"/>
  <c r="B111" i="3"/>
  <c r="B113" i="3"/>
  <c r="B108" i="3"/>
  <c r="B106" i="3"/>
  <c r="B99" i="3"/>
  <c r="B101" i="3"/>
  <c r="B112" i="3"/>
  <c r="B104" i="3"/>
  <c r="B105" i="3"/>
  <c r="B100" i="3"/>
  <c r="B109" i="3"/>
  <c r="B102" i="3"/>
  <c r="G58" i="3"/>
  <c r="G59" i="3" s="1"/>
  <c r="G62" i="3" s="1"/>
  <c r="F64" i="3" s="1"/>
  <c r="F17" i="8" s="1"/>
  <c r="F57" i="8" s="1"/>
  <c r="F12" i="11"/>
  <c r="E14" i="12"/>
  <c r="E16" i="12" s="1"/>
  <c r="D12" i="11"/>
  <c r="E58" i="3"/>
  <c r="E59" i="3" s="1"/>
  <c r="E62" i="3" s="1"/>
  <c r="D64" i="3" s="1"/>
  <c r="D17" i="8" s="1"/>
  <c r="D57" i="8" s="1"/>
  <c r="D15" i="12"/>
  <c r="D16" i="12" s="1"/>
  <c r="C16" i="12"/>
  <c r="F16" i="6"/>
  <c r="F16" i="11" s="1"/>
  <c r="G15" i="6"/>
  <c r="G16" i="6" s="1"/>
  <c r="B27" i="8"/>
  <c r="B10" i="13" s="1"/>
  <c r="G9" i="8"/>
  <c r="G14" i="7"/>
  <c r="E9" i="8"/>
  <c r="E14" i="7"/>
  <c r="F14" i="7"/>
  <c r="F9" i="8"/>
  <c r="D9" i="8"/>
  <c r="D14" i="7"/>
  <c r="C9" i="8"/>
  <c r="C14" i="7"/>
  <c r="D59" i="3"/>
  <c r="D62" i="3" s="1"/>
  <c r="C64" i="3" s="1"/>
  <c r="C17" i="8" s="1"/>
  <c r="C57" i="8" s="1"/>
  <c r="E107" i="3"/>
  <c r="E142" i="3" s="1"/>
  <c r="E141" i="3" s="1"/>
  <c r="B49" i="3"/>
  <c r="E109" i="3" l="1"/>
  <c r="E113" i="3"/>
  <c r="E99" i="3"/>
  <c r="E103" i="3"/>
  <c r="E110" i="3"/>
  <c r="E114" i="3"/>
  <c r="E100" i="3"/>
  <c r="E104" i="3"/>
  <c r="E111" i="3"/>
  <c r="E115" i="3"/>
  <c r="E101" i="3"/>
  <c r="E105" i="3"/>
  <c r="E112" i="3"/>
  <c r="E108" i="3"/>
  <c r="E102" i="3"/>
  <c r="E106" i="3"/>
  <c r="H59" i="3"/>
  <c r="H62" i="3" s="1"/>
  <c r="G64" i="3" s="1"/>
  <c r="G17" i="8" s="1"/>
  <c r="G57" i="8" s="1"/>
  <c r="F59" i="3"/>
  <c r="F62" i="3" s="1"/>
  <c r="E64" i="3" s="1"/>
  <c r="E17" i="8" s="1"/>
  <c r="E57" i="8" s="1"/>
  <c r="G16" i="11"/>
  <c r="G37" i="6"/>
  <c r="B13" i="13"/>
  <c r="B19" i="9"/>
  <c r="G31" i="11"/>
  <c r="B12" i="12"/>
  <c r="D31" i="11"/>
  <c r="B31" i="11"/>
  <c r="B34" i="11" s="1"/>
  <c r="B11" i="9" s="1"/>
  <c r="H11" i="9" s="1"/>
  <c r="O11" i="9" s="1"/>
  <c r="B62" i="8"/>
  <c r="E31" i="11"/>
  <c r="F31" i="11"/>
  <c r="C31" i="11"/>
  <c r="D40" i="8"/>
  <c r="D11" i="8"/>
  <c r="B13" i="12"/>
  <c r="B48" i="8"/>
  <c r="B58" i="8" s="1"/>
  <c r="C72" i="8" s="1"/>
  <c r="F11" i="8"/>
  <c r="F40" i="8"/>
  <c r="G40" i="8"/>
  <c r="G11" i="8"/>
  <c r="C40" i="8"/>
  <c r="C11" i="8"/>
  <c r="C12" i="8" s="1"/>
  <c r="E40" i="8"/>
  <c r="E11" i="8"/>
  <c r="G12" i="5"/>
  <c r="F12" i="5"/>
  <c r="C12" i="5"/>
  <c r="E12" i="5"/>
  <c r="B9" i="5"/>
  <c r="B13" i="5" s="1"/>
  <c r="D12" i="5"/>
  <c r="B26" i="11" l="1"/>
  <c r="B28" i="11" s="1"/>
  <c r="E42" i="8"/>
  <c r="E12" i="8"/>
  <c r="E13" i="8" s="1"/>
  <c r="E15" i="8" s="1"/>
  <c r="E27" i="8" s="1"/>
  <c r="G12" i="8"/>
  <c r="G13" i="8" s="1"/>
  <c r="G15" i="8" s="1"/>
  <c r="G27" i="8" s="1"/>
  <c r="G42" i="8"/>
  <c r="B60" i="8"/>
  <c r="D12" i="8"/>
  <c r="D13" i="8" s="1"/>
  <c r="D15" i="8" s="1"/>
  <c r="D27" i="8" s="1"/>
  <c r="D42" i="8"/>
  <c r="B16" i="12"/>
  <c r="B25" i="12" s="1"/>
  <c r="B28" i="12" s="1"/>
  <c r="F42" i="8"/>
  <c r="F12" i="8"/>
  <c r="F13" i="8" s="1"/>
  <c r="F15" i="8" s="1"/>
  <c r="F27" i="8" s="1"/>
  <c r="C42" i="8"/>
  <c r="C13" i="8"/>
  <c r="C15" i="8" s="1"/>
  <c r="C27" i="8" s="1"/>
  <c r="C11" i="5"/>
  <c r="C20" i="12" s="1"/>
  <c r="C10" i="13" l="1"/>
  <c r="B10" i="9"/>
  <c r="B36" i="11"/>
  <c r="B38" i="11" s="1"/>
  <c r="F10" i="13"/>
  <c r="G10" i="13"/>
  <c r="D10" i="13"/>
  <c r="E10" i="13"/>
  <c r="C10" i="5"/>
  <c r="C16" i="7"/>
  <c r="B33" i="8" l="1"/>
  <c r="J23" i="3" s="1"/>
  <c r="B16" i="13"/>
  <c r="H10" i="9"/>
  <c r="O10" i="9" s="1"/>
  <c r="O12" i="9" s="1"/>
  <c r="B12" i="9"/>
  <c r="C18" i="7"/>
  <c r="C20" i="7" s="1"/>
  <c r="C45" i="8" s="1"/>
  <c r="C43" i="8"/>
  <c r="C44" i="8" s="1"/>
  <c r="C13" i="5"/>
  <c r="C49" i="8"/>
  <c r="C21" i="12"/>
  <c r="B10" i="14" l="1"/>
  <c r="B55" i="3"/>
  <c r="F65" i="8"/>
  <c r="C26" i="11"/>
  <c r="C28" i="11" s="1"/>
  <c r="C10" i="9" s="1"/>
  <c r="D11" i="5"/>
  <c r="C22" i="7"/>
  <c r="C32" i="11" s="1"/>
  <c r="C19" i="12"/>
  <c r="C23" i="12" s="1"/>
  <c r="C25" i="12" s="1"/>
  <c r="C28" i="12" s="1"/>
  <c r="C46" i="8"/>
  <c r="C58" i="8" s="1"/>
  <c r="C73" i="8" s="1"/>
  <c r="C74" i="8" s="1"/>
  <c r="B12" i="14" s="1"/>
  <c r="B34" i="8" l="1"/>
  <c r="E29" i="8"/>
  <c r="D29" i="8"/>
  <c r="F29" i="8"/>
  <c r="B29" i="8"/>
  <c r="G29" i="8"/>
  <c r="C29" i="8"/>
  <c r="C60" i="8"/>
  <c r="C21" i="11"/>
  <c r="D20" i="12"/>
  <c r="D10" i="5"/>
  <c r="D16" i="7"/>
  <c r="C34" i="11"/>
  <c r="B32" i="8" l="1"/>
  <c r="J148" i="3" s="1"/>
  <c r="B31" i="8"/>
  <c r="E32" i="8" s="1"/>
  <c r="C23" i="11"/>
  <c r="C36" i="11"/>
  <c r="C11" i="9"/>
  <c r="D13" i="5"/>
  <c r="D49" i="8"/>
  <c r="D21" i="12"/>
  <c r="D18" i="7"/>
  <c r="D20" i="7" s="1"/>
  <c r="D43" i="8"/>
  <c r="D44" i="8" s="1"/>
  <c r="J22" i="3" l="1"/>
  <c r="D148" i="3"/>
  <c r="F120" i="3"/>
  <c r="F32" i="8"/>
  <c r="J120" i="3"/>
  <c r="B120" i="3"/>
  <c r="H120" i="3"/>
  <c r="H148" i="3"/>
  <c r="F148" i="3"/>
  <c r="B8" i="14"/>
  <c r="D120" i="3"/>
  <c r="B148" i="3"/>
  <c r="B13" i="14"/>
  <c r="C9" i="9"/>
  <c r="C38" i="11"/>
  <c r="D22" i="7"/>
  <c r="D32" i="11" s="1"/>
  <c r="D34" i="11" s="1"/>
  <c r="D11" i="9" s="1"/>
  <c r="D45" i="8"/>
  <c r="D46" i="8" s="1"/>
  <c r="D58" i="8" s="1"/>
  <c r="D19" i="12"/>
  <c r="D23" i="12" s="1"/>
  <c r="D25" i="12" s="1"/>
  <c r="D28" i="12" s="1"/>
  <c r="D26" i="11"/>
  <c r="D28" i="11" s="1"/>
  <c r="D10" i="9" s="1"/>
  <c r="E11" i="5"/>
  <c r="I10" i="9" l="1"/>
  <c r="P10" i="9" s="1"/>
  <c r="D21" i="11"/>
  <c r="D23" i="11" s="1"/>
  <c r="D9" i="9" s="1"/>
  <c r="J11" i="9" s="1"/>
  <c r="Q11" i="9" s="1"/>
  <c r="I11" i="9"/>
  <c r="P11" i="9" s="1"/>
  <c r="D60" i="8"/>
  <c r="E20" i="12"/>
  <c r="E16" i="7"/>
  <c r="E10" i="5"/>
  <c r="D36" i="11"/>
  <c r="P12" i="9" l="1"/>
  <c r="C55" i="3" s="1"/>
  <c r="D38" i="11"/>
  <c r="J10" i="9"/>
  <c r="Q10" i="9" s="1"/>
  <c r="Q12" i="9" s="1"/>
  <c r="E13" i="5"/>
  <c r="E21" i="12"/>
  <c r="E49" i="8"/>
  <c r="E18" i="7"/>
  <c r="E43" i="8"/>
  <c r="E44" i="8" s="1"/>
  <c r="C11" i="13" l="1"/>
  <c r="B15" i="13" s="1"/>
  <c r="D11" i="13"/>
  <c r="D55" i="3"/>
  <c r="E20" i="7"/>
  <c r="F11" i="5"/>
  <c r="E26" i="11"/>
  <c r="E28" i="11" s="1"/>
  <c r="E10" i="9" s="1"/>
  <c r="B18" i="13" l="1"/>
  <c r="C12" i="13"/>
  <c r="C13" i="13" s="1"/>
  <c r="E19" i="12"/>
  <c r="E23" i="12" s="1"/>
  <c r="E25" i="12" s="1"/>
  <c r="E28" i="12" s="1"/>
  <c r="E45" i="8"/>
  <c r="E46" i="8" s="1"/>
  <c r="E58" i="8" s="1"/>
  <c r="E22" i="7"/>
  <c r="E32" i="11" s="1"/>
  <c r="F20" i="12"/>
  <c r="F10" i="5"/>
  <c r="F16" i="7"/>
  <c r="D12" i="13" l="1"/>
  <c r="D13" i="13" s="1"/>
  <c r="E21" i="11"/>
  <c r="E23" i="11" s="1"/>
  <c r="E9" i="9" s="1"/>
  <c r="K10" i="9" s="1"/>
  <c r="E34" i="11"/>
  <c r="F18" i="7"/>
  <c r="F43" i="8"/>
  <c r="F44" i="8" s="1"/>
  <c r="E60" i="8"/>
  <c r="F13" i="5"/>
  <c r="F49" i="8"/>
  <c r="F21" i="12"/>
  <c r="R10" i="9" l="1"/>
  <c r="E36" i="11"/>
  <c r="E38" i="11" s="1"/>
  <c r="E11" i="9"/>
  <c r="K11" i="9" s="1"/>
  <c r="R11" i="9" s="1"/>
  <c r="F20" i="7"/>
  <c r="F26" i="11"/>
  <c r="F28" i="11" s="1"/>
  <c r="F10" i="9" s="1"/>
  <c r="G11" i="5"/>
  <c r="R12" i="9" l="1"/>
  <c r="E11" i="13" s="1"/>
  <c r="E12" i="13" s="1"/>
  <c r="F19" i="12"/>
  <c r="F23" i="12" s="1"/>
  <c r="F25" i="12" s="1"/>
  <c r="F28" i="12" s="1"/>
  <c r="F45" i="8"/>
  <c r="F46" i="8" s="1"/>
  <c r="F58" i="8" s="1"/>
  <c r="F22" i="7"/>
  <c r="F32" i="11" s="1"/>
  <c r="G20" i="12"/>
  <c r="G16" i="7"/>
  <c r="G10" i="5"/>
  <c r="E55" i="3" l="1"/>
  <c r="E13" i="13"/>
  <c r="F60" i="8"/>
  <c r="F21" i="11"/>
  <c r="F23" i="11" s="1"/>
  <c r="F9" i="9" s="1"/>
  <c r="L10" i="9" s="1"/>
  <c r="S10" i="9" s="1"/>
  <c r="F34" i="11"/>
  <c r="G13" i="5"/>
  <c r="G26" i="11" s="1"/>
  <c r="G28" i="11" s="1"/>
  <c r="G10" i="9" s="1"/>
  <c r="G49" i="8"/>
  <c r="G21" i="12"/>
  <c r="G18" i="7"/>
  <c r="G43" i="8"/>
  <c r="G44" i="8" s="1"/>
  <c r="F36" i="11" l="1"/>
  <c r="F38" i="11" s="1"/>
  <c r="F11" i="9"/>
  <c r="G20" i="7"/>
  <c r="G22" i="7" s="1"/>
  <c r="G32" i="11" s="1"/>
  <c r="G34" i="11" s="1"/>
  <c r="L11" i="9" l="1"/>
  <c r="S11" i="9" s="1"/>
  <c r="S12" i="9" s="1"/>
  <c r="G36" i="11"/>
  <c r="G11" i="9"/>
  <c r="G19" i="12"/>
  <c r="G23" i="12" s="1"/>
  <c r="G25" i="12" s="1"/>
  <c r="G28" i="12" s="1"/>
  <c r="G45" i="8"/>
  <c r="G46" i="8" s="1"/>
  <c r="G58" i="8" s="1"/>
  <c r="B64" i="8" s="1"/>
  <c r="F55" i="3" l="1"/>
  <c r="F11" i="13"/>
  <c r="F12" i="13" s="1"/>
  <c r="F13" i="13" s="1"/>
  <c r="B11" i="14"/>
  <c r="F67" i="8"/>
  <c r="G60" i="8"/>
  <c r="B61" i="8" s="1"/>
  <c r="B14" i="14" s="1"/>
  <c r="B63" i="8"/>
  <c r="A69" i="3" s="1"/>
  <c r="G21" i="11"/>
  <c r="G23" i="11" s="1"/>
  <c r="B9" i="14" l="1"/>
  <c r="F64" i="8"/>
  <c r="G9" i="9"/>
  <c r="G38" i="11"/>
  <c r="M10" i="9" l="1"/>
  <c r="T10" i="9" s="1"/>
  <c r="M11" i="9"/>
  <c r="T11" i="9" s="1"/>
  <c r="T12" i="9" l="1"/>
  <c r="G55" i="3" s="1"/>
  <c r="G11" i="13" l="1"/>
  <c r="G12" i="13" s="1"/>
  <c r="G13" i="13" s="1"/>
  <c r="B17" i="13" s="1"/>
</calcChain>
</file>

<file path=xl/sharedStrings.xml><?xml version="1.0" encoding="utf-8"?>
<sst xmlns="http://schemas.openxmlformats.org/spreadsheetml/2006/main" count="1071" uniqueCount="649">
  <si>
    <t>Lote</t>
  </si>
  <si>
    <t>ITEM</t>
  </si>
  <si>
    <t>VALOR UNITARIO</t>
  </si>
  <si>
    <t>CANTIDAD</t>
  </si>
  <si>
    <t>VALOR TOTAL</t>
  </si>
  <si>
    <t>UNIDAD DE MEDIDA</t>
  </si>
  <si>
    <t>m2</t>
  </si>
  <si>
    <t>unidad</t>
  </si>
  <si>
    <t>Cabaña prefabricada  de 2 habitaciones y 1 baño</t>
  </si>
  <si>
    <t>Cabaña prefabricada  de 3 habitaciones y 1 baño</t>
  </si>
  <si>
    <t>Unidad</t>
  </si>
  <si>
    <t xml:space="preserve">Cabaña prefabricada  de 1 habitación y  1 baño </t>
  </si>
  <si>
    <t>Muebles y enseres</t>
  </si>
  <si>
    <t>Mesa de noche</t>
  </si>
  <si>
    <t>cobija doble</t>
  </si>
  <si>
    <t>Juego de sábana sencilla</t>
  </si>
  <si>
    <t>Juego de sábana doble</t>
  </si>
  <si>
    <t>Almohada</t>
  </si>
  <si>
    <t>Toalla manos</t>
  </si>
  <si>
    <t>Toalla cuerpo</t>
  </si>
  <si>
    <t>Lámpara de mesa</t>
  </si>
  <si>
    <t>Bombillos halógenos</t>
  </si>
  <si>
    <t>Cesta de basura para habitaciones</t>
  </si>
  <si>
    <t>Puntos ecológicos para zonas comunes de 50 L</t>
  </si>
  <si>
    <t>Mini sala para cabañas</t>
  </si>
  <si>
    <t>Espejo para el baño</t>
  </si>
  <si>
    <t>Espejo entero</t>
  </si>
  <si>
    <t>tendidos</t>
  </si>
  <si>
    <t>cortinas</t>
  </si>
  <si>
    <t>armario</t>
  </si>
  <si>
    <t>mueble para baño</t>
  </si>
  <si>
    <t>Equipo de sonido</t>
  </si>
  <si>
    <t>nevera para minibar</t>
  </si>
  <si>
    <t>ventiladores</t>
  </si>
  <si>
    <t>Plan de inversiones iniciales</t>
  </si>
  <si>
    <t>plantas decorativas</t>
  </si>
  <si>
    <t>cuadros decorativos</t>
  </si>
  <si>
    <t>hamaca</t>
  </si>
  <si>
    <t>cojines</t>
  </si>
  <si>
    <t xml:space="preserve">sillón para lobby </t>
  </si>
  <si>
    <t>alfombra</t>
  </si>
  <si>
    <t>Nevecón</t>
  </si>
  <si>
    <t>cafetera profesional</t>
  </si>
  <si>
    <t>microondas</t>
  </si>
  <si>
    <t xml:space="preserve">implementos varios de cocina </t>
  </si>
  <si>
    <t>jarra</t>
  </si>
  <si>
    <t>mesas de restaurante</t>
  </si>
  <si>
    <t xml:space="preserve">sillas de restaurante </t>
  </si>
  <si>
    <t>centros de mesa</t>
  </si>
  <si>
    <t>asador</t>
  </si>
  <si>
    <t>cava de vinos</t>
  </si>
  <si>
    <t>hielera</t>
  </si>
  <si>
    <t>cava  para carnes</t>
  </si>
  <si>
    <t>Lavadora industrial</t>
  </si>
  <si>
    <t xml:space="preserve">secadora industrial </t>
  </si>
  <si>
    <t xml:space="preserve">escoba </t>
  </si>
  <si>
    <t>Televisor full HD 49 "</t>
  </si>
  <si>
    <t xml:space="preserve">licuadora industrial para bar y cocina </t>
  </si>
  <si>
    <t>Vajilla</t>
  </si>
  <si>
    <t>Bar</t>
  </si>
  <si>
    <t>implementos básicos de coctelería</t>
  </si>
  <si>
    <t xml:space="preserve">individuales </t>
  </si>
  <si>
    <t>portavasos</t>
  </si>
  <si>
    <t>suavizante</t>
  </si>
  <si>
    <t>aromatizadores de ropa</t>
  </si>
  <si>
    <t>aromatizadores de espacios</t>
  </si>
  <si>
    <t>trapeadora</t>
  </si>
  <si>
    <t xml:space="preserve">toallas para secar </t>
  </si>
  <si>
    <t>consumibles (esto va para los costos y gastos)</t>
  </si>
  <si>
    <t xml:space="preserve">gastos de bar semanal </t>
  </si>
  <si>
    <t xml:space="preserve">Delantales antifluidos </t>
  </si>
  <si>
    <t xml:space="preserve">uniformes del personal </t>
  </si>
  <si>
    <t xml:space="preserve">gorros para cocina </t>
  </si>
  <si>
    <t>cepillo</t>
  </si>
  <si>
    <t>escubillones</t>
  </si>
  <si>
    <t>Cabaña  para recepción , restaurante, bar,oficina y salón de ropas</t>
  </si>
  <si>
    <t>recepcionista</t>
  </si>
  <si>
    <t>camarer (a)</t>
  </si>
  <si>
    <t>Administrador (a)</t>
  </si>
  <si>
    <t>servicios generales</t>
  </si>
  <si>
    <t>Factor prestacional</t>
  </si>
  <si>
    <t>chef (prestación de servicios)</t>
  </si>
  <si>
    <t>auxiliar de cocina  (prestación de servicios)</t>
  </si>
  <si>
    <t>mesero (prestación de servicios)</t>
  </si>
  <si>
    <t xml:space="preserve">Personal </t>
  </si>
  <si>
    <t>computador</t>
  </si>
  <si>
    <t>impresora</t>
  </si>
  <si>
    <t>papeleria</t>
  </si>
  <si>
    <t>Módulo principal</t>
  </si>
  <si>
    <t>Silla ergonómica</t>
  </si>
  <si>
    <t>Mes</t>
  </si>
  <si>
    <t>%de ocupación</t>
  </si>
  <si>
    <t>Enero</t>
  </si>
  <si>
    <t>Febrero</t>
  </si>
  <si>
    <t xml:space="preserve">marzo </t>
  </si>
  <si>
    <t xml:space="preserve">abril </t>
  </si>
  <si>
    <t>mayo</t>
  </si>
  <si>
    <t>junio</t>
  </si>
  <si>
    <t xml:space="preserve">julio </t>
  </si>
  <si>
    <t xml:space="preserve">agosto </t>
  </si>
  <si>
    <t>septiembre</t>
  </si>
  <si>
    <t>octubre</t>
  </si>
  <si>
    <t>noviembre</t>
  </si>
  <si>
    <t>diciembre</t>
  </si>
  <si>
    <t>Capacidad de huéspedes</t>
  </si>
  <si>
    <t xml:space="preserve">Tarifa al público </t>
  </si>
  <si>
    <t xml:space="preserve">días del mes </t>
  </si>
  <si>
    <t>Año 0</t>
  </si>
  <si>
    <t>Año 1</t>
  </si>
  <si>
    <t>Año 2</t>
  </si>
  <si>
    <t>Año 3</t>
  </si>
  <si>
    <t>Año 4</t>
  </si>
  <si>
    <t>Año 5</t>
  </si>
  <si>
    <t>Unidades</t>
  </si>
  <si>
    <t>Precio de venta</t>
  </si>
  <si>
    <t>Utilidad Bruta</t>
  </si>
  <si>
    <t>EBITDA</t>
  </si>
  <si>
    <t>Inversiones</t>
  </si>
  <si>
    <t>Vida útil (años)</t>
  </si>
  <si>
    <t>Capital de trabajo</t>
  </si>
  <si>
    <t>Caja</t>
  </si>
  <si>
    <t>Total inversión</t>
  </si>
  <si>
    <t>Estructura financiera</t>
  </si>
  <si>
    <t>Pasivos</t>
  </si>
  <si>
    <t>Patrimonio</t>
  </si>
  <si>
    <t>Créditos</t>
  </si>
  <si>
    <t>Plazo (Años)</t>
  </si>
  <si>
    <r>
      <t>K</t>
    </r>
    <r>
      <rPr>
        <vertAlign val="subscript"/>
        <sz val="10"/>
        <rFont val="Arial"/>
        <family val="2"/>
      </rPr>
      <t>d</t>
    </r>
  </si>
  <si>
    <t>Aportes</t>
  </si>
  <si>
    <t>Ke - Tasa de Oportunidad Inversionista</t>
  </si>
  <si>
    <t>Impuestos</t>
  </si>
  <si>
    <t>Tasa Nominal</t>
  </si>
  <si>
    <t>WACC</t>
  </si>
  <si>
    <t>Capital de trabajo KW</t>
  </si>
  <si>
    <t>´+/- Capital de trabajo KW</t>
  </si>
  <si>
    <t>Aumentó</t>
  </si>
  <si>
    <t>Disminuye</t>
  </si>
  <si>
    <t>Aumenta</t>
  </si>
  <si>
    <t>FC</t>
  </si>
  <si>
    <t>Beta apalancada</t>
  </si>
  <si>
    <t>Rf</t>
  </si>
  <si>
    <t>Rm</t>
  </si>
  <si>
    <r>
      <t>β</t>
    </r>
    <r>
      <rPr>
        <vertAlign val="subscript"/>
        <sz val="11"/>
        <color theme="1"/>
        <rFont val="Calibri"/>
        <family val="2"/>
      </rPr>
      <t>L</t>
    </r>
  </si>
  <si>
    <t>βu</t>
  </si>
  <si>
    <t>Promedio de Huéspedes/mes</t>
  </si>
  <si>
    <t>Inflación año 2</t>
  </si>
  <si>
    <t>inflación año 3</t>
  </si>
  <si>
    <t>Inflación año 4</t>
  </si>
  <si>
    <t>Inflación año 5</t>
  </si>
  <si>
    <t>Crecimiento del sector año 1</t>
  </si>
  <si>
    <t>Crecimiento del sector año 2</t>
  </si>
  <si>
    <t>Crecimiento del sector año 3</t>
  </si>
  <si>
    <t>Crecimiento del sector año 4</t>
  </si>
  <si>
    <t>Crecimiento del sector año 5</t>
  </si>
  <si>
    <t>año 1</t>
  </si>
  <si>
    <t xml:space="preserve">PROYECCIÓN DE OCUPACIÓN </t>
  </si>
  <si>
    <t>Huéspedes año 2</t>
  </si>
  <si>
    <t>Huéspedes año 3</t>
  </si>
  <si>
    <t>Huéspedes año 4</t>
  </si>
  <si>
    <t>Huéspedes año 5</t>
  </si>
  <si>
    <t>Huéspedes año 1</t>
  </si>
  <si>
    <t>Plan de celular</t>
  </si>
  <si>
    <t>Servicios públicos</t>
  </si>
  <si>
    <t>Mercado</t>
  </si>
  <si>
    <t>EPP</t>
  </si>
  <si>
    <t>Nómina</t>
  </si>
  <si>
    <t>Insumos para aseo</t>
  </si>
  <si>
    <t xml:space="preserve">Insumos de dotación hotel </t>
  </si>
  <si>
    <t xml:space="preserve">Dotación del personal </t>
  </si>
  <si>
    <t>Internet</t>
  </si>
  <si>
    <t xml:space="preserve">Televisión satelital </t>
  </si>
  <si>
    <t>papelería</t>
  </si>
  <si>
    <t>Imprevistos</t>
  </si>
  <si>
    <t xml:space="preserve">COSTOS OPERATIVOS </t>
  </si>
  <si>
    <t>año 2</t>
  </si>
  <si>
    <t>año 3</t>
  </si>
  <si>
    <t>año 4</t>
  </si>
  <si>
    <t>año 5</t>
  </si>
  <si>
    <t>seguro hotelero</t>
  </si>
  <si>
    <t>Seguro hotelero</t>
  </si>
  <si>
    <t>mensual</t>
  </si>
  <si>
    <t>cuatrimestral</t>
  </si>
  <si>
    <t>anual</t>
  </si>
  <si>
    <t>juego de vasos para whisky x 6</t>
  </si>
  <si>
    <t>Juego de copas para tragos cortos x 4</t>
  </si>
  <si>
    <t>juego de copas de vino x 4</t>
  </si>
  <si>
    <t>copas para cocteles x 4</t>
  </si>
  <si>
    <t>Congelador horizontal</t>
  </si>
  <si>
    <t>juego de ollas (baterías por 12 piezas)</t>
  </si>
  <si>
    <t>juego de cuchillos en acero</t>
  </si>
  <si>
    <t>juego de cubiertos en acero inoxidable x 24 piezas</t>
  </si>
  <si>
    <t>juego de vasos x 12 unidades</t>
  </si>
  <si>
    <t>Juego de pocillos x 8</t>
  </si>
  <si>
    <t xml:space="preserve">mensual </t>
  </si>
  <si>
    <t>por cliente</t>
  </si>
  <si>
    <t>Costos y gastos</t>
  </si>
  <si>
    <t xml:space="preserve">costos operativos </t>
  </si>
  <si>
    <t>Total costos</t>
  </si>
  <si>
    <t>Ingresos por venta directa</t>
  </si>
  <si>
    <t>Ingresos totales</t>
  </si>
  <si>
    <t>ingreso por comisión</t>
  </si>
  <si>
    <t>Servicios subcontratados</t>
  </si>
  <si>
    <t>valor del servicio</t>
  </si>
  <si>
    <t>comisión 5%</t>
  </si>
  <si>
    <t>Gastos administrativos</t>
  </si>
  <si>
    <t>Administrativos</t>
  </si>
  <si>
    <t>Gestión admin</t>
  </si>
  <si>
    <t>publicidad</t>
  </si>
  <si>
    <t>asesoría contable</t>
  </si>
  <si>
    <t xml:space="preserve">Terreno </t>
  </si>
  <si>
    <t>Cabañas</t>
  </si>
  <si>
    <t xml:space="preserve">Equipos de oficina </t>
  </si>
  <si>
    <t>Software</t>
  </si>
  <si>
    <t>Sonido e iluminación</t>
  </si>
  <si>
    <t>Capuchinera</t>
  </si>
  <si>
    <t>servilleteros</t>
  </si>
  <si>
    <t>Plancha industrial</t>
  </si>
  <si>
    <t>Mesa para planchar</t>
  </si>
  <si>
    <t>Extendederos de ropa</t>
  </si>
  <si>
    <t>GASTOS ADMINISTRATIVOS</t>
  </si>
  <si>
    <t>Decoración temática</t>
  </si>
  <si>
    <t xml:space="preserve">Colchón sencillo con base cama </t>
  </si>
  <si>
    <t>Colchon doble con base cama</t>
  </si>
  <si>
    <t>Equipamiento de cocina</t>
  </si>
  <si>
    <t>Estufa industrial</t>
  </si>
  <si>
    <t>Campana extractora</t>
  </si>
  <si>
    <t>Batidora industrial</t>
  </si>
  <si>
    <t>Sanduchera y waflera</t>
  </si>
  <si>
    <t>Bascula</t>
  </si>
  <si>
    <t>Parrilla y plancha asadora</t>
  </si>
  <si>
    <t>Equipamiento bar</t>
  </si>
  <si>
    <t>Refrigerador</t>
  </si>
  <si>
    <t>Jarra cervecera</t>
  </si>
  <si>
    <t>Vaso cervecero</t>
  </si>
  <si>
    <t>Equipamiento restaurante y comedor</t>
  </si>
  <si>
    <t>Lavandería</t>
  </si>
  <si>
    <t>Oficina y recepción</t>
  </si>
  <si>
    <t>Telefonos</t>
  </si>
  <si>
    <t>Kit ergonomico</t>
  </si>
  <si>
    <t>Dispensador de agua</t>
  </si>
  <si>
    <t>Maquinaria y herramienta</t>
  </si>
  <si>
    <t>Herramientas para manteninimiento</t>
  </si>
  <si>
    <t>Guadañadora</t>
  </si>
  <si>
    <t>Motosierra</t>
  </si>
  <si>
    <t>Brilladora industrial</t>
  </si>
  <si>
    <t>Aspiradora industrial</t>
  </si>
  <si>
    <t>Equipamiento para zonas comunes</t>
  </si>
  <si>
    <t>Sofá</t>
  </si>
  <si>
    <t>Poltronas y sillones</t>
  </si>
  <si>
    <t>Mesa de exteriores</t>
  </si>
  <si>
    <t>Pintura y arte para decoración</t>
  </si>
  <si>
    <t xml:space="preserve">Libros </t>
  </si>
  <si>
    <t>Hamaca</t>
  </si>
  <si>
    <t>Plantas</t>
  </si>
  <si>
    <t>Detergente en polvo por 20 Kg</t>
  </si>
  <si>
    <t>Limpiador de pisos x 3 L</t>
  </si>
  <si>
    <t>desinfectante x 5 L</t>
  </si>
  <si>
    <t>Jabones de baño kit x 3</t>
  </si>
  <si>
    <t>Mercado mensual</t>
  </si>
  <si>
    <t>Jabon de manos</t>
  </si>
  <si>
    <t>Papel higienico paca x 12</t>
  </si>
  <si>
    <t>guantes caja x 50</t>
  </si>
  <si>
    <t>tapabocas caja x 50</t>
  </si>
  <si>
    <t>alcohol en gel x Litro</t>
  </si>
  <si>
    <t>Operativos</t>
  </si>
  <si>
    <t>Maquinaria y equipo</t>
  </si>
  <si>
    <t>Dotación habitaciones</t>
  </si>
  <si>
    <t>Electrodomest</t>
  </si>
  <si>
    <t>Maquinaria y herram</t>
  </si>
  <si>
    <t>Electrodomesticos</t>
  </si>
  <si>
    <t>Días capital de trabajo</t>
  </si>
  <si>
    <t>Dias del año</t>
  </si>
  <si>
    <t>Crédito</t>
  </si>
  <si>
    <t>Abonos</t>
  </si>
  <si>
    <t>Intereses</t>
  </si>
  <si>
    <t>Cuota</t>
  </si>
  <si>
    <t>Saldo</t>
  </si>
  <si>
    <t>Depreciación</t>
  </si>
  <si>
    <t>Depreciación Acumulada</t>
  </si>
  <si>
    <t>Valor en Libros</t>
  </si>
  <si>
    <t>Terreno</t>
  </si>
  <si>
    <t>Equipos de Oficina</t>
  </si>
  <si>
    <t>Maquinaria y equipos</t>
  </si>
  <si>
    <t>ESTADO DE RESULTADOS</t>
  </si>
  <si>
    <t>Depreciaciones</t>
  </si>
  <si>
    <t>Utilidad Operativa (EBIT)</t>
  </si>
  <si>
    <t>U.A.I.</t>
  </si>
  <si>
    <t>U. Neta</t>
  </si>
  <si>
    <t>FLUJO DE CAJA LIBRE</t>
  </si>
  <si>
    <t xml:space="preserve">CÁLCULO DEL COSTO DE CAPITAL CK </t>
  </si>
  <si>
    <t>Concepto</t>
  </si>
  <si>
    <t>% de participación</t>
  </si>
  <si>
    <t>Costo anual despues de impuestos</t>
  </si>
  <si>
    <t>Ponderación</t>
  </si>
  <si>
    <t>Activos</t>
  </si>
  <si>
    <t>Pasivo</t>
  </si>
  <si>
    <t>UODI</t>
  </si>
  <si>
    <t>FCB</t>
  </si>
  <si>
    <t>Variación del Capital de Trabajo</t>
  </si>
  <si>
    <t xml:space="preserve">Inversiones </t>
  </si>
  <si>
    <t>Valor en libros despues de impuestos</t>
  </si>
  <si>
    <t>Muebles y Enseres</t>
  </si>
  <si>
    <t>FCL - FCSF</t>
  </si>
  <si>
    <t>VP</t>
  </si>
  <si>
    <t>Inversión</t>
  </si>
  <si>
    <t>Suma VP</t>
  </si>
  <si>
    <t>VPN</t>
  </si>
  <si>
    <t>TIR</t>
  </si>
  <si>
    <t>CK</t>
  </si>
  <si>
    <t>Date updated:</t>
  </si>
  <si>
    <t>YouTube Video explaining estimation choices and process.</t>
  </si>
  <si>
    <t>Created by:</t>
  </si>
  <si>
    <t>Aswath Damodaran, adamodar@stern.nyu.edu</t>
  </si>
  <si>
    <t>What is this data?</t>
  </si>
  <si>
    <t>Beta, Unlevered beta and other risk measures</t>
  </si>
  <si>
    <t>Emerging Markets</t>
  </si>
  <si>
    <t>Home Page:</t>
  </si>
  <si>
    <t>http://www.damodaran.com</t>
  </si>
  <si>
    <t>Data website:</t>
  </si>
  <si>
    <t>http://www.stern.nyu.edu/~adamodar/New_Home_Page/data.html</t>
  </si>
  <si>
    <t>Companies in each industry:</t>
  </si>
  <si>
    <t>http://www.stern.nyu.edu/~adamodar/pc/datasets/indname.xls</t>
  </si>
  <si>
    <t>Variable definitions:</t>
  </si>
  <si>
    <t>http://www.stern.nyu.edu/~adamodar/New_Home_Page/datafile/variable.htm</t>
  </si>
  <si>
    <t>Do you want to use marginal or effective tax rates in unlevering betas?</t>
  </si>
  <si>
    <t>Marginal</t>
  </si>
  <si>
    <t>If marginal tax rate, enter the marginal tax rate to use</t>
  </si>
  <si>
    <t>Industry Name</t>
  </si>
  <si>
    <t>Number of firms</t>
  </si>
  <si>
    <t xml:space="preserve">Beta </t>
  </si>
  <si>
    <t>D/E Ratio</t>
  </si>
  <si>
    <t>Effective Tax rate</t>
  </si>
  <si>
    <t>Unlevered beta</t>
  </si>
  <si>
    <t>Cash/Firm value</t>
  </si>
  <si>
    <t>Unlevered beta corrected for cash</t>
  </si>
  <si>
    <t>HiLo Risk</t>
  </si>
  <si>
    <t>Standard deviation of equity</t>
  </si>
  <si>
    <t>Standard deviation in operating income (last 10 years)</t>
  </si>
  <si>
    <t>Advertising</t>
  </si>
  <si>
    <t>Aerospace/Defense</t>
  </si>
  <si>
    <t>Air Transport</t>
  </si>
  <si>
    <t>Apparel</t>
  </si>
  <si>
    <t>Auto &amp; Truck</t>
  </si>
  <si>
    <t>Auto Parts</t>
  </si>
  <si>
    <t>Bank (Money Center)</t>
  </si>
  <si>
    <t>Banks (Regional)</t>
  </si>
  <si>
    <t>Beverage (Alcoholic)</t>
  </si>
  <si>
    <t>Beverage (Soft)</t>
  </si>
  <si>
    <t>Broadcasting</t>
  </si>
  <si>
    <t>Brokerage &amp; Investment Banking</t>
  </si>
  <si>
    <t>Building Materials</t>
  </si>
  <si>
    <t>Business &amp; Consumer Services</t>
  </si>
  <si>
    <t>Cable TV</t>
  </si>
  <si>
    <t>Chemical (Basic)</t>
  </si>
  <si>
    <t>Chemical (Diversified)</t>
  </si>
  <si>
    <t>Chemical (Specialty)</t>
  </si>
  <si>
    <t>Coal &amp; Related Energy</t>
  </si>
  <si>
    <t>Computer Services</t>
  </si>
  <si>
    <t>Computers/Peripherals</t>
  </si>
  <si>
    <t>Construction Supplies</t>
  </si>
  <si>
    <t>Diversified</t>
  </si>
  <si>
    <t>Drugs (Biotechnology)</t>
  </si>
  <si>
    <t>Drugs (Pharmaceutical)</t>
  </si>
  <si>
    <t>Education</t>
  </si>
  <si>
    <t>Electrical Equipment</t>
  </si>
  <si>
    <t>Electronics (Consumer &amp; Office)</t>
  </si>
  <si>
    <t>Electronics (General)</t>
  </si>
  <si>
    <t>Engineering/Construction</t>
  </si>
  <si>
    <t>Entertainment</t>
  </si>
  <si>
    <t>Environmental &amp; Waste Services</t>
  </si>
  <si>
    <t>Farming/Agriculture</t>
  </si>
  <si>
    <t>Financial Svcs. (Non-bank &amp; Insurance)</t>
  </si>
  <si>
    <t>Food Processing</t>
  </si>
  <si>
    <t>Food Wholesalers</t>
  </si>
  <si>
    <t>Furn/Home Furnishings</t>
  </si>
  <si>
    <t>Green &amp; Renewable Energy</t>
  </si>
  <si>
    <t>Healthcare Products</t>
  </si>
  <si>
    <t>Healthcare Support Services</t>
  </si>
  <si>
    <t>Heathcare Information and Technology</t>
  </si>
  <si>
    <t>Homebuilding</t>
  </si>
  <si>
    <t>Hospitals/Healthcare Facilities</t>
  </si>
  <si>
    <t>Hotel/Gaming</t>
  </si>
  <si>
    <t>Household Products</t>
  </si>
  <si>
    <t>Information Services</t>
  </si>
  <si>
    <t>Insurance (General)</t>
  </si>
  <si>
    <t>Insurance (Life)</t>
  </si>
  <si>
    <t>Insurance (Prop/Cas.)</t>
  </si>
  <si>
    <t>Investments &amp; Asset Management</t>
  </si>
  <si>
    <t>Machinery</t>
  </si>
  <si>
    <t>Metals &amp; Mining</t>
  </si>
  <si>
    <t>Office Equipment &amp; Services</t>
  </si>
  <si>
    <t>Oil/Gas (Integrated)</t>
  </si>
  <si>
    <t>Oil/Gas (Production and Exploration)</t>
  </si>
  <si>
    <t>Oil/Gas Distribution</t>
  </si>
  <si>
    <t>Oilfield Svcs/Equip.</t>
  </si>
  <si>
    <t>Packaging &amp; Container</t>
  </si>
  <si>
    <t>Paper/Forest Products</t>
  </si>
  <si>
    <t>Power</t>
  </si>
  <si>
    <t>Precious Metals</t>
  </si>
  <si>
    <t>Publishing &amp; Newspapers</t>
  </si>
  <si>
    <t>R.E.I.T.</t>
  </si>
  <si>
    <t>Real Estate (Development)</t>
  </si>
  <si>
    <t>Real Estate (General/Diversified)</t>
  </si>
  <si>
    <t>Real Estate (Operations &amp; Services)</t>
  </si>
  <si>
    <t>Recreation</t>
  </si>
  <si>
    <t>Reinsurance</t>
  </si>
  <si>
    <t>Restaurant/Dining</t>
  </si>
  <si>
    <t>Retail (Automotive)</t>
  </si>
  <si>
    <t>Retail (Building Supply)</t>
  </si>
  <si>
    <t>Retail (Distributors)</t>
  </si>
  <si>
    <t>Retail (General)</t>
  </si>
  <si>
    <t>Retail (Grocery and Food)</t>
  </si>
  <si>
    <t>Retail (Online)</t>
  </si>
  <si>
    <t>Retail (Special Lines)</t>
  </si>
  <si>
    <t>Rubber&amp; Tires</t>
  </si>
  <si>
    <t>Semiconductor</t>
  </si>
  <si>
    <t>Semiconductor Equip</t>
  </si>
  <si>
    <t>Shipbuilding &amp; Marine</t>
  </si>
  <si>
    <t>Shoe</t>
  </si>
  <si>
    <t>Software (Entertainment)</t>
  </si>
  <si>
    <t>Software (Internet)</t>
  </si>
  <si>
    <t>Software (System &amp; Application)</t>
  </si>
  <si>
    <t>Steel</t>
  </si>
  <si>
    <t>Telecom (Wireless)</t>
  </si>
  <si>
    <t>Telecom. Equipment</t>
  </si>
  <si>
    <t>Telecom. Services</t>
  </si>
  <si>
    <t>Tobacco</t>
  </si>
  <si>
    <t>Transportation</t>
  </si>
  <si>
    <t>Transportation (Railroads)</t>
  </si>
  <si>
    <t>Trucking</t>
  </si>
  <si>
    <t>Utility (General)</t>
  </si>
  <si>
    <t>Utility (Water)</t>
  </si>
  <si>
    <t>Total Market</t>
  </si>
  <si>
    <t>Total Market (without financials)</t>
  </si>
  <si>
    <t>Positivo &gt;0</t>
  </si>
  <si>
    <t>Control</t>
  </si>
  <si>
    <t>TIR&gt;CK</t>
  </si>
  <si>
    <t>FLUJO DE CAJA DEL INVERSIONISTA</t>
  </si>
  <si>
    <t>U.A.I</t>
  </si>
  <si>
    <t>Utilidad neta</t>
  </si>
  <si>
    <t>FCI - FCCF</t>
  </si>
  <si>
    <t>VPFC</t>
  </si>
  <si>
    <t>Ke</t>
  </si>
  <si>
    <t>Estado de situación financiera</t>
  </si>
  <si>
    <t>Activo corriente</t>
  </si>
  <si>
    <t>Activo No Corriente</t>
  </si>
  <si>
    <t>Caja acumulada</t>
  </si>
  <si>
    <t>TOTAL ACTIVOS</t>
  </si>
  <si>
    <t>TOTAL PASIVO</t>
  </si>
  <si>
    <t>Utilidades Retenidas</t>
  </si>
  <si>
    <t>TOTAL PATRIMONIO</t>
  </si>
  <si>
    <t>TOTAL PASIVO + PATRIMONIO</t>
  </si>
  <si>
    <t>Verificación</t>
  </si>
  <si>
    <t>Fuentes y usos</t>
  </si>
  <si>
    <t>A partir de EBITDA</t>
  </si>
  <si>
    <t xml:space="preserve">Año1 </t>
  </si>
  <si>
    <t xml:space="preserve">Año 4 </t>
  </si>
  <si>
    <t>Fuentes</t>
  </si>
  <si>
    <t>Total Fuentes</t>
  </si>
  <si>
    <t>Usos</t>
  </si>
  <si>
    <t>Abono crédito</t>
  </si>
  <si>
    <t>Total usos</t>
  </si>
  <si>
    <t>Activo  corriente</t>
  </si>
  <si>
    <t>Tasa libre de riesgos en EEUU</t>
  </si>
  <si>
    <t>S&amp;P 500 promedio 10 años</t>
  </si>
  <si>
    <t>ROLLING WACC</t>
  </si>
  <si>
    <t>FCL</t>
  </si>
  <si>
    <t>Factor de descuento</t>
  </si>
  <si>
    <t>F.C descontados</t>
  </si>
  <si>
    <t>Métricas financieras</t>
  </si>
  <si>
    <t>Valor</t>
  </si>
  <si>
    <t>Análisis</t>
  </si>
  <si>
    <t>Valor presente neto VPN del proyecto</t>
  </si>
  <si>
    <t>Valor presente neto VPN del inversionista</t>
  </si>
  <si>
    <t>Tasa interna de retorno TIR del proyecto</t>
  </si>
  <si>
    <t>Tasa interna de retorno TIR del inversionista</t>
  </si>
  <si>
    <t>Periodo de recuperación de la inversión PRI</t>
  </si>
  <si>
    <t>Relación beneficio costo del proyecto</t>
  </si>
  <si>
    <t>Relación beneficio costo del inversionista</t>
  </si>
  <si>
    <t>Sensibilidad</t>
  </si>
  <si>
    <t>Aumento - disminución de huéspedes</t>
  </si>
  <si>
    <t>%promedio</t>
  </si>
  <si>
    <t>precio de venta</t>
  </si>
  <si>
    <t>Consultado: 22 de Septiembre de 2020/ Grupo bancolombia</t>
  </si>
  <si>
    <t>CAPM</t>
  </si>
  <si>
    <t>TES COP - Due date 24Jul24</t>
  </si>
  <si>
    <t>10 Year US Treasury Bonds (Future)</t>
  </si>
  <si>
    <t>Colombia</t>
  </si>
  <si>
    <t>U.S.A</t>
  </si>
  <si>
    <t>S&amp;P 500</t>
  </si>
  <si>
    <t>Annual Interest Rate</t>
  </si>
  <si>
    <t>Inflation Rate</t>
  </si>
  <si>
    <t>Index</t>
  </si>
  <si>
    <t>Year on Year (YonY)</t>
  </si>
  <si>
    <t>Month End</t>
  </si>
  <si>
    <t>RF</t>
  </si>
  <si>
    <t>EMBI</t>
  </si>
  <si>
    <t>http://investigaciones.bancolombia.com/inveconomicas/home/homeinfo.aspx?/espanol/indicadores/economicosHijos_ext.asp?id=309</t>
  </si>
  <si>
    <t>http://investigaciones.bancolombia.com/inveconomicas/home/homeinfo.aspx?/espanol/indicadores/economicosHijos_ext.asp?id=308</t>
  </si>
  <si>
    <t>http://www.usinflationcalculator.com/inflation/consumer-price-index-and-annual-percent-changes-from-1913-to-2008/</t>
  </si>
  <si>
    <t>http://www.savings-bond-advisor.com/cpi-inflation-update/</t>
  </si>
  <si>
    <t>https://www.treasury.gov/resource-center/data-chart-center/interest-rates/Pages/TextView.aspx?data=yieldYear&amp;year=2019</t>
  </si>
  <si>
    <t>https://www.grupoaval.com/wps/portal/grupo-aval/aval/portal-financiero/renta-fija/tes/datos-historicos/!ut/p/a1/04_Sj9CPykssy0xPLMnMz0vMAfGjzOItDM2MPIzdDbwNPJ1NDBydDdzc_YO9vALcTfTD9aPwKbEMMsavwMPXgICCYBOoAjMDS08DY38DL393SyMDR28XD8uQUFN_bydTqAIDHMDRQL8gOzvINVBREQDl6dOA/dl5/d5/L2dBISEvZ0FBIS9nQSEh/pw/Z7_8162H3G0K8RBE0AS52COFE0Q70/act/id=0/p=javax.servlet.include.path_info=QCPpageQCPPortletTablaIndicadores.xhtml/429293821247/=/#Z7_8162H3G0K8RBE0AS52COFE0Q70</t>
  </si>
  <si>
    <t>http://finance.yahoo.com/q/hp?s=%5EDJI</t>
  </si>
  <si>
    <t>http://finance.yahoo.com/q/hp?s=%5EGSPC</t>
  </si>
  <si>
    <t>https://finance.yahoo.com/quote/%5EFTSE%3FP%3DFTSE/history/</t>
  </si>
  <si>
    <t>https://totoro.banrep.gov.co/analytics/saw.dll?Go&amp;Action=prompt&amp;path=%2Fshared%2FSeries%20Estad%C3%ADsticas_T%2F1.%20IPC%20base%202018%2F1.2.%20Por%20año%2F1.2.5.IPC_Serie_variaciones&amp;Options=rfd&amp;lang=es</t>
  </si>
  <si>
    <t>Tasa libre de riesgo EU
Tesoro EEUU</t>
  </si>
  <si>
    <t xml:space="preserve">S&amp;P 500 promedio 10 años </t>
  </si>
  <si>
    <t>Beta apalancado del sector (BL)</t>
  </si>
  <si>
    <t>Tasa libre d riesgo de colombia- Tasa libre de riesgo EEUU</t>
  </si>
  <si>
    <t>KRF</t>
  </si>
  <si>
    <t>KM</t>
  </si>
  <si>
    <t>Beta</t>
  </si>
  <si>
    <t>/=</t>
  </si>
  <si>
    <t>USD</t>
  </si>
  <si>
    <t>Convierto a pesos colombianos el CAPM</t>
  </si>
  <si>
    <t>Rendimiento moneda extranjera USD</t>
  </si>
  <si>
    <t>Devaluacion (EU-Colomb)</t>
  </si>
  <si>
    <t>Tb</t>
  </si>
  <si>
    <t>PR</t>
  </si>
  <si>
    <t>(TbxPR)</t>
  </si>
  <si>
    <t>COP</t>
  </si>
  <si>
    <t>KRF= RF</t>
  </si>
  <si>
    <t xml:space="preserve">TASA LIBRE DE RIESGOS EN EEUU </t>
  </si>
  <si>
    <t>rentabilidad mercado</t>
  </si>
  <si>
    <t>KM= RM</t>
  </si>
  <si>
    <t xml:space="preserve">Bu= 0,61  </t>
  </si>
  <si>
    <t>BL se calcula con BU Y LO METO EN EL BETA</t>
  </si>
  <si>
    <t>EMBI: Rendimiento de la moneda en EU</t>
  </si>
  <si>
    <t>Periodo ultimo FC acumulado negativo</t>
  </si>
  <si>
    <t>Absoluto ultimo FC negativo</t>
  </si>
  <si>
    <t>FC neto siguiente periodo</t>
  </si>
  <si>
    <t>PRI</t>
  </si>
  <si>
    <t>Como el VPN&gt;0 se concluye que el proyecto es viable financieramente y está generando valor ya que se dá una rentabilidad mayor al costo de capital</t>
  </si>
  <si>
    <t>El proyecto se acepta ya que la TIR es superior al costo de capital por lo tanto el proyecto es viable</t>
  </si>
  <si>
    <t>La TIR del inversionista es mayor que el Ke por lo tanto el proyecto es viable para este</t>
  </si>
  <si>
    <t>El periodo de recuperación de la inversión está dentro del periodo evaluado (5 años)</t>
  </si>
  <si>
    <t>La relación C/B es &gt; 1 por lo tanto el proyecto es viable para el inversionista y se acepta financieramente</t>
  </si>
  <si>
    <t>Información</t>
  </si>
  <si>
    <t>Total gastos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</si>
  <si>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</si>
  <si>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</si>
  <si>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</si>
  <si>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</si>
  <si>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</si>
  <si>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</si>
  <si>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</si>
  <si>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</si>
  <si>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</si>
  <si>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</si>
  <si>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</si>
  <si>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</si>
  <si>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Costos</t>
  </si>
  <si>
    <t>4,2 años</t>
  </si>
  <si>
    <t>Disponible proximo periodo</t>
  </si>
  <si>
    <t>MODELO FINANCIERO ECO HOTEL HANAN PACHA</t>
  </si>
  <si>
    <t>Variación 10 mil</t>
  </si>
  <si>
    <t>Valor al final del proyecto</t>
  </si>
  <si>
    <t>MARIA DEL MAR CIRO</t>
  </si>
  <si>
    <t>CAROLINA MONTOYA VELÁSQUEZ</t>
  </si>
  <si>
    <t>INTEGRANTES:</t>
  </si>
  <si>
    <t>Cuadro resumen</t>
  </si>
  <si>
    <t>Variable sensible</t>
  </si>
  <si>
    <t>% de ocupación promedio</t>
  </si>
  <si>
    <t>Tarifa</t>
  </si>
  <si>
    <t>costos operativos</t>
  </si>
  <si>
    <t xml:space="preserve">Interés de la deuda </t>
  </si>
  <si>
    <t>Inversion</t>
  </si>
  <si>
    <t>vpn</t>
  </si>
  <si>
    <t>Indicador</t>
  </si>
  <si>
    <t>% VARIACIÓN</t>
  </si>
  <si>
    <t>Información para gráfico telaraña</t>
  </si>
  <si>
    <t>Costos operativos</t>
  </si>
  <si>
    <t>Endeudamiento</t>
  </si>
  <si>
    <t>Ingresos</t>
  </si>
  <si>
    <t>Punto 1</t>
  </si>
  <si>
    <t>Elaborar el flujo de caja libre del proyecto</t>
  </si>
  <si>
    <t>Punto 2</t>
  </si>
  <si>
    <t>Realizar un análisis de sensibilidad de cada una de las variables y mostrar los resultados gráficamente (grafico telaraña y tornado)</t>
  </si>
  <si>
    <t>Gráfico Teleraña</t>
  </si>
  <si>
    <r>
      <t xml:space="preserve">Análisis
La variable que más impacta el proyecto es el </t>
    </r>
    <r>
      <rPr>
        <b/>
        <u/>
        <sz val="11"/>
        <color theme="1"/>
        <rFont val="Calibri"/>
        <family val="2"/>
        <scheme val="minor"/>
      </rPr>
      <t xml:space="preserve">precio de venta </t>
    </r>
    <r>
      <rPr>
        <sz val="11"/>
        <color theme="1"/>
        <rFont val="Calibri"/>
        <family val="2"/>
        <scheme val="minor"/>
      </rPr>
      <t>ya que es la que tiene mayor pendiente. Las variables que tienen una relacion directa directa con la VPN son precio de venta e ingresos y las variables que tienen una relación inversa con la VPN son la inversión, endeudamiento y los costos operativos</t>
    </r>
  </si>
  <si>
    <t>Información para gráfico Tornado</t>
  </si>
  <si>
    <t>Aumento de 1%</t>
  </si>
  <si>
    <t>Valor inicial</t>
  </si>
  <si>
    <t>Gráfico Tornado</t>
  </si>
  <si>
    <t>VPN Inicial</t>
  </si>
  <si>
    <t>VPN Final</t>
  </si>
  <si>
    <t>Variación</t>
  </si>
  <si>
    <t>% cambio VPN</t>
  </si>
  <si>
    <r>
      <rPr>
        <b/>
        <sz val="11"/>
        <color theme="1"/>
        <rFont val="Calibri"/>
        <family val="2"/>
        <scheme val="minor"/>
      </rPr>
      <t>Análisis</t>
    </r>
    <r>
      <rPr>
        <sz val="11"/>
        <color theme="1"/>
        <rFont val="Calibri"/>
        <family val="2"/>
        <scheme val="minor"/>
      </rPr>
      <t xml:space="preserve">
Las variables que más impacta el proyecto son en orden: Precio de venta (RD), Ingresos (RD), Costos operativos (RI), Inversión (RI) y endeudamiento (RI)
RD: Relación directa RI:Relación inversa</t>
    </r>
  </si>
  <si>
    <t xml:space="preserve">Ingreso </t>
  </si>
  <si>
    <t>Auge</t>
  </si>
  <si>
    <t>Recesión</t>
  </si>
  <si>
    <t>Costos</t>
  </si>
  <si>
    <t>costo</t>
  </si>
  <si>
    <t>Normal</t>
  </si>
  <si>
    <t>Resumen del escenario</t>
  </si>
  <si>
    <t>Celdas cambiantes:</t>
  </si>
  <si>
    <t>Valores actuales:</t>
  </si>
  <si>
    <t>Celdas de resultado:</t>
  </si>
  <si>
    <t>Probabilidad</t>
  </si>
  <si>
    <t>Media E(VPN)</t>
  </si>
  <si>
    <t>Sigma STD(VPN)</t>
  </si>
  <si>
    <t>CV</t>
  </si>
  <si>
    <t>P(VPN)&gt;0</t>
  </si>
  <si>
    <t>Punto 3</t>
  </si>
  <si>
    <t>Haga un análisis de escenarios con la siguiente información y determine la esperanza del VPN, determine la Volatilidad del VPN y la P(VPN&gt;0)</t>
  </si>
  <si>
    <t>SLoYkPQu0APGq0MGAJtL/Znx8FCpo3cRlNPQCK/SFyLT/B4QTyMLOyBSaZwWhemND+QaxRaqbaokYwzkNEKoudMcp2llkonQIJ8RUhZJLOcPf2KwlDB5vgyLtFsNjh9EnCdjI3bdFnNru3MQvVP68pLjTs1Ebhh5aWEnoJXwgMOw5JbeZDEVdhYD46hUVw72MNXCm4OHn5HIa8OrHDPNCMH++AgstNhYtAnBWUPNFLcrygP2VKJRg322fdo=</t>
  </si>
  <si>
    <t>PorPHmyX1HoEK1NGXPy/C6hjQkam6GTUUyHSXDgurgSDcRDQr+VItlcNWCBWXM8LBsCXAiUoDOXm5P3vkI37TF9/BJoBsfpdKXpnBifBs/4EN5W5jKoMOUSTOgI4qYfc948SUG3bcBCnHI1qcTUZe57axRvmN/7BNXcLZPMxvrOpFtFq+4c1P52ztth4CPweHtz7VBqnvtrsmXVIK4eRg6UhoPYN3eE3UHPJhdeDZNrB70JNPEYEWZ5x3eQ=</t>
  </si>
  <si>
    <t>suvuZC+yjSLiz7n4BrPLZ5zUeVX+063+R5K/ovNYbO4E/h0UhfXq+GiTkiyUrmYK+c9iPFRVVKC3Qe4+sQPkJX4xHjoWQEcS8r6APisq1FvncqOSRGTzyjEJPvUCBmRvZZwqPJuwGSBpysspKfXQTihgH0HZ+6N3X6K4Jmupmji3Rc95LtsQ/8SdVA2oJQFB9fch4LcGYwO1/fhdFYb9ur7tssPdp85jkVTjmVuDZnlTw79SJDswdbkK2uQ=</t>
  </si>
  <si>
    <t>c5b6cy78sEdcz5AHllEs9Sc4okinJSYetFVA6/Grfi31sZvTIZPBAiPN/BbbNFr92RkgDIXd+VjkiOEHfNm10rGZlL60mUJZFjmpBU3exsAFFT9x5QvDG39mwKmLybgoHv1K+BWr8Uec5JyhXfg3Gowv1UqlmrTyLskb50+pDKmpbb6q6GtsuvAYPgF9DbgveEqhzRb2yR6Bz17FSnSudJwSNpITzviBbALlJoBEaqeJjk/BmEaqvWnVpyo=</t>
  </si>
  <si>
    <t>C1Yie0lR0HQbr4lsBHgtexwJR+/5New0lIr4rSHqEYUv37YmU94rTuryK7WbzjOi70rdjbaYozrFFC9p++WnK2ak1w1kIVGKrP/cQIR0QjpbT67kvICRLUQ+e4+HSyq/Qw18YMoizSiZ3fQGkDhTMwn4uK+JPaFTxHnY/3C1DYm+nbyovPOTNYZHaSkgqg4/fU3g5W0up11UYo45nmADxSjiO7crlDBLqXk+QgNqYdq7MlnctChhLKtS/uk=</t>
  </si>
  <si>
    <t>asSzxT7lldgMwzG2OsjVuQOxnYjXy9d5ZKU1IeRZw+DjWA8wjrFtRHZYH9d/jIcqnRosagbhdJ34UAEbevDX1RVZbuZCR+xvv2xQ93LMRLwlArluAa7ZEOTGZsV/XdLu7wGcEY2b0UcyICJ0G2U9k3xCxeqwRuEZi+JrPAOmutnhQdW0fY0kxCsup6sp19DJUSH6sc5GBTseDP+gGKZ9zepYO4t/EDfES0fsVl7/mgN3agQLYnijcrgNGro=</t>
  </si>
  <si>
    <t>YHSNusc/F2krd0WzEhdEzb1R2OqEM/dHyYX4g6cHWp8bdPw+ujENLSHbINuZEM6QPHBMIZvSlXEC1Y/tZ0EkecVqUxCVCAiSrZg39lT+F0lYbHP5EHO6ka1GwuZdhDrx7YYxvQpMe1V2tmvmRb9rDS0KIlgdeChp49zaD8moGfzDPwpiLl3VciWlVDeqZcmEqmZIUG3NqIhRt9uAxuYkZ/mTgKZtunwNcLvbVx1g3UJrE1zQ4xlNJ3pY4AU=</t>
  </si>
  <si>
    <t>dsg386bG/5Hz39QYCFaFUsusX1w0IhL2yL8Gtso95CB9xfuPnoROCp20BBSmMLDKXZlgki0bcirI7zukawwBeTcUcYMvuZkNsZAhmtntA7opNJL+X7o8r9lNEHCBqrTUZ1/ew1DH03vibcnnEN/8eT3nZISMqxrheksgwPqkxEdVNh1eB/QWzYcsLdazwfLzX3npu8AApjkyY/1ognWdFxvxhFugq+pWxi516sxEt6mziHGEiIF8qi3wMao=</t>
  </si>
  <si>
    <t>4WopAI4xlhS1CRATD4JsaK5mIYpTvt6/nLGJ/t0342ggL+sGb1oKviIKoHN3MkCVCDHYEBBByQFzW3Ac5zaxgIH+4r6BzS9mLuYwD3NktrrVyufXsrPGd8vg2wQms1WjwP+NiyQsarwIqD9NDwloOt0oelX2HDJWUK6HaKNrkKQafcWWNF6GH3LnNFEt++n4UtSIM4YVimpV4ihahymtOHXJpN3OyOD5G8n6DoTpjlXU83QRZYkpTfa+F9g=</t>
  </si>
  <si>
    <t>nRL5pTD92MlPBY52Hj1jX2tzXo6QLdydWG5v/uuEuktFZfY2gy8GQ2c0YlXNw0N1kPT0z11ALQk8+eNOZ+PeUY2cLaofP1U8mqlbsHPHm9kv64RHn5M5vTGQb3HaSGBkKYOQt0EMPn3N6OLn9Bsx4lRqViqOjDL0WffFxohHbIWd6NR46lJixkdHurowY1UzgMZ3Ofm8H7u55i8BkX5Co1ldQoo3vu4dfEgbN6qty/XpOWdDTILl10xQe4I=</t>
  </si>
  <si>
    <t>Hv/omPv08zpwp5OhsJtr+SIHXorVG6PsChMpUl6amXvjy+yIINZ2atual7LWemQLszxEsmKrU9YPUFW40oVHouAPDuSqm4WV6pVmek397BAvv0abXtWcpkWwTQ6qGVoAdjy+9pqUhVg3SuJtn/9HnDAmXYb1NSf5A9pqiesr/ARVkhvfb4BB/T+RI+mfyl9kWB/2QApxoxooyYz0TG16kMdQWjZ7bP/Oo++TLQ2xTk2fLaLcSuwhbneQT2Y=</t>
  </si>
  <si>
    <t>UPeyLZDMVFTfLJuuBG7Blqon6YIJKUs30H73OQnoLjnx8d4qBl4WmrWTptbJLCa5h5rd69L4ion5sgS03aQH+Xf/WRxB4suniijoViav1/s2VnKtdT371wDbWliAAWIbQUv1gv/7UGDbdJlIOECbn7TsZ0dUBqkY959yGJ9nwukYmSwkszSzTFUo21P07yLFyQ71mEmc+nzmeKqoDsr08L+4ewR3Y+y3AJG6jyJZ8vnNptrLPTbz6gl8SEk=</t>
  </si>
  <si>
    <t>UVSMC7/LVMPY3P/2kFbzl5BvzYlybhD3g1XOdPMKaezXEBZaCBT0d4JHyuycELTiARPBtY4qmndxqq2G3i1hpW1tqnY10TdQqkWK7qgufQRt/zNx9JP/rfbunJu+QQWPjB+mF6r4bbS4FLnacyzaQPA7F/pHCGadfzedRAek6qEW9MJKP+FxUq69Ga0ErYI2lPaKsXJ3+J+2rCG9u9HSUZBKYQflGugMP+856WcMOqUouTeN418KhlM97NA=</t>
  </si>
  <si>
    <t>3d8jD28aYUk9MuaJXeSbTuyItXjj2vBa7BXrdm2xL3PUupfVUX6JS1fP+Hm2nmtNBo6UUcVeXVO3wHK0a5tCN2aK7GzdmC2dy9qrIuGiJ2lh2+4Qu4aHHJJLpyf5o8VM3euKITVMXqoUn/2MPNPuMq1p00ZKDsBOLVa4aN530g6+KbglF+eH/oXwWFoWgLDch13yCg1L7pAWapZs99Jo9+WuW8KtqO4SmO205ZceUDUzJUw4bc39FZ6nJ/4=</t>
  </si>
  <si>
    <t>LSttWicrjYxkdcL8nvtUdC7LQh+ku2N7h1IO7PBZV5y7hwjXqTEM8q6JTPnbbXxmQus1KPJ6mmaatuxXb/muaoUE/joErx4Ld1dgWRsBZFeiaUhXDmcaUxwQrGBkmQkk+49XuNukgfmWK/AxLZtvXtnGjwPxtXSVB3OawJo8eatb0ioyHAgDwzXg9biTfsNi69aPyF/Ot7Q6T4J8KlDnI9dU5UYIX+9QWUBMo8qivjXIdSxwD0/1zz2oOlw=</t>
  </si>
  <si>
    <t>6RhkcmerfKTJ2R7VomFkBhKroOU8TICVYm2J9j0Li3vS8GU88ZToTjUp7ryW7TQJHIWFPKAiZpXd+9gLe2zBfQ1mzcmaRMDzWjRfWbmTrmvgx8exKKMX7/PXAH6iT6W9uTVhq6E6BRED7soCJvkMHDUwMLf/CSiO1ZzKmq3T/OkpFxTbVTvJCT/GZwXNJmkJvL37gAEfmNdJA09wxU34hd5KmmkzvC+7WMF0PXYMhRmhnlt9r/JjjJyZTGA=</t>
  </si>
  <si>
    <t>TknyOYCH1HsX0PkJ7MrsCobEmMxQ49hRf84jSJLlKZVvYspsu66viE1TyML79qkgdQ1st2wBXhmeN+1I0yUFVQMjFb39hsVToYYyI3y/cBfLx7N+mz7fFRKvW/qSmYfDdUccL28W+jFCLS1zwYH0g36WIya/SIjSR4quVMWfBPpKvcXSvJm6lQVkDzA+eUxXm5AEP02YAMoi4eSV7BJxH9FrSM156mPs7HA70kQw/7XzWBOk6+WxqkmEPtg=</t>
  </si>
  <si>
    <t>D+Dw6ULc08tCmmeUrNB0F8hQB/7m3F9RaXsFrH9e9He1PbX1RBmP05A1SG7q+8+qYj4qw70/GjdWwim36/seK/GrOZQlrPfoqzMxjnMYdVL9XrGrjQd882PCVcI+SWhyXOfr6xX/GGyVRS1rTdksrwW/E87GAzo9tLEF5O/S9WHZ/Ob5YStay1Mpw7eP10GGqR9qPd/255P5FzDGtmIxziTtoueQW+9A0lAkIleYMTA6pflSxtzDdHE6f8k=</t>
  </si>
  <si>
    <t>JrhCuC5i4EhKoP3Oam8jh6prZnXQp1JvC7Yg6N0kgT6pgCwRvrfWGS/eopPRtfizIgpvAG/w67ZOSuvdW0on+J5q6Dq4GYEFiNh81yKxQ96SM8EEBpzLkYW790E5B1cWLIQ96T06XBBhdIrwAUwaFv1j7VsDhn5I69dd9GH8ZkJHXcBPAEgQxBOXTSa3BNx/T2I7LqW98t3WdE8uoxk/QqvzUegnri+7sdo7hEavOLjJS/IlU4FyYY+TrZ8=</t>
  </si>
  <si>
    <t>Z6DFka+DkueIt0RNWXFWWypipCjSkBBbql/zsUU3ngmEWBsNgPGs3RvMBqVkOSrK7gLA8ExWFe6WGkdH/b7rRAv6XJA4+vCtEM/m22XO1Nd+ja8Hx0/V/f3+pgq1Os87vZ/qVul7bbHwnScF6Evn2QTLWQb1CX8SCuDdHypgzbibZeOgMqUWIU7O2X/qksR8zXQQFuN/AOWKEHF/KLuPxMZEuiXhPWPJgX93M9w6RiBeH1f+tmLnfk9r8ow=</t>
  </si>
  <si>
    <t>7woNS5DCbrtSfaqmnsymGCwxM2CSF7nosD5M6Ufcm6JfJvbJe66EYyG1IAjccGX70khjHJ8WYjzVa2QcNZRYIFRyAWXDwv2B3AVk5bf844m9+rsXEiDk07LR00MZ81IphJK1Q3MyNRp0ob2O7h9CZyZpJHy0Lr2iHStnGNKzIX37XFN88a4jpkJXWsYvbaqLBHrSfmwowe64qewTtl/Rz3aGF28xkv+gaZHll2LjnC+6J8JIKBz1ptX7sGI=</t>
  </si>
  <si>
    <t>H3Klq6lphlTxpN2TmfjnJK2wvyv2S9R81xDauUyhWEretCqsA9tM40xNQo7c9O67IA5zdQMWHpBp7rZkltPeWMHm0WXSnWZAbEmb0zlYdZfEJxYislcNMXGzyEwJ9mJXqdO3pNgoVVJqymri/mHaSsZnymOaayeaC7aKoW+mALAN2evXF8bLRqd2BTC5NlwygkdUFbAHLmU40V+vGBDllSoMLf7w5melUFLz/UIRyJUMDuL5cn1e1nyYLHU=</t>
  </si>
  <si>
    <t>8jdz7F99Cs7x1ysqUmq6VMl1IbG8A0Zh9WcwF2o3M7OwR3B2DnVEd7i2IybGdcoawZYV6hAJmLfBduNJSj1oyd3wx+LmooZN+y/nTCJZDKYR/7SA1wB4IZe2g/o/pG8cDP2ujCoO9/XeTHb6vY+dM59gmAOU7t31Pj6snORlyT5ct6jqlatjFmQbj+5ZruEkNOwBcPoI9L8JtPQjsi7yuUSXP+OwylsF/dUvurkZVznpt9aVZ3GVVZgOps4=</t>
  </si>
  <si>
    <t>YTxyuifLWD8H+fIIHNfus/vqlpVtWDbH2Ri2XAMyIsByGKJokQ5hKkGkJ/VtfpgjaW5y42F/xZaixZU7CpkiV2V10v5vYSvcZZgXLQA/BnhqwSEIlxrHOeVbF6bFwCQ+f1WOK8U6YvEWVPLExe877ScHyElbo3xj2aK5lBXW77B3rYfQGJeuiDwStE+NAGXpx5eNGKsl9D77amuagh/xE61dRVdxsGE4Caahh1/UIE+5m+44V1wxYWTR2aQ=</t>
  </si>
  <si>
    <t>0lGtJPE+cRl3Oo7zI8VzMV/bzE9AOa+PkcXzgwPCs5L6dWabcP6D7a4XqyWA6iQhGfDGhoCmesSGY4N6pAbqxXb3b5zO2Pbq973Jdl6sNE7gct4hbHPljoS6GgqI04SoYTZQTGQqe288s1ERqmhH805Ni5qXN6XFSb3bh6xYtHMCZC2ISon0t+SyIOjp48wFSHIgvFc5Wj+n2hjMFD4KxxF3+BpIODnXUFdf7+bW1+G9JmK28dqakrj+G1g=</t>
  </si>
  <si>
    <t>wDyT4hs/or8UF+ge62yDCfVec4OGyn1dhaq/nlYC5ZO5kqo4mv4WhSzX4T8m1EekebYo+tQo555YdAbnvEek7vHJajWl4uGDbgIaiU+YMqwcdRLXhdQ9R3hHaQc+4oJ2E4EWQq+IPaiJtsP8OvoKIWxsB2Kr47YdbZyNkHgxr/GRv0t/5/9Mb2x3VbUQEQ+aoDHnfI1W777tFXNeH/DL0h7Dzi5XSTV3IuK67+L1crrN9Cg0xOjjbEjtPDE=</t>
  </si>
  <si>
    <t>61iBa9FUSBcGWMf58Qy8aYzm/kCh0Y8BuSSkyQJnU0845nB3NcZsS19D1dve/MYqOD6WMIGzaF/ToxkoMXZj6srHzccZqH7wJFTUa+vuZlsX+aUKIIm2b/t5Hz4tvARh4JOldJ9UnbBrVB64P3DOrCXwV8knLr+tPmN2xCm+FlKl9RGvkgmE/fm7MPpqlY/VMl1it3W8Za+On7+wT6w71ggC7EXl0FOTvZEaJFT+pOKACXxpbLbiXMU8YT4=</t>
  </si>
  <si>
    <t>HQPI/cVoLVxRhxD97Z+lSlKGUKyGU9xm8IE8vLlP/w+jDVKxz8mXng05ilMr+UgqXSZWVFlbAdBotVauHMqHb/VFZ1BQT2g3/BIShI07fYNLRcAGCgbtflNv46fH4m/bfLGlFSQrN6yDGmgi4whKo/jNxV5FLEAj+a7nnrk6w9g42JSKHzWw6tfP1gKIN/mwYLEKI7WA4tEi+uAt/ibjK7lWyoh61uk5ph620QJ0ErdV0hcDlK+vo2AxFts=</t>
  </si>
  <si>
    <t>gmutFYYSfl0eSWFtrf+v8juv14X1TwceOZll+shqseUojHlf5ZZ3TsnCFpgiuV7SLfXDHt7VU60rHQVrhpw+nxslh5i3Twza/qtKp2nk517c9GL7sQJF5MQSoHVpVfr2BxrnTbtyxubQvDVj/6ZpCvibd33DSPWaZZY+5u/I8u5QOclY2tNadweKjm5OLHr9T7zbxMH05mDUDKX3G17mkc72jOxzoLMh5otDpb9N2pPlPfgnJ8VI/E4IbqQ=</t>
  </si>
  <si>
    <t>1iOdreM5UJoFFBU7Y6JEaAlXthZa1yPL51iL1gC+s/ANwzE3I6+zezFhfP8oJpclReZjxwPL55hT3mhIt57LXpZZvLUNEPg4nEL1zphDVRKnEZnY8to5ztpALXS6WfW8nHg86V7c+GaiPNba9DWUPulloF/FtsbaqgZaNFNKQ+YwK/Zhlp9IZze9xR/alLCn2xqRNOQz45Z8oJAn87FV30jxB00GX/IxAn5qAnYt8S4AiZnGtS5rf9Kfo2g=</t>
  </si>
  <si>
    <t>8B6fs/WVQuEwDaB6heBlVpbcGUfKf6OZzwWe7/KB8GTJBIdBcrjtIwdArFDJ2VdH5zIwLh3u/YsEUmfEcROTkze9c1yyh8Sb8M7/28ZHr7wGgOTjQqxru1nq6f+LrBoo6+rWxc/7RNuuHqs5IuKvLpoEmh3cenaY1YWzJZuyA9hRsP6RFZOCfw8Adm+N7BAJzfORwCQ/GfqAA9SsdUB4+Y2l9dDvpM03BJ2DtiWaWj5UvyyM35OTjc9wghg=</t>
  </si>
  <si>
    <t>sFFRqo8XBYIYO8qLYzDqPkk2NcsVGkHunGzGjrhdZ9GsPAZSu0BdTt+QQ1HehwBye/wkc/P3eBIVnhoQwmAcAZJKFIM6pyI5q/O8f2VVeMNUbh4Xduh0kgpjr9LNvqM+nNAT15fpxrNO63Ukke5r1QtW+GyeiuMH3chtwGUiXSw4BL4c+xzYUtEV+7VQvqtbX2voWmjJQXyPaMERm4nYJ4+hqVDm7TPCjtzljA5BB52kROg4AgoGaQ2SoUw=</t>
  </si>
  <si>
    <t>WA5ciJdoXKLemNgfoqbnipeFPvaXKTayEu3//zk6jALFy6u5GkoKdAdrcaGRhv/iICdMPnnriM9SsTTyv2oW6oxu55hTlYjgDeId1wTdabZKT84VVJ5hQuj2TN9CETKMC9CNE43pkY2x5oeziXILOAIX+s6Xp91+ldYarCYhe2rqPm+wpYnFUBI0MenwvU7nQXTUpliq9/zK/ugRjz+eY5lZeQZEBBf0ixKJZr8TCgSQfP+Asv8xuo+Yn7M=</t>
  </si>
  <si>
    <t>/ssDbSvfgMqfPsIr9ytgqDt3QoEJvvg3GqCNjwTcSTj3I7Qdgtzbnhf1MiPfKnLnXFunCcNI7u8rGql/ZUnpMq+43NjHnWpLX1YZtyZ1ZArJS4PrQdfmyyMWULrOUUGFYW+jmfu++y2ut/bD/+icKaq2oY5wCrUIomVdtb6O9GwZfx4P799oAeUdmDaSX7yM8pYV7apZUoM/rX14hUjKuEiUnPAsvwHCJtbLimXEEJsJd5oxYEjR+fl40Q8=</t>
  </si>
  <si>
    <t>q56rwxX9t1U2J7urUQzdytnsuVxCJDwHKSpQIB2Cv2JmHXHGLq5yCXmIlCyHMoAo9pZ6nWQ4xKyIHE77VvsVItB6TQzlerHRl/nI71jeLifa545yxQfEHDCcGZ+PqBwA6Yj3Mfk29jaxRcNrRsY2UU73Rmlj34SVs0ud39gNEQP8TWTb2MhIIzhgYC/mkqfsoIEnnBtelP351qup4HxCSB2ixcp/uQgLRg+N0UV2SNr/B+uAg11LRXstfxo=</t>
  </si>
  <si>
    <t>uqMGx7Mco1F6L10zfh4/2pLVhDGEZFk178J5FlS3TP+P2Cre2t6LNOnEpdr4j/5YLrWVLfjTfTMLKnpD/1pt8Nstaagek9LYBcjqLlo3eHYeakax4cFupC3SoG4ugj7fPahifc4vJ9SngWMWs1pdq4K1J1XK5M4j2m3TluJUlxDD2ZMcU+a6/qQ5Kj8KN6KwU2W9aipIfk6hKNKghrPAdFcFe6KYpwQqO74wng7Pt0dJ/L8GWR/1Q48i8qc=</t>
  </si>
  <si>
    <t>kJ2OTT4qE7dLf0KfGhikFvatZncU5CPKaLp8z0krwIh1fNlv93jtf5PEkcIe7/RkdxSIeRnLw5PW2/BbBbWWn2C6Vu9azwAyQHdDOOdPxJlTSgn5v1raWcxrrkcDPZ8Y</t>
  </si>
  <si>
    <t>Punto 4</t>
  </si>
  <si>
    <t>Utilice Risk Simulator y realice el análisis de riesgo de VPN y la TIR. Calcule para la TIR y VPN su esperanza, su volatilidad, las probabilidad de aceptación del proyecto.  Recomiende si se debe invertir.</t>
  </si>
  <si>
    <t>Ejercicio 3</t>
  </si>
  <si>
    <t xml:space="preserve">El análisis por medio de Risk Simulator se realiza tomando como supuestos de entrada los ingresos y los costos operativos ambos con una distribución de probabilidad normal. En las gráficas de la parte inferior se observa el cuadro global con los resultados de la simulación. A partir de estos resultados se observa que para el VPN la probabilidad de ser mayor que 0 es de 70,08% y para la TIR la probabilidad de ser mayor que CK es de 72,46%. La recomendación a partir de estos resultados es invertir en el proyecto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</si>
</sst>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\ #,##0;[Red]\-&quot;$&quot;\ #,##0"/>
    <numFmt numFmtId="8" formatCode="&quot;$&quot;\ #,##0.00;[Red]\-&quot;$&quot;\ #,##0.00"/>
    <numFmt numFmtId="42" formatCode="_-&quot;$&quot;\ * #,##0_-;\-&quot;$&quot;\ * #,##0_-;_-&quot;$&quot;\ * &quot;-&quot;_-;_-@_-"/>
    <numFmt numFmtId="164" formatCode="_(* #,##0.00_);_(* \(#,##0.00\);_(* &quot;-&quot;??_);_(@_)"/>
    <numFmt numFmtId="165" formatCode="_-[$$-240A]\ * #,##0.00_-;\-[$$-240A]\ * #,##0.00_-;_-[$$-240A]\ * &quot;-&quot;??_-;_-@_-"/>
    <numFmt numFmtId="166" formatCode="&quot;$&quot;\ #,##0"/>
    <numFmt numFmtId="167" formatCode="0.0%"/>
    <numFmt numFmtId="168" formatCode="0.000%"/>
    <numFmt numFmtId="169" formatCode="_-* #,##0.00\ _P_t_s_-;\-* #,##0.00\ _P_t_s_-;_-* &quot;-&quot;??\ _P_t_s_-;_-@_-"/>
    <numFmt numFmtId="170" formatCode="_-* #,##0\ _P_t_s_-;\-* #,##0\ _P_t_s_-;_-* &quot;-&quot;??\ _P_t_s_-;_-@_-"/>
    <numFmt numFmtId="171" formatCode="0.0000"/>
    <numFmt numFmtId="172" formatCode="#,##0.000"/>
    <numFmt numFmtId="173" formatCode="[$-409]dd/mmm/yy;@"/>
    <numFmt numFmtId="174" formatCode="0_)"/>
    <numFmt numFmtId="175" formatCode="0.000"/>
    <numFmt numFmtId="176" formatCode="0.00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vertAlign val="subscript"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20"/>
      <color theme="1"/>
      <name val="Calibri Light"/>
      <family val="2"/>
    </font>
    <font>
      <b/>
      <sz val="16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169" fontId="13" fillId="0" borderId="0" applyFont="0" applyFill="0" applyBorder="0" applyAlignment="0" applyProtection="0"/>
    <xf numFmtId="0" fontId="16" fillId="0" borderId="0"/>
    <xf numFmtId="0" fontId="19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13" fillId="0" borderId="0"/>
    <xf numFmtId="169" fontId="1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441">
    <xf numFmtId="0" fontId="0" fillId="0" borderId="0" xfId="0"/>
    <xf numFmtId="42" fontId="0" fillId="0" borderId="0" xfId="1" applyFont="1"/>
    <xf numFmtId="42" fontId="0" fillId="0" borderId="0" xfId="0" applyNumberFormat="1"/>
    <xf numFmtId="0" fontId="0" fillId="0" borderId="0" xfId="0" applyAlignment="1">
      <alignment horizontal="center"/>
    </xf>
    <xf numFmtId="42" fontId="0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4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7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65" fontId="5" fillId="0" borderId="0" xfId="0" applyNumberFormat="1" applyFont="1" applyFill="1"/>
    <xf numFmtId="42" fontId="0" fillId="0" borderId="0" xfId="1" applyFont="1" applyFill="1"/>
    <xf numFmtId="0" fontId="0" fillId="0" borderId="0" xfId="0" applyAlignment="1">
      <alignment horizontal="center"/>
    </xf>
    <xf numFmtId="42" fontId="0" fillId="0" borderId="1" xfId="0" applyNumberFormat="1" applyBorder="1"/>
    <xf numFmtId="42" fontId="0" fillId="0" borderId="1" xfId="1" applyFont="1" applyBorder="1"/>
    <xf numFmtId="42" fontId="0" fillId="0" borderId="1" xfId="1" applyFont="1" applyBorder="1" applyAlignment="1">
      <alignment horizontal="center"/>
    </xf>
    <xf numFmtId="165" fontId="0" fillId="0" borderId="0" xfId="0" applyNumberFormat="1" applyFont="1"/>
    <xf numFmtId="1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/>
    <xf numFmtId="165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6" fontId="0" fillId="0" borderId="0" xfId="0" applyNumberFormat="1" applyFont="1" applyFill="1" applyAlignment="1">
      <alignment horizontal="center"/>
    </xf>
    <xf numFmtId="165" fontId="0" fillId="0" borderId="0" xfId="0" applyNumberFormat="1" applyFill="1" applyBorder="1"/>
    <xf numFmtId="0" fontId="0" fillId="0" borderId="0" xfId="0" applyFill="1" applyBorder="1"/>
    <xf numFmtId="42" fontId="0" fillId="0" borderId="0" xfId="0" applyNumberFormat="1" applyFill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2" fontId="0" fillId="0" borderId="0" xfId="0" applyNumberFormat="1" applyFont="1" applyFill="1" applyAlignment="1">
      <alignment vertical="center"/>
    </xf>
    <xf numFmtId="167" fontId="0" fillId="0" borderId="1" xfId="0" applyNumberFormat="1" applyFont="1" applyFill="1" applyBorder="1" applyAlignment="1">
      <alignment horizontal="center"/>
    </xf>
    <xf numFmtId="167" fontId="0" fillId="0" borderId="1" xfId="2" applyNumberFormat="1" applyFont="1" applyFill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42" fontId="2" fillId="0" borderId="1" xfId="0" applyNumberFormat="1" applyFont="1" applyBorder="1"/>
    <xf numFmtId="166" fontId="0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left" indent="1"/>
    </xf>
    <xf numFmtId="9" fontId="0" fillId="0" borderId="1" xfId="2" applyFont="1" applyBorder="1" applyAlignment="1">
      <alignment horizontal="center"/>
    </xf>
    <xf numFmtId="9" fontId="0" fillId="2" borderId="1" xfId="2" applyFont="1" applyFill="1" applyBorder="1" applyAlignment="1">
      <alignment horizontal="center"/>
    </xf>
    <xf numFmtId="0" fontId="13" fillId="0" borderId="3" xfId="3" applyBorder="1"/>
    <xf numFmtId="0" fontId="14" fillId="0" borderId="3" xfId="3" applyFont="1" applyBorder="1" applyAlignment="1">
      <alignment horizontal="center"/>
    </xf>
    <xf numFmtId="0" fontId="14" fillId="0" borderId="1" xfId="3" applyFont="1" applyBorder="1" applyAlignment="1">
      <alignment horizontal="center"/>
    </xf>
    <xf numFmtId="0" fontId="13" fillId="0" borderId="0" xfId="3"/>
    <xf numFmtId="0" fontId="14" fillId="0" borderId="1" xfId="3" applyFont="1" applyBorder="1"/>
    <xf numFmtId="42" fontId="13" fillId="0" borderId="4" xfId="1" applyFont="1" applyBorder="1"/>
    <xf numFmtId="42" fontId="13" fillId="0" borderId="0" xfId="1" applyFont="1"/>
    <xf numFmtId="42" fontId="13" fillId="0" borderId="1" xfId="1" applyFont="1" applyBorder="1"/>
    <xf numFmtId="42" fontId="0" fillId="0" borderId="4" xfId="1" applyFont="1" applyBorder="1"/>
    <xf numFmtId="8" fontId="13" fillId="0" borderId="1" xfId="1" applyNumberFormat="1" applyFont="1" applyBorder="1"/>
    <xf numFmtId="0" fontId="14" fillId="0" borderId="0" xfId="3" applyFont="1"/>
    <xf numFmtId="42" fontId="13" fillId="4" borderId="3" xfId="1" applyFont="1" applyFill="1" applyBorder="1"/>
    <xf numFmtId="0" fontId="14" fillId="0" borderId="1" xfId="3" applyFont="1" applyFill="1" applyBorder="1" applyAlignment="1">
      <alignment horizontal="center"/>
    </xf>
    <xf numFmtId="0" fontId="14" fillId="4" borderId="1" xfId="3" applyFont="1" applyFill="1" applyBorder="1" applyAlignment="1">
      <alignment horizontal="center"/>
    </xf>
    <xf numFmtId="3" fontId="14" fillId="4" borderId="1" xfId="3" applyNumberFormat="1" applyFont="1" applyFill="1" applyBorder="1"/>
    <xf numFmtId="0" fontId="13" fillId="0" borderId="0" xfId="3" applyAlignment="1">
      <alignment horizontal="left" indent="1"/>
    </xf>
    <xf numFmtId="3" fontId="14" fillId="0" borderId="0" xfId="4" applyNumberFormat="1" applyFont="1" applyFill="1" applyBorder="1" applyAlignment="1">
      <alignment horizontal="right"/>
    </xf>
    <xf numFmtId="0" fontId="17" fillId="5" borderId="11" xfId="5" applyFont="1" applyFill="1" applyBorder="1" applyAlignment="1">
      <alignment horizontal="left"/>
    </xf>
    <xf numFmtId="0" fontId="16" fillId="0" borderId="0" xfId="5"/>
    <xf numFmtId="0" fontId="17" fillId="5" borderId="16" xfId="5" applyFont="1" applyFill="1" applyBorder="1" applyAlignment="1">
      <alignment horizontal="left"/>
    </xf>
    <xf numFmtId="0" fontId="21" fillId="0" borderId="0" xfId="5" applyFont="1"/>
    <xf numFmtId="0" fontId="3" fillId="0" borderId="0" xfId="5" applyFont="1"/>
    <xf numFmtId="0" fontId="17" fillId="5" borderId="19" xfId="5" applyFont="1" applyFill="1" applyBorder="1" applyAlignment="1">
      <alignment horizontal="left"/>
    </xf>
    <xf numFmtId="0" fontId="16" fillId="0" borderId="0" xfId="5" applyAlignment="1">
      <alignment horizontal="center"/>
    </xf>
    <xf numFmtId="2" fontId="16" fillId="0" borderId="0" xfId="5" applyNumberFormat="1" applyAlignment="1">
      <alignment horizontal="center"/>
    </xf>
    <xf numFmtId="0" fontId="16" fillId="3" borderId="1" xfId="5" applyFill="1" applyBorder="1" applyAlignment="1">
      <alignment horizontal="center"/>
    </xf>
    <xf numFmtId="10" fontId="16" fillId="0" borderId="0" xfId="7" applyNumberFormat="1" applyFont="1" applyAlignment="1">
      <alignment horizontal="center"/>
    </xf>
    <xf numFmtId="10" fontId="16" fillId="3" borderId="1" xfId="5" applyNumberFormat="1" applyFill="1" applyBorder="1" applyAlignment="1">
      <alignment horizontal="center"/>
    </xf>
    <xf numFmtId="0" fontId="22" fillId="0" borderId="4" xfId="5" applyFont="1" applyBorder="1" applyAlignment="1">
      <alignment wrapText="1"/>
    </xf>
    <xf numFmtId="0" fontId="22" fillId="0" borderId="1" xfId="5" applyFont="1" applyBorder="1" applyAlignment="1">
      <alignment horizontal="center" wrapText="1"/>
    </xf>
    <xf numFmtId="2" fontId="22" fillId="0" borderId="1" xfId="5" applyNumberFormat="1" applyFont="1" applyBorder="1" applyAlignment="1">
      <alignment horizontal="center" wrapText="1"/>
    </xf>
    <xf numFmtId="0" fontId="22" fillId="0" borderId="5" xfId="5" applyFont="1" applyBorder="1" applyAlignment="1">
      <alignment horizontal="center" wrapText="1"/>
    </xf>
    <xf numFmtId="10" fontId="16" fillId="0" borderId="22" xfId="5" applyNumberFormat="1" applyBorder="1" applyAlignment="1">
      <alignment horizontal="center"/>
    </xf>
    <xf numFmtId="0" fontId="16" fillId="0" borderId="4" xfId="5" applyBorder="1"/>
    <xf numFmtId="0" fontId="16" fillId="0" borderId="1" xfId="5" applyBorder="1" applyAlignment="1">
      <alignment horizontal="center"/>
    </xf>
    <xf numFmtId="2" fontId="16" fillId="0" borderId="1" xfId="5" applyNumberFormat="1" applyBorder="1" applyAlignment="1">
      <alignment horizontal="center"/>
    </xf>
    <xf numFmtId="10" fontId="16" fillId="0" borderId="1" xfId="5" applyNumberFormat="1" applyBorder="1" applyAlignment="1">
      <alignment horizontal="center"/>
    </xf>
    <xf numFmtId="171" fontId="23" fillId="0" borderId="1" xfId="5" applyNumberFormat="1" applyFont="1" applyBorder="1" applyAlignment="1">
      <alignment horizontal="center"/>
    </xf>
    <xf numFmtId="10" fontId="23" fillId="0" borderId="1" xfId="5" applyNumberFormat="1" applyFont="1" applyBorder="1" applyAlignment="1">
      <alignment horizontal="center"/>
    </xf>
    <xf numFmtId="10" fontId="16" fillId="0" borderId="10" xfId="5" applyNumberFormat="1" applyBorder="1" applyAlignment="1">
      <alignment horizontal="center"/>
    </xf>
    <xf numFmtId="0" fontId="16" fillId="7" borderId="4" xfId="5" applyFill="1" applyBorder="1"/>
    <xf numFmtId="0" fontId="16" fillId="7" borderId="1" xfId="5" applyFill="1" applyBorder="1" applyAlignment="1">
      <alignment horizontal="center"/>
    </xf>
    <xf numFmtId="2" fontId="16" fillId="7" borderId="1" xfId="5" applyNumberFormat="1" applyFill="1" applyBorder="1" applyAlignment="1">
      <alignment horizontal="center"/>
    </xf>
    <xf numFmtId="10" fontId="16" fillId="7" borderId="1" xfId="5" applyNumberFormat="1" applyFill="1" applyBorder="1" applyAlignment="1">
      <alignment horizontal="center"/>
    </xf>
    <xf numFmtId="171" fontId="23" fillId="7" borderId="1" xfId="5" applyNumberFormat="1" applyFont="1" applyFill="1" applyBorder="1" applyAlignment="1">
      <alignment horizontal="center"/>
    </xf>
    <xf numFmtId="10" fontId="23" fillId="7" borderId="1" xfId="5" applyNumberFormat="1" applyFont="1" applyFill="1" applyBorder="1" applyAlignment="1">
      <alignment horizontal="center"/>
    </xf>
    <xf numFmtId="10" fontId="16" fillId="7" borderId="10" xfId="5" applyNumberFormat="1" applyFill="1" applyBorder="1" applyAlignment="1">
      <alignment horizontal="center"/>
    </xf>
    <xf numFmtId="0" fontId="16" fillId="7" borderId="0" xfId="5" applyFill="1"/>
    <xf numFmtId="0" fontId="3" fillId="0" borderId="4" xfId="5" applyFont="1" applyBorder="1"/>
    <xf numFmtId="0" fontId="3" fillId="0" borderId="1" xfId="5" applyFont="1" applyBorder="1" applyAlignment="1">
      <alignment horizontal="center"/>
    </xf>
    <xf numFmtId="2" fontId="3" fillId="0" borderId="1" xfId="5" applyNumberFormat="1" applyFont="1" applyBorder="1" applyAlignment="1">
      <alignment horizontal="center"/>
    </xf>
    <xf numFmtId="10" fontId="3" fillId="0" borderId="1" xfId="5" applyNumberFormat="1" applyFont="1" applyBorder="1" applyAlignment="1">
      <alignment horizontal="center"/>
    </xf>
    <xf numFmtId="171" fontId="24" fillId="0" borderId="1" xfId="5" applyNumberFormat="1" applyFont="1" applyBorder="1" applyAlignment="1">
      <alignment horizontal="center"/>
    </xf>
    <xf numFmtId="10" fontId="24" fillId="0" borderId="1" xfId="5" applyNumberFormat="1" applyFont="1" applyBorder="1" applyAlignment="1">
      <alignment horizontal="center"/>
    </xf>
    <xf numFmtId="10" fontId="3" fillId="0" borderId="10" xfId="5" applyNumberFormat="1" applyFont="1" applyBorder="1" applyAlignment="1">
      <alignment horizontal="center"/>
    </xf>
    <xf numFmtId="171" fontId="24" fillId="0" borderId="9" xfId="5" applyNumberFormat="1" applyFont="1" applyBorder="1" applyAlignment="1">
      <alignment horizontal="center"/>
    </xf>
    <xf numFmtId="10" fontId="24" fillId="0" borderId="9" xfId="5" applyNumberFormat="1" applyFont="1" applyBorder="1" applyAlignment="1">
      <alignment horizontal="center"/>
    </xf>
    <xf numFmtId="10" fontId="3" fillId="0" borderId="6" xfId="5" applyNumberFormat="1" applyFont="1" applyBorder="1" applyAlignment="1">
      <alignment horizontal="center"/>
    </xf>
    <xf numFmtId="0" fontId="16" fillId="0" borderId="0" xfId="5" applyAlignment="1">
      <alignment horizontal="left"/>
    </xf>
    <xf numFmtId="10" fontId="0" fillId="0" borderId="0" xfId="0" applyNumberFormat="1"/>
    <xf numFmtId="3" fontId="2" fillId="0" borderId="0" xfId="0" applyNumberFormat="1" applyFont="1"/>
    <xf numFmtId="172" fontId="11" fillId="0" borderId="1" xfId="0" applyNumberFormat="1" applyFont="1" applyBorder="1" applyAlignment="1">
      <alignment horizontal="center"/>
    </xf>
    <xf numFmtId="10" fontId="12" fillId="2" borderId="0" xfId="8" applyNumberFormat="1" applyFont="1" applyFill="1"/>
    <xf numFmtId="0" fontId="13" fillId="0" borderId="1" xfId="3" applyBorder="1"/>
    <xf numFmtId="0" fontId="11" fillId="0" borderId="1" xfId="0" applyFont="1" applyBorder="1" applyAlignment="1">
      <alignment horizontal="center"/>
    </xf>
    <xf numFmtId="42" fontId="0" fillId="4" borderId="3" xfId="0" applyNumberFormat="1" applyFill="1" applyBorder="1"/>
    <xf numFmtId="42" fontId="0" fillId="4" borderId="4" xfId="0" applyNumberFormat="1" applyFill="1" applyBorder="1"/>
    <xf numFmtId="0" fontId="13" fillId="4" borderId="10" xfId="3" applyFill="1" applyBorder="1"/>
    <xf numFmtId="0" fontId="0" fillId="4" borderId="3" xfId="0" applyFill="1" applyBorder="1"/>
    <xf numFmtId="170" fontId="2" fillId="4" borderId="10" xfId="4" applyNumberFormat="1" applyFont="1" applyFill="1" applyBorder="1"/>
    <xf numFmtId="42" fontId="2" fillId="4" borderId="3" xfId="0" applyNumberFormat="1" applyFont="1" applyFill="1" applyBorder="1"/>
    <xf numFmtId="42" fontId="2" fillId="4" borderId="4" xfId="0" applyNumberFormat="1" applyFont="1" applyFill="1" applyBorder="1"/>
    <xf numFmtId="170" fontId="0" fillId="4" borderId="10" xfId="4" applyNumberFormat="1" applyFont="1" applyFill="1" applyBorder="1"/>
    <xf numFmtId="3" fontId="14" fillId="4" borderId="10" xfId="3" applyNumberFormat="1" applyFont="1" applyFill="1" applyBorder="1"/>
    <xf numFmtId="42" fontId="0" fillId="4" borderId="3" xfId="1" applyFont="1" applyFill="1" applyBorder="1"/>
    <xf numFmtId="42" fontId="0" fillId="4" borderId="4" xfId="1" applyFont="1" applyFill="1" applyBorder="1"/>
    <xf numFmtId="170" fontId="0" fillId="4" borderId="10" xfId="4" applyNumberFormat="1" applyFont="1" applyFill="1" applyBorder="1" applyAlignment="1">
      <alignment horizontal="left" vertical="top"/>
    </xf>
    <xf numFmtId="8" fontId="0" fillId="0" borderId="0" xfId="0" applyNumberFormat="1"/>
    <xf numFmtId="0" fontId="0" fillId="0" borderId="0" xfId="0" applyFont="1"/>
    <xf numFmtId="42" fontId="0" fillId="4" borderId="1" xfId="0" applyNumberFormat="1" applyFill="1" applyBorder="1"/>
    <xf numFmtId="42" fontId="12" fillId="2" borderId="0" xfId="1" applyFont="1" applyFill="1" applyBorder="1" applyAlignment="1">
      <alignment horizontal="right"/>
    </xf>
    <xf numFmtId="0" fontId="13" fillId="0" borderId="26" xfId="3" applyBorder="1"/>
    <xf numFmtId="0" fontId="14" fillId="0" borderId="5" xfId="3" applyFont="1" applyBorder="1" applyAlignment="1">
      <alignment horizontal="center"/>
    </xf>
    <xf numFmtId="0" fontId="7" fillId="0" borderId="26" xfId="3" applyFont="1" applyBorder="1"/>
    <xf numFmtId="0" fontId="0" fillId="0" borderId="26" xfId="0" applyBorder="1"/>
    <xf numFmtId="0" fontId="13" fillId="0" borderId="26" xfId="3" applyBorder="1" applyAlignment="1">
      <alignment horizontal="left"/>
    </xf>
    <xf numFmtId="0" fontId="14" fillId="4" borderId="23" xfId="3" applyFont="1" applyFill="1" applyBorder="1"/>
    <xf numFmtId="42" fontId="2" fillId="4" borderId="24" xfId="0" applyNumberFormat="1" applyFont="1" applyFill="1" applyBorder="1"/>
    <xf numFmtId="42" fontId="2" fillId="4" borderId="25" xfId="0" applyNumberFormat="1" applyFont="1" applyFill="1" applyBorder="1"/>
    <xf numFmtId="0" fontId="0" fillId="2" borderId="0" xfId="0" applyFill="1"/>
    <xf numFmtId="0" fontId="25" fillId="0" borderId="26" xfId="0" applyFont="1" applyBorder="1"/>
    <xf numFmtId="0" fontId="0" fillId="0" borderId="27" xfId="0" applyBorder="1"/>
    <xf numFmtId="0" fontId="2" fillId="0" borderId="26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4" fillId="0" borderId="31" xfId="0" applyFont="1" applyBorder="1"/>
    <xf numFmtId="0" fontId="4" fillId="4" borderId="1" xfId="0" applyFont="1" applyFill="1" applyBorder="1"/>
    <xf numFmtId="0" fontId="0" fillId="2" borderId="8" xfId="0" applyFill="1" applyBorder="1"/>
    <xf numFmtId="0" fontId="14" fillId="0" borderId="32" xfId="3" applyFont="1" applyBorder="1" applyAlignment="1">
      <alignment horizontal="center"/>
    </xf>
    <xf numFmtId="42" fontId="0" fillId="0" borderId="0" xfId="1" applyFont="1" applyBorder="1"/>
    <xf numFmtId="42" fontId="0" fillId="0" borderId="27" xfId="1" applyFont="1" applyBorder="1"/>
    <xf numFmtId="0" fontId="13" fillId="0" borderId="26" xfId="3" applyBorder="1" applyAlignment="1">
      <alignment horizontal="left" indent="1"/>
    </xf>
    <xf numFmtId="42" fontId="0" fillId="0" borderId="0" xfId="0" applyNumberFormat="1" applyBorder="1"/>
    <xf numFmtId="42" fontId="0" fillId="0" borderId="27" xfId="0" applyNumberFormat="1" applyBorder="1"/>
    <xf numFmtId="0" fontId="4" fillId="0" borderId="26" xfId="0" applyFont="1" applyBorder="1"/>
    <xf numFmtId="0" fontId="14" fillId="2" borderId="26" xfId="3" applyFont="1" applyFill="1" applyBorder="1"/>
    <xf numFmtId="42" fontId="0" fillId="2" borderId="0" xfId="0" applyNumberFormat="1" applyFill="1" applyBorder="1"/>
    <xf numFmtId="42" fontId="0" fillId="2" borderId="27" xfId="0" applyNumberFormat="1" applyFill="1" applyBorder="1"/>
    <xf numFmtId="0" fontId="11" fillId="0" borderId="33" xfId="0" applyFont="1" applyBorder="1"/>
    <xf numFmtId="0" fontId="13" fillId="0" borderId="36" xfId="3" applyBorder="1"/>
    <xf numFmtId="0" fontId="14" fillId="4" borderId="10" xfId="3" applyFont="1" applyFill="1" applyBorder="1"/>
    <xf numFmtId="42" fontId="13" fillId="4" borderId="4" xfId="1" applyFont="1" applyFill="1" applyBorder="1"/>
    <xf numFmtId="0" fontId="14" fillId="4" borderId="3" xfId="3" applyFont="1" applyFill="1" applyBorder="1" applyAlignment="1">
      <alignment horizontal="center"/>
    </xf>
    <xf numFmtId="0" fontId="0" fillId="2" borderId="0" xfId="0" applyFill="1" applyBorder="1"/>
    <xf numFmtId="0" fontId="2" fillId="4" borderId="1" xfId="0" applyFont="1" applyFill="1" applyBorder="1"/>
    <xf numFmtId="10" fontId="0" fillId="0" borderId="1" xfId="0" applyNumberFormat="1" applyBorder="1"/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6" fontId="0" fillId="2" borderId="1" xfId="0" applyNumberFormat="1" applyFill="1" applyBorder="1"/>
    <xf numFmtId="10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/>
    </xf>
    <xf numFmtId="171" fontId="0" fillId="2" borderId="1" xfId="0" applyNumberFormat="1" applyFill="1" applyBorder="1"/>
    <xf numFmtId="0" fontId="0" fillId="2" borderId="1" xfId="0" applyFill="1" applyBorder="1" applyAlignment="1">
      <alignment vertical="center"/>
    </xf>
    <xf numFmtId="0" fontId="2" fillId="8" borderId="10" xfId="0" applyFont="1" applyFill="1" applyBorder="1"/>
    <xf numFmtId="165" fontId="0" fillId="8" borderId="3" xfId="0" applyNumberFormat="1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165" fontId="2" fillId="8" borderId="3" xfId="0" applyNumberFormat="1" applyFont="1" applyFill="1" applyBorder="1"/>
    <xf numFmtId="165" fontId="2" fillId="8" borderId="4" xfId="0" applyNumberFormat="1" applyFont="1" applyFill="1" applyBorder="1"/>
    <xf numFmtId="10" fontId="15" fillId="8" borderId="3" xfId="2" applyNumberFormat="1" applyFont="1" applyFill="1" applyBorder="1" applyAlignment="1">
      <alignment horizontal="center"/>
    </xf>
    <xf numFmtId="10" fontId="15" fillId="8" borderId="4" xfId="2" applyNumberFormat="1" applyFont="1" applyFill="1" applyBorder="1" applyAlignment="1">
      <alignment horizontal="center"/>
    </xf>
    <xf numFmtId="0" fontId="0" fillId="0" borderId="4" xfId="0" applyBorder="1"/>
    <xf numFmtId="9" fontId="0" fillId="0" borderId="0" xfId="2" applyFont="1" applyAlignment="1">
      <alignment horizontal="center"/>
    </xf>
    <xf numFmtId="42" fontId="0" fillId="3" borderId="0" xfId="1" applyFont="1" applyFill="1"/>
    <xf numFmtId="0" fontId="2" fillId="0" borderId="2" xfId="0" applyFont="1" applyFill="1" applyBorder="1"/>
    <xf numFmtId="42" fontId="11" fillId="0" borderId="34" xfId="1" applyFont="1" applyBorder="1"/>
    <xf numFmtId="42" fontId="11" fillId="0" borderId="35" xfId="1" applyFont="1" applyBorder="1"/>
    <xf numFmtId="9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27" fillId="0" borderId="0" xfId="0" applyFont="1"/>
    <xf numFmtId="173" fontId="0" fillId="0" borderId="0" xfId="0" applyNumberFormat="1"/>
    <xf numFmtId="10" fontId="1" fillId="0" borderId="0" xfId="2" applyNumberFormat="1" applyFont="1"/>
    <xf numFmtId="164" fontId="1" fillId="0" borderId="0" xfId="11" applyFont="1"/>
    <xf numFmtId="9" fontId="0" fillId="0" borderId="0" xfId="2" applyFont="1"/>
    <xf numFmtId="10" fontId="28" fillId="0" borderId="0" xfId="0" applyNumberFormat="1" applyFont="1"/>
    <xf numFmtId="173" fontId="28" fillId="0" borderId="0" xfId="0" applyNumberFormat="1" applyFont="1"/>
    <xf numFmtId="164" fontId="0" fillId="0" borderId="0" xfId="0" applyNumberFormat="1"/>
    <xf numFmtId="10" fontId="0" fillId="9" borderId="0" xfId="0" applyNumberFormat="1" applyFill="1"/>
    <xf numFmtId="10" fontId="0" fillId="0" borderId="0" xfId="2" applyNumberFormat="1" applyFont="1"/>
    <xf numFmtId="10" fontId="0" fillId="9" borderId="0" xfId="2" applyNumberFormat="1" applyFont="1" applyFill="1"/>
    <xf numFmtId="0" fontId="26" fillId="0" borderId="0" xfId="10"/>
    <xf numFmtId="174" fontId="26" fillId="0" borderId="0" xfId="10" applyNumberFormat="1" applyFill="1" applyAlignment="1" applyProtection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39" xfId="0" applyBorder="1"/>
    <xf numFmtId="0" fontId="0" fillId="0" borderId="27" xfId="0" applyBorder="1" applyAlignment="1">
      <alignment horizontal="center" vertical="center"/>
    </xf>
    <xf numFmtId="0" fontId="0" fillId="0" borderId="33" xfId="0" applyBorder="1"/>
    <xf numFmtId="10" fontId="0" fillId="0" borderId="34" xfId="0" applyNumberFormat="1" applyBorder="1" applyAlignment="1">
      <alignment horizontal="center"/>
    </xf>
    <xf numFmtId="10" fontId="0" fillId="0" borderId="34" xfId="0" applyNumberFormat="1" applyBorder="1" applyAlignment="1">
      <alignment horizontal="center" vertical="center"/>
    </xf>
    <xf numFmtId="0" fontId="0" fillId="0" borderId="34" xfId="0" applyBorder="1"/>
    <xf numFmtId="10" fontId="0" fillId="0" borderId="34" xfId="0" applyNumberFormat="1" applyBorder="1"/>
    <xf numFmtId="10" fontId="0" fillId="9" borderId="35" xfId="0" applyNumberFormat="1" applyFill="1" applyBorder="1"/>
    <xf numFmtId="0" fontId="0" fillId="0" borderId="37" xfId="0" applyBorder="1"/>
    <xf numFmtId="0" fontId="0" fillId="0" borderId="38" xfId="0" applyBorder="1" applyAlignment="1">
      <alignment horizontal="center" vertical="center"/>
    </xf>
    <xf numFmtId="10" fontId="0" fillId="0" borderId="34" xfId="2" applyNumberFormat="1" applyFont="1" applyBorder="1"/>
    <xf numFmtId="0" fontId="0" fillId="0" borderId="1" xfId="0" applyBorder="1" applyAlignment="1">
      <alignment horizontal="left"/>
    </xf>
    <xf numFmtId="42" fontId="0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42" fontId="0" fillId="0" borderId="1" xfId="0" applyNumberFormat="1" applyBorder="1" applyAlignment="1">
      <alignment horizontal="center"/>
    </xf>
    <xf numFmtId="42" fontId="0" fillId="0" borderId="1" xfId="1" applyFont="1" applyBorder="1" applyAlignment="1">
      <alignment horizontal="right" vertical="center"/>
    </xf>
    <xf numFmtId="42" fontId="0" fillId="0" borderId="1" xfId="0" applyNumberFormat="1" applyBorder="1" applyAlignment="1">
      <alignment horizontal="center" vertical="center"/>
    </xf>
    <xf numFmtId="42" fontId="0" fillId="0" borderId="1" xfId="1" applyFont="1" applyFill="1" applyBorder="1" applyAlignment="1">
      <alignment horizontal="right"/>
    </xf>
    <xf numFmtId="42" fontId="0" fillId="0" borderId="1" xfId="1" applyFont="1" applyFill="1" applyBorder="1"/>
    <xf numFmtId="42" fontId="1" fillId="0" borderId="1" xfId="1" applyFont="1" applyBorder="1" applyAlignment="1">
      <alignment horizontal="center"/>
    </xf>
    <xf numFmtId="42" fontId="0" fillId="0" borderId="1" xfId="0" applyNumberFormat="1" applyBorder="1" applyAlignment="1">
      <alignment horizontal="right"/>
    </xf>
    <xf numFmtId="0" fontId="0" fillId="4" borderId="0" xfId="0" applyFill="1"/>
    <xf numFmtId="0" fontId="2" fillId="4" borderId="1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/>
    </xf>
    <xf numFmtId="0" fontId="0" fillId="4" borderId="10" xfId="0" applyFill="1" applyBorder="1" applyAlignment="1">
      <alignment horizontal="left" vertical="center"/>
    </xf>
    <xf numFmtId="9" fontId="12" fillId="4" borderId="3" xfId="2" applyFont="1" applyFill="1" applyBorder="1" applyAlignment="1">
      <alignment horizontal="center" vertical="center"/>
    </xf>
    <xf numFmtId="0" fontId="0" fillId="0" borderId="6" xfId="0" applyBorder="1" applyAlignment="1">
      <alignment horizontal="left" indent="1"/>
    </xf>
    <xf numFmtId="42" fontId="0" fillId="0" borderId="41" xfId="1" applyFont="1" applyBorder="1" applyAlignment="1">
      <alignment horizontal="center"/>
    </xf>
    <xf numFmtId="0" fontId="0" fillId="0" borderId="8" xfId="0" applyBorder="1" applyAlignment="1">
      <alignment horizontal="left" indent="1"/>
    </xf>
    <xf numFmtId="0" fontId="12" fillId="2" borderId="42" xfId="0" applyFont="1" applyFill="1" applyBorder="1" applyAlignment="1">
      <alignment horizontal="center"/>
    </xf>
    <xf numFmtId="9" fontId="12" fillId="2" borderId="42" xfId="2" applyFont="1" applyFill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0" fontId="0" fillId="0" borderId="22" xfId="0" applyBorder="1" applyAlignment="1">
      <alignment horizontal="left" indent="1"/>
    </xf>
    <xf numFmtId="10" fontId="1" fillId="2" borderId="40" xfId="2" applyNumberFormat="1" applyFont="1" applyFill="1" applyBorder="1" applyAlignment="1">
      <alignment horizontal="center"/>
    </xf>
    <xf numFmtId="9" fontId="12" fillId="4" borderId="4" xfId="2" applyFont="1" applyFill="1" applyBorder="1" applyAlignment="1">
      <alignment horizontal="center" vertical="center"/>
    </xf>
    <xf numFmtId="0" fontId="31" fillId="0" borderId="1" xfId="0" applyFont="1" applyBorder="1"/>
    <xf numFmtId="0" fontId="32" fillId="0" borderId="1" xfId="0" applyFont="1" applyBorder="1"/>
    <xf numFmtId="42" fontId="32" fillId="0" borderId="1" xfId="0" applyNumberFormat="1" applyFont="1" applyBorder="1"/>
    <xf numFmtId="0" fontId="32" fillId="0" borderId="1" xfId="0" applyFont="1" applyBorder="1" applyAlignment="1">
      <alignment wrapText="1"/>
    </xf>
    <xf numFmtId="42" fontId="32" fillId="0" borderId="1" xfId="0" applyNumberFormat="1" applyFont="1" applyBorder="1" applyAlignment="1">
      <alignment vertical="center"/>
    </xf>
    <xf numFmtId="3" fontId="14" fillId="0" borderId="1" xfId="4" applyNumberFormat="1" applyFont="1" applyFill="1" applyBorder="1" applyAlignment="1">
      <alignment horizontal="right"/>
    </xf>
    <xf numFmtId="3" fontId="0" fillId="0" borderId="1" xfId="0" applyNumberFormat="1" applyBorder="1"/>
    <xf numFmtId="3" fontId="13" fillId="0" borderId="1" xfId="3" applyNumberFormat="1" applyBorder="1"/>
    <xf numFmtId="0" fontId="30" fillId="2" borderId="0" xfId="8" applyFont="1" applyFill="1"/>
    <xf numFmtId="10" fontId="30" fillId="2" borderId="0" xfId="8" applyNumberFormat="1" applyFont="1" applyFill="1"/>
    <xf numFmtId="0" fontId="30" fillId="2" borderId="8" xfId="8" applyFont="1" applyFill="1" applyBorder="1"/>
    <xf numFmtId="42" fontId="30" fillId="2" borderId="0" xfId="1" applyFont="1" applyFill="1" applyBorder="1" applyAlignment="1">
      <alignment horizontal="right"/>
    </xf>
    <xf numFmtId="42" fontId="2" fillId="0" borderId="0" xfId="0" applyNumberFormat="1" applyFont="1"/>
    <xf numFmtId="42" fontId="2" fillId="0" borderId="0" xfId="1" applyFont="1"/>
    <xf numFmtId="3" fontId="30" fillId="2" borderId="0" xfId="8" applyNumberFormat="1" applyFont="1" applyFill="1"/>
    <xf numFmtId="9" fontId="2" fillId="0" borderId="0" xfId="0" applyNumberFormat="1" applyFont="1"/>
    <xf numFmtId="0" fontId="30" fillId="2" borderId="22" xfId="8" applyFont="1" applyFill="1" applyBorder="1"/>
    <xf numFmtId="10" fontId="2" fillId="0" borderId="0" xfId="0" applyNumberFormat="1" applyFont="1"/>
    <xf numFmtId="0" fontId="12" fillId="2" borderId="1" xfId="8" applyFont="1" applyFill="1" applyBorder="1"/>
    <xf numFmtId="42" fontId="12" fillId="2" borderId="1" xfId="8" applyNumberFormat="1" applyFont="1" applyFill="1" applyBorder="1"/>
    <xf numFmtId="3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33" fillId="2" borderId="0" xfId="0" applyFont="1" applyFill="1"/>
    <xf numFmtId="0" fontId="2" fillId="2" borderId="1" xfId="0" applyFont="1" applyFill="1" applyBorder="1"/>
    <xf numFmtId="0" fontId="0" fillId="2" borderId="1" xfId="0" applyFont="1" applyFill="1" applyBorder="1" applyAlignment="1">
      <alignment horizontal="center"/>
    </xf>
    <xf numFmtId="6" fontId="0" fillId="2" borderId="1" xfId="0" applyNumberFormat="1" applyFont="1" applyFill="1" applyBorder="1" applyAlignment="1">
      <alignment horizontal="center"/>
    </xf>
    <xf numFmtId="167" fontId="0" fillId="2" borderId="1" xfId="0" applyNumberFormat="1" applyFont="1" applyFill="1" applyBorder="1" applyAlignment="1">
      <alignment horizontal="center"/>
    </xf>
    <xf numFmtId="168" fontId="0" fillId="2" borderId="0" xfId="2" applyNumberFormat="1" applyFont="1" applyFill="1"/>
    <xf numFmtId="0" fontId="2" fillId="2" borderId="0" xfId="0" applyFont="1" applyFill="1"/>
    <xf numFmtId="167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9" fontId="0" fillId="2" borderId="1" xfId="0" applyNumberFormat="1" applyFill="1" applyBorder="1"/>
    <xf numFmtId="1" fontId="0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9" fontId="0" fillId="2" borderId="0" xfId="2" applyFont="1" applyFill="1" applyBorder="1"/>
    <xf numFmtId="9" fontId="0" fillId="2" borderId="0" xfId="0" applyNumberFormat="1" applyFill="1" applyBorder="1" applyAlignment="1">
      <alignment horizontal="center"/>
    </xf>
    <xf numFmtId="9" fontId="0" fillId="2" borderId="0" xfId="0" applyNumberFormat="1" applyFill="1" applyBorder="1"/>
    <xf numFmtId="9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9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/>
    <xf numFmtId="0" fontId="2" fillId="4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7" fontId="0" fillId="2" borderId="1" xfId="2" applyNumberFormat="1" applyFont="1" applyFill="1" applyBorder="1"/>
    <xf numFmtId="9" fontId="0" fillId="2" borderId="1" xfId="2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9" fontId="0" fillId="2" borderId="9" xfId="0" applyNumberFormat="1" applyFill="1" applyBorder="1" applyAlignment="1">
      <alignment horizontal="center" vertical="center"/>
    </xf>
    <xf numFmtId="0" fontId="8" fillId="2" borderId="1" xfId="0" applyFont="1" applyFill="1" applyBorder="1"/>
    <xf numFmtId="0" fontId="0" fillId="2" borderId="10" xfId="0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10" fontId="0" fillId="2" borderId="29" xfId="0" applyNumberFormat="1" applyFill="1" applyBorder="1" applyAlignment="1">
      <alignment horizontal="center" vertical="center" wrapText="1"/>
    </xf>
    <xf numFmtId="10" fontId="0" fillId="2" borderId="30" xfId="0" applyNumberForma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6" fontId="0" fillId="2" borderId="0" xfId="0" applyNumberFormat="1" applyFill="1"/>
    <xf numFmtId="42" fontId="29" fillId="2" borderId="1" xfId="1" applyFont="1" applyFill="1" applyBorder="1" applyAlignment="1">
      <alignment vertical="center"/>
    </xf>
    <xf numFmtId="9" fontId="29" fillId="2" borderId="1" xfId="0" applyNumberFormat="1" applyFont="1" applyFill="1" applyBorder="1" applyAlignment="1">
      <alignment vertical="center"/>
    </xf>
    <xf numFmtId="0" fontId="29" fillId="2" borderId="9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175" fontId="29" fillId="2" borderId="1" xfId="0" applyNumberFormat="1" applyFont="1" applyFill="1" applyBorder="1" applyAlignment="1">
      <alignment vertical="center"/>
    </xf>
    <xf numFmtId="176" fontId="29" fillId="2" borderId="1" xfId="0" applyNumberFormat="1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/>
    </xf>
    <xf numFmtId="0" fontId="2" fillId="2" borderId="0" xfId="0" applyFont="1" applyFill="1" applyBorder="1"/>
    <xf numFmtId="0" fontId="0" fillId="8" borderId="10" xfId="0" applyFill="1" applyBorder="1"/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5" fontId="0" fillId="8" borderId="3" xfId="0" applyNumberFormat="1" applyFill="1" applyBorder="1"/>
    <xf numFmtId="165" fontId="0" fillId="8" borderId="4" xfId="0" applyNumberFormat="1" applyFill="1" applyBorder="1"/>
    <xf numFmtId="0" fontId="0" fillId="8" borderId="4" xfId="0" applyFill="1" applyBorder="1"/>
    <xf numFmtId="1" fontId="2" fillId="0" borderId="0" xfId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75" fontId="12" fillId="8" borderId="1" xfId="8" applyNumberFormat="1" applyFont="1" applyFill="1" applyBorder="1" applyAlignment="1">
      <alignment horizontal="center"/>
    </xf>
    <xf numFmtId="0" fontId="3" fillId="2" borderId="0" xfId="0" applyFont="1" applyFill="1"/>
    <xf numFmtId="0" fontId="2" fillId="0" borderId="1" xfId="0" applyFont="1" applyBorder="1"/>
    <xf numFmtId="9" fontId="0" fillId="0" borderId="1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vertical="center"/>
    </xf>
    <xf numFmtId="165" fontId="2" fillId="0" borderId="1" xfId="0" applyNumberFormat="1" applyFont="1" applyFill="1" applyBorder="1"/>
    <xf numFmtId="9" fontId="0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42" fontId="0" fillId="3" borderId="1" xfId="1" applyFont="1" applyFill="1" applyBorder="1"/>
    <xf numFmtId="42" fontId="0" fillId="3" borderId="1" xfId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9" fontId="0" fillId="0" borderId="1" xfId="2" applyFont="1" applyBorder="1"/>
    <xf numFmtId="9" fontId="0" fillId="3" borderId="1" xfId="2" applyFont="1" applyFill="1" applyBorder="1"/>
    <xf numFmtId="165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/>
    <xf numFmtId="42" fontId="0" fillId="3" borderId="1" xfId="0" applyNumberFormat="1" applyFill="1" applyBorder="1"/>
    <xf numFmtId="9" fontId="0" fillId="0" borderId="1" xfId="0" applyNumberFormat="1" applyBorder="1" applyAlignment="1">
      <alignment horizontal="center"/>
    </xf>
    <xf numFmtId="9" fontId="0" fillId="10" borderId="1" xfId="2" applyFont="1" applyFill="1" applyBorder="1" applyAlignment="1">
      <alignment horizontal="center"/>
    </xf>
    <xf numFmtId="42" fontId="0" fillId="10" borderId="1" xfId="1" applyFont="1" applyFill="1" applyBorder="1" applyAlignment="1">
      <alignment horizontal="center"/>
    </xf>
    <xf numFmtId="42" fontId="0" fillId="10" borderId="1" xfId="0" applyNumberForma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/>
    <xf numFmtId="42" fontId="0" fillId="0" borderId="0" xfId="0" applyNumberFormat="1" applyFill="1" applyBorder="1" applyAlignment="1"/>
    <xf numFmtId="165" fontId="0" fillId="0" borderId="0" xfId="0" applyNumberFormat="1" applyFill="1" applyBorder="1" applyAlignment="1"/>
    <xf numFmtId="3" fontId="0" fillId="0" borderId="0" xfId="0" applyNumberFormat="1" applyFill="1" applyBorder="1" applyAlignment="1"/>
    <xf numFmtId="9" fontId="0" fillId="0" borderId="34" xfId="0" applyNumberFormat="1" applyFill="1" applyBorder="1" applyAlignment="1"/>
    <xf numFmtId="0" fontId="35" fillId="12" borderId="36" xfId="0" applyFont="1" applyFill="1" applyBorder="1" applyAlignment="1">
      <alignment horizontal="left"/>
    </xf>
    <xf numFmtId="0" fontId="35" fillId="12" borderId="37" xfId="0" applyFont="1" applyFill="1" applyBorder="1" applyAlignment="1">
      <alignment horizontal="left"/>
    </xf>
    <xf numFmtId="0" fontId="0" fillId="0" borderId="3" xfId="0" applyFill="1" applyBorder="1" applyAlignment="1"/>
    <xf numFmtId="0" fontId="36" fillId="13" borderId="0" xfId="0" applyFont="1" applyFill="1" applyBorder="1" applyAlignment="1">
      <alignment horizontal="left"/>
    </xf>
    <xf numFmtId="0" fontId="37" fillId="13" borderId="3" xfId="0" applyFont="1" applyFill="1" applyBorder="1" applyAlignment="1">
      <alignment horizontal="left"/>
    </xf>
    <xf numFmtId="0" fontId="36" fillId="13" borderId="34" xfId="0" applyFont="1" applyFill="1" applyBorder="1" applyAlignment="1">
      <alignment horizontal="left"/>
    </xf>
    <xf numFmtId="0" fontId="38" fillId="12" borderId="37" xfId="0" applyFont="1" applyFill="1" applyBorder="1" applyAlignment="1">
      <alignment horizontal="right"/>
    </xf>
    <xf numFmtId="0" fontId="38" fillId="12" borderId="36" xfId="0" applyFont="1" applyFill="1" applyBorder="1" applyAlignment="1">
      <alignment horizontal="right"/>
    </xf>
    <xf numFmtId="42" fontId="0" fillId="14" borderId="0" xfId="0" applyNumberFormat="1" applyFill="1" applyBorder="1" applyAlignment="1"/>
    <xf numFmtId="165" fontId="0" fillId="14" borderId="0" xfId="0" applyNumberFormat="1" applyFill="1" applyBorder="1" applyAlignment="1"/>
    <xf numFmtId="0" fontId="39" fillId="0" borderId="0" xfId="0" applyFont="1" applyFill="1" applyBorder="1" applyAlignment="1">
      <alignment vertical="top" wrapText="1"/>
    </xf>
    <xf numFmtId="0" fontId="40" fillId="13" borderId="0" xfId="0" applyFont="1" applyFill="1" applyAlignment="1">
      <alignment horizontal="left"/>
    </xf>
    <xf numFmtId="2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42" fontId="0" fillId="15" borderId="0" xfId="1" applyFont="1" applyFill="1"/>
    <xf numFmtId="165" fontId="0" fillId="15" borderId="0" xfId="0" applyNumberFormat="1" applyFill="1"/>
    <xf numFmtId="3" fontId="0" fillId="16" borderId="1" xfId="0" applyNumberFormat="1" applyFont="1" applyFill="1" applyBorder="1" applyAlignment="1">
      <alignment horizontal="center"/>
    </xf>
    <xf numFmtId="9" fontId="0" fillId="16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42" fontId="2" fillId="4" borderId="1" xfId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12" fillId="2" borderId="1" xfId="8" applyFont="1" applyFill="1" applyBorder="1" applyAlignment="1">
      <alignment horizontal="left"/>
    </xf>
    <xf numFmtId="0" fontId="30" fillId="8" borderId="1" xfId="8" applyFont="1" applyFill="1" applyBorder="1" applyAlignment="1">
      <alignment horizontal="left"/>
    </xf>
    <xf numFmtId="0" fontId="14" fillId="4" borderId="1" xfId="3" applyFont="1" applyFill="1" applyBorder="1" applyAlignment="1">
      <alignment horizontal="center"/>
    </xf>
    <xf numFmtId="0" fontId="30" fillId="11" borderId="1" xfId="8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4" fillId="8" borderId="8" xfId="0" applyFont="1" applyFill="1" applyBorder="1" applyAlignment="1">
      <alignment horizontal="center"/>
    </xf>
    <xf numFmtId="0" fontId="34" fillId="8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14" fillId="4" borderId="28" xfId="3" applyFont="1" applyFill="1" applyBorder="1" applyAlignment="1">
      <alignment horizontal="center" vertical="center"/>
    </xf>
    <xf numFmtId="0" fontId="14" fillId="4" borderId="29" xfId="3" applyFont="1" applyFill="1" applyBorder="1" applyAlignment="1">
      <alignment horizontal="center" vertical="center"/>
    </xf>
    <xf numFmtId="0" fontId="14" fillId="4" borderId="30" xfId="3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5" fontId="18" fillId="5" borderId="12" xfId="5" applyNumberFormat="1" applyFont="1" applyFill="1" applyBorder="1" applyAlignment="1">
      <alignment horizontal="left"/>
    </xf>
    <xf numFmtId="15" fontId="18" fillId="5" borderId="13" xfId="5" applyNumberFormat="1" applyFont="1" applyFill="1" applyBorder="1" applyAlignment="1">
      <alignment horizontal="left"/>
    </xf>
    <xf numFmtId="15" fontId="18" fillId="5" borderId="14" xfId="5" applyNumberFormat="1" applyFont="1" applyFill="1" applyBorder="1" applyAlignment="1">
      <alignment horizontal="left"/>
    </xf>
    <xf numFmtId="0" fontId="19" fillId="6" borderId="15" xfId="6" applyFill="1" applyBorder="1" applyAlignment="1">
      <alignment horizontal="left" vertical="top" wrapText="1"/>
    </xf>
    <xf numFmtId="0" fontId="19" fillId="6" borderId="18" xfId="6" applyFill="1" applyBorder="1" applyAlignment="1">
      <alignment horizontal="left" vertical="top" wrapText="1"/>
    </xf>
    <xf numFmtId="0" fontId="19" fillId="6" borderId="21" xfId="6" applyFill="1" applyBorder="1" applyAlignment="1">
      <alignment horizontal="left" vertical="top" wrapText="1"/>
    </xf>
    <xf numFmtId="0" fontId="19" fillId="5" borderId="10" xfId="6" applyFill="1" applyBorder="1" applyAlignment="1">
      <alignment horizontal="left"/>
    </xf>
    <xf numFmtId="0" fontId="19" fillId="5" borderId="3" xfId="6" applyFill="1" applyBorder="1" applyAlignment="1">
      <alignment horizontal="left"/>
    </xf>
    <xf numFmtId="0" fontId="19" fillId="5" borderId="17" xfId="6" applyFill="1" applyBorder="1" applyAlignment="1">
      <alignment horizontal="left"/>
    </xf>
    <xf numFmtId="0" fontId="20" fillId="5" borderId="10" xfId="5" applyFont="1" applyFill="1" applyBorder="1" applyAlignment="1">
      <alignment horizontal="left"/>
    </xf>
    <xf numFmtId="0" fontId="20" fillId="5" borderId="3" xfId="5" applyFont="1" applyFill="1" applyBorder="1" applyAlignment="1">
      <alignment horizontal="left"/>
    </xf>
    <xf numFmtId="0" fontId="20" fillId="5" borderId="4" xfId="5" applyFont="1" applyFill="1" applyBorder="1" applyAlignment="1">
      <alignment horizontal="left"/>
    </xf>
    <xf numFmtId="0" fontId="20" fillId="5" borderId="17" xfId="5" applyFont="1" applyFill="1" applyBorder="1" applyAlignment="1">
      <alignment horizontal="left"/>
    </xf>
    <xf numFmtId="15" fontId="19" fillId="5" borderId="10" xfId="6" applyNumberFormat="1" applyFill="1" applyBorder="1" applyAlignment="1">
      <alignment horizontal="left"/>
    </xf>
    <xf numFmtId="15" fontId="19" fillId="5" borderId="3" xfId="6" applyNumberFormat="1" applyFill="1" applyBorder="1" applyAlignment="1">
      <alignment horizontal="left"/>
    </xf>
    <xf numFmtId="15" fontId="19" fillId="5" borderId="17" xfId="6" applyNumberFormat="1" applyFill="1" applyBorder="1" applyAlignment="1">
      <alignment horizontal="left"/>
    </xf>
    <xf numFmtId="0" fontId="19" fillId="5" borderId="10" xfId="6" applyFill="1" applyBorder="1"/>
    <xf numFmtId="0" fontId="19" fillId="5" borderId="3" xfId="6" applyFill="1" applyBorder="1"/>
    <xf numFmtId="0" fontId="19" fillId="5" borderId="17" xfId="6" applyFill="1" applyBorder="1"/>
    <xf numFmtId="0" fontId="19" fillId="5" borderId="6" xfId="6" applyFill="1" applyBorder="1" applyAlignment="1">
      <alignment horizontal="left"/>
    </xf>
    <xf numFmtId="0" fontId="19" fillId="5" borderId="7" xfId="6" applyFill="1" applyBorder="1" applyAlignment="1">
      <alignment horizontal="left"/>
    </xf>
    <xf numFmtId="0" fontId="19" fillId="5" borderId="20" xfId="6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34" xfId="0" applyFont="1" applyBorder="1" applyAlignment="1">
      <alignment horizontal="center"/>
    </xf>
  </cellXfs>
  <cellStyles count="12">
    <cellStyle name="Hipervínculo" xfId="10" builtinId="8"/>
    <cellStyle name="Hipervínculo 2" xfId="6" xr:uid="{00000000-0005-0000-0000-000001000000}"/>
    <cellStyle name="Millares 2" xfId="4" xr:uid="{00000000-0005-0000-0000-000002000000}"/>
    <cellStyle name="Millares 2 2" xfId="9" xr:uid="{00000000-0005-0000-0000-000003000000}"/>
    <cellStyle name="Millares 3" xfId="11" xr:uid="{00000000-0005-0000-0000-000004000000}"/>
    <cellStyle name="Moneda [0]" xfId="1" builtinId="7"/>
    <cellStyle name="Normal" xfId="0" builtinId="0"/>
    <cellStyle name="Normal 2" xfId="3" xr:uid="{00000000-0005-0000-0000-000007000000}"/>
    <cellStyle name="Normal 2 2" xfId="8" xr:uid="{00000000-0005-0000-0000-000008000000}"/>
    <cellStyle name="Normal 4" xfId="5" xr:uid="{00000000-0005-0000-0000-000009000000}"/>
    <cellStyle name="Porcentaje" xfId="2" builtinId="5"/>
    <cellStyle name="Porcentaje 3" xfId="7" xr:uid="{00000000-0005-0000-0000-00000B000000}"/>
  </cellStyles>
  <dxfs count="17"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71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Costos mensuales año 1</a:t>
            </a:r>
          </a:p>
        </c:rich>
      </c:tx>
      <c:layout>
        <c:manualLayout>
          <c:xMode val="edge"/>
          <c:yMode val="edge"/>
          <c:x val="0.28609419105630668"/>
          <c:y val="8.34637591485645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903684507790958"/>
          <c:y val="2.5886909235133516E-2"/>
          <c:w val="0.78462707786526686"/>
          <c:h val="0.32353638086905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'COSTOS Y GASTOS '!$H$8</c:f>
              <c:strCache>
                <c:ptCount val="1"/>
                <c:pt idx="0">
                  <c:v>Nómina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'COSTOS Y GASTOS '!$I$7:$T$7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'COSTOS Y GASTOS '!$I$8:$T$8</c:f>
              <c:numCache>
                <c:formatCode>_("$"* #,##0_);_("$"* \(#,##0\);_("$"* "-"_);_(@_)</c:formatCode>
                <c:ptCount val="12"/>
                <c:pt idx="0">
                  <c:v>12708500</c:v>
                </c:pt>
                <c:pt idx="1">
                  <c:v>12708500</c:v>
                </c:pt>
                <c:pt idx="2">
                  <c:v>12708500</c:v>
                </c:pt>
                <c:pt idx="3">
                  <c:v>12708500</c:v>
                </c:pt>
                <c:pt idx="4">
                  <c:v>12708500</c:v>
                </c:pt>
                <c:pt idx="5">
                  <c:v>12708500</c:v>
                </c:pt>
                <c:pt idx="6">
                  <c:v>12708500</c:v>
                </c:pt>
                <c:pt idx="7">
                  <c:v>12708500</c:v>
                </c:pt>
                <c:pt idx="8">
                  <c:v>12708500</c:v>
                </c:pt>
                <c:pt idx="9">
                  <c:v>12708500</c:v>
                </c:pt>
                <c:pt idx="10">
                  <c:v>12708500</c:v>
                </c:pt>
                <c:pt idx="11">
                  <c:v>12708500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AC7-4D77-88FB-282C8D22EA6B}"/>
            </c:ext>
          </c:extLst>
        </c:ser>
        <c:ser>
          <c:idx val="1"/>
          <c:order val="1"/>
          <c:tx>
            <c:strRef>
              <c:f>'COSTOS Y GASTOS '!$H$9</c:f>
              <c:strCache>
                <c:ptCount val="1"/>
                <c:pt idx="0">
                  <c:v>Servicios públicos</c:v>
                </c:pt>
              </c:strCache>
            </c:strRef>
          </c:tx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'COSTOS Y GASTOS '!$I$7:$T$7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'COSTOS Y GASTOS '!$I$9:$T$9</c:f>
              <c:numCache>
                <c:formatCode>_("$"* #,##0_);_("$"* \(#,##0\);_("$"* "-"_);_(@_)</c:formatCode>
                <c:ptCount val="12"/>
                <c:pt idx="0">
                  <c:v>1000000</c:v>
                </c:pt>
                <c:pt idx="1">
                  <c:v>1000000</c:v>
                </c:pt>
                <c:pt idx="2">
                  <c:v>1000000</c:v>
                </c:pt>
                <c:pt idx="3">
                  <c:v>1000000</c:v>
                </c:pt>
                <c:pt idx="4">
                  <c:v>1000000</c:v>
                </c:pt>
                <c:pt idx="5">
                  <c:v>1000000</c:v>
                </c:pt>
                <c:pt idx="6">
                  <c:v>1000000</c:v>
                </c:pt>
                <c:pt idx="7">
                  <c:v>1000000</c:v>
                </c:pt>
                <c:pt idx="8">
                  <c:v>1000000</c:v>
                </c:pt>
                <c:pt idx="9">
                  <c:v>1000000</c:v>
                </c:pt>
                <c:pt idx="10">
                  <c:v>1000000</c:v>
                </c:pt>
                <c:pt idx="11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AC7-4D77-88FB-282C8D22EA6B}"/>
            </c:ext>
          </c:extLst>
        </c:ser>
        <c:ser>
          <c:idx val="2"/>
          <c:order val="2"/>
          <c:tx>
            <c:strRef>
              <c:f>'COSTOS Y GASTOS '!$H$10</c:f>
              <c:strCache>
                <c:ptCount val="1"/>
                <c:pt idx="0">
                  <c:v>Internet</c:v>
                </c:pt>
              </c:strCache>
            </c:strRef>
          </c:tx>
          <c:spPr>
            <a:gradFill>
              <a:gsLst>
                <a:gs pos="100000">
                  <a:schemeClr val="accent3">
                    <a:alpha val="0"/>
                  </a:schemeClr>
                </a:gs>
                <a:gs pos="50000">
                  <a:schemeClr val="accent3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'COSTOS Y GASTOS '!$I$7:$T$7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'COSTOS Y GASTOS '!$I$10:$T$10</c:f>
              <c:numCache>
                <c:formatCode>_("$"* #,##0_);_("$"* \(#,##0\);_("$"* "-"_);_(@_)</c:formatCode>
                <c:ptCount val="12"/>
                <c:pt idx="0">
                  <c:v>250000</c:v>
                </c:pt>
                <c:pt idx="1">
                  <c:v>250000</c:v>
                </c:pt>
                <c:pt idx="2">
                  <c:v>250000</c:v>
                </c:pt>
                <c:pt idx="3">
                  <c:v>250000</c:v>
                </c:pt>
                <c:pt idx="4">
                  <c:v>250000</c:v>
                </c:pt>
                <c:pt idx="5">
                  <c:v>250000</c:v>
                </c:pt>
                <c:pt idx="6">
                  <c:v>250000</c:v>
                </c:pt>
                <c:pt idx="7">
                  <c:v>250000</c:v>
                </c:pt>
                <c:pt idx="8">
                  <c:v>250000</c:v>
                </c:pt>
                <c:pt idx="9">
                  <c:v>250000</c:v>
                </c:pt>
                <c:pt idx="10">
                  <c:v>250000</c:v>
                </c:pt>
                <c:pt idx="11">
                  <c:v>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AC7-4D77-88FB-282C8D22EA6B}"/>
            </c:ext>
          </c:extLst>
        </c:ser>
        <c:ser>
          <c:idx val="3"/>
          <c:order val="3"/>
          <c:tx>
            <c:strRef>
              <c:f>'COSTOS Y GASTOS '!$H$11</c:f>
              <c:strCache>
                <c:ptCount val="1"/>
                <c:pt idx="0">
                  <c:v>Televisión satelital </c:v>
                </c:pt>
              </c:strCache>
            </c:strRef>
          </c:tx>
          <c:spPr>
            <a:gradFill>
              <a:gsLst>
                <a:gs pos="100000">
                  <a:schemeClr val="accent4">
                    <a:alpha val="0"/>
                  </a:schemeClr>
                </a:gs>
                <a:gs pos="50000">
                  <a:schemeClr val="accent4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'COSTOS Y GASTOS '!$I$7:$T$7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'COSTOS Y GASTOS '!$I$11:$T$11</c:f>
              <c:numCache>
                <c:formatCode>_("$"* #,##0_);_("$"* \(#,##0\);_("$"* "-"_);_(@_)</c:formatCode>
                <c:ptCount val="12"/>
                <c:pt idx="0">
                  <c:v>580000</c:v>
                </c:pt>
                <c:pt idx="1">
                  <c:v>580000</c:v>
                </c:pt>
                <c:pt idx="2">
                  <c:v>580000</c:v>
                </c:pt>
                <c:pt idx="3">
                  <c:v>580000</c:v>
                </c:pt>
                <c:pt idx="4">
                  <c:v>580000</c:v>
                </c:pt>
                <c:pt idx="5">
                  <c:v>580000</c:v>
                </c:pt>
                <c:pt idx="6">
                  <c:v>580000</c:v>
                </c:pt>
                <c:pt idx="7">
                  <c:v>580000</c:v>
                </c:pt>
                <c:pt idx="8">
                  <c:v>580000</c:v>
                </c:pt>
                <c:pt idx="9">
                  <c:v>580000</c:v>
                </c:pt>
                <c:pt idx="10">
                  <c:v>580000</c:v>
                </c:pt>
                <c:pt idx="11">
                  <c:v>580000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AC7-4D77-88FB-282C8D22EA6B}"/>
            </c:ext>
          </c:extLst>
        </c:ser>
        <c:ser>
          <c:idx val="4"/>
          <c:order val="4"/>
          <c:tx>
            <c:strRef>
              <c:f>'COSTOS Y GASTOS '!$H$12</c:f>
              <c:strCache>
                <c:ptCount val="1"/>
                <c:pt idx="0">
                  <c:v>Plan de celular</c:v>
                </c:pt>
              </c:strCache>
            </c:strRef>
          </c:tx>
          <c:spPr>
            <a:gradFill>
              <a:gsLst>
                <a:gs pos="100000">
                  <a:schemeClr val="accent5">
                    <a:alpha val="0"/>
                  </a:schemeClr>
                </a:gs>
                <a:gs pos="50000">
                  <a:schemeClr val="accent5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'COSTOS Y GASTOS '!$I$7:$T$7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'COSTOS Y GASTOS '!$I$12:$T$12</c:f>
              <c:numCache>
                <c:formatCode>_("$"* #,##0_);_("$"* \(#,##0\);_("$"* "-"_);_(@_)</c:formatCode>
                <c:ptCount val="12"/>
                <c:pt idx="0">
                  <c:v>56000</c:v>
                </c:pt>
                <c:pt idx="1">
                  <c:v>56000</c:v>
                </c:pt>
                <c:pt idx="2">
                  <c:v>56000</c:v>
                </c:pt>
                <c:pt idx="3">
                  <c:v>56000</c:v>
                </c:pt>
                <c:pt idx="4">
                  <c:v>56000</c:v>
                </c:pt>
                <c:pt idx="5">
                  <c:v>56000</c:v>
                </c:pt>
                <c:pt idx="6">
                  <c:v>56000</c:v>
                </c:pt>
                <c:pt idx="7">
                  <c:v>56000</c:v>
                </c:pt>
                <c:pt idx="8">
                  <c:v>56000</c:v>
                </c:pt>
                <c:pt idx="9">
                  <c:v>56000</c:v>
                </c:pt>
                <c:pt idx="10">
                  <c:v>56000</c:v>
                </c:pt>
                <c:pt idx="11">
                  <c:v>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AC7-4D77-88FB-282C8D22EA6B}"/>
            </c:ext>
          </c:extLst>
        </c:ser>
        <c:ser>
          <c:idx val="5"/>
          <c:order val="5"/>
          <c:tx>
            <c:strRef>
              <c:f>'COSTOS Y GASTOS '!$H$13</c:f>
              <c:strCache>
                <c:ptCount val="1"/>
                <c:pt idx="0">
                  <c:v>Insumos para aseo</c:v>
                </c:pt>
              </c:strCache>
            </c:strRef>
          </c:tx>
          <c:spPr>
            <a:gradFill>
              <a:gsLst>
                <a:gs pos="100000">
                  <a:schemeClr val="accent6">
                    <a:alpha val="0"/>
                  </a:schemeClr>
                </a:gs>
                <a:gs pos="50000">
                  <a:schemeClr val="accent6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'COSTOS Y GASTOS '!$I$7:$T$7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'COSTOS Y GASTOS '!$I$13:$T$13</c:f>
              <c:numCache>
                <c:formatCode>_("$"* #,##0_);_("$"* \(#,##0\);_("$"* "-"_);_(@_)</c:formatCode>
                <c:ptCount val="12"/>
                <c:pt idx="0">
                  <c:v>1395300</c:v>
                </c:pt>
                <c:pt idx="1">
                  <c:v>1395300</c:v>
                </c:pt>
                <c:pt idx="2">
                  <c:v>1395300</c:v>
                </c:pt>
                <c:pt idx="3">
                  <c:v>1395300</c:v>
                </c:pt>
                <c:pt idx="4">
                  <c:v>1395300</c:v>
                </c:pt>
                <c:pt idx="5">
                  <c:v>1395300</c:v>
                </c:pt>
                <c:pt idx="6">
                  <c:v>1395300</c:v>
                </c:pt>
                <c:pt idx="7">
                  <c:v>1395300</c:v>
                </c:pt>
                <c:pt idx="8">
                  <c:v>1395300</c:v>
                </c:pt>
                <c:pt idx="9">
                  <c:v>1395300</c:v>
                </c:pt>
                <c:pt idx="10">
                  <c:v>1395300</c:v>
                </c:pt>
                <c:pt idx="11">
                  <c:v>1395300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AC7-4D77-88FB-282C8D22EA6B}"/>
            </c:ext>
          </c:extLst>
        </c:ser>
        <c:ser>
          <c:idx val="6"/>
          <c:order val="6"/>
          <c:tx>
            <c:strRef>
              <c:f>'COSTOS Y GASTOS '!$H$14</c:f>
              <c:strCache>
                <c:ptCount val="1"/>
                <c:pt idx="0">
                  <c:v>Insumos de dotación hotel </c:v>
                </c:pt>
              </c:strCache>
            </c:strRef>
          </c:tx>
          <c:spPr>
            <a:gradFill>
              <a:gsLst>
                <a:gs pos="100000">
                  <a:schemeClr val="accent1">
                    <a:lumMod val="60000"/>
                    <a:alpha val="0"/>
                  </a:schemeClr>
                </a:gs>
                <a:gs pos="50000">
                  <a:schemeClr val="accent1">
                    <a:lumMod val="60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'COSTOS Y GASTOS '!$I$7:$T$7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'COSTOS Y GASTOS '!$I$14:$T$14</c:f>
              <c:numCache>
                <c:formatCode>_("$"* #,##0_);_("$"* \(#,##0\);_("$"* "-"_);_(@_)</c:formatCode>
                <c:ptCount val="12"/>
                <c:pt idx="0">
                  <c:v>2493333.3333333335</c:v>
                </c:pt>
                <c:pt idx="1">
                  <c:v>2493333.3333333335</c:v>
                </c:pt>
                <c:pt idx="2">
                  <c:v>2493333.3333333335</c:v>
                </c:pt>
                <c:pt idx="3">
                  <c:v>2493333.3333333335</c:v>
                </c:pt>
                <c:pt idx="4">
                  <c:v>2493333.3333333335</c:v>
                </c:pt>
                <c:pt idx="5">
                  <c:v>2493333.3333333335</c:v>
                </c:pt>
                <c:pt idx="6">
                  <c:v>2493333.3333333335</c:v>
                </c:pt>
                <c:pt idx="7">
                  <c:v>2493333.3333333335</c:v>
                </c:pt>
                <c:pt idx="8">
                  <c:v>2493333.3333333335</c:v>
                </c:pt>
                <c:pt idx="9">
                  <c:v>2493333.3333333335</c:v>
                </c:pt>
                <c:pt idx="10">
                  <c:v>2493333.3333333335</c:v>
                </c:pt>
                <c:pt idx="11">
                  <c:v>2493333.3333333335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AC7-4D77-88FB-282C8D22EA6B}"/>
            </c:ext>
          </c:extLst>
        </c:ser>
        <c:ser>
          <c:idx val="7"/>
          <c:order val="7"/>
          <c:tx>
            <c:strRef>
              <c:f>'COSTOS Y GASTOS '!$H$15</c:f>
              <c:strCache>
                <c:ptCount val="1"/>
                <c:pt idx="0">
                  <c:v>Dotación del personal </c:v>
                </c:pt>
              </c:strCache>
            </c:strRef>
          </c:tx>
          <c:spPr>
            <a:gradFill>
              <a:gsLst>
                <a:gs pos="100000">
                  <a:schemeClr val="accent2">
                    <a:lumMod val="60000"/>
                    <a:alpha val="0"/>
                  </a:schemeClr>
                </a:gs>
                <a:gs pos="50000">
                  <a:schemeClr val="accent2">
                    <a:lumMod val="60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'COSTOS Y GASTOS '!$I$7:$T$7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'COSTOS Y GASTOS '!$I$15:$T$15</c:f>
              <c:numCache>
                <c:formatCode>_("$"* #,##0_);_("$"* \(#,##0\);_("$"* "-"_);_(@_)</c:formatCode>
                <c:ptCount val="12"/>
                <c:pt idx="0">
                  <c:v>457750</c:v>
                </c:pt>
                <c:pt idx="1">
                  <c:v>457750</c:v>
                </c:pt>
                <c:pt idx="2">
                  <c:v>457750</c:v>
                </c:pt>
                <c:pt idx="3">
                  <c:v>457750</c:v>
                </c:pt>
                <c:pt idx="4">
                  <c:v>457750</c:v>
                </c:pt>
                <c:pt idx="5">
                  <c:v>457750</c:v>
                </c:pt>
                <c:pt idx="6">
                  <c:v>457750</c:v>
                </c:pt>
                <c:pt idx="7">
                  <c:v>457750</c:v>
                </c:pt>
                <c:pt idx="8">
                  <c:v>457750</c:v>
                </c:pt>
                <c:pt idx="9">
                  <c:v>457750</c:v>
                </c:pt>
                <c:pt idx="10">
                  <c:v>457750</c:v>
                </c:pt>
                <c:pt idx="11">
                  <c:v>457750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AC7-4D77-88FB-282C8D22EA6B}"/>
            </c:ext>
          </c:extLst>
        </c:ser>
        <c:ser>
          <c:idx val="8"/>
          <c:order val="8"/>
          <c:tx>
            <c:strRef>
              <c:f>'COSTOS Y GASTOS '!$H$16</c:f>
              <c:strCache>
                <c:ptCount val="1"/>
                <c:pt idx="0">
                  <c:v>Mercado</c:v>
                </c:pt>
              </c:strCache>
            </c:strRef>
          </c:tx>
          <c:spPr>
            <a:gradFill>
              <a:gsLst>
                <a:gs pos="100000">
                  <a:schemeClr val="accent3">
                    <a:lumMod val="60000"/>
                    <a:alpha val="0"/>
                  </a:schemeClr>
                </a:gs>
                <a:gs pos="50000">
                  <a:schemeClr val="accent3">
                    <a:lumMod val="60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'COSTOS Y GASTOS '!$I$7:$T$7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'COSTOS Y GASTOS '!$I$16:$T$16</c:f>
              <c:numCache>
                <c:formatCode>_("$"* #,##0_);_("$"* \(#,##0\);_("$"* "-"_);_(@_)</c:formatCode>
                <c:ptCount val="12"/>
                <c:pt idx="0">
                  <c:v>8000000</c:v>
                </c:pt>
                <c:pt idx="1">
                  <c:v>8000000</c:v>
                </c:pt>
                <c:pt idx="2">
                  <c:v>8000000</c:v>
                </c:pt>
                <c:pt idx="3">
                  <c:v>8000000</c:v>
                </c:pt>
                <c:pt idx="4">
                  <c:v>8000000</c:v>
                </c:pt>
                <c:pt idx="5">
                  <c:v>8000000</c:v>
                </c:pt>
                <c:pt idx="6">
                  <c:v>8000000</c:v>
                </c:pt>
                <c:pt idx="7">
                  <c:v>8000000</c:v>
                </c:pt>
                <c:pt idx="8">
                  <c:v>8000000</c:v>
                </c:pt>
                <c:pt idx="9">
                  <c:v>8000000</c:v>
                </c:pt>
                <c:pt idx="10">
                  <c:v>8000000</c:v>
                </c:pt>
                <c:pt idx="11">
                  <c:v>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AC7-4D77-88FB-282C8D22EA6B}"/>
            </c:ext>
          </c:extLst>
        </c:ser>
        <c:ser>
          <c:idx val="9"/>
          <c:order val="9"/>
          <c:tx>
            <c:strRef>
              <c:f>'COSTOS Y GASTOS '!$H$17</c:f>
              <c:strCache>
                <c:ptCount val="1"/>
                <c:pt idx="0">
                  <c:v>Bar</c:v>
                </c:pt>
              </c:strCache>
            </c:strRef>
          </c:tx>
          <c:spPr>
            <a:gradFill>
              <a:gsLst>
                <a:gs pos="100000">
                  <a:schemeClr val="accent4">
                    <a:lumMod val="60000"/>
                    <a:alpha val="0"/>
                  </a:schemeClr>
                </a:gs>
                <a:gs pos="50000">
                  <a:schemeClr val="accent4">
                    <a:lumMod val="60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'COSTOS Y GASTOS '!$I$7:$T$7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'COSTOS Y GASTOS '!$I$17:$T$17</c:f>
              <c:numCache>
                <c:formatCode>_("$"* #,##0_);_("$"* \(#,##0\);_("$"* "-"_);_(@_)</c:formatCode>
                <c:ptCount val="12"/>
                <c:pt idx="0">
                  <c:v>10000000</c:v>
                </c:pt>
                <c:pt idx="1">
                  <c:v>10000000</c:v>
                </c:pt>
                <c:pt idx="2">
                  <c:v>10000000</c:v>
                </c:pt>
                <c:pt idx="3">
                  <c:v>10000000</c:v>
                </c:pt>
                <c:pt idx="4">
                  <c:v>10000000</c:v>
                </c:pt>
                <c:pt idx="5">
                  <c:v>10000000</c:v>
                </c:pt>
                <c:pt idx="6">
                  <c:v>10000000</c:v>
                </c:pt>
                <c:pt idx="7">
                  <c:v>10000000</c:v>
                </c:pt>
                <c:pt idx="8">
                  <c:v>10000000</c:v>
                </c:pt>
                <c:pt idx="9">
                  <c:v>10000000</c:v>
                </c:pt>
                <c:pt idx="10">
                  <c:v>10000000</c:v>
                </c:pt>
                <c:pt idx="11">
                  <c:v>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AC7-4D77-88FB-282C8D22EA6B}"/>
            </c:ext>
          </c:extLst>
        </c:ser>
        <c:ser>
          <c:idx val="10"/>
          <c:order val="10"/>
          <c:tx>
            <c:strRef>
              <c:f>'COSTOS Y GASTOS '!$H$18</c:f>
              <c:strCache>
                <c:ptCount val="1"/>
                <c:pt idx="0">
                  <c:v>EPP</c:v>
                </c:pt>
              </c:strCache>
            </c:strRef>
          </c:tx>
          <c:spPr>
            <a:gradFill>
              <a:gsLst>
                <a:gs pos="100000">
                  <a:schemeClr val="accent5">
                    <a:lumMod val="60000"/>
                    <a:alpha val="0"/>
                  </a:schemeClr>
                </a:gs>
                <a:gs pos="50000">
                  <a:schemeClr val="accent5">
                    <a:lumMod val="60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'COSTOS Y GASTOS '!$I$7:$T$7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'COSTOS Y GASTOS '!$I$18:$T$18</c:f>
              <c:numCache>
                <c:formatCode>_("$"* #,##0_);_("$"* \(#,##0\);_("$"* "-"_);_(@_)</c:formatCode>
                <c:ptCount val="12"/>
                <c:pt idx="0">
                  <c:v>231900</c:v>
                </c:pt>
                <c:pt idx="1">
                  <c:v>231900</c:v>
                </c:pt>
                <c:pt idx="2">
                  <c:v>231900</c:v>
                </c:pt>
                <c:pt idx="3">
                  <c:v>231900</c:v>
                </c:pt>
                <c:pt idx="4">
                  <c:v>231900</c:v>
                </c:pt>
                <c:pt idx="5">
                  <c:v>231900</c:v>
                </c:pt>
                <c:pt idx="6">
                  <c:v>231900</c:v>
                </c:pt>
                <c:pt idx="7">
                  <c:v>231900</c:v>
                </c:pt>
                <c:pt idx="8">
                  <c:v>231900</c:v>
                </c:pt>
                <c:pt idx="9">
                  <c:v>231900</c:v>
                </c:pt>
                <c:pt idx="10">
                  <c:v>231900</c:v>
                </c:pt>
                <c:pt idx="11">
                  <c:v>231900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AC7-4D77-88FB-282C8D22EA6B}"/>
            </c:ext>
          </c:extLst>
        </c:ser>
        <c:ser>
          <c:idx val="11"/>
          <c:order val="11"/>
          <c:tx>
            <c:strRef>
              <c:f>'COSTOS Y GASTOS '!$H$19</c:f>
              <c:strCache>
                <c:ptCount val="1"/>
                <c:pt idx="0">
                  <c:v>papelería</c:v>
                </c:pt>
              </c:strCache>
            </c:strRef>
          </c:tx>
          <c:spPr>
            <a:gradFill>
              <a:gsLst>
                <a:gs pos="100000">
                  <a:schemeClr val="accent6">
                    <a:lumMod val="60000"/>
                    <a:alpha val="0"/>
                  </a:schemeClr>
                </a:gs>
                <a:gs pos="50000">
                  <a:schemeClr val="accent6">
                    <a:lumMod val="60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'COSTOS Y GASTOS '!$I$7:$T$7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'COSTOS Y GASTOS '!$I$19:$T$19</c:f>
              <c:numCache>
                <c:formatCode>_("$"* #,##0_);_("$"* \(#,##0\);_("$"* "-"_);_(@_)</c:formatCode>
                <c:ptCount val="12"/>
                <c:pt idx="0">
                  <c:v>180000</c:v>
                </c:pt>
                <c:pt idx="1">
                  <c:v>180000</c:v>
                </c:pt>
                <c:pt idx="2">
                  <c:v>180000</c:v>
                </c:pt>
                <c:pt idx="3">
                  <c:v>180000</c:v>
                </c:pt>
                <c:pt idx="4">
                  <c:v>180000</c:v>
                </c:pt>
                <c:pt idx="5">
                  <c:v>180000</c:v>
                </c:pt>
                <c:pt idx="6">
                  <c:v>180000</c:v>
                </c:pt>
                <c:pt idx="7">
                  <c:v>180000</c:v>
                </c:pt>
                <c:pt idx="8">
                  <c:v>180000</c:v>
                </c:pt>
                <c:pt idx="9">
                  <c:v>180000</c:v>
                </c:pt>
                <c:pt idx="10">
                  <c:v>180000</c:v>
                </c:pt>
                <c:pt idx="11">
                  <c:v>180000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AC7-4D77-88FB-282C8D22EA6B}"/>
            </c:ext>
          </c:extLst>
        </c:ser>
        <c:ser>
          <c:idx val="12"/>
          <c:order val="12"/>
          <c:tx>
            <c:strRef>
              <c:f>'COSTOS Y GASTOS '!$H$20</c:f>
              <c:strCache>
                <c:ptCount val="1"/>
                <c:pt idx="0">
                  <c:v>Imprevistos</c:v>
                </c:pt>
              </c:strCache>
            </c:strRef>
          </c:tx>
          <c:spPr>
            <a:gradFill>
              <a:gsLst>
                <a:gs pos="100000">
                  <a:schemeClr val="accent1">
                    <a:lumMod val="80000"/>
                    <a:lumOff val="20000"/>
                    <a:alpha val="0"/>
                  </a:schemeClr>
                </a:gs>
                <a:gs pos="50000">
                  <a:schemeClr val="accent1">
                    <a:lumMod val="80000"/>
                    <a:lumOff val="20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'COSTOS Y GASTOS '!$I$7:$T$7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'COSTOS Y GASTOS '!$I$20:$T$20</c:f>
              <c:numCache>
                <c:formatCode>_("$"* #,##0_);_("$"* \(#,##0\);_("$"* "-"_);_(@_)</c:formatCode>
                <c:ptCount val="12"/>
                <c:pt idx="0">
                  <c:v>5000000</c:v>
                </c:pt>
                <c:pt idx="1">
                  <c:v>5000000</c:v>
                </c:pt>
                <c:pt idx="2">
                  <c:v>5000000</c:v>
                </c:pt>
                <c:pt idx="3">
                  <c:v>5000000</c:v>
                </c:pt>
                <c:pt idx="4">
                  <c:v>5000000</c:v>
                </c:pt>
                <c:pt idx="5">
                  <c:v>5000000</c:v>
                </c:pt>
                <c:pt idx="6">
                  <c:v>5000000</c:v>
                </c:pt>
                <c:pt idx="7">
                  <c:v>5000000</c:v>
                </c:pt>
                <c:pt idx="8">
                  <c:v>5000000</c:v>
                </c:pt>
                <c:pt idx="9">
                  <c:v>5000000</c:v>
                </c:pt>
                <c:pt idx="10">
                  <c:v>5000000</c:v>
                </c:pt>
                <c:pt idx="11">
                  <c:v>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AC7-4D77-88FB-282C8D22EA6B}"/>
            </c:ext>
          </c:extLst>
        </c:ser>
        <c:ser>
          <c:idx val="13"/>
          <c:order val="13"/>
          <c:tx>
            <c:strRef>
              <c:f>'COSTOS Y GASTOS '!$H$21</c:f>
              <c:strCache>
                <c:ptCount val="1"/>
                <c:pt idx="0">
                  <c:v>seguro hotelero</c:v>
                </c:pt>
              </c:strCache>
            </c:strRef>
          </c:tx>
          <c:spPr>
            <a:gradFill>
              <a:gsLst>
                <a:gs pos="100000">
                  <a:schemeClr val="accent2">
                    <a:lumMod val="80000"/>
                    <a:lumOff val="20000"/>
                    <a:alpha val="0"/>
                  </a:schemeClr>
                </a:gs>
                <a:gs pos="50000">
                  <a:schemeClr val="accent2">
                    <a:lumMod val="80000"/>
                    <a:lumOff val="20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'COSTOS Y GASTOS '!$I$7:$T$7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'COSTOS Y GASTOS '!$I$21:$T$21</c:f>
              <c:numCache>
                <c:formatCode>_("$"* #,##0_);_("$"* \(#,##0\);_("$"* "-"_);_(@_)</c:formatCode>
                <c:ptCount val="12"/>
                <c:pt idx="0">
                  <c:v>826560.00000000012</c:v>
                </c:pt>
                <c:pt idx="1">
                  <c:v>516600</c:v>
                </c:pt>
                <c:pt idx="2">
                  <c:v>723239.99999999988</c:v>
                </c:pt>
                <c:pt idx="3">
                  <c:v>785232.00000000012</c:v>
                </c:pt>
                <c:pt idx="4">
                  <c:v>723239.99999999988</c:v>
                </c:pt>
                <c:pt idx="5">
                  <c:v>826560.00000000012</c:v>
                </c:pt>
                <c:pt idx="6">
                  <c:v>929880</c:v>
                </c:pt>
                <c:pt idx="7">
                  <c:v>723239.99999999988</c:v>
                </c:pt>
                <c:pt idx="8">
                  <c:v>516600</c:v>
                </c:pt>
                <c:pt idx="9">
                  <c:v>516600</c:v>
                </c:pt>
                <c:pt idx="10">
                  <c:v>723239.99999999988</c:v>
                </c:pt>
                <c:pt idx="11">
                  <c:v>929880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AC7-4D77-88FB-282C8D22E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34612608"/>
        <c:axId val="234614144"/>
        <c:axId val="0"/>
      </c:bar3DChart>
      <c:catAx>
        <c:axId val="23461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614144"/>
        <c:crosses val="autoZero"/>
        <c:auto val="1"/>
        <c:lblAlgn val="ctr"/>
        <c:lblOffset val="100"/>
        <c:noMultiLvlLbl val="0"/>
      </c:catAx>
      <c:valAx>
        <c:axId val="23461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61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558390644207458E-2"/>
          <c:y val="0.5804359871682705"/>
          <c:w val="0.96762600086381612"/>
          <c:h val="0.3917862350539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'COSTOS Y GASTOS '!$A$34</c:f>
              <c:strCache>
                <c:ptCount val="1"/>
                <c:pt idx="0">
                  <c:v>Costos y gastos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4C0-4418-AC83-18148D27CB5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4C0-4418-AC83-18148D27CB5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4C0-4418-AC83-18148D27CB5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4C0-4418-AC83-18148D27CB5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4C0-4418-AC83-18148D27CB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'COSTOS Y GASTOS '!$B$33:$F$33</c:f>
              <c:strCache>
                <c:ptCount val="5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</c:strCache>
            </c:strRef>
          </c:cat>
          <c:val>
            <c:numRef>
              <c:f>'COSTOS Y GASTOS '!$B$34:$F$34</c:f>
              <c:numCache>
                <c:formatCode>_("$"* #,##0_);_("$"* \(#,##0\);_("$"* "-"_);_(@_)</c:formatCode>
                <c:ptCount val="5"/>
                <c:pt idx="0">
                  <c:v>581174272</c:v>
                </c:pt>
                <c:pt idx="1">
                  <c:v>600281925.98460793</c:v>
                </c:pt>
                <c:pt idx="2">
                  <c:v>620484413.32348251</c:v>
                </c:pt>
                <c:pt idx="3">
                  <c:v>642647207.44604683</c:v>
                </c:pt>
                <c:pt idx="4">
                  <c:v>666918237.84456837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0-4816-B0E7-DE303F5767D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Servicio a la deuda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'SERV DEUDA'!$C$13:$G$13</c:f>
              <c:numCache>
                <c:formatCode>_("$"* #,##0_);_("$"* \(#,##0\);_("$"* "-"_);_(@_)</c:formatCode>
                <c:ptCount val="5"/>
                <c:pt idx="0">
                  <c:v>129385130.25850025</c:v>
                </c:pt>
                <c:pt idx="1">
                  <c:v>101506412.25408304</c:v>
                </c:pt>
                <c:pt idx="2">
                  <c:v>70839822.4492241</c:v>
                </c:pt>
                <c:pt idx="3">
                  <c:v>37106573.663879275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C-4456-9BA9-35F9AE162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77600"/>
        <c:axId val="159579520"/>
      </c:barChart>
      <c:catAx>
        <c:axId val="159577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579520"/>
        <c:crosses val="autoZero"/>
        <c:auto val="1"/>
        <c:lblAlgn val="ctr"/>
        <c:lblOffset val="100"/>
        <c:noMultiLvlLbl val="0"/>
      </c:catAx>
      <c:valAx>
        <c:axId val="1595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Saldo pendiente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_(&quot;$&quot;* #,##0_);_(&quot;$&quot;* \(#,##0\);_(&quot;$&quot;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57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Valor</a:t>
            </a:r>
            <a:r>
              <a:rPr lang="en-US" baseline="0"/>
              <a:t> terminal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'AMORT-DEPREC'!$A$8</c:f>
              <c:strCache>
                <c:ptCount val="1"/>
                <c:pt idx="0">
                  <c:v>Terreno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'AMORT-DEPREC'!$B$6:$G$6</c:f>
              <c:strCache>
                <c:ptCount val="6"/>
                <c:pt idx="0">
                  <c:v>Año 0</c:v>
                </c:pt>
                <c:pt idx="1">
                  <c:v>Año 1</c:v>
                </c:pt>
                <c:pt idx="2">
                  <c:v>Año 2</c:v>
                </c:pt>
                <c:pt idx="3">
                  <c:v>Año 3</c:v>
                </c:pt>
                <c:pt idx="4">
                  <c:v>Año 4</c:v>
                </c:pt>
                <c:pt idx="5">
                  <c:v>Año 5</c:v>
                </c:pt>
              </c:strCache>
            </c:strRef>
          </c:cat>
          <c:val>
            <c:numRef>
              <c:f>'AMORT-DEPREC'!$B$11:$G$11</c:f>
              <c:numCache>
                <c:formatCode>_("$"* #,##0_);_("$"* \(#,##0\);_("$"* "-"_);_(@_)</c:formatCode>
                <c:ptCount val="6"/>
                <c:pt idx="0">
                  <c:v>69000000</c:v>
                </c:pt>
                <c:pt idx="1">
                  <c:v>65550000</c:v>
                </c:pt>
                <c:pt idx="2">
                  <c:v>62100000</c:v>
                </c:pt>
                <c:pt idx="3">
                  <c:v>58650000</c:v>
                </c:pt>
                <c:pt idx="4">
                  <c:v>55200000</c:v>
                </c:pt>
                <c:pt idx="5">
                  <c:v>51750000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9-45E3-96A4-A1303009C518}"/>
            </c:ext>
          </c:extLst>
        </c:ser>
        <c:ser>
          <c:idx val="1"/>
          <c:order val="1"/>
          <c:tx>
            <c:strRef>
              <c:f>'AMORT-DEPREC'!$A$13</c:f>
              <c:strCache>
                <c:ptCount val="1"/>
                <c:pt idx="0">
                  <c:v>Cabañas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'AMORT-DEPREC'!$B$6:$G$6</c:f>
              <c:strCache>
                <c:ptCount val="6"/>
                <c:pt idx="0">
                  <c:v>Año 0</c:v>
                </c:pt>
                <c:pt idx="1">
                  <c:v>Año 1</c:v>
                </c:pt>
                <c:pt idx="2">
                  <c:v>Año 2</c:v>
                </c:pt>
                <c:pt idx="3">
                  <c:v>Año 3</c:v>
                </c:pt>
                <c:pt idx="4">
                  <c:v>Año 4</c:v>
                </c:pt>
                <c:pt idx="5">
                  <c:v>Año 5</c:v>
                </c:pt>
              </c:strCache>
            </c:strRef>
          </c:cat>
          <c:val>
            <c:numRef>
              <c:f>'AMORT-DEPREC'!$B$16:$G$16</c:f>
              <c:numCache>
                <c:formatCode>_("$"* #,##0_);_("$"* \(#,##0\);_("$"* "-"_);_(@_)</c:formatCode>
                <c:ptCount val="6"/>
                <c:pt idx="0">
                  <c:v>171667800</c:v>
                </c:pt>
                <c:pt idx="1">
                  <c:v>163084410</c:v>
                </c:pt>
                <c:pt idx="2">
                  <c:v>154501020</c:v>
                </c:pt>
                <c:pt idx="3">
                  <c:v>145917630</c:v>
                </c:pt>
                <c:pt idx="4">
                  <c:v>137334240</c:v>
                </c:pt>
                <c:pt idx="5">
                  <c:v>128750850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9-45E3-96A4-A1303009C518}"/>
            </c:ext>
          </c:extLst>
        </c:ser>
        <c:ser>
          <c:idx val="2"/>
          <c:order val="2"/>
          <c:tx>
            <c:strRef>
              <c:f>'AMORT-DEPREC'!$A$18</c:f>
              <c:strCache>
                <c:ptCount val="1"/>
                <c:pt idx="0">
                  <c:v>Muebles y enseres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'AMORT-DEPREC'!$B$6:$G$6</c:f>
              <c:strCache>
                <c:ptCount val="6"/>
                <c:pt idx="0">
                  <c:v>Año 0</c:v>
                </c:pt>
                <c:pt idx="1">
                  <c:v>Año 1</c:v>
                </c:pt>
                <c:pt idx="2">
                  <c:v>Año 2</c:v>
                </c:pt>
                <c:pt idx="3">
                  <c:v>Año 3</c:v>
                </c:pt>
                <c:pt idx="4">
                  <c:v>Año 4</c:v>
                </c:pt>
                <c:pt idx="5">
                  <c:v>Año 5</c:v>
                </c:pt>
              </c:strCache>
            </c:strRef>
          </c:cat>
          <c:val>
            <c:numRef>
              <c:f>'AMORT-DEPREC'!$B$21:$G$21</c:f>
              <c:numCache>
                <c:formatCode>_("$"* #,##0_);_("$"* \(#,##0\);_("$"* "-"_);_(@_)</c:formatCode>
                <c:ptCount val="6"/>
                <c:pt idx="0">
                  <c:v>35965900</c:v>
                </c:pt>
                <c:pt idx="1">
                  <c:v>28772720</c:v>
                </c:pt>
                <c:pt idx="2">
                  <c:v>21579540</c:v>
                </c:pt>
                <c:pt idx="3">
                  <c:v>14386360</c:v>
                </c:pt>
                <c:pt idx="4">
                  <c:v>7193180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C9-45E3-96A4-A1303009C518}"/>
            </c:ext>
          </c:extLst>
        </c:ser>
        <c:ser>
          <c:idx val="3"/>
          <c:order val="3"/>
          <c:tx>
            <c:strRef>
              <c:f>'AMORT-DEPREC'!$A$23</c:f>
              <c:strCache>
                <c:ptCount val="1"/>
                <c:pt idx="0">
                  <c:v>Equipos de Oficina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'AMORT-DEPREC'!$B$6:$G$6</c:f>
              <c:strCache>
                <c:ptCount val="6"/>
                <c:pt idx="0">
                  <c:v>Año 0</c:v>
                </c:pt>
                <c:pt idx="1">
                  <c:v>Año 1</c:v>
                </c:pt>
                <c:pt idx="2">
                  <c:v>Año 2</c:v>
                </c:pt>
                <c:pt idx="3">
                  <c:v>Año 3</c:v>
                </c:pt>
                <c:pt idx="4">
                  <c:v>Año 4</c:v>
                </c:pt>
                <c:pt idx="5">
                  <c:v>Año 5</c:v>
                </c:pt>
              </c:strCache>
            </c:strRef>
          </c:cat>
          <c:val>
            <c:numRef>
              <c:f>'AMORT-DEPREC'!$B$26:$G$26</c:f>
              <c:numCache>
                <c:formatCode>_("$"* #,##0_);_("$"* \(#,##0\);_("$"* "-"_);_(@_)</c:formatCode>
                <c:ptCount val="6"/>
                <c:pt idx="0">
                  <c:v>10065000</c:v>
                </c:pt>
                <c:pt idx="1">
                  <c:v>8052000</c:v>
                </c:pt>
                <c:pt idx="2">
                  <c:v>6039000</c:v>
                </c:pt>
                <c:pt idx="3">
                  <c:v>4026000</c:v>
                </c:pt>
                <c:pt idx="4">
                  <c:v>2013000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C9-45E3-96A4-A1303009C518}"/>
            </c:ext>
          </c:extLst>
        </c:ser>
        <c:ser>
          <c:idx val="4"/>
          <c:order val="4"/>
          <c:tx>
            <c:strRef>
              <c:f>'AMORT-DEPREC'!$A$28</c:f>
              <c:strCache>
                <c:ptCount val="1"/>
                <c:pt idx="0">
                  <c:v>Maquinaria y equipos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'AMORT-DEPREC'!$B$6:$G$6</c:f>
              <c:strCache>
                <c:ptCount val="6"/>
                <c:pt idx="0">
                  <c:v>Año 0</c:v>
                </c:pt>
                <c:pt idx="1">
                  <c:v>Año 1</c:v>
                </c:pt>
                <c:pt idx="2">
                  <c:v>Año 2</c:v>
                </c:pt>
                <c:pt idx="3">
                  <c:v>Año 3</c:v>
                </c:pt>
                <c:pt idx="4">
                  <c:v>Año 4</c:v>
                </c:pt>
                <c:pt idx="5">
                  <c:v>Año 5</c:v>
                </c:pt>
              </c:strCache>
            </c:strRef>
          </c:cat>
          <c:val>
            <c:numRef>
              <c:f>'AMORT-DEPREC'!$B$31:$G$31</c:f>
              <c:numCache>
                <c:formatCode>_("$"* #,##0_);_("$"* \(#,##0\);_("$"* "-"_);_(@_)</c:formatCode>
                <c:ptCount val="6"/>
                <c:pt idx="0">
                  <c:v>5411000</c:v>
                </c:pt>
                <c:pt idx="1">
                  <c:v>4869900</c:v>
                </c:pt>
                <c:pt idx="2">
                  <c:v>4328800</c:v>
                </c:pt>
                <c:pt idx="3">
                  <c:v>3787700</c:v>
                </c:pt>
                <c:pt idx="4">
                  <c:v>3246600</c:v>
                </c:pt>
                <c:pt idx="5">
                  <c:v>2705500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C9-45E3-96A4-A1303009C518}"/>
            </c:ext>
          </c:extLst>
        </c:ser>
        <c:ser>
          <c:idx val="5"/>
          <c:order val="5"/>
          <c:tx>
            <c:strRef>
              <c:f>'AMORT-DEPREC'!$A$33</c:f>
              <c:strCache>
                <c:ptCount val="1"/>
                <c:pt idx="0">
                  <c:v>Electrodomesticos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'AMORT-DEPREC'!$B$6:$G$6</c:f>
              <c:strCache>
                <c:ptCount val="6"/>
                <c:pt idx="0">
                  <c:v>Año 0</c:v>
                </c:pt>
                <c:pt idx="1">
                  <c:v>Año 1</c:v>
                </c:pt>
                <c:pt idx="2">
                  <c:v>Año 2</c:v>
                </c:pt>
                <c:pt idx="3">
                  <c:v>Año 3</c:v>
                </c:pt>
                <c:pt idx="4">
                  <c:v>Año 4</c:v>
                </c:pt>
                <c:pt idx="5">
                  <c:v>Año 5</c:v>
                </c:pt>
              </c:strCache>
            </c:strRef>
          </c:cat>
          <c:val>
            <c:numRef>
              <c:f>'AMORT-DEPREC'!$B$36:$G$36</c:f>
              <c:numCache>
                <c:formatCode>_("$"* #,##0_);_("$"* \(#,##0\);_("$"* "-"_);_(@_)</c:formatCode>
                <c:ptCount val="6"/>
                <c:pt idx="0">
                  <c:v>46946100</c:v>
                </c:pt>
                <c:pt idx="1">
                  <c:v>42251490</c:v>
                </c:pt>
                <c:pt idx="2">
                  <c:v>37556880</c:v>
                </c:pt>
                <c:pt idx="3">
                  <c:v>32862270</c:v>
                </c:pt>
                <c:pt idx="4">
                  <c:v>28167660</c:v>
                </c:pt>
                <c:pt idx="5">
                  <c:v>23473050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C9-45E3-96A4-A1303009C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320800"/>
        <c:axId val="571319488"/>
      </c:barChart>
      <c:catAx>
        <c:axId val="57132080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1319488"/>
        <c:crosses val="autoZero"/>
        <c:auto val="1"/>
        <c:lblAlgn val="ctr"/>
        <c:lblOffset val="100"/>
        <c:noMultiLvlLbl val="0"/>
      </c:catAx>
      <c:valAx>
        <c:axId val="5713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_(&quot;$&quot;* #,##0_);_(&quot;$&quot;* \(#,##0\);_(&quot;$&quot;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132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Estado de resultados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ER!$B$8</c:f>
              <c:strCache>
                <c:ptCount val="1"/>
                <c:pt idx="0">
                  <c:v>Año 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ER!$B$22</c:f>
              <c:numCache>
                <c:formatCode>_("$"* #,##0_);_("$"* \(#,##0\);_("$"* "-"_);_(@_)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0-472D-9C6E-CFA0BE9625E5}"/>
            </c:ext>
          </c:extLst>
        </c:ser>
        <c:ser>
          <c:idx val="1"/>
          <c:order val="1"/>
          <c:tx>
            <c:strRef>
              <c:f>ER!$C$8</c:f>
              <c:strCache>
                <c:ptCount val="1"/>
                <c:pt idx="0">
                  <c:v>Año 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ER!$C$22</c:f>
              <c:numCache>
                <c:formatCode>_("$"* #,##0_);_("$"* \(#,##0\);_("$"* "-"_);_(@_)</c:formatCode>
                <c:ptCount val="1"/>
                <c:pt idx="0">
                  <c:v>59755446.718838327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0-472D-9C6E-CFA0BE9625E5}"/>
            </c:ext>
          </c:extLst>
        </c:ser>
        <c:ser>
          <c:idx val="2"/>
          <c:order val="2"/>
          <c:tx>
            <c:strRef>
              <c:f>ER!$D$8</c:f>
              <c:strCache>
                <c:ptCount val="1"/>
                <c:pt idx="0">
                  <c:v>Año 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ER!$D$22</c:f>
              <c:numCache>
                <c:formatCode>_("$"* #,##0_);_("$"* \(#,##0\);_("$"* "-"_);_(@_)</c:formatCode>
                <c:ptCount val="1"/>
                <c:pt idx="0">
                  <c:v>68469530.027100086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C0-472D-9C6E-CFA0BE9625E5}"/>
            </c:ext>
          </c:extLst>
        </c:ser>
        <c:ser>
          <c:idx val="3"/>
          <c:order val="3"/>
          <c:tx>
            <c:strRef>
              <c:f>ER!$E$8</c:f>
              <c:strCache>
                <c:ptCount val="1"/>
                <c:pt idx="0">
                  <c:v>Año 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ER!$E$22</c:f>
              <c:numCache>
                <c:formatCode>_("$"* #,##0_);_("$"* \(#,##0\);_("$"* "-"_);_(@_)</c:formatCode>
                <c:ptCount val="1"/>
                <c:pt idx="0">
                  <c:v>81469507.293168321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C0-472D-9C6E-CFA0BE9625E5}"/>
            </c:ext>
          </c:extLst>
        </c:ser>
        <c:ser>
          <c:idx val="4"/>
          <c:order val="4"/>
          <c:tx>
            <c:strRef>
              <c:f>ER!$F$8</c:f>
              <c:strCache>
                <c:ptCount val="1"/>
                <c:pt idx="0">
                  <c:v>Año 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ER!$F$22</c:f>
              <c:numCache>
                <c:formatCode>_("$"* #,##0_);_("$"* \(#,##0\);_("$"* "-"_);_(@_)</c:formatCode>
                <c:ptCount val="1"/>
                <c:pt idx="0">
                  <c:v>100462227.23280242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C0-472D-9C6E-CFA0BE9625E5}"/>
            </c:ext>
          </c:extLst>
        </c:ser>
        <c:ser>
          <c:idx val="5"/>
          <c:order val="5"/>
          <c:tx>
            <c:strRef>
              <c:f>ER!$G$8</c:f>
              <c:strCache>
                <c:ptCount val="1"/>
                <c:pt idx="0">
                  <c:v>Año 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ER!$G$22</c:f>
              <c:numCache>
                <c:formatCode>_("$"* #,##0_);_("$"* \(#,##0\);_("$"* "-"_);_(@_)</c:formatCode>
                <c:ptCount val="1"/>
                <c:pt idx="0">
                  <c:v>123506317.54654139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C0-472D-9C6E-CFA0BE9625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41050368"/>
        <c:axId val="241051904"/>
      </c:barChart>
      <c:catAx>
        <c:axId val="24105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1051904"/>
        <c:crosses val="autoZero"/>
        <c:auto val="1"/>
        <c:lblAlgn val="ctr"/>
        <c:lblOffset val="100"/>
        <c:noMultiLvlLbl val="0"/>
      </c:catAx>
      <c:valAx>
        <c:axId val="24105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105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ER!$A$10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-4.16666666666667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CE-46CA-9A49-789D4132AA19}"/>
                </c:ext>
              </c:extLst>
            </c:dLbl>
            <c:dLbl>
              <c:idx val="2"/>
              <c:layout>
                <c:manualLayout>
                  <c:x val="-2.77777777777777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CE-46CA-9A49-789D4132A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ER!$B$8:$G$8</c:f>
              <c:strCache>
                <c:ptCount val="6"/>
                <c:pt idx="0">
                  <c:v>Año 0</c:v>
                </c:pt>
                <c:pt idx="1">
                  <c:v>Año 1</c:v>
                </c:pt>
                <c:pt idx="2">
                  <c:v>Año 2</c:v>
                </c:pt>
                <c:pt idx="3">
                  <c:v>Año 3</c:v>
                </c:pt>
                <c:pt idx="4">
                  <c:v>Año 4</c:v>
                </c:pt>
                <c:pt idx="5">
                  <c:v>Año 5</c:v>
                </c:pt>
              </c:strCache>
            </c:strRef>
          </c:cat>
          <c:val>
            <c:numRef>
              <c:f>ER!$B$10:$G$10</c:f>
              <c:numCache>
                <c:formatCode>_("$"* #,##0_);_("$"* \(#,##0\);_("$"* "-"_);_(@_)</c:formatCode>
                <c:ptCount val="6"/>
                <c:pt idx="0">
                  <c:v>0</c:v>
                </c:pt>
                <c:pt idx="1">
                  <c:v>107613548</c:v>
                </c:pt>
                <c:pt idx="2">
                  <c:v>114655034.8138721</c:v>
                </c:pt>
                <c:pt idx="3">
                  <c:v>126152852.31680205</c:v>
                </c:pt>
                <c:pt idx="4">
                  <c:v>143957314.1491009</c:v>
                </c:pt>
                <c:pt idx="5">
                  <c:v>165907165.43951035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E-46CA-9A49-789D4132A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41111040"/>
        <c:axId val="241112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ER!$A$9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ER!$B$8:$G$8</c15:sqref>
                        </c15:formulaRef>
                      </c:ext>
                    </c:extLst>
                    <c:strCache>
                      <c:ptCount val="6"/>
                      <c:pt idx="0">
                        <c:v>Año 0</c:v>
                      </c:pt>
                      <c:pt idx="1">
                        <c:v>Año 1</c:v>
                      </c:pt>
                      <c:pt idx="2">
                        <c:v>Año 2</c:v>
                      </c:pt>
                      <c:pt idx="3">
                        <c:v>Año 3</c:v>
                      </c:pt>
                      <c:pt idx="4">
                        <c:v>Año 4</c:v>
                      </c:pt>
                      <c:pt idx="5">
                        <c:v>Año 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ER!$B$9:$G$9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4CE-46CA-9A49-789D4132AA19}"/>
                  </c:ext>
                </c:extLst>
              </c15:ser>
            </c15:filteredBarSeries>
          </c:ext>
        </c:extLst>
      </c:barChart>
      <c:catAx>
        <c:axId val="24111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1112576"/>
        <c:crosses val="autoZero"/>
        <c:auto val="1"/>
        <c:lblAlgn val="ctr"/>
        <c:lblOffset val="100"/>
        <c:noMultiLvlLbl val="0"/>
      </c:catAx>
      <c:valAx>
        <c:axId val="24111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111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Flujo</a:t>
            </a:r>
            <a:r>
              <a:rPr lang="es-ES" baseline="0"/>
              <a:t> de caja libre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FC!$J$6</c:f>
              <c:strCache>
                <c:ptCount val="1"/>
                <c:pt idx="0">
                  <c:v>Año 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FC!$J$7</c:f>
              <c:numCache>
                <c:formatCode>_("$"* #,##0_);_("$"* \(#,##0\);_("$"* "-"_);_(@_)</c:formatCode>
                <c:ptCount val="1"/>
                <c:pt idx="0">
                  <c:v>-386823548.38356161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C-428F-9FA5-7E0EC22C0A92}"/>
            </c:ext>
          </c:extLst>
        </c:ser>
        <c:ser>
          <c:idx val="1"/>
          <c:order val="1"/>
          <c:tx>
            <c:strRef>
              <c:f>FC!$K$6</c:f>
              <c:strCache>
                <c:ptCount val="1"/>
                <c:pt idx="0">
                  <c:v>Año 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FC!$K$7</c:f>
              <c:numCache>
                <c:formatCode>_("$"* #,##0_);_("$"* \(#,##0\);_("$"* "-"_);_(@_)</c:formatCode>
                <c:ptCount val="1"/>
                <c:pt idx="0">
                  <c:v>98740611.771676049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C-428F-9FA5-7E0EC22C0A92}"/>
            </c:ext>
          </c:extLst>
        </c:ser>
        <c:ser>
          <c:idx val="2"/>
          <c:order val="2"/>
          <c:tx>
            <c:strRef>
              <c:f>FC!$L$6</c:f>
              <c:strCache>
                <c:ptCount val="1"/>
                <c:pt idx="0">
                  <c:v>Año 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5.0925337632079971E-17"/>
                  <c:y val="0.26388888888888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8C-428F-9FA5-7E0EC22C0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FC!$L$7</c:f>
              <c:numCache>
                <c:formatCode>_("$"* #,##0_);_("$"* \(#,##0\);_("$"* "-"_);_(@_)</c:formatCode>
                <c:ptCount val="1"/>
                <c:pt idx="0">
                  <c:v>105058378.46920925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8C-428F-9FA5-7E0EC22C0A92}"/>
            </c:ext>
          </c:extLst>
        </c:ser>
        <c:ser>
          <c:idx val="3"/>
          <c:order val="3"/>
          <c:tx>
            <c:strRef>
              <c:f>FC!$M$6</c:f>
              <c:strCache>
                <c:ptCount val="1"/>
                <c:pt idx="0">
                  <c:v>Año 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FC!$M$7</c:f>
              <c:numCache>
                <c:formatCode>_("$"* #,##0_);_("$"* \(#,##0\);_("$"* "-"_);_(@_)</c:formatCode>
                <c:ptCount val="1"/>
                <c:pt idx="0">
                  <c:v>115360271.29136679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8C-428F-9FA5-7E0EC22C0A92}"/>
            </c:ext>
          </c:extLst>
        </c:ser>
        <c:ser>
          <c:idx val="4"/>
          <c:order val="4"/>
          <c:tx>
            <c:strRef>
              <c:f>FC!$N$6</c:f>
              <c:strCache>
                <c:ptCount val="1"/>
                <c:pt idx="0">
                  <c:v>Año 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1111111111111009E-2"/>
                  <c:y val="0.23148148148148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8C-428F-9FA5-7E0EC22C0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FC!$N$7</c:f>
              <c:numCache>
                <c:formatCode>_("$"* #,##0_);_("$"* \(#,##0\);_("$"* "-"_);_(@_)</c:formatCode>
                <c:ptCount val="1"/>
                <c:pt idx="0">
                  <c:v>131389051.86484444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8C-428F-9FA5-7E0EC22C0A92}"/>
            </c:ext>
          </c:extLst>
        </c:ser>
        <c:ser>
          <c:idx val="5"/>
          <c:order val="5"/>
          <c:tx>
            <c:strRef>
              <c:f>FC!$O$6</c:f>
              <c:strCache>
                <c:ptCount val="1"/>
                <c:pt idx="0">
                  <c:v>Año 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FC!$O$7</c:f>
              <c:numCache>
                <c:formatCode>_("$"* #,##0_);_("$"* \(#,##0\);_("$"* "-"_);_(@_)</c:formatCode>
                <c:ptCount val="1"/>
                <c:pt idx="0">
                  <c:v>208173493.38101482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8C-428F-9FA5-7E0EC22C0A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42593792"/>
        <c:axId val="242595328"/>
      </c:barChart>
      <c:catAx>
        <c:axId val="24259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95328"/>
        <c:crosses val="autoZero"/>
        <c:auto val="1"/>
        <c:lblAlgn val="ctr"/>
        <c:lblOffset val="100"/>
        <c:noMultiLvlLbl val="0"/>
      </c:catAx>
      <c:valAx>
        <c:axId val="24259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9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Flujo</a:t>
            </a:r>
            <a:r>
              <a:rPr lang="es-ES" baseline="0"/>
              <a:t> de caja del inversionista</a:t>
            </a:r>
            <a:r>
              <a:rPr lang="es-E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948403324584427"/>
          <c:y val="0.19689814814814816"/>
          <c:w val="0.76996041119860015"/>
          <c:h val="0.660161490230387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FC!$J$26</c:f>
              <c:strCache>
                <c:ptCount val="1"/>
                <c:pt idx="0">
                  <c:v>Año 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FC!$J$27</c:f>
              <c:numCache>
                <c:formatCode>_("$"* #,##0_);_("$"* \(#,##0\);_("$"* "-"_);_(@_)</c:formatCode>
                <c:ptCount val="1"/>
                <c:pt idx="0">
                  <c:v>-232094129.030137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D-4D3D-91ED-764C70E4CBA3}"/>
            </c:ext>
          </c:extLst>
        </c:ser>
        <c:ser>
          <c:idx val="1"/>
          <c:order val="1"/>
          <c:tx>
            <c:strRef>
              <c:f>FC!$K$26</c:f>
              <c:strCache>
                <c:ptCount val="1"/>
                <c:pt idx="0">
                  <c:v>Año 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000000000000001E-2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1D-4D3D-91ED-764C70E4C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FC!$K$27</c:f>
              <c:numCache>
                <c:formatCode>_("$"* #,##0_);_("$"* \(#,##0\);_("$"* "-"_);_(@_)</c:formatCode>
                <c:ptCount val="1"/>
                <c:pt idx="0">
                  <c:v>54671266.716478914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D-4D3D-91ED-764C70E4CBA3}"/>
            </c:ext>
          </c:extLst>
        </c:ser>
        <c:ser>
          <c:idx val="2"/>
          <c:order val="2"/>
          <c:tx>
            <c:strRef>
              <c:f>FC!$L$26</c:f>
              <c:strCache>
                <c:ptCount val="1"/>
                <c:pt idx="0">
                  <c:v>Año 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FC!$L$27</c:f>
              <c:numCache>
                <c:formatCode>_("$"* #,##0_);_("$"* \(#,##0\);_("$"* "-"_);_(@_)</c:formatCode>
                <c:ptCount val="1"/>
                <c:pt idx="0">
                  <c:v>60679224.893280499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D-4D3D-91ED-764C70E4CBA3}"/>
            </c:ext>
          </c:extLst>
        </c:ser>
        <c:ser>
          <c:idx val="3"/>
          <c:order val="3"/>
          <c:tx>
            <c:strRef>
              <c:f>FC!$M$26</c:f>
              <c:strCache>
                <c:ptCount val="1"/>
                <c:pt idx="0">
                  <c:v>Año 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FC!$M$27</c:f>
              <c:numCache>
                <c:formatCode>_("$"* #,##0_);_("$"* \(#,##0\);_("$"* "-"_);_(@_)</c:formatCode>
                <c:ptCount val="1"/>
                <c:pt idx="0">
                  <c:v>70624837.916596621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1D-4D3D-91ED-764C70E4CBA3}"/>
            </c:ext>
          </c:extLst>
        </c:ser>
        <c:ser>
          <c:idx val="4"/>
          <c:order val="4"/>
          <c:tx>
            <c:strRef>
              <c:f>FC!$N$26</c:f>
              <c:strCache>
                <c:ptCount val="1"/>
                <c:pt idx="0">
                  <c:v>Año 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FC!$N$27</c:f>
              <c:numCache>
                <c:formatCode>_("$"* #,##0_);_("$"* \(#,##0\);_("$"* "-"_);_(@_)</c:formatCode>
                <c:ptCount val="1"/>
                <c:pt idx="0">
                  <c:v>86243896.721406668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1D-4D3D-91ED-764C70E4CBA3}"/>
            </c:ext>
          </c:extLst>
        </c:ser>
        <c:ser>
          <c:idx val="5"/>
          <c:order val="5"/>
          <c:tx>
            <c:strRef>
              <c:f>FC!$O$26</c:f>
              <c:strCache>
                <c:ptCount val="1"/>
                <c:pt idx="0">
                  <c:v>Año 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FC!$O$27</c:f>
              <c:numCache>
                <c:formatCode>_("$"* #,##0_);_("$"* \(#,##0\);_("$"* "-"_);_(@_)</c:formatCode>
                <c:ptCount val="1"/>
                <c:pt idx="0">
                  <c:v>162557158.20360935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1D-4D3D-91ED-764C70E4CB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42407680"/>
        <c:axId val="242434048"/>
      </c:barChart>
      <c:catAx>
        <c:axId val="242407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2434048"/>
        <c:crosses val="autoZero"/>
        <c:auto val="1"/>
        <c:lblAlgn val="ctr"/>
        <c:lblOffset val="100"/>
        <c:noMultiLvlLbl val="0"/>
      </c:catAx>
      <c:valAx>
        <c:axId val="24243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40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Proyección</a:t>
            </a:r>
            <a:r>
              <a:rPr lang="es-ES" baseline="0"/>
              <a:t> de ingresos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'PARÁM-SENSIBILIDAD'!$A$10</c:f>
              <c:strCache>
                <c:ptCount val="1"/>
                <c:pt idx="0">
                  <c:v>Unidades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E8A-4936-977F-432E490DC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548800"/>
        <c:axId val="233554688"/>
      </c:barChart>
      <c:lineChart>
        <c:grouping val="standard"/>
        <c:varyColors val="0"/>
        <c:ser>
          <c:idx val="1"/>
          <c:order val="1"/>
          <c:tx>
            <c:strRef>
              <c:f>'PARÁM-SENSIBILIDAD'!$A$11</c:f>
              <c:strCache>
                <c:ptCount val="1"/>
                <c:pt idx="0">
                  <c:v>Precio de venta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'PARÁM-SENSIBILIDAD'!$B$11:$G$11</c:f>
              <c:numCache>
                <c:formatCode>_-[$$-240A]\ * #.##0.00_-;\-[$$-240A]\ * #.##0.00_-;_-[$$-240A]\ * "-"??_-;_-@_-</c:formatCode>
                <c:ptCount val="6"/>
                <c:pt idx="1">
                  <c:v>190000</c:v>
                </c:pt>
                <c:pt idx="2">
                  <c:v>196232</c:v>
                </c:pt>
                <c:pt idx="3" formatCode="_(&quot;$&quot;* #,##0_);_(&quot;$&quot;* \(#,##0\);_(&quot;$&quot;* &quot;-&quot;_);_(@_)">
                  <c:v>202903.88800000001</c:v>
                </c:pt>
                <c:pt idx="4">
                  <c:v>210614.23574400001</c:v>
                </c:pt>
                <c:pt idx="5">
                  <c:v>218617.576702272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A-4936-977F-432E490DC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62112"/>
        <c:axId val="233556224"/>
      </c:lineChart>
      <c:catAx>
        <c:axId val="23354880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554688"/>
        <c:crosses val="autoZero"/>
        <c:auto val="1"/>
        <c:lblAlgn val="ctr"/>
        <c:lblOffset val="100"/>
        <c:noMultiLvlLbl val="0"/>
      </c:catAx>
      <c:valAx>
        <c:axId val="23355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548800"/>
        <c:crosses val="autoZero"/>
        <c:crossBetween val="between"/>
      </c:valAx>
      <c:valAx>
        <c:axId val="233556224"/>
        <c:scaling>
          <c:orientation val="minMax"/>
        </c:scaling>
        <c:delete val="0"/>
        <c:axPos val="r"/>
        <c:numFmt formatCode="_-[$$-240A]\ * #.##0.00_-;\-[$$-240A]\ * #.##0.00_-;_-[$$-240A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562112"/>
        <c:crosses val="max"/>
        <c:crossBetween val="between"/>
      </c:valAx>
      <c:catAx>
        <c:axId val="233562112"/>
        <c:scaling>
          <c:orientation val="minMax"/>
        </c:scaling>
        <c:delete val="1"/>
        <c:axPos val="b"/>
        <c:majorTickMark val="none"/>
        <c:minorTickMark val="none"/>
        <c:tickLblPos val="nextTo"/>
        <c:crossAx val="23355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Proyección de ingresos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Ingresos totales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678-4247-A30F-ECA27B6C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49344"/>
        <c:axId val="233459712"/>
      </c:barChart>
      <c:lineChart>
        <c:grouping val="standard"/>
        <c:varyColors val="0"/>
        <c:ser>
          <c:idx val="1"/>
          <c:order val="1"/>
          <c:tx>
            <c:v>Utilidad neta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78-4247-A30F-ECA27B6C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449344"/>
        <c:axId val="233459712"/>
      </c:lineChart>
      <c:catAx>
        <c:axId val="23344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459712"/>
        <c:crosses val="autoZero"/>
        <c:auto val="1"/>
        <c:lblAlgn val="ctr"/>
        <c:lblOffset val="100"/>
        <c:noMultiLvlLbl val="0"/>
      </c:catAx>
      <c:valAx>
        <c:axId val="2334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Ingresos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44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Estado de situación financiera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ESF!$A$23</c:f>
              <c:strCache>
                <c:ptCount val="1"/>
                <c:pt idx="0">
                  <c:v>TOTAL ACTIVOS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elete val="1"/>
          </c:dLbls>
          <c:val>
            <c:numRef>
              <c:f>ESF!$B$23:$G$23</c:f>
              <c:numCache>
                <c:formatCode>_("$"* #,##0_);_("$"* \(#,##0\);_("$"* "-"_);_(@_)</c:formatCode>
                <c:ptCount val="6"/>
                <c:pt idx="0">
                  <c:v>386823548.38356161</c:v>
                </c:pt>
                <c:pt idx="1">
                  <c:v>421234706.00747526</c:v>
                </c:pt>
                <c:pt idx="2">
                  <c:v>461825518.0301581</c:v>
                </c:pt>
                <c:pt idx="3">
                  <c:v>512628435.51846743</c:v>
                </c:pt>
                <c:pt idx="4">
                  <c:v>579357413.9659251</c:v>
                </c:pt>
                <c:pt idx="5">
                  <c:v>665757157.84858716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8-44A0-A4FA-050A548C39BF}"/>
            </c:ext>
          </c:extLst>
        </c:ser>
        <c:ser>
          <c:idx val="1"/>
          <c:order val="1"/>
          <c:tx>
            <c:strRef>
              <c:f>ESF!$A$36</c:f>
              <c:strCache>
                <c:ptCount val="1"/>
                <c:pt idx="0">
                  <c:v>TOTAL PASIVO + PATRIMONIO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elete val="1"/>
          </c:dLbls>
          <c:val>
            <c:numRef>
              <c:f>ESF!$B$36:$G$36</c:f>
              <c:numCache>
                <c:formatCode>_("$"* #,##0_);_("$"* \(#,##0\);_("$"* "-"_);_(@_)</c:formatCode>
                <c:ptCount val="6"/>
                <c:pt idx="0">
                  <c:v>386823548.38356221</c:v>
                </c:pt>
                <c:pt idx="1">
                  <c:v>421234706.00747573</c:v>
                </c:pt>
                <c:pt idx="2">
                  <c:v>461825518.03015864</c:v>
                </c:pt>
                <c:pt idx="3">
                  <c:v>512628435.51846802</c:v>
                </c:pt>
                <c:pt idx="4">
                  <c:v>579357413.96592557</c:v>
                </c:pt>
                <c:pt idx="5">
                  <c:v>665757157.84858775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8-44A0-A4FA-050A548C39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42529792"/>
        <c:axId val="242531328"/>
        <c:axId val="0"/>
      </c:bar3DChart>
      <c:catAx>
        <c:axId val="242529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31328"/>
        <c:crosses val="autoZero"/>
        <c:auto val="1"/>
        <c:lblAlgn val="ctr"/>
        <c:lblOffset val="100"/>
        <c:noMultiLvlLbl val="0"/>
      </c:catAx>
      <c:valAx>
        <c:axId val="24253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2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Fuentes y usos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FyU!$J$16</c:f>
              <c:strCache>
                <c:ptCount val="1"/>
                <c:pt idx="0">
                  <c:v>Total Fuentes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FyU!$K$15:$P$15</c:f>
              <c:strCache>
                <c:ptCount val="6"/>
                <c:pt idx="0">
                  <c:v>Año 0</c:v>
                </c:pt>
                <c:pt idx="1">
                  <c:v>Año1 </c:v>
                </c:pt>
                <c:pt idx="2">
                  <c:v>Año 2</c:v>
                </c:pt>
                <c:pt idx="3">
                  <c:v>Año 3</c:v>
                </c:pt>
                <c:pt idx="4">
                  <c:v>Año 4 </c:v>
                </c:pt>
                <c:pt idx="5">
                  <c:v>Año 5</c:v>
                </c:pt>
              </c:strCache>
            </c:strRef>
          </c:cat>
          <c:val>
            <c:numRef>
              <c:f>FyU!$K$16:$P$16</c:f>
              <c:numCache>
                <c:formatCode>_("$"* #,##0_);_("$"* \(#,##0\);_("$"* "-"_);_(@_)</c:formatCode>
                <c:ptCount val="6"/>
                <c:pt idx="0">
                  <c:v>386823548.38356161</c:v>
                </c:pt>
                <c:pt idx="1">
                  <c:v>155381296.38356164</c:v>
                </c:pt>
                <c:pt idx="2">
                  <c:v>163993275.3057577</c:v>
                </c:pt>
                <c:pt idx="3">
                  <c:v>177151571.22010198</c:v>
                </c:pt>
                <c:pt idx="4">
                  <c:v>196777632.56932393</c:v>
                </c:pt>
                <c:pt idx="5">
                  <c:v>220722363.07057077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F-4831-8484-4EB7C4D21FE5}"/>
            </c:ext>
          </c:extLst>
        </c:ser>
        <c:ser>
          <c:idx val="1"/>
          <c:order val="1"/>
          <c:tx>
            <c:strRef>
              <c:f>FyU!$J$17</c:f>
              <c:strCache>
                <c:ptCount val="1"/>
                <c:pt idx="0">
                  <c:v>Total usos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FyU!$K$15:$P$15</c:f>
              <c:strCache>
                <c:ptCount val="6"/>
                <c:pt idx="0">
                  <c:v>Año 0</c:v>
                </c:pt>
                <c:pt idx="1">
                  <c:v>Año1 </c:v>
                </c:pt>
                <c:pt idx="2">
                  <c:v>Año 2</c:v>
                </c:pt>
                <c:pt idx="3">
                  <c:v>Año 3</c:v>
                </c:pt>
                <c:pt idx="4">
                  <c:v>Año 4 </c:v>
                </c:pt>
                <c:pt idx="5">
                  <c:v>Año 5</c:v>
                </c:pt>
              </c:strCache>
            </c:strRef>
          </c:cat>
          <c:val>
            <c:numRef>
              <c:f>FyU!$K$17:$P$17</c:f>
              <c:numCache>
                <c:formatCode>_("$"* #,##0_);_("$"* \(#,##0\);_("$"* "-"_);_(@_)</c:formatCode>
                <c:ptCount val="6"/>
                <c:pt idx="0">
                  <c:v>339055800</c:v>
                </c:pt>
                <c:pt idx="1">
                  <c:v>51371789.175197132</c:v>
                </c:pt>
                <c:pt idx="2">
                  <c:v>52315331.509177253</c:v>
                </c:pt>
                <c:pt idx="3">
                  <c:v>53706414.883282334</c:v>
                </c:pt>
                <c:pt idx="4">
                  <c:v>55718538.216856822</c:v>
                </c:pt>
                <c:pt idx="5">
                  <c:v>58165204.866961405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F-4831-8484-4EB7C4D21FE5}"/>
            </c:ext>
          </c:extLst>
        </c:ser>
        <c:ser>
          <c:idx val="2"/>
          <c:order val="2"/>
          <c:tx>
            <c:strRef>
              <c:f>FyU!$J$18</c:f>
              <c:strCache>
                <c:ptCount val="1"/>
                <c:pt idx="0">
                  <c:v>Disponible proximo periodo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FyU!$K$15:$P$15</c:f>
              <c:strCache>
                <c:ptCount val="6"/>
                <c:pt idx="0">
                  <c:v>Año 0</c:v>
                </c:pt>
                <c:pt idx="1">
                  <c:v>Año1 </c:v>
                </c:pt>
                <c:pt idx="2">
                  <c:v>Año 2</c:v>
                </c:pt>
                <c:pt idx="3">
                  <c:v>Año 3</c:v>
                </c:pt>
                <c:pt idx="4">
                  <c:v>Año 4 </c:v>
                </c:pt>
                <c:pt idx="5">
                  <c:v>Año 5</c:v>
                </c:pt>
              </c:strCache>
            </c:strRef>
          </c:cat>
          <c:val>
            <c:numRef>
              <c:f>FyU!$K$18:$P$18</c:f>
              <c:numCache>
                <c:formatCode>_("$"* #,##0_);_("$"* \(#,##0\);_("$"* "-"_);_(@_)</c:formatCode>
                <c:ptCount val="6"/>
                <c:pt idx="0">
                  <c:v>0</c:v>
                </c:pt>
                <c:pt idx="1">
                  <c:v>54671266.716478929</c:v>
                </c:pt>
                <c:pt idx="2">
                  <c:v>60679224.893280514</c:v>
                </c:pt>
                <c:pt idx="3">
                  <c:v>70624837.916596621</c:v>
                </c:pt>
                <c:pt idx="4">
                  <c:v>86243896.721406698</c:v>
                </c:pt>
                <c:pt idx="5">
                  <c:v>162557158.20360935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F-4831-8484-4EB7C4D21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743936"/>
        <c:axId val="242745728"/>
      </c:barChart>
      <c:catAx>
        <c:axId val="24274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745728"/>
        <c:crosses val="autoZero"/>
        <c:auto val="1"/>
        <c:lblAlgn val="ctr"/>
        <c:lblOffset val="100"/>
        <c:noMultiLvlLbl val="0"/>
      </c:catAx>
      <c:valAx>
        <c:axId val="24274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74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Gráfico Telaraña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'Ejercicio 3 Riesgos'!$B$8</c:f>
              <c:strCache>
                <c:ptCount val="1"/>
                <c:pt idx="0">
                  <c:v>Inversión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'Ejercicio 3 Riesgos'!$A$9:$A$25</c:f>
              <c:numCache>
                <c:formatCode>0%</c:formatCode>
                <c:ptCount val="17"/>
                <c:pt idx="0">
                  <c:v>0.4</c:v>
                </c:pt>
                <c:pt idx="1">
                  <c:v>0.35</c:v>
                </c:pt>
                <c:pt idx="2">
                  <c:v>0.3</c:v>
                </c:pt>
                <c:pt idx="3">
                  <c:v>0.25</c:v>
                </c:pt>
                <c:pt idx="4">
                  <c:v>0.2</c:v>
                </c:pt>
                <c:pt idx="5">
                  <c:v>0.15</c:v>
                </c:pt>
                <c:pt idx="6">
                  <c:v>0.1</c:v>
                </c:pt>
                <c:pt idx="7">
                  <c:v>0.05</c:v>
                </c:pt>
                <c:pt idx="8">
                  <c:v>0</c:v>
                </c:pt>
                <c:pt idx="9">
                  <c:v>-0.05</c:v>
                </c:pt>
                <c:pt idx="10">
                  <c:v>-0.1</c:v>
                </c:pt>
                <c:pt idx="11">
                  <c:v>-0.15</c:v>
                </c:pt>
                <c:pt idx="12">
                  <c:v>-0.2</c:v>
                </c:pt>
                <c:pt idx="13">
                  <c:v>-0.25</c:v>
                </c:pt>
                <c:pt idx="14">
                  <c:v>-0.3</c:v>
                </c:pt>
                <c:pt idx="15">
                  <c:v>-0.35</c:v>
                </c:pt>
                <c:pt idx="16">
                  <c:v>-0.4</c:v>
                </c:pt>
              </c:numCache>
            </c:numRef>
          </c:xVal>
          <c:yVal>
            <c:numRef>
              <c:f>'Ejercicio 3 Riesgos'!$B$9:$B$25</c:f>
              <c:numCache>
                <c:formatCode>_("$"* #,##0_);_("$"* \(#,##0\);_("$"* "-"_);_(@_)</c:formatCode>
                <c:ptCount val="17"/>
                <c:pt idx="0">
                  <c:v>22734059.892775655</c:v>
                </c:pt>
                <c:pt idx="1">
                  <c:v>27515760.465040147</c:v>
                </c:pt>
                <c:pt idx="2">
                  <c:v>32384961.106512368</c:v>
                </c:pt>
                <c:pt idx="3">
                  <c:v>37343722.871240199</c:v>
                </c:pt>
                <c:pt idx="4">
                  <c:v>42394165.119470835</c:v>
                </c:pt>
                <c:pt idx="5">
                  <c:v>47538467.429329932</c:v>
                </c:pt>
                <c:pt idx="6">
                  <c:v>52778871.579553366</c:v>
                </c:pt>
                <c:pt idx="7">
                  <c:v>58117683.606216788</c:v>
                </c:pt>
                <c:pt idx="8">
                  <c:v>63557275.936547756</c:v>
                </c:pt>
                <c:pt idx="9">
                  <c:v>69100089.60304147</c:v>
                </c:pt>
                <c:pt idx="10">
                  <c:v>74748636.54125762</c:v>
                </c:pt>
                <c:pt idx="11">
                  <c:v>80505501.97482574</c:v>
                </c:pt>
                <c:pt idx="12">
                  <c:v>86373346.891350865</c:v>
                </c:pt>
                <c:pt idx="13">
                  <c:v>92354910.613091111</c:v>
                </c:pt>
                <c:pt idx="14">
                  <c:v>98453013.466449618</c:v>
                </c:pt>
                <c:pt idx="15">
                  <c:v>104670559.55452484</c:v>
                </c:pt>
                <c:pt idx="16">
                  <c:v>111010539.6371519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CC-4505-BA5A-844533DC5A1F}"/>
            </c:ext>
          </c:extLst>
        </c:ser>
        <c:ser>
          <c:idx val="1"/>
          <c:order val="1"/>
          <c:tx>
            <c:strRef>
              <c:f>'Ejercicio 3 Riesgos'!$C$8</c:f>
              <c:strCache>
                <c:ptCount val="1"/>
                <c:pt idx="0">
                  <c:v>Ingresos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'Ejercicio 3 Riesgos'!$A$9:$A$25</c:f>
              <c:numCache>
                <c:formatCode>0%</c:formatCode>
                <c:ptCount val="17"/>
                <c:pt idx="0">
                  <c:v>0.4</c:v>
                </c:pt>
                <c:pt idx="1">
                  <c:v>0.35</c:v>
                </c:pt>
                <c:pt idx="2">
                  <c:v>0.3</c:v>
                </c:pt>
                <c:pt idx="3">
                  <c:v>0.25</c:v>
                </c:pt>
                <c:pt idx="4">
                  <c:v>0.2</c:v>
                </c:pt>
                <c:pt idx="5">
                  <c:v>0.15</c:v>
                </c:pt>
                <c:pt idx="6">
                  <c:v>0.1</c:v>
                </c:pt>
                <c:pt idx="7">
                  <c:v>0.05</c:v>
                </c:pt>
                <c:pt idx="8">
                  <c:v>0</c:v>
                </c:pt>
                <c:pt idx="9">
                  <c:v>-0.05</c:v>
                </c:pt>
                <c:pt idx="10">
                  <c:v>-0.1</c:v>
                </c:pt>
                <c:pt idx="11">
                  <c:v>-0.15</c:v>
                </c:pt>
                <c:pt idx="12">
                  <c:v>-0.2</c:v>
                </c:pt>
                <c:pt idx="13">
                  <c:v>-0.25</c:v>
                </c:pt>
                <c:pt idx="14">
                  <c:v>-0.3</c:v>
                </c:pt>
                <c:pt idx="15">
                  <c:v>-0.35</c:v>
                </c:pt>
                <c:pt idx="16">
                  <c:v>-0.4</c:v>
                </c:pt>
              </c:numCache>
            </c:numRef>
          </c:xVal>
          <c:yVal>
            <c:numRef>
              <c:f>'Ejercicio 3 Riesgos'!$C$9:$C$25</c:f>
              <c:numCache>
                <c:formatCode>_("$"* #,##0_);_("$"* \(#,##0\);_("$"* "-"_);_(@_)</c:formatCode>
                <c:ptCount val="17"/>
                <c:pt idx="0">
                  <c:v>286582539.20255768</c:v>
                </c:pt>
                <c:pt idx="1">
                  <c:v>258704381.29430664</c:v>
                </c:pt>
                <c:pt idx="2">
                  <c:v>230826223.38605535</c:v>
                </c:pt>
                <c:pt idx="3">
                  <c:v>202948065.47780406</c:v>
                </c:pt>
                <c:pt idx="4">
                  <c:v>175069907.56955278</c:v>
                </c:pt>
                <c:pt idx="5">
                  <c:v>147191749.66130149</c:v>
                </c:pt>
                <c:pt idx="6">
                  <c:v>119313591.75305039</c:v>
                </c:pt>
                <c:pt idx="7">
                  <c:v>91435433.844798982</c:v>
                </c:pt>
                <c:pt idx="8">
                  <c:v>63557275.936547756</c:v>
                </c:pt>
                <c:pt idx="9">
                  <c:v>35679118.028296471</c:v>
                </c:pt>
                <c:pt idx="10">
                  <c:v>7800960.1200452447</c:v>
                </c:pt>
                <c:pt idx="11">
                  <c:v>-20077197.7882061</c:v>
                </c:pt>
                <c:pt idx="12">
                  <c:v>-47955355.696457267</c:v>
                </c:pt>
                <c:pt idx="13">
                  <c:v>-75833513.604708552</c:v>
                </c:pt>
                <c:pt idx="14">
                  <c:v>-103711671.51295978</c:v>
                </c:pt>
                <c:pt idx="15">
                  <c:v>-131589829.421211</c:v>
                </c:pt>
                <c:pt idx="16">
                  <c:v>-159467987.32946232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CC-4505-BA5A-844533DC5A1F}"/>
            </c:ext>
          </c:extLst>
        </c:ser>
        <c:ser>
          <c:idx val="2"/>
          <c:order val="2"/>
          <c:tx>
            <c:strRef>
              <c:f>'Ejercicio 3 Riesgos'!$D$8</c:f>
              <c:strCache>
                <c:ptCount val="1"/>
                <c:pt idx="0">
                  <c:v>Costos operativos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'Ejercicio 3 Riesgos'!$A$9:$A$25</c:f>
              <c:numCache>
                <c:formatCode>0%</c:formatCode>
                <c:ptCount val="17"/>
                <c:pt idx="0">
                  <c:v>0.4</c:v>
                </c:pt>
                <c:pt idx="1">
                  <c:v>0.35</c:v>
                </c:pt>
                <c:pt idx="2">
                  <c:v>0.3</c:v>
                </c:pt>
                <c:pt idx="3">
                  <c:v>0.25</c:v>
                </c:pt>
                <c:pt idx="4">
                  <c:v>0.2</c:v>
                </c:pt>
                <c:pt idx="5">
                  <c:v>0.15</c:v>
                </c:pt>
                <c:pt idx="6">
                  <c:v>0.1</c:v>
                </c:pt>
                <c:pt idx="7">
                  <c:v>0.05</c:v>
                </c:pt>
                <c:pt idx="8">
                  <c:v>0</c:v>
                </c:pt>
                <c:pt idx="9">
                  <c:v>-0.05</c:v>
                </c:pt>
                <c:pt idx="10">
                  <c:v>-0.1</c:v>
                </c:pt>
                <c:pt idx="11">
                  <c:v>-0.15</c:v>
                </c:pt>
                <c:pt idx="12">
                  <c:v>-0.2</c:v>
                </c:pt>
                <c:pt idx="13">
                  <c:v>-0.25</c:v>
                </c:pt>
                <c:pt idx="14">
                  <c:v>-0.3</c:v>
                </c:pt>
                <c:pt idx="15">
                  <c:v>-0.35</c:v>
                </c:pt>
                <c:pt idx="16">
                  <c:v>-0.4</c:v>
                </c:pt>
              </c:numCache>
            </c:numRef>
          </c:xVal>
          <c:yVal>
            <c:numRef>
              <c:f>'Ejercicio 3 Riesgos'!$D$9:$D$25</c:f>
              <c:numCache>
                <c:formatCode>_("$"* #,##0_);_("$"* \(#,##0\);_("$"* "-"_);_(@_)</c:formatCode>
                <c:ptCount val="17"/>
                <c:pt idx="0">
                  <c:v>-99811658.235223353</c:v>
                </c:pt>
                <c:pt idx="1">
                  <c:v>-79292610.209742963</c:v>
                </c:pt>
                <c:pt idx="2">
                  <c:v>-58800779.864033163</c:v>
                </c:pt>
                <c:pt idx="3">
                  <c:v>-38336539.812245846</c:v>
                </c:pt>
                <c:pt idx="4">
                  <c:v>-17900269.519892156</c:v>
                </c:pt>
                <c:pt idx="5">
                  <c:v>2507644.5374903679</c:v>
                </c:pt>
                <c:pt idx="6">
                  <c:v>22886808.711233795</c:v>
                </c:pt>
                <c:pt idx="7">
                  <c:v>43236822.011841595</c:v>
                </c:pt>
                <c:pt idx="8">
                  <c:v>63557275.936547756</c:v>
                </c:pt>
                <c:pt idx="9">
                  <c:v>83847754.291980743</c:v>
                </c:pt>
                <c:pt idx="10">
                  <c:v>104107833.01176077</c:v>
                </c:pt>
                <c:pt idx="11">
                  <c:v>124337079.96886504</c:v>
                </c:pt>
                <c:pt idx="12">
                  <c:v>144535054.78258151</c:v>
                </c:pt>
                <c:pt idx="13">
                  <c:v>164701308.61987364</c:v>
                </c:pt>
                <c:pt idx="14">
                  <c:v>184835383.99095511</c:v>
                </c:pt>
                <c:pt idx="15">
                  <c:v>204936814.53888786</c:v>
                </c:pt>
                <c:pt idx="16">
                  <c:v>225005124.82298708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CC-4505-BA5A-844533DC5A1F}"/>
            </c:ext>
          </c:extLst>
        </c:ser>
        <c:ser>
          <c:idx val="3"/>
          <c:order val="3"/>
          <c:tx>
            <c:strRef>
              <c:f>'Ejercicio 3 Riesgos'!$E$8</c:f>
              <c:strCache>
                <c:ptCount val="1"/>
                <c:pt idx="0">
                  <c:v>Endeudamiento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'Ejercicio 3 Riesgos'!$A$9:$A$25</c:f>
              <c:numCache>
                <c:formatCode>0%</c:formatCode>
                <c:ptCount val="17"/>
                <c:pt idx="0">
                  <c:v>0.4</c:v>
                </c:pt>
                <c:pt idx="1">
                  <c:v>0.35</c:v>
                </c:pt>
                <c:pt idx="2">
                  <c:v>0.3</c:v>
                </c:pt>
                <c:pt idx="3">
                  <c:v>0.25</c:v>
                </c:pt>
                <c:pt idx="4">
                  <c:v>0.2</c:v>
                </c:pt>
                <c:pt idx="5">
                  <c:v>0.15</c:v>
                </c:pt>
                <c:pt idx="6">
                  <c:v>0.1</c:v>
                </c:pt>
                <c:pt idx="7">
                  <c:v>0.05</c:v>
                </c:pt>
                <c:pt idx="8">
                  <c:v>0</c:v>
                </c:pt>
                <c:pt idx="9">
                  <c:v>-0.05</c:v>
                </c:pt>
                <c:pt idx="10">
                  <c:v>-0.1</c:v>
                </c:pt>
                <c:pt idx="11">
                  <c:v>-0.15</c:v>
                </c:pt>
                <c:pt idx="12">
                  <c:v>-0.2</c:v>
                </c:pt>
                <c:pt idx="13">
                  <c:v>-0.25</c:v>
                </c:pt>
                <c:pt idx="14">
                  <c:v>-0.3</c:v>
                </c:pt>
                <c:pt idx="15">
                  <c:v>-0.35</c:v>
                </c:pt>
                <c:pt idx="16">
                  <c:v>-0.4</c:v>
                </c:pt>
              </c:numCache>
            </c:numRef>
          </c:xVal>
          <c:yVal>
            <c:numRef>
              <c:f>'Ejercicio 3 Riesgos'!$E$9:$E$25</c:f>
              <c:numCache>
                <c:formatCode>_("$"* #,##0_);_("$"* \(#,##0\);_("$"* "-"_);_(@_)</c:formatCode>
                <c:ptCount val="17"/>
                <c:pt idx="0">
                  <c:v>45893892.151814461</c:v>
                </c:pt>
                <c:pt idx="1">
                  <c:v>48042674.648530602</c:v>
                </c:pt>
                <c:pt idx="2">
                  <c:v>50208022.436853468</c:v>
                </c:pt>
                <c:pt idx="3">
                  <c:v>52390099.068449914</c:v>
                </c:pt>
                <c:pt idx="4">
                  <c:v>54589070.027328432</c:v>
                </c:pt>
                <c:pt idx="5">
                  <c:v>56805102.756219327</c:v>
                </c:pt>
                <c:pt idx="6">
                  <c:v>59038366.68336302</c:v>
                </c:pt>
                <c:pt idx="7">
                  <c:v>61289033.249710977</c:v>
                </c:pt>
                <c:pt idx="8">
                  <c:v>63557275.936547756</c:v>
                </c:pt>
                <c:pt idx="9">
                  <c:v>65843270.293543577</c:v>
                </c:pt>
                <c:pt idx="10">
                  <c:v>68147193.967240691</c:v>
                </c:pt>
                <c:pt idx="11">
                  <c:v>70469226.729983807</c:v>
                </c:pt>
                <c:pt idx="12">
                  <c:v>72809550.509302437</c:v>
                </c:pt>
                <c:pt idx="13">
                  <c:v>75168349.417751789</c:v>
                </c:pt>
                <c:pt idx="14">
                  <c:v>77545809.783219934</c:v>
                </c:pt>
                <c:pt idx="15">
                  <c:v>79942120.179710507</c:v>
                </c:pt>
                <c:pt idx="16">
                  <c:v>82357471.458610058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CC-4505-BA5A-844533DC5A1F}"/>
            </c:ext>
          </c:extLst>
        </c:ser>
        <c:ser>
          <c:idx val="4"/>
          <c:order val="4"/>
          <c:tx>
            <c:strRef>
              <c:f>'Ejercicio 3 Riesgos'!$F$8</c:f>
              <c:strCache>
                <c:ptCount val="1"/>
                <c:pt idx="0">
                  <c:v>Precio de venta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'Ejercicio 3 Riesgos'!$A$9:$A$25</c:f>
              <c:numCache>
                <c:formatCode>0%</c:formatCode>
                <c:ptCount val="17"/>
                <c:pt idx="0">
                  <c:v>0.4</c:v>
                </c:pt>
                <c:pt idx="1">
                  <c:v>0.35</c:v>
                </c:pt>
                <c:pt idx="2">
                  <c:v>0.3</c:v>
                </c:pt>
                <c:pt idx="3">
                  <c:v>0.25</c:v>
                </c:pt>
                <c:pt idx="4">
                  <c:v>0.2</c:v>
                </c:pt>
                <c:pt idx="5">
                  <c:v>0.15</c:v>
                </c:pt>
                <c:pt idx="6">
                  <c:v>0.1</c:v>
                </c:pt>
                <c:pt idx="7">
                  <c:v>0.05</c:v>
                </c:pt>
                <c:pt idx="8">
                  <c:v>0</c:v>
                </c:pt>
                <c:pt idx="9">
                  <c:v>-0.05</c:v>
                </c:pt>
                <c:pt idx="10">
                  <c:v>-0.1</c:v>
                </c:pt>
                <c:pt idx="11">
                  <c:v>-0.15</c:v>
                </c:pt>
                <c:pt idx="12">
                  <c:v>-0.2</c:v>
                </c:pt>
                <c:pt idx="13">
                  <c:v>-0.25</c:v>
                </c:pt>
                <c:pt idx="14">
                  <c:v>-0.3</c:v>
                </c:pt>
                <c:pt idx="15">
                  <c:v>-0.35</c:v>
                </c:pt>
                <c:pt idx="16">
                  <c:v>-0.4</c:v>
                </c:pt>
              </c:numCache>
            </c:numRef>
          </c:xVal>
          <c:yVal>
            <c:numRef>
              <c:f>'Ejercicio 3 Riesgos'!$F$9:$F$25</c:f>
              <c:numCache>
                <c:formatCode>_("$"* #,##0_);_("$"* \(#,##0\);_("$"* "-"_);_(@_)</c:formatCode>
                <c:ptCount val="17"/>
                <c:pt idx="0">
                  <c:v>794112759.66279793</c:v>
                </c:pt>
                <c:pt idx="1">
                  <c:v>702793324.19701719</c:v>
                </c:pt>
                <c:pt idx="2">
                  <c:v>611473888.73123562</c:v>
                </c:pt>
                <c:pt idx="3">
                  <c:v>520154453.26545417</c:v>
                </c:pt>
                <c:pt idx="4">
                  <c:v>428835017.79967308</c:v>
                </c:pt>
                <c:pt idx="5">
                  <c:v>337515582.33389127</c:v>
                </c:pt>
                <c:pt idx="6">
                  <c:v>246196146.86811078</c:v>
                </c:pt>
                <c:pt idx="7">
                  <c:v>154876711.40232909</c:v>
                </c:pt>
                <c:pt idx="8">
                  <c:v>63557275.936547756</c:v>
                </c:pt>
                <c:pt idx="9">
                  <c:v>-27762159.529233575</c:v>
                </c:pt>
                <c:pt idx="10">
                  <c:v>-119081594.995015</c:v>
                </c:pt>
                <c:pt idx="11">
                  <c:v>-210401030.460796</c:v>
                </c:pt>
                <c:pt idx="12">
                  <c:v>-301720465.92657745</c:v>
                </c:pt>
                <c:pt idx="13">
                  <c:v>-393039901.39235878</c:v>
                </c:pt>
                <c:pt idx="14">
                  <c:v>-484359336.85814017</c:v>
                </c:pt>
                <c:pt idx="15">
                  <c:v>-575678772.32392144</c:v>
                </c:pt>
                <c:pt idx="16">
                  <c:v>-666998207.78970265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CC-4505-BA5A-844533DC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304256"/>
        <c:axId val="234305792"/>
      </c:scatterChart>
      <c:valAx>
        <c:axId val="23430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305792"/>
        <c:crosses val="autoZero"/>
        <c:crossBetween val="midCat"/>
      </c:valAx>
      <c:valAx>
        <c:axId val="23430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304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Gráfico Tornado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'Ejercicio 3 Riesgos'!$B$32</c:f>
              <c:strCache>
                <c:ptCount val="1"/>
                <c:pt idx="0">
                  <c:v>% cambio VPN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2"/>
              <c:layout>
                <c:manualLayout>
                  <c:x val="-0.12777777777777777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FC-4A3F-9D46-70F4FEFA15EB}"/>
                </c:ext>
              </c:extLst>
            </c:dLbl>
            <c:dLbl>
              <c:idx val="3"/>
              <c:layout>
                <c:manualLayout>
                  <c:x val="-0.14999999999999994"/>
                  <c:y val="-6.944444444444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C-4A3F-9D46-70F4FEFA15EB}"/>
                </c:ext>
              </c:extLst>
            </c:dLbl>
            <c:dLbl>
              <c:idx val="4"/>
              <c:layout>
                <c:manualLayout>
                  <c:x val="-0.22222222222222227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FC-4A3F-9D46-70F4FEFA1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'Ejercicio 3 Riesgos'!$A$33:$A$37</c:f>
              <c:strCache>
                <c:ptCount val="5"/>
                <c:pt idx="0">
                  <c:v>Precio de venta</c:v>
                </c:pt>
                <c:pt idx="1">
                  <c:v>Ingresos</c:v>
                </c:pt>
                <c:pt idx="2">
                  <c:v>Endeudamiento</c:v>
                </c:pt>
                <c:pt idx="3">
                  <c:v>Inversión</c:v>
                </c:pt>
                <c:pt idx="4">
                  <c:v>Costos operativos</c:v>
                </c:pt>
              </c:strCache>
            </c:strRef>
          </c:cat>
          <c:val>
            <c:numRef>
              <c:f>'Ejercicio 3 Riesgos'!$B$33:$B$37</c:f>
              <c:numCache>
                <c:formatCode>0%</c:formatCode>
                <c:ptCount val="5"/>
                <c:pt idx="0">
                  <c:v>0.28736107430705377</c:v>
                </c:pt>
                <c:pt idx="1">
                  <c:v>8.7726094290396184E-2</c:v>
                </c:pt>
                <c:pt idx="2">
                  <c:v>-7.1598887251217115E-3</c:v>
                </c:pt>
                <c:pt idx="3">
                  <c:v>-1.7245815488085368E-2</c:v>
                </c:pt>
                <c:pt idx="4">
                  <c:v>-6.3906234336455175E-2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C-4A3F-9D46-70F4FEFA1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34353408"/>
        <c:axId val="234354944"/>
      </c:barChart>
      <c:catAx>
        <c:axId val="23435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354944"/>
        <c:crosses val="autoZero"/>
        <c:auto val="1"/>
        <c:lblAlgn val="ctr"/>
        <c:lblOffset val="100"/>
        <c:noMultiLvlLbl val="0"/>
      </c:catAx>
      <c:valAx>
        <c:axId val="234354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35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SF!A1"/><Relationship Id="rId13" Type="http://schemas.openxmlformats.org/officeDocument/2006/relationships/hyperlink" Target="#ER!A1"/><Relationship Id="rId3" Type="http://schemas.openxmlformats.org/officeDocument/2006/relationships/hyperlink" Target="#'COSTOS Y GASTOS '!A1"/><Relationship Id="rId7" Type="http://schemas.openxmlformats.org/officeDocument/2006/relationships/hyperlink" Target="#FyU!A1"/><Relationship Id="rId12" Type="http://schemas.openxmlformats.org/officeDocument/2006/relationships/hyperlink" Target="#'AMORT-DEPREC'!A1"/><Relationship Id="rId2" Type="http://schemas.openxmlformats.org/officeDocument/2006/relationships/hyperlink" Target="#'OCUPACI&#211;N TARIFAS'!A1"/><Relationship Id="rId1" Type="http://schemas.openxmlformats.org/officeDocument/2006/relationships/image" Target="../media/image1.jpeg"/><Relationship Id="rId6" Type="http://schemas.openxmlformats.org/officeDocument/2006/relationships/hyperlink" Target="#WACC!A1"/><Relationship Id="rId11" Type="http://schemas.openxmlformats.org/officeDocument/2006/relationships/hyperlink" Target="#'SERV DEUDA'!A1"/><Relationship Id="rId5" Type="http://schemas.openxmlformats.org/officeDocument/2006/relationships/hyperlink" Target="#'Rolling WACC'!A1"/><Relationship Id="rId15" Type="http://schemas.openxmlformats.org/officeDocument/2006/relationships/hyperlink" Target="#'Ejercicio 3 Riesgos'!A1"/><Relationship Id="rId10" Type="http://schemas.openxmlformats.org/officeDocument/2006/relationships/hyperlink" Target="#M&#233;tricas!A1"/><Relationship Id="rId4" Type="http://schemas.openxmlformats.org/officeDocument/2006/relationships/hyperlink" Target="#'PAR&#193;M-SENSIBILIDAD'!A1"/><Relationship Id="rId9" Type="http://schemas.openxmlformats.org/officeDocument/2006/relationships/hyperlink" Target="#'INFORMACI&#211;N INICIAL '!A1"/><Relationship Id="rId14" Type="http://schemas.openxmlformats.org/officeDocument/2006/relationships/hyperlink" Target="#'FC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hyperlink" Target="#CONTENIDO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9.xml"/><Relationship Id="rId1" Type="http://schemas.openxmlformats.org/officeDocument/2006/relationships/image" Target="../media/image2.png"/><Relationship Id="rId4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CONTENIDO!A1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CONTENIDO!A1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CONTENIDO!A1"/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image" Target="../media/image4.JPG"/><Relationship Id="rId2" Type="http://schemas.openxmlformats.org/officeDocument/2006/relationships/hyperlink" Target="#'FC'!A1"/><Relationship Id="rId1" Type="http://schemas.openxmlformats.org/officeDocument/2006/relationships/hyperlink" Target="#CONTENIDO!A1"/><Relationship Id="rId6" Type="http://schemas.openxmlformats.org/officeDocument/2006/relationships/image" Target="../media/image3.JPG"/><Relationship Id="rId5" Type="http://schemas.openxmlformats.org/officeDocument/2006/relationships/hyperlink" Target="#'Ejer 4 Resumen del escenario'!A1"/><Relationship Id="rId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2</xdr:row>
      <xdr:rowOff>76200</xdr:rowOff>
    </xdr:from>
    <xdr:to>
      <xdr:col>9</xdr:col>
      <xdr:colOff>600075</xdr:colOff>
      <xdr:row>18</xdr:row>
      <xdr:rowOff>61632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561975"/>
          <a:ext cx="4162425" cy="30670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209550</xdr:colOff>
      <xdr:row>6</xdr:row>
      <xdr:rowOff>85725</xdr:rowOff>
    </xdr:from>
    <xdr:to>
      <xdr:col>3</xdr:col>
      <xdr:colOff>619125</xdr:colOff>
      <xdr:row>9</xdr:row>
      <xdr:rowOff>152400</xdr:rowOff>
    </xdr:to>
    <xdr:sp macro="" textlink="">
      <xdr:nvSpPr>
        <xdr:cNvPr id="3" name="Flecha: 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71550" y="1333500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OCUPACIÓN/TARIFAS</a:t>
          </a:r>
        </a:p>
      </xdr:txBody>
    </xdr:sp>
    <xdr:clientData/>
  </xdr:twoCellAnchor>
  <xdr:twoCellAnchor>
    <xdr:from>
      <xdr:col>1</xdr:col>
      <xdr:colOff>209550</xdr:colOff>
      <xdr:row>10</xdr:row>
      <xdr:rowOff>133350</xdr:rowOff>
    </xdr:from>
    <xdr:to>
      <xdr:col>3</xdr:col>
      <xdr:colOff>619125</xdr:colOff>
      <xdr:row>14</xdr:row>
      <xdr:rowOff>9525</xdr:rowOff>
    </xdr:to>
    <xdr:sp macro="" textlink="">
      <xdr:nvSpPr>
        <xdr:cNvPr id="4" name="Flecha: pentágon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71550" y="2143125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COSTOS Y GASTOS</a:t>
          </a:r>
        </a:p>
      </xdr:txBody>
    </xdr:sp>
    <xdr:clientData/>
  </xdr:twoCellAnchor>
  <xdr:twoCellAnchor>
    <xdr:from>
      <xdr:col>1</xdr:col>
      <xdr:colOff>200025</xdr:colOff>
      <xdr:row>15</xdr:row>
      <xdr:rowOff>9525</xdr:rowOff>
    </xdr:from>
    <xdr:to>
      <xdr:col>3</xdr:col>
      <xdr:colOff>609600</xdr:colOff>
      <xdr:row>18</xdr:row>
      <xdr:rowOff>76200</xdr:rowOff>
    </xdr:to>
    <xdr:sp macro="" textlink="">
      <xdr:nvSpPr>
        <xdr:cNvPr id="5" name="Flecha: pentágon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62025" y="2971800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PARÁMETROS Y SENSIBILIDAD</a:t>
          </a:r>
        </a:p>
      </xdr:txBody>
    </xdr:sp>
    <xdr:clientData/>
  </xdr:twoCellAnchor>
  <xdr:twoCellAnchor>
    <xdr:from>
      <xdr:col>10</xdr:col>
      <xdr:colOff>304800</xdr:colOff>
      <xdr:row>15</xdr:row>
      <xdr:rowOff>0</xdr:rowOff>
    </xdr:from>
    <xdr:to>
      <xdr:col>12</xdr:col>
      <xdr:colOff>714375</xdr:colOff>
      <xdr:row>18</xdr:row>
      <xdr:rowOff>66675</xdr:rowOff>
    </xdr:to>
    <xdr:sp macro="" textlink="">
      <xdr:nvSpPr>
        <xdr:cNvPr id="6" name="Flecha: pentágon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924800" y="2962275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ROLLING WACC</a:t>
          </a:r>
        </a:p>
      </xdr:txBody>
    </xdr:sp>
    <xdr:clientData/>
  </xdr:twoCellAnchor>
  <xdr:twoCellAnchor>
    <xdr:from>
      <xdr:col>10</xdr:col>
      <xdr:colOff>304800</xdr:colOff>
      <xdr:row>10</xdr:row>
      <xdr:rowOff>152400</xdr:rowOff>
    </xdr:from>
    <xdr:to>
      <xdr:col>12</xdr:col>
      <xdr:colOff>714375</xdr:colOff>
      <xdr:row>14</xdr:row>
      <xdr:rowOff>28575</xdr:rowOff>
    </xdr:to>
    <xdr:sp macro="" textlink="">
      <xdr:nvSpPr>
        <xdr:cNvPr id="7" name="Flecha: pentágon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924800" y="2162175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WACC</a:t>
          </a:r>
        </a:p>
      </xdr:txBody>
    </xdr:sp>
    <xdr:clientData/>
  </xdr:twoCellAnchor>
  <xdr:twoCellAnchor>
    <xdr:from>
      <xdr:col>10</xdr:col>
      <xdr:colOff>295275</xdr:colOff>
      <xdr:row>6</xdr:row>
      <xdr:rowOff>104775</xdr:rowOff>
    </xdr:from>
    <xdr:to>
      <xdr:col>12</xdr:col>
      <xdr:colOff>704850</xdr:colOff>
      <xdr:row>9</xdr:row>
      <xdr:rowOff>171450</xdr:rowOff>
    </xdr:to>
    <xdr:sp macro="" textlink="">
      <xdr:nvSpPr>
        <xdr:cNvPr id="8" name="Flecha: pentágono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915275" y="1352550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FUENTES Y USOS</a:t>
          </a:r>
        </a:p>
      </xdr:txBody>
    </xdr:sp>
    <xdr:clientData/>
  </xdr:twoCellAnchor>
  <xdr:twoCellAnchor>
    <xdr:from>
      <xdr:col>10</xdr:col>
      <xdr:colOff>295275</xdr:colOff>
      <xdr:row>2</xdr:row>
      <xdr:rowOff>66675</xdr:rowOff>
    </xdr:from>
    <xdr:to>
      <xdr:col>12</xdr:col>
      <xdr:colOff>704850</xdr:colOff>
      <xdr:row>5</xdr:row>
      <xdr:rowOff>133350</xdr:rowOff>
    </xdr:to>
    <xdr:sp macro="" textlink="">
      <xdr:nvSpPr>
        <xdr:cNvPr id="9" name="Flecha: pentágono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915275" y="552450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ESTADO</a:t>
          </a:r>
          <a:r>
            <a:rPr lang="es-ES" sz="1100" b="1" baseline="0"/>
            <a:t> DE SITUACIÓN FINANCIERA</a:t>
          </a:r>
          <a:endParaRPr lang="es-ES" sz="1100" b="1"/>
        </a:p>
      </xdr:txBody>
    </xdr:sp>
    <xdr:clientData/>
  </xdr:twoCellAnchor>
  <xdr:twoCellAnchor>
    <xdr:from>
      <xdr:col>1</xdr:col>
      <xdr:colOff>209550</xdr:colOff>
      <xdr:row>2</xdr:row>
      <xdr:rowOff>38100</xdr:rowOff>
    </xdr:from>
    <xdr:to>
      <xdr:col>3</xdr:col>
      <xdr:colOff>619125</xdr:colOff>
      <xdr:row>5</xdr:row>
      <xdr:rowOff>104775</xdr:rowOff>
    </xdr:to>
    <xdr:sp macro="" textlink="">
      <xdr:nvSpPr>
        <xdr:cNvPr id="11" name="Flecha: pentágon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71550" y="523875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INFORMACIÓN INICIAL</a:t>
          </a:r>
        </a:p>
      </xdr:txBody>
    </xdr:sp>
    <xdr:clientData/>
  </xdr:twoCellAnchor>
  <xdr:twoCellAnchor>
    <xdr:from>
      <xdr:col>10</xdr:col>
      <xdr:colOff>314325</xdr:colOff>
      <xdr:row>19</xdr:row>
      <xdr:rowOff>38100</xdr:rowOff>
    </xdr:from>
    <xdr:to>
      <xdr:col>12</xdr:col>
      <xdr:colOff>723900</xdr:colOff>
      <xdr:row>22</xdr:row>
      <xdr:rowOff>104775</xdr:rowOff>
    </xdr:to>
    <xdr:sp macro="" textlink="">
      <xdr:nvSpPr>
        <xdr:cNvPr id="12" name="Flecha: pentágono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934325" y="3762375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MÉTRICAS</a:t>
          </a:r>
        </a:p>
      </xdr:txBody>
    </xdr:sp>
    <xdr:clientData/>
  </xdr:twoCellAnchor>
  <xdr:twoCellAnchor>
    <xdr:from>
      <xdr:col>1</xdr:col>
      <xdr:colOff>192741</xdr:colOff>
      <xdr:row>19</xdr:row>
      <xdr:rowOff>39781</xdr:rowOff>
    </xdr:from>
    <xdr:to>
      <xdr:col>3</xdr:col>
      <xdr:colOff>602316</xdr:colOff>
      <xdr:row>22</xdr:row>
      <xdr:rowOff>106456</xdr:rowOff>
    </xdr:to>
    <xdr:sp macro="" textlink="">
      <xdr:nvSpPr>
        <xdr:cNvPr id="13" name="Flecha: pentágono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54741" y="3804957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SERVICIO</a:t>
          </a:r>
          <a:r>
            <a:rPr lang="es-ES" sz="1100" b="1" baseline="0"/>
            <a:t> A LA DEUDA</a:t>
          </a:r>
          <a:endParaRPr lang="es-ES" sz="1100" b="1"/>
        </a:p>
      </xdr:txBody>
    </xdr:sp>
    <xdr:clientData/>
  </xdr:twoCellAnchor>
  <xdr:twoCellAnchor>
    <xdr:from>
      <xdr:col>7</xdr:col>
      <xdr:colOff>180975</xdr:colOff>
      <xdr:row>19</xdr:row>
      <xdr:rowOff>66675</xdr:rowOff>
    </xdr:from>
    <xdr:to>
      <xdr:col>9</xdr:col>
      <xdr:colOff>590550</xdr:colOff>
      <xdr:row>22</xdr:row>
      <xdr:rowOff>133350</xdr:rowOff>
    </xdr:to>
    <xdr:sp macro="" textlink="">
      <xdr:nvSpPr>
        <xdr:cNvPr id="14" name="Flecha: pentágono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514975" y="3790950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AMORTIZACIÓN/DEPRECIACIÓN</a:t>
          </a:r>
        </a:p>
      </xdr:txBody>
    </xdr:sp>
    <xdr:clientData/>
  </xdr:twoCellAnchor>
  <xdr:twoCellAnchor>
    <xdr:from>
      <xdr:col>4</xdr:col>
      <xdr:colOff>190500</xdr:colOff>
      <xdr:row>19</xdr:row>
      <xdr:rowOff>67236</xdr:rowOff>
    </xdr:from>
    <xdr:to>
      <xdr:col>6</xdr:col>
      <xdr:colOff>600075</xdr:colOff>
      <xdr:row>22</xdr:row>
      <xdr:rowOff>133911</xdr:rowOff>
    </xdr:to>
    <xdr:sp macro="" textlink="">
      <xdr:nvSpPr>
        <xdr:cNvPr id="15" name="Flecha: pentágono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238500" y="3832412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ESTADO DE RESULTADOS</a:t>
          </a:r>
        </a:p>
      </xdr:txBody>
    </xdr:sp>
    <xdr:clientData/>
  </xdr:twoCellAnchor>
  <xdr:twoCellAnchor>
    <xdr:from>
      <xdr:col>5</xdr:col>
      <xdr:colOff>614643</xdr:colOff>
      <xdr:row>23</xdr:row>
      <xdr:rowOff>168088</xdr:rowOff>
    </xdr:from>
    <xdr:to>
      <xdr:col>8</xdr:col>
      <xdr:colOff>262218</xdr:colOff>
      <xdr:row>27</xdr:row>
      <xdr:rowOff>44263</xdr:rowOff>
    </xdr:to>
    <xdr:sp macro="" textlink="">
      <xdr:nvSpPr>
        <xdr:cNvPr id="16" name="Flecha: pentágono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424643" y="4695264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FLUJOS DE CAJA</a:t>
          </a:r>
        </a:p>
      </xdr:txBody>
    </xdr:sp>
    <xdr:clientData/>
  </xdr:twoCellAnchor>
  <xdr:twoCellAnchor>
    <xdr:from>
      <xdr:col>13</xdr:col>
      <xdr:colOff>493059</xdr:colOff>
      <xdr:row>9</xdr:row>
      <xdr:rowOff>78441</xdr:rowOff>
    </xdr:from>
    <xdr:to>
      <xdr:col>16</xdr:col>
      <xdr:colOff>493059</xdr:colOff>
      <xdr:row>14</xdr:row>
      <xdr:rowOff>145676</xdr:rowOff>
    </xdr:to>
    <xdr:sp macro="" textlink="">
      <xdr:nvSpPr>
        <xdr:cNvPr id="10" name="Rectángulo: biselado 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399059" y="1972235"/>
          <a:ext cx="2286000" cy="1019735"/>
        </a:xfrm>
        <a:prstGeom prst="bevel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400" b="1">
              <a:solidFill>
                <a:schemeClr val="tx1"/>
              </a:solidFill>
            </a:rPr>
            <a:t>SOLUCIÓN</a:t>
          </a:r>
          <a:r>
            <a:rPr lang="es-CO" sz="1400" b="1" baseline="0">
              <a:solidFill>
                <a:schemeClr val="tx1"/>
              </a:solidFill>
            </a:rPr>
            <a:t> EJERCICIO 3 </a:t>
          </a:r>
        </a:p>
        <a:p>
          <a:pPr algn="ctr"/>
          <a:r>
            <a:rPr lang="es-CO" sz="1400" b="1" baseline="0">
              <a:solidFill>
                <a:schemeClr val="tx1"/>
              </a:solidFill>
            </a:rPr>
            <a:t>TALLER RIESGOS</a:t>
          </a:r>
          <a:endParaRPr lang="es-CO" sz="14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178594</xdr:colOff>
      <xdr:row>0</xdr:row>
      <xdr:rowOff>142875</xdr:rowOff>
    </xdr:from>
    <xdr:to>
      <xdr:col>6</xdr:col>
      <xdr:colOff>576263</xdr:colOff>
      <xdr:row>1</xdr:row>
      <xdr:rowOff>138112</xdr:rowOff>
    </xdr:to>
    <xdr:sp macro="" textlink="">
      <xdr:nvSpPr>
        <xdr:cNvPr id="3" name="Flecha: 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251032" y="142875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CONTENIDO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</xdr:row>
      <xdr:rowOff>152400</xdr:rowOff>
    </xdr:from>
    <xdr:to>
      <xdr:col>4</xdr:col>
      <xdr:colOff>104775</xdr:colOff>
      <xdr:row>5</xdr:row>
      <xdr:rowOff>28575</xdr:rowOff>
    </xdr:to>
    <xdr:sp macro="" textlink="">
      <xdr:nvSpPr>
        <xdr:cNvPr id="2" name="Flech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438525" y="342900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CONTENIDO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24</xdr:row>
      <xdr:rowOff>38100</xdr:rowOff>
    </xdr:from>
    <xdr:to>
      <xdr:col>13</xdr:col>
      <xdr:colOff>219075</xdr:colOff>
      <xdr:row>40</xdr:row>
      <xdr:rowOff>33337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276225</xdr:colOff>
      <xdr:row>35</xdr:row>
      <xdr:rowOff>23812</xdr:rowOff>
    </xdr:from>
    <xdr:to>
      <xdr:col>5</xdr:col>
      <xdr:colOff>838200</xdr:colOff>
      <xdr:row>49</xdr:row>
      <xdr:rowOff>100012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0</xdr:row>
      <xdr:rowOff>66675</xdr:rowOff>
    </xdr:from>
    <xdr:to>
      <xdr:col>1</xdr:col>
      <xdr:colOff>333375</xdr:colOff>
      <xdr:row>3</xdr:row>
      <xdr:rowOff>133350</xdr:rowOff>
    </xdr:to>
    <xdr:sp macro="" textlink="">
      <xdr:nvSpPr>
        <xdr:cNvPr id="4" name="Flecha: pentágon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6200" y="66675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CONTENIDO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180975</xdr:rowOff>
    </xdr:from>
    <xdr:to>
      <xdr:col>2</xdr:col>
      <xdr:colOff>390525</xdr:colOff>
      <xdr:row>4</xdr:row>
      <xdr:rowOff>57150</xdr:rowOff>
    </xdr:to>
    <xdr:sp macro="" textlink="">
      <xdr:nvSpPr>
        <xdr:cNvPr id="2" name="Flech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57175" y="180975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CONTENIDO</a:t>
          </a:r>
        </a:p>
      </xdr:txBody>
    </xdr:sp>
    <xdr:clientData/>
  </xdr:twoCellAnchor>
  <xdr:twoCellAnchor>
    <xdr:from>
      <xdr:col>7</xdr:col>
      <xdr:colOff>295275</xdr:colOff>
      <xdr:row>2</xdr:row>
      <xdr:rowOff>138112</xdr:rowOff>
    </xdr:from>
    <xdr:to>
      <xdr:col>13</xdr:col>
      <xdr:colOff>295275</xdr:colOff>
      <xdr:row>17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1</xdr:col>
      <xdr:colOff>104775</xdr:colOff>
      <xdr:row>3</xdr:row>
      <xdr:rowOff>180975</xdr:rowOff>
    </xdr:to>
    <xdr:sp macro="" textlink="">
      <xdr:nvSpPr>
        <xdr:cNvPr id="2" name="Flech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71475" y="114300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CONTENIDO</a:t>
          </a:r>
        </a:p>
      </xdr:txBody>
    </xdr:sp>
    <xdr:clientData/>
  </xdr:twoCellAnchor>
  <xdr:twoCellAnchor>
    <xdr:from>
      <xdr:col>7</xdr:col>
      <xdr:colOff>133350</xdr:colOff>
      <xdr:row>3</xdr:row>
      <xdr:rowOff>176212</xdr:rowOff>
    </xdr:from>
    <xdr:to>
      <xdr:col>13</xdr:col>
      <xdr:colOff>133350</xdr:colOff>
      <xdr:row>26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69669C-9C67-4208-A41C-CEA107015F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304799</xdr:colOff>
      <xdr:row>7</xdr:row>
      <xdr:rowOff>166686</xdr:rowOff>
    </xdr:from>
    <xdr:to>
      <xdr:col>13</xdr:col>
      <xdr:colOff>733424</xdr:colOff>
      <xdr:row>22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0</xdr:row>
      <xdr:rowOff>114300</xdr:rowOff>
    </xdr:from>
    <xdr:to>
      <xdr:col>1</xdr:col>
      <xdr:colOff>866775</xdr:colOff>
      <xdr:row>3</xdr:row>
      <xdr:rowOff>180975</xdr:rowOff>
    </xdr:to>
    <xdr:sp macro="" textlink="">
      <xdr:nvSpPr>
        <xdr:cNvPr id="3" name="Flecha: 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333375" y="114300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CONTENIDO</a:t>
          </a:r>
        </a:p>
      </xdr:txBody>
    </xdr:sp>
    <xdr:clientData/>
  </xdr:twoCellAnchor>
  <xdr:twoCellAnchor>
    <xdr:from>
      <xdr:col>7</xdr:col>
      <xdr:colOff>228600</xdr:colOff>
      <xdr:row>23</xdr:row>
      <xdr:rowOff>71437</xdr:rowOff>
    </xdr:from>
    <xdr:to>
      <xdr:col>13</xdr:col>
      <xdr:colOff>228600</xdr:colOff>
      <xdr:row>37</xdr:row>
      <xdr:rowOff>147637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7</xdr:row>
      <xdr:rowOff>138112</xdr:rowOff>
    </xdr:from>
    <xdr:to>
      <xdr:col>14</xdr:col>
      <xdr:colOff>542925</xdr:colOff>
      <xdr:row>22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28</xdr:row>
      <xdr:rowOff>4762</xdr:rowOff>
    </xdr:from>
    <xdr:to>
      <xdr:col>14</xdr:col>
      <xdr:colOff>571500</xdr:colOff>
      <xdr:row>42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0</xdr:row>
      <xdr:rowOff>133350</xdr:rowOff>
    </xdr:from>
    <xdr:to>
      <xdr:col>1</xdr:col>
      <xdr:colOff>295275</xdr:colOff>
      <xdr:row>4</xdr:row>
      <xdr:rowOff>9525</xdr:rowOff>
    </xdr:to>
    <xdr:sp macro="" textlink="">
      <xdr:nvSpPr>
        <xdr:cNvPr id="5" name="Flecha: pentágon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238125" y="133350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CONTENIDO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26</xdr:row>
      <xdr:rowOff>85725</xdr:rowOff>
    </xdr:from>
    <xdr:to>
      <xdr:col>9</xdr:col>
      <xdr:colOff>552450</xdr:colOff>
      <xdr:row>27</xdr:row>
      <xdr:rowOff>171415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30150" y="3324225"/>
          <a:ext cx="2266950" cy="276190"/>
        </a:xfrm>
        <a:prstGeom prst="rect">
          <a:avLst/>
        </a:prstGeom>
      </xdr:spPr>
    </xdr:pic>
    <xdr:clientData/>
  </xdr:twoCellAnchor>
  <xdr:twoCellAnchor>
    <xdr:from>
      <xdr:col>11</xdr:col>
      <xdr:colOff>457200</xdr:colOff>
      <xdr:row>9</xdr:row>
      <xdr:rowOff>176212</xdr:rowOff>
    </xdr:from>
    <xdr:to>
      <xdr:col>13</xdr:col>
      <xdr:colOff>1600200</xdr:colOff>
      <xdr:row>24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0</xdr:row>
      <xdr:rowOff>161925</xdr:rowOff>
    </xdr:from>
    <xdr:to>
      <xdr:col>0</xdr:col>
      <xdr:colOff>2114550</xdr:colOff>
      <xdr:row>4</xdr:row>
      <xdr:rowOff>38100</xdr:rowOff>
    </xdr:to>
    <xdr:sp macro="" textlink="">
      <xdr:nvSpPr>
        <xdr:cNvPr id="5" name="Flecha: pentágon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80975" y="161925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CONTENIDO</a:t>
          </a:r>
        </a:p>
      </xdr:txBody>
    </xdr:sp>
    <xdr:clientData/>
  </xdr:twoCellAnchor>
  <xdr:twoCellAnchor>
    <xdr:from>
      <xdr:col>10</xdr:col>
      <xdr:colOff>1514475</xdr:colOff>
      <xdr:row>0</xdr:row>
      <xdr:rowOff>0</xdr:rowOff>
    </xdr:from>
    <xdr:to>
      <xdr:col>13</xdr:col>
      <xdr:colOff>371475</xdr:colOff>
      <xdr:row>10</xdr:row>
      <xdr:rowOff>128588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7</xdr:row>
      <xdr:rowOff>176212</xdr:rowOff>
    </xdr:from>
    <xdr:to>
      <xdr:col>13</xdr:col>
      <xdr:colOff>161925</xdr:colOff>
      <xdr:row>22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1</xdr:row>
      <xdr:rowOff>95250</xdr:rowOff>
    </xdr:from>
    <xdr:to>
      <xdr:col>1</xdr:col>
      <xdr:colOff>161925</xdr:colOff>
      <xdr:row>4</xdr:row>
      <xdr:rowOff>161925</xdr:rowOff>
    </xdr:to>
    <xdr:sp macro="" textlink="">
      <xdr:nvSpPr>
        <xdr:cNvPr id="3" name="Flecha: 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257175" y="285750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CONTENIDO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1133475</xdr:colOff>
      <xdr:row>19</xdr:row>
      <xdr:rowOff>33337</xdr:rowOff>
    </xdr:from>
    <xdr:to>
      <xdr:col>14</xdr:col>
      <xdr:colOff>228600</xdr:colOff>
      <xdr:row>33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0</xdr:row>
      <xdr:rowOff>152400</xdr:rowOff>
    </xdr:from>
    <xdr:to>
      <xdr:col>1</xdr:col>
      <xdr:colOff>390525</xdr:colOff>
      <xdr:row>4</xdr:row>
      <xdr:rowOff>28575</xdr:rowOff>
    </xdr:to>
    <xdr:sp macro="" textlink="">
      <xdr:nvSpPr>
        <xdr:cNvPr id="3" name="Flecha: 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209550" y="152400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CONTENIDO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104775</xdr:rowOff>
    </xdr:from>
    <xdr:to>
      <xdr:col>2</xdr:col>
      <xdr:colOff>381000</xdr:colOff>
      <xdr:row>3</xdr:row>
      <xdr:rowOff>171450</xdr:rowOff>
    </xdr:to>
    <xdr:sp macro="" textlink="">
      <xdr:nvSpPr>
        <xdr:cNvPr id="2" name="Flech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342900" y="104775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CONTENIDO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57150</xdr:rowOff>
    </xdr:from>
    <xdr:to>
      <xdr:col>1</xdr:col>
      <xdr:colOff>914400</xdr:colOff>
      <xdr:row>4</xdr:row>
      <xdr:rowOff>123825</xdr:rowOff>
    </xdr:to>
    <xdr:sp macro="" textlink="">
      <xdr:nvSpPr>
        <xdr:cNvPr id="2" name="Flech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09550" y="247650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CONTENIDO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3095625</xdr:colOff>
      <xdr:row>5</xdr:row>
      <xdr:rowOff>76200</xdr:rowOff>
    </xdr:from>
    <xdr:to>
      <xdr:col>2</xdr:col>
      <xdr:colOff>4067175</xdr:colOff>
      <xdr:row>5</xdr:row>
      <xdr:rowOff>485775</xdr:rowOff>
    </xdr:to>
    <xdr:sp macro="" textlink="">
      <xdr:nvSpPr>
        <xdr:cNvPr id="2" name="Rectángulo: bisel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81775" y="76200"/>
          <a:ext cx="971550" cy="409575"/>
        </a:xfrm>
        <a:prstGeom prst="bevel">
          <a:avLst/>
        </a:prstGeom>
        <a:solidFill>
          <a:schemeClr val="bg2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chemeClr val="tx1"/>
              </a:solidFill>
            </a:rPr>
            <a:t>MENU</a:t>
          </a:r>
        </a:p>
      </xdr:txBody>
    </xdr:sp>
    <xdr:clientData/>
  </xdr:twoCellAnchor>
  <xdr:twoCellAnchor>
    <xdr:from>
      <xdr:col>0</xdr:col>
      <xdr:colOff>276225</xdr:colOff>
      <xdr:row>0</xdr:row>
      <xdr:rowOff>152400</xdr:rowOff>
    </xdr:from>
    <xdr:to>
      <xdr:col>0</xdr:col>
      <xdr:colOff>2209800</xdr:colOff>
      <xdr:row>4</xdr:row>
      <xdr:rowOff>28575</xdr:rowOff>
    </xdr:to>
    <xdr:sp macro="" textlink="">
      <xdr:nvSpPr>
        <xdr:cNvPr id="3" name="Flecha: 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276225" y="152400"/>
          <a:ext cx="1933575" cy="63817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CONTENIDO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409575</xdr:rowOff>
    </xdr:from>
    <xdr:to>
      <xdr:col>10</xdr:col>
      <xdr:colOff>419100</xdr:colOff>
      <xdr:row>3</xdr:row>
      <xdr:rowOff>47625</xdr:rowOff>
    </xdr:to>
    <xdr:sp macro="" textlink="">
      <xdr:nvSpPr>
        <xdr:cNvPr id="2" name="Flech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20025" y="600075"/>
          <a:ext cx="1933575" cy="781050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CONTENIDO</a:t>
          </a:r>
        </a:p>
      </xdr:txBody>
    </xdr:sp>
    <xdr:clientData/>
  </xdr:twoCellAnchor>
  <xdr:twoCellAnchor>
    <xdr:from>
      <xdr:col>5</xdr:col>
      <xdr:colOff>133351</xdr:colOff>
      <xdr:row>1</xdr:row>
      <xdr:rowOff>28575</xdr:rowOff>
    </xdr:from>
    <xdr:to>
      <xdr:col>5</xdr:col>
      <xdr:colOff>1009651</xdr:colOff>
      <xdr:row>1</xdr:row>
      <xdr:rowOff>495300</xdr:rowOff>
    </xdr:to>
    <xdr:sp macro="" textlink="">
      <xdr:nvSpPr>
        <xdr:cNvPr id="3" name="Flecha: 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67151" y="219075"/>
          <a:ext cx="876300" cy="46672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000" b="1"/>
            <a:t>FLUJOS DE CAJA</a:t>
          </a:r>
        </a:p>
      </xdr:txBody>
    </xdr:sp>
    <xdr:clientData/>
  </xdr:twoCellAnchor>
  <xdr:twoCellAnchor>
    <xdr:from>
      <xdr:col>6</xdr:col>
      <xdr:colOff>117476</xdr:colOff>
      <xdr:row>6</xdr:row>
      <xdr:rowOff>62442</xdr:rowOff>
    </xdr:from>
    <xdr:to>
      <xdr:col>11</xdr:col>
      <xdr:colOff>1619250</xdr:colOff>
      <xdr:row>20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447675</xdr:colOff>
      <xdr:row>27</xdr:row>
      <xdr:rowOff>52387</xdr:rowOff>
    </xdr:from>
    <xdr:to>
      <xdr:col>11</xdr:col>
      <xdr:colOff>1209675</xdr:colOff>
      <xdr:row>41</xdr:row>
      <xdr:rowOff>128587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152400</xdr:colOff>
      <xdr:row>3</xdr:row>
      <xdr:rowOff>47625</xdr:rowOff>
    </xdr:from>
    <xdr:to>
      <xdr:col>5</xdr:col>
      <xdr:colOff>1028700</xdr:colOff>
      <xdr:row>3</xdr:row>
      <xdr:rowOff>514350</xdr:rowOff>
    </xdr:to>
    <xdr:sp macro="" textlink="">
      <xdr:nvSpPr>
        <xdr:cNvPr id="8" name="Flecha: pentágon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5" y="1381125"/>
          <a:ext cx="876300" cy="466725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000" b="1"/>
            <a:t>Punto 3</a:t>
          </a:r>
        </a:p>
      </xdr:txBody>
    </xdr:sp>
    <xdr:clientData/>
  </xdr:twoCellAnchor>
  <xdr:twoCellAnchor editAs="oneCell">
    <xdr:from>
      <xdr:col>0</xdr:col>
      <xdr:colOff>21166</xdr:colOff>
      <xdr:row>45</xdr:row>
      <xdr:rowOff>63501</xdr:rowOff>
    </xdr:from>
    <xdr:to>
      <xdr:col>7</xdr:col>
      <xdr:colOff>515408</xdr:colOff>
      <xdr:row>75</xdr:row>
      <xdr:rowOff>177801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11821584"/>
          <a:ext cx="7553325" cy="5829300"/>
        </a:xfrm>
        <a:prstGeom prst="rect">
          <a:avLst/>
        </a:prstGeom>
      </xdr:spPr>
    </xdr:pic>
    <xdr:clientData/>
  </xdr:twoCellAnchor>
  <xdr:twoCellAnchor editAs="oneCell">
    <xdr:from>
      <xdr:col>7</xdr:col>
      <xdr:colOff>560916</xdr:colOff>
      <xdr:row>45</xdr:row>
      <xdr:rowOff>42334</xdr:rowOff>
    </xdr:from>
    <xdr:to>
      <xdr:col>15</xdr:col>
      <xdr:colOff>620182</xdr:colOff>
      <xdr:row>75</xdr:row>
      <xdr:rowOff>118534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9" y="11800417"/>
          <a:ext cx="7562850" cy="5791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551809</xdr:colOff>
      <xdr:row>23</xdr:row>
      <xdr:rowOff>123262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23809" cy="45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SING\Unidad%20C\00-2004\San%20Pedro\Lagunas\Linea%20de%20Impul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\ege$\Buenaventura\Junta%20Directiva\Junta%20Junio_03\Nueva%20carpeta\MAF%202002%20v3.0%20ET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9\financiero\Documents%20and%20Settings\Andres%20Henao\Escritorio\Gescomer\Valoraci&#243;n%20GESCOM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\ege$\Users\destrada\Desktop\FORMATO%20DISTRIBUCION%2020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\ege$\Documents%20and%20Settings\myriamg\Configuraci&#243;n%20local\Archivos%20temporales%20de%20Internet\OLK5\Informe%20GERENCIAL-FEBRE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4\licitaciones$\Documents%20and%20Settings\myriamg\Configuraci&#243;n%20local\Archivos%20temporales%20de%20Internet\OLK5\Informe%20GERENCIAL-FEBRE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\ege$\Users\eceballos\AppData\Local\Microsoft\Windows\Temporary%20Internet%20Files\Content.Outlook\PJ8RG4T1\Proceso%20Fro%20v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\ege$\USUARIOS\PROFESIONAL%201\PTARD%20SONSON\CALCUL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\ege$\Documents%20and%20Settings\cgomez\Datos%20de%20programa\Microsoft\Excel\EXPERIENCIA%20CONHYDRA\EXPERIENCIA%20CONHYDR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\ege$\GESTION%20DE%20PROYECTOS\1.%20PROYECTOS\EXPERIENCIA%20CONHYDRA\EXPERIENCIA%20CONHYD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\ege$\Users\ibedoya\Desktop\escritorio\calidad\Definitivos\FORMATO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\ege$\Users\eceballos\AppData\Local\Microsoft\Windows\Temporary%20Internet%20Files\Content.Outlook\4SECDOHE\Pto%20Organizaci&#243;n%202012%20v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IRO/Desktop/Copia%20de%20CAPM%20La%20No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didas"/>
      <sheetName val="Curva-sistema"/>
      <sheetName val="Curva.bomba"/>
      <sheetName val="Datos-Gráfica-Apartada"/>
      <sheetName val="Gráf.-Apartada-01"/>
      <sheetName val="Datos Garavito"/>
      <sheetName val="Gráfica Garavito"/>
      <sheetName val="Curva_bomba"/>
      <sheetName val="Gráf_-Apartada-01"/>
      <sheetName val="Datos_Garavito"/>
      <sheetName val="Gráfica_Garavit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Menu"/>
      <sheetName val="Hoja2"/>
      <sheetName val="PYGAA"/>
      <sheetName val="Hoja1"/>
      <sheetName val="BAA"/>
      <sheetName val="PYGPM"/>
      <sheetName val="Ingresos"/>
      <sheetName val="CYG"/>
      <sheetName val="CVS"/>
      <sheetName val="DAPA"/>
      <sheetName val="NOC"/>
      <sheetName val="NOA"/>
      <sheetName val="PYGA"/>
      <sheetName val="Inversiones"/>
      <sheetName val="Deuda"/>
      <sheetName val="Balance"/>
      <sheetName val="RE"/>
      <sheetName val="PYGA vs PPTO"/>
      <sheetName val="BC"/>
      <sheetName val="ANALISIS V Y H_PYG"/>
      <sheetName val="ANALISIS V Y H_BALANCE"/>
      <sheetName val="IAA"/>
      <sheetName val="IA"/>
      <sheetName val="GA"/>
      <sheetName val="Graficas Gestion"/>
      <sheetName val="Graficas Cobertura"/>
      <sheetName val="Graficas Rentabilidad"/>
      <sheetName val="Graficas Endeudamiento"/>
      <sheetName val="GPR"/>
      <sheetName val="PYGE"/>
      <sheetName val="Comentarios"/>
      <sheetName val="Pendiente"/>
      <sheetName val="FCL"/>
      <sheetName val="Detalle Gastos (2)"/>
      <sheetName val="MAF 2002 v3.0 ETP"/>
      <sheetName val="Maestros"/>
      <sheetName val="PYGA_vs_PPTO"/>
      <sheetName val="ANALISIS_V_Y_H_PYG"/>
      <sheetName val="ANALISIS_V_Y_H_BALANCE"/>
      <sheetName val="Graficas_Gestion"/>
      <sheetName val="Graficas_Cobertura"/>
      <sheetName val="Graficas_Rentabilidad"/>
      <sheetName val="Graficas_Endeudamiento"/>
      <sheetName val="Detalle_Gastos_(2)"/>
      <sheetName val="MAF_2002_v3_0_ETP"/>
      <sheetName val="PYGA_vs_PPTO1"/>
      <sheetName val="ANALISIS_V_Y_H_PYG1"/>
      <sheetName val="ANALISIS_V_Y_H_BALANCE1"/>
      <sheetName val="Graficas_Gestion1"/>
      <sheetName val="Graficas_Cobertura1"/>
      <sheetName val="Graficas_Rentabilidad1"/>
      <sheetName val="Graficas_Endeudamiento1"/>
      <sheetName val="Detalle_Gastos_(2)1"/>
      <sheetName val="MAF_2002_v3_0_ETP1"/>
    </sheetNames>
    <sheetDataSet>
      <sheetData sheetId="0" refreshError="1">
        <row r="10">
          <cell r="B10" t="str">
            <v>EMPRESA DE TELECOMUNICACIONES DE PEREIRA S.A E.S.P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79">
          <cell r="A79" t="str">
            <v>Ingresos</v>
          </cell>
          <cell r="B79" t="str">
            <v>ene</v>
          </cell>
          <cell r="C79" t="str">
            <v>feb</v>
          </cell>
          <cell r="D79" t="str">
            <v>mar</v>
          </cell>
          <cell r="E79" t="str">
            <v>abr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ago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dic</v>
          </cell>
        </row>
        <row r="80">
          <cell r="A80" t="str">
            <v>Año Anterior</v>
          </cell>
          <cell r="B80">
            <v>5776.8319672100006</v>
          </cell>
          <cell r="C80">
            <v>5381.3600170000009</v>
          </cell>
          <cell r="D80">
            <v>5546.7753640000001</v>
          </cell>
          <cell r="E80">
            <v>6097.6109500000002</v>
          </cell>
          <cell r="F80">
            <v>5808.8402259999993</v>
          </cell>
          <cell r="G80">
            <v>5997.9372949999988</v>
          </cell>
          <cell r="H80">
            <v>5945.5037939999993</v>
          </cell>
          <cell r="I80">
            <v>6002.4031240000013</v>
          </cell>
          <cell r="J80">
            <v>5940.1387109999996</v>
          </cell>
          <cell r="K80">
            <v>5819.172190000002</v>
          </cell>
          <cell r="L80">
            <v>5973.7063900000003</v>
          </cell>
          <cell r="M80">
            <v>5929.4293000000007</v>
          </cell>
          <cell r="O80">
            <v>2001</v>
          </cell>
          <cell r="P80" t="str">
            <v>Ingresos 2001-2002</v>
          </cell>
        </row>
        <row r="81">
          <cell r="A81" t="str">
            <v>Actual</v>
          </cell>
          <cell r="B81">
            <v>6259.5127500000008</v>
          </cell>
          <cell r="C81">
            <v>6299.3732099999988</v>
          </cell>
          <cell r="D81">
            <v>6188.8499999999995</v>
          </cell>
          <cell r="E81" t="e">
            <v>#N/A</v>
          </cell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O81">
            <v>2002</v>
          </cell>
        </row>
        <row r="82">
          <cell r="A82" t="str">
            <v>Presupuesto</v>
          </cell>
        </row>
        <row r="83">
          <cell r="A83" t="str">
            <v>Año Anterior</v>
          </cell>
        </row>
        <row r="84">
          <cell r="A84" t="str">
            <v>Actual</v>
          </cell>
          <cell r="B84">
            <v>6457.4601837579958</v>
          </cell>
          <cell r="C84">
            <v>6407.1181185490132</v>
          </cell>
          <cell r="D84">
            <v>7733.0662378879169</v>
          </cell>
          <cell r="E84">
            <v>7051.3550692503095</v>
          </cell>
          <cell r="F84">
            <v>7127.4620406981476</v>
          </cell>
          <cell r="G84">
            <v>7125.6482614188762</v>
          </cell>
          <cell r="H84">
            <v>7107.2212920939401</v>
          </cell>
          <cell r="I84">
            <v>7107.7489416625949</v>
          </cell>
          <cell r="J84">
            <v>6958.8927587539965</v>
          </cell>
          <cell r="K84">
            <v>7262.2480429598099</v>
          </cell>
          <cell r="L84">
            <v>7387.219797169847</v>
          </cell>
          <cell r="M84">
            <v>7471.8768135128457</v>
          </cell>
          <cell r="P84" t="str">
            <v>Presupuesto 2002</v>
          </cell>
        </row>
        <row r="86">
          <cell r="A86" t="str">
            <v>EBITDA</v>
          </cell>
        </row>
        <row r="87">
          <cell r="A87" t="str">
            <v>Año Anterior</v>
          </cell>
          <cell r="B87">
            <v>3954.9838056100007</v>
          </cell>
          <cell r="C87">
            <v>3420.0506926900007</v>
          </cell>
          <cell r="D87">
            <v>3515.9583439999997</v>
          </cell>
          <cell r="E87">
            <v>4091.8118130800008</v>
          </cell>
          <cell r="F87">
            <v>3801.3875059999991</v>
          </cell>
          <cell r="G87">
            <v>3870.617647999999</v>
          </cell>
          <cell r="H87">
            <v>3779.1297489999988</v>
          </cell>
          <cell r="I87">
            <v>3947.3142520000015</v>
          </cell>
          <cell r="J87">
            <v>3822.8810279999993</v>
          </cell>
          <cell r="K87">
            <v>2961.8954900000026</v>
          </cell>
          <cell r="L87">
            <v>3904.8028600000002</v>
          </cell>
          <cell r="M87">
            <v>3008.8168950000008</v>
          </cell>
        </row>
        <row r="88">
          <cell r="A88" t="str">
            <v>Actual</v>
          </cell>
          <cell r="B88">
            <v>3935.1538400000013</v>
          </cell>
          <cell r="C88">
            <v>3746.2086759999984</v>
          </cell>
          <cell r="D88">
            <v>3674.136</v>
          </cell>
          <cell r="E88" t="e">
            <v>#N/A</v>
          </cell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</row>
        <row r="89">
          <cell r="A89" t="str">
            <v>Presupuesto</v>
          </cell>
        </row>
        <row r="90">
          <cell r="A90" t="str">
            <v>Año Anterior</v>
          </cell>
        </row>
        <row r="91">
          <cell r="A91" t="str">
            <v>Actual</v>
          </cell>
          <cell r="B91">
            <v>3732.9596850389612</v>
          </cell>
          <cell r="C91">
            <v>2652.8511022777716</v>
          </cell>
          <cell r="D91">
            <v>4983.1495578236463</v>
          </cell>
          <cell r="E91">
            <v>3838.5048262197565</v>
          </cell>
          <cell r="F91">
            <v>4161.7446418711834</v>
          </cell>
          <cell r="G91">
            <v>4279.9136422826632</v>
          </cell>
          <cell r="H91">
            <v>3880.6419123966803</v>
          </cell>
          <cell r="I91">
            <v>4163.3063927717239</v>
          </cell>
          <cell r="J91">
            <v>4127.5069597394004</v>
          </cell>
          <cell r="K91">
            <v>4077.892675940192</v>
          </cell>
          <cell r="L91">
            <v>4572.9081132312704</v>
          </cell>
          <cell r="M91">
            <v>5066.2950613495786</v>
          </cell>
          <cell r="P91" t="str">
            <v>Actual 2001-2002</v>
          </cell>
        </row>
        <row r="93">
          <cell r="A93" t="str">
            <v>Costos y Gastos</v>
          </cell>
        </row>
        <row r="94">
          <cell r="A94" t="str">
            <v>Año Anterior</v>
          </cell>
          <cell r="B94">
            <v>1736.5998106000002</v>
          </cell>
          <cell r="C94">
            <v>1879.6024593100001</v>
          </cell>
          <cell r="D94">
            <v>1946.8494700000001</v>
          </cell>
          <cell r="E94">
            <v>1921.0356819200001</v>
          </cell>
          <cell r="F94">
            <v>1920.8929740000001</v>
          </cell>
          <cell r="G94">
            <v>2039.1923630000001</v>
          </cell>
          <cell r="H94">
            <v>2076.8173840000004</v>
          </cell>
          <cell r="I94">
            <v>1963.186678</v>
          </cell>
          <cell r="J94">
            <v>2022.8546039999999</v>
          </cell>
          <cell r="K94">
            <v>2761.5836299999996</v>
          </cell>
          <cell r="L94">
            <v>1972.2265499999999</v>
          </cell>
          <cell r="M94">
            <v>2822.2677549999999</v>
          </cell>
          <cell r="P94" t="str">
            <v>Actual 2001-2002</v>
          </cell>
        </row>
        <row r="95">
          <cell r="A95" t="str">
            <v>Actual</v>
          </cell>
          <cell r="B95">
            <v>2091.5726300000001</v>
          </cell>
          <cell r="C95">
            <v>2323.1821440000003</v>
          </cell>
          <cell r="D95">
            <v>2257.3809999999999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</row>
        <row r="96">
          <cell r="A96" t="str">
            <v>Presupuesto</v>
          </cell>
        </row>
        <row r="97">
          <cell r="A97" t="str">
            <v>Año Anterior</v>
          </cell>
          <cell r="P97" t="str">
            <v>Presupuesto 2002</v>
          </cell>
        </row>
        <row r="98">
          <cell r="A98" t="str">
            <v>Actual</v>
          </cell>
          <cell r="B98">
            <v>2624.0004987190346</v>
          </cell>
          <cell r="C98">
            <v>3652.7620162712415</v>
          </cell>
          <cell r="D98">
            <v>2647.3966300642705</v>
          </cell>
          <cell r="E98">
            <v>3109.3049925305531</v>
          </cell>
          <cell r="F98">
            <v>2861.1366958219637</v>
          </cell>
          <cell r="G98">
            <v>2740.1081091011629</v>
          </cell>
          <cell r="H98">
            <v>3119.8966045618599</v>
          </cell>
          <cell r="I98">
            <v>2836.692946004116</v>
          </cell>
          <cell r="J98">
            <v>2722.558700098974</v>
          </cell>
          <cell r="K98">
            <v>3074.4399971148391</v>
          </cell>
          <cell r="L98">
            <v>2703.2971603347501</v>
          </cell>
          <cell r="M98">
            <v>2293.4570833234029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5">
          <cell r="B5">
            <v>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EFF's"/>
      <sheetName val="Supuestos"/>
      <sheetName val="Base"/>
      <sheetName val="WACC"/>
      <sheetName val="PL Proy"/>
      <sheetName val="FCL Proy"/>
      <sheetName val="Vración"/>
      <sheetName val="Sensib"/>
      <sheetName val="Múltiplos"/>
      <sheetName val="Gráficos"/>
      <sheetName val="Impresión"/>
      <sheetName val="Betas"/>
      <sheetName val="Datos"/>
      <sheetName val="Base Sensib"/>
      <sheetName val="PL_Proy"/>
      <sheetName val="FCL_Proy"/>
      <sheetName val="Base_Sensib"/>
    </sheetNames>
    <sheetDataSet>
      <sheetData sheetId="0"/>
      <sheetData sheetId="1">
        <row r="47">
          <cell r="B47" t="str">
            <v>Otros Activos</v>
          </cell>
        </row>
      </sheetData>
      <sheetData sheetId="2"/>
      <sheetData sheetId="3"/>
      <sheetData sheetId="4">
        <row r="2">
          <cell r="B2" t="str">
            <v>G E S C O M E R   S . A .</v>
          </cell>
        </row>
      </sheetData>
      <sheetData sheetId="5">
        <row r="8">
          <cell r="B8" t="str">
            <v>Ventas Netas</v>
          </cell>
        </row>
      </sheetData>
      <sheetData sheetId="6"/>
      <sheetData sheetId="7"/>
      <sheetData sheetId="8"/>
      <sheetData sheetId="9">
        <row r="2">
          <cell r="B2" t="str">
            <v>G E S C O M E R   S . A .</v>
          </cell>
        </row>
      </sheetData>
      <sheetData sheetId="10"/>
      <sheetData sheetId="11"/>
      <sheetData sheetId="12">
        <row r="6">
          <cell r="C6" t="str">
            <v>(Promedio Mercado)</v>
          </cell>
        </row>
      </sheetData>
      <sheetData sheetId="13"/>
      <sheetData sheetId="14"/>
      <sheetData sheetId="15">
        <row r="8">
          <cell r="B8" t="str">
            <v>Ventas Netas</v>
          </cell>
        </row>
      </sheetData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Contabilizacion"/>
      <sheetName val="BD Movimiento"/>
      <sheetName val="Areas"/>
      <sheetName val="Listas"/>
      <sheetName val="BD Proveedores"/>
      <sheetName val="Centro de Costos"/>
      <sheetName val="Plantilla DMS"/>
      <sheetName val="Consultores"/>
      <sheetName val="BD_Movimiento"/>
      <sheetName val="BD_Proveedores"/>
      <sheetName val="Centro_de_Costos"/>
      <sheetName val="Plantilla_DMS"/>
    </sheetNames>
    <sheetDataSet>
      <sheetData sheetId="0"/>
      <sheetData sheetId="1"/>
      <sheetData sheetId="2"/>
      <sheetData sheetId="3"/>
      <sheetData sheetId="4">
        <row r="2">
          <cell r="F2" t="str">
            <v>Ahorros</v>
          </cell>
          <cell r="G2" t="str">
            <v>Bancolombia</v>
          </cell>
        </row>
        <row r="3">
          <cell r="F3" t="str">
            <v>Corriente</v>
          </cell>
          <cell r="G3" t="str">
            <v>Banco de Bogota</v>
          </cell>
        </row>
        <row r="4">
          <cell r="G4" t="str">
            <v>Davivienda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Pn"/>
      <sheetName val="Paradas"/>
      <sheetName val="OEE"/>
      <sheetName val=" Paradas Totales x Maquina"/>
      <sheetName val="Paradas x Grupo"/>
      <sheetName val="P. Prog x Maq (Tiempo Acum)"/>
      <sheetName val="P. Prog x Maq (Promedio)"/>
      <sheetName val="Paradas x Operario"/>
      <sheetName val="P.Prog x Ope (Acum)"/>
      <sheetName val="P. Prog x Ope (Promedio)"/>
      <sheetName val="Cuadro_Pn"/>
      <sheetName val="_Paradas_Totales_x_Maquina"/>
      <sheetName val="Paradas_x_Grupo"/>
      <sheetName val="P__Prog_x_Maq_(Tiempo_Acum)"/>
      <sheetName val="P__Prog_x_Maq_(Promedio)"/>
      <sheetName val="Paradas_x_Operario"/>
      <sheetName val="P_Prog_x_Ope_(Acum)"/>
      <sheetName val="P__Prog_x_Ope_(Promedio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Pn"/>
      <sheetName val="Paradas"/>
      <sheetName val="OEE"/>
      <sheetName val=" Paradas Totales x Maquina"/>
      <sheetName val="Paradas x Grupo"/>
      <sheetName val="P. Prog x Maq (Tiempo Acum)"/>
      <sheetName val="P. Prog x Maq (Promedio)"/>
      <sheetName val="Paradas x Operario"/>
      <sheetName val="P.Prog x Ope (Acum)"/>
      <sheetName val="P. Prog x Ope (Promedio)"/>
      <sheetName val="Cuadro_Pn"/>
      <sheetName val="_Paradas_Totales_x_Maquina"/>
      <sheetName val="Paradas_x_Grupo"/>
      <sheetName val="P__Prog_x_Maq_(Tiempo_Acum)"/>
      <sheetName val="P__Prog_x_Maq_(Promedio)"/>
      <sheetName val="Paradas_x_Operario"/>
      <sheetName val="P_Prog_x_Ope_(Acum)"/>
      <sheetName val="P__Prog_x_Ope_(Promedio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KIT"/>
      <sheetName val="P. Presupuesto"/>
      <sheetName val="P. Tesoreria"/>
      <sheetName val="Proceso Compras"/>
      <sheetName val="Formato 2"/>
      <sheetName val="Formato 3"/>
      <sheetName val="F. Cotización E 1"/>
      <sheetName val="F.Cotizacion N 2"/>
      <sheetName val="BD. Cotizacion"/>
      <sheetName val="F. Orden de Compra"/>
      <sheetName val="F-ADM-001 (2)"/>
      <sheetName val="F-ADM-001"/>
      <sheetName val=" BD Orden de compra"/>
      <sheetName val="F. Proveedor Nuevo "/>
      <sheetName val="BD Proveedor"/>
      <sheetName val="Centros de Costos"/>
      <sheetName val="Listas"/>
      <sheetName val="Instructivo 1"/>
      <sheetName val="Instructivo 2"/>
      <sheetName val="Formato 4"/>
      <sheetName val="Formato 5"/>
      <sheetName val="Formato_KIT"/>
      <sheetName val="P__Presupuesto"/>
      <sheetName val="P__Tesoreria"/>
      <sheetName val="Proceso_Compras"/>
      <sheetName val="Formato_2"/>
      <sheetName val="Formato_3"/>
      <sheetName val="F__Cotización_E_1"/>
      <sheetName val="F_Cotizacion_N_2"/>
      <sheetName val="BD__Cotizacion"/>
      <sheetName val="F__Orden_de_Compra"/>
      <sheetName val="F-ADM-001_(2)"/>
      <sheetName val="_BD_Orden_de_compra"/>
      <sheetName val="F__Proveedor_Nuevo_"/>
      <sheetName val="BD_Proveedor"/>
      <sheetName val="Centros_de_Costos"/>
      <sheetName val="Instructivo_1"/>
      <sheetName val="Instructivo_2"/>
      <sheetName val="Formato_4"/>
      <sheetName val="Formato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C2" t="str">
            <v>ALIMENTICIO Y BEBIDA</v>
          </cell>
          <cell r="D2" t="str">
            <v>SI</v>
          </cell>
          <cell r="E2" t="str">
            <v>OCASIONAL</v>
          </cell>
          <cell r="F2" t="str">
            <v>NATURAL</v>
          </cell>
          <cell r="G2" t="str">
            <v xml:space="preserve">PRODUCTO </v>
          </cell>
          <cell r="H2" t="str">
            <v>ACTIVO</v>
          </cell>
          <cell r="I2" t="str">
            <v>COLOMBIA</v>
          </cell>
        </row>
        <row r="3">
          <cell r="C3" t="str">
            <v>CONSTRUCCION</v>
          </cell>
          <cell r="D3" t="str">
            <v>NO</v>
          </cell>
          <cell r="E3" t="str">
            <v>PERMANENTE</v>
          </cell>
          <cell r="F3" t="str">
            <v>JURIDICA</v>
          </cell>
          <cell r="G3" t="str">
            <v>SERVICIO</v>
          </cell>
          <cell r="H3" t="str">
            <v>INACTIVO</v>
          </cell>
          <cell r="I3" t="str">
            <v>PERU</v>
          </cell>
        </row>
        <row r="4">
          <cell r="C4" t="str">
            <v>ENERGETICOS</v>
          </cell>
          <cell r="I4" t="str">
            <v>HONDURAS</v>
          </cell>
        </row>
        <row r="5">
          <cell r="C5" t="str">
            <v>MAQUINARIA</v>
          </cell>
        </row>
        <row r="6">
          <cell r="C6" t="str">
            <v>METALICO</v>
          </cell>
        </row>
        <row r="7">
          <cell r="C7" t="str">
            <v>PAPEL E IMPRENTA</v>
          </cell>
        </row>
        <row r="8">
          <cell r="C8" t="str">
            <v>PRODUCTOS QUIMICOS</v>
          </cell>
        </row>
        <row r="9">
          <cell r="C9" t="str">
            <v>SERVICIO INGENIERIA</v>
          </cell>
        </row>
        <row r="10">
          <cell r="C10" t="str">
            <v>SERVICIOS PROFECIONALES</v>
          </cell>
        </row>
        <row r="11">
          <cell r="C11" t="str">
            <v>SERVICIOS PUBLICOS</v>
          </cell>
        </row>
        <row r="12">
          <cell r="C12" t="str">
            <v>TRANSPORTE</v>
          </cell>
        </row>
        <row r="13">
          <cell r="C13" t="str">
            <v>OTRO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ARIO FINAL"/>
      <sheetName val="EFLUENTE ALIVIO PRELIMINAR"/>
      <sheetName val="ALIVIO GRUESO"/>
      <sheetName val="DESCOLE FINAL"/>
      <sheetName val="EFLUENTE FINAL DECANTADORES"/>
      <sheetName val="ORIFICIOS"/>
      <sheetName val="CALCULOS"/>
      <sheetName val="SEDIMENTADORES"/>
      <sheetName val="CHEQUEO "/>
      <sheetName val="EMISARIO_FINAL"/>
      <sheetName val="EFLUENTE_ALIVIO_PRELIMINAR"/>
      <sheetName val="ALIVIO_GRUESO"/>
      <sheetName val="DESCOLE_FINAL"/>
      <sheetName val="EFLUENTE_FINAL_DECANTADORES"/>
      <sheetName val="CHEQUEO_"/>
      <sheetName val="EMISARIO_FINAL1"/>
      <sheetName val="EFLUENTE_ALIVIO_PRELIMINAR1"/>
      <sheetName val="ALIVIO_GRUESO1"/>
      <sheetName val="DESCOLE_FINAL1"/>
      <sheetName val="EFLUENTE_FINAL_DECANTADORES1"/>
      <sheetName val="CHEQUE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>
            <v>0.1278</v>
          </cell>
        </row>
      </sheetData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IFICACION RUP"/>
      <sheetName val="ACTIVIDADES RUP"/>
      <sheetName val="BASE DE DATOS"/>
      <sheetName val="INDICADORES ECONOMICOS"/>
      <sheetName val="Hoja1"/>
      <sheetName val="CALIFICACION_RUP3"/>
      <sheetName val="ACTIVIDADES_RUP3"/>
      <sheetName val="BASE_DE_DATOS3"/>
      <sheetName val="INDICADORES_ECONOMICOS3"/>
      <sheetName val="CALIFICACION_RUP"/>
      <sheetName val="ACTIVIDADES_RUP"/>
      <sheetName val="BASE_DE_DATOS"/>
      <sheetName val="INDICADORES_ECONOMICOS"/>
      <sheetName val="CALIFICACION_RUP1"/>
      <sheetName val="ACTIVIDADES_RUP1"/>
      <sheetName val="BASE_DE_DATOS1"/>
      <sheetName val="INDICADORES_ECONOMICOS1"/>
      <sheetName val="CALIFICACION_RUP2"/>
      <sheetName val="ACTIVIDADES_RUP2"/>
      <sheetName val="BASE_DE_DATOS2"/>
      <sheetName val="INDICADORES_ECONOMICOS2"/>
    </sheetNames>
    <sheetDataSet>
      <sheetData sheetId="0"/>
      <sheetData sheetId="1"/>
      <sheetData sheetId="2"/>
      <sheetData sheetId="3">
        <row r="13">
          <cell r="E13" t="str">
            <v>ACOAGUA</v>
          </cell>
        </row>
        <row r="14">
          <cell r="E14" t="str">
            <v>EGEAGUA</v>
          </cell>
        </row>
        <row r="15">
          <cell r="E15" t="str">
            <v>CONAGUA</v>
          </cell>
        </row>
        <row r="16">
          <cell r="E16" t="str">
            <v>SIAGUA</v>
          </cell>
        </row>
      </sheetData>
      <sheetData sheetId="4"/>
      <sheetData sheetId="5"/>
      <sheetData sheetId="6"/>
      <sheetData sheetId="7"/>
      <sheetData sheetId="8">
        <row r="13">
          <cell r="E13" t="str">
            <v>ACOAGUA</v>
          </cell>
        </row>
      </sheetData>
      <sheetData sheetId="9"/>
      <sheetData sheetId="10"/>
      <sheetData sheetId="11"/>
      <sheetData sheetId="12">
        <row r="13">
          <cell r="E13" t="str">
            <v>ACOAGUA</v>
          </cell>
        </row>
      </sheetData>
      <sheetData sheetId="13"/>
      <sheetData sheetId="14"/>
      <sheetData sheetId="15"/>
      <sheetData sheetId="16">
        <row r="13">
          <cell r="E13" t="str">
            <v>ACOAGUA</v>
          </cell>
        </row>
      </sheetData>
      <sheetData sheetId="17"/>
      <sheetData sheetId="18"/>
      <sheetData sheetId="19"/>
      <sheetData sheetId="20">
        <row r="13">
          <cell r="E13" t="str">
            <v>ACOAGUA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IFICACION RUP"/>
      <sheetName val="ACTIVIDADES RUP"/>
      <sheetName val="BASE DE DATOS"/>
      <sheetName val="INDICADORES ECONOMICOS"/>
      <sheetName val="Hoja1"/>
      <sheetName val="CALIFICACION_RUP"/>
      <sheetName val="ACTIVIDADES_RUP"/>
      <sheetName val="BASE_DE_DATOS"/>
      <sheetName val="INDICADORES_ECONOMICOS"/>
    </sheetNames>
    <sheetDataSet>
      <sheetData sheetId="0"/>
      <sheetData sheetId="1"/>
      <sheetData sheetId="2"/>
      <sheetData sheetId="3">
        <row r="13">
          <cell r="E13" t="str">
            <v>ACOAGUA</v>
          </cell>
        </row>
        <row r="14">
          <cell r="E14" t="str">
            <v>EGEAGUA</v>
          </cell>
        </row>
        <row r="15">
          <cell r="E15" t="str">
            <v>CONAGUA</v>
          </cell>
        </row>
        <row r="16">
          <cell r="E16" t="str">
            <v>SIAGUA</v>
          </cell>
        </row>
      </sheetData>
      <sheetData sheetId="4"/>
      <sheetData sheetId="5"/>
      <sheetData sheetId="6"/>
      <sheetData sheetId="7"/>
      <sheetData sheetId="8">
        <row r="13">
          <cell r="E13" t="str">
            <v>ACOAGUA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PRO-001"/>
      <sheetName val="F-PRO-002"/>
      <sheetName val="F-PRO-003"/>
      <sheetName val="F-PRO-004"/>
      <sheetName val="F-PRO-005"/>
      <sheetName val="F-PRO-006"/>
      <sheetName val="F-PRO-00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ORG"/>
      <sheetName val="Presupuestado"/>
      <sheetName val="Ejecutado"/>
      <sheetName val="Cedros"/>
      <sheetName val="Hidropacifico"/>
      <sheetName val="Conhydra"/>
      <sheetName val="Gescomer"/>
      <sheetName val="Ppto acumulado"/>
      <sheetName val="Eje Acumulado"/>
      <sheetName val="Mes"/>
      <sheetName val="listas"/>
      <sheetName val="INFO_ORG"/>
      <sheetName val="Ppto_acumulado"/>
      <sheetName val="Eje_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>
            <v>1</v>
          </cell>
        </row>
        <row r="3">
          <cell r="C3">
            <v>1000</v>
          </cell>
        </row>
        <row r="4">
          <cell r="C4">
            <v>1000000</v>
          </cell>
        </row>
      </sheetData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arrollo"/>
      <sheetName val="Solución"/>
    </sheetNames>
    <sheetDataSet>
      <sheetData sheetId="0">
        <row r="120">
          <cell r="F120">
            <v>2.4275493522869507E-2</v>
          </cell>
        </row>
        <row r="121">
          <cell r="S121">
            <v>8.8390978227032457E-2</v>
          </cell>
        </row>
        <row r="123">
          <cell r="J123">
            <v>2.1297227976400834E-2</v>
          </cell>
        </row>
        <row r="124">
          <cell r="E124">
            <v>4.1685974367038775E-2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K106" totalsRowShown="0" headerRowDxfId="14" headerRowBorderDxfId="13" tableBorderDxfId="12" totalsRowBorderDxfId="11">
  <autoFilter ref="A10:K106" xr:uid="{00000000-0009-0000-0100-000001000000}"/>
  <tableColumns count="11">
    <tableColumn id="1" xr3:uid="{00000000-0010-0000-0000-000001000000}" name="Industry Name" dataDxfId="10"/>
    <tableColumn id="2" xr3:uid="{00000000-0010-0000-0000-000002000000}" name="Number of firms" dataDxfId="9"/>
    <tableColumn id="3" xr3:uid="{00000000-0010-0000-0000-000003000000}" name="Beta " dataDxfId="8"/>
    <tableColumn id="4" xr3:uid="{00000000-0010-0000-0000-000004000000}" name="D/E Ratio" dataDxfId="7"/>
    <tableColumn id="5" xr3:uid="{00000000-0010-0000-0000-000005000000}" name="Effective Tax rate" dataDxfId="6"/>
    <tableColumn id="6" xr3:uid="{00000000-0010-0000-0000-000006000000}" name="Unlevered beta" dataDxfId="5">
      <calculatedColumnFormula>IF($F$8="Effective",C11/(1+(1-E11)*D11),C11/(1+(1-$F$9)*D11))</calculatedColumnFormula>
    </tableColumn>
    <tableColumn id="7" xr3:uid="{00000000-0010-0000-0000-000007000000}" name="Cash/Firm value" dataDxfId="4"/>
    <tableColumn id="8" xr3:uid="{00000000-0010-0000-0000-000008000000}" name="Unlevered beta corrected for cash" dataDxfId="3">
      <calculatedColumnFormula>F11/(1-G11)</calculatedColumnFormula>
    </tableColumn>
    <tableColumn id="9" xr3:uid="{00000000-0010-0000-0000-000009000000}" name="HiLo Risk" dataDxfId="2"/>
    <tableColumn id="10" xr3:uid="{00000000-0010-0000-0000-00000A000000}" name="Standard deviation of equity" dataDxfId="1"/>
    <tableColumn id="11" xr3:uid="{00000000-0010-0000-0000-00000B000000}" name="Standard deviation in operating income (last 10 years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ern.nyu.edu/~adamodar/New_Home_Page/data.html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www.damodaran.com/" TargetMode="External"/><Relationship Id="rId1" Type="http://schemas.openxmlformats.org/officeDocument/2006/relationships/hyperlink" Target="mailto:adamodar@stern.nyu.edu?subject=Data%20on%20website" TargetMode="External"/><Relationship Id="rId6" Type="http://schemas.openxmlformats.org/officeDocument/2006/relationships/hyperlink" Target="https://youtu.be/rxmttgceSjg" TargetMode="External"/><Relationship Id="rId5" Type="http://schemas.openxmlformats.org/officeDocument/2006/relationships/hyperlink" Target="http://www.stern.nyu.edu/~adamodar/New_Home_Page/datafile/variable.htm" TargetMode="External"/><Relationship Id="rId4" Type="http://schemas.openxmlformats.org/officeDocument/2006/relationships/hyperlink" Target="http://www.stern.nyu.edu/~adamodar/pc/datasets/indname.xls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easury.gov/resource-center/data-chart-center/interest-rates/Pages/TextView.aspx?data=yieldYear&amp;year=2019" TargetMode="External"/><Relationship Id="rId2" Type="http://schemas.openxmlformats.org/officeDocument/2006/relationships/hyperlink" Target="https://www.grupoaval.com/wps/portal/grupo-aval/aval/portal-financiero/renta-fija/tes/datos-historicos/!ut/p/a1/04_Sj9CPykssy0xPLMnMz0vMAfGjzOItDM2MPIzdDbwNPJ1NDBydDdzc_YO9vALcTfTD9aPwKbEMMsavwMPXgICCYBOoAjMDS08DY38DL393SyMDR28XD8uQUFN_bydTqAIDHMDRQL8gOzvINVBREQDl6dOA/dl5/d5/L2dBISEvZ0FBIS9nQSEh/pw/Z7_8162H3G0K8RBE0AS52COFE0Q70/act/id=0/p=javax.servlet.include.path_info=QCPpageQCPPortletTablaIndicadores.xhtml/429293821247/=/" TargetMode="External"/><Relationship Id="rId1" Type="http://schemas.openxmlformats.org/officeDocument/2006/relationships/hyperlink" Target="http://www.usinflationcalculator.com/inflation/consumer-price-index-and-annual-percent-changes-from-1913-to-2008/" TargetMode="External"/><Relationship Id="rId5" Type="http://schemas.openxmlformats.org/officeDocument/2006/relationships/hyperlink" Target="https://totoro.banrep.gov.co/analytics/saw.dll?Go&amp;Action=prompt&amp;path=%2Fshared%2FSeries%20Estad%C3%ADsticas_T%2F1.%20IPC%20base%202018%2F1.2.%20Por%20a&#241;o%2F1.2.5.IPC_Serie_variaciones&amp;Options=rfd&amp;lang=es" TargetMode="External"/><Relationship Id="rId4" Type="http://schemas.openxmlformats.org/officeDocument/2006/relationships/hyperlink" Target="https://finance.yahoo.com/quote/%5EFTSE%3FP%3DFTSE/history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Q6"/>
  <sheetViews>
    <sheetView zoomScale="85" zoomScaleNormal="85" workbookViewId="0"/>
  </sheetViews>
  <sheetFormatPr baseColWidth="10" defaultRowHeight="15" x14ac:dyDescent="0.25"/>
  <cols>
    <col min="1" max="16384" width="11.42578125" style="133"/>
  </cols>
  <sheetData>
    <row r="2" spans="5:17" ht="26.25" x14ac:dyDescent="0.4">
      <c r="E2" s="263" t="s">
        <v>556</v>
      </c>
    </row>
    <row r="4" spans="5:17" ht="15.75" x14ac:dyDescent="0.25">
      <c r="O4" s="320" t="s">
        <v>561</v>
      </c>
      <c r="P4" s="320"/>
      <c r="Q4" s="320"/>
    </row>
    <row r="5" spans="5:17" ht="15.75" x14ac:dyDescent="0.25">
      <c r="O5" s="320" t="s">
        <v>559</v>
      </c>
      <c r="P5" s="320"/>
      <c r="Q5" s="320"/>
    </row>
    <row r="6" spans="5:17" ht="15.75" x14ac:dyDescent="0.25">
      <c r="O6" s="320" t="s">
        <v>560</v>
      </c>
      <c r="P6" s="320"/>
      <c r="Q6" s="3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7"/>
  <sheetViews>
    <sheetView workbookViewId="0"/>
  </sheetViews>
  <sheetFormatPr baseColWidth="10" defaultRowHeight="15" x14ac:dyDescent="0.25"/>
  <sheetData>
    <row r="1" spans="1:1" x14ac:dyDescent="0.25">
      <c r="A1" t="s">
        <v>608</v>
      </c>
    </row>
    <row r="2" spans="1:1" x14ac:dyDescent="0.25">
      <c r="A2" t="s">
        <v>609</v>
      </c>
    </row>
    <row r="3" spans="1:1" x14ac:dyDescent="0.25">
      <c r="A3" t="s">
        <v>610</v>
      </c>
    </row>
    <row r="4" spans="1:1" x14ac:dyDescent="0.25">
      <c r="A4" t="s">
        <v>611</v>
      </c>
    </row>
    <row r="5" spans="1:1" x14ac:dyDescent="0.25">
      <c r="A5" t="s">
        <v>612</v>
      </c>
    </row>
    <row r="6" spans="1:1" x14ac:dyDescent="0.25">
      <c r="A6" t="s">
        <v>613</v>
      </c>
    </row>
    <row r="7" spans="1:1" x14ac:dyDescent="0.25">
      <c r="A7" t="s">
        <v>614</v>
      </c>
    </row>
    <row r="8" spans="1:1" x14ac:dyDescent="0.25">
      <c r="A8" t="s">
        <v>615</v>
      </c>
    </row>
    <row r="9" spans="1:1" x14ac:dyDescent="0.25">
      <c r="A9" t="s">
        <v>616</v>
      </c>
    </row>
    <row r="10" spans="1:1" x14ac:dyDescent="0.25">
      <c r="A10" t="s">
        <v>617</v>
      </c>
    </row>
    <row r="11" spans="1:1" x14ac:dyDescent="0.25">
      <c r="A11" t="s">
        <v>618</v>
      </c>
    </row>
    <row r="12" spans="1:1" x14ac:dyDescent="0.25">
      <c r="A12" t="s">
        <v>619</v>
      </c>
    </row>
    <row r="13" spans="1:1" x14ac:dyDescent="0.25">
      <c r="A13" t="s">
        <v>620</v>
      </c>
    </row>
    <row r="14" spans="1:1" x14ac:dyDescent="0.25">
      <c r="A14" t="s">
        <v>621</v>
      </c>
    </row>
    <row r="15" spans="1:1" x14ac:dyDescent="0.25">
      <c r="A15" t="s">
        <v>622</v>
      </c>
    </row>
    <row r="16" spans="1:1" x14ac:dyDescent="0.25">
      <c r="A16" t="s">
        <v>623</v>
      </c>
    </row>
    <row r="17" spans="1:1" x14ac:dyDescent="0.25">
      <c r="A17" t="s">
        <v>624</v>
      </c>
    </row>
    <row r="18" spans="1:1" x14ac:dyDescent="0.25">
      <c r="A18" t="s">
        <v>625</v>
      </c>
    </row>
    <row r="19" spans="1:1" x14ac:dyDescent="0.25">
      <c r="A19" t="s">
        <v>626</v>
      </c>
    </row>
    <row r="20" spans="1:1" x14ac:dyDescent="0.25">
      <c r="A20" t="s">
        <v>627</v>
      </c>
    </row>
    <row r="21" spans="1:1" x14ac:dyDescent="0.25">
      <c r="A21" t="s">
        <v>628</v>
      </c>
    </row>
    <row r="22" spans="1:1" x14ac:dyDescent="0.25">
      <c r="A22" t="s">
        <v>629</v>
      </c>
    </row>
    <row r="23" spans="1:1" x14ac:dyDescent="0.25">
      <c r="A23" t="s">
        <v>630</v>
      </c>
    </row>
    <row r="24" spans="1:1" x14ac:dyDescent="0.25">
      <c r="A24" t="s">
        <v>631</v>
      </c>
    </row>
    <row r="25" spans="1:1" x14ac:dyDescent="0.25">
      <c r="A25" t="s">
        <v>632</v>
      </c>
    </row>
    <row r="26" spans="1:1" x14ac:dyDescent="0.25">
      <c r="A26" t="s">
        <v>633</v>
      </c>
    </row>
    <row r="27" spans="1:1" x14ac:dyDescent="0.25">
      <c r="A27" t="s">
        <v>634</v>
      </c>
    </row>
    <row r="28" spans="1:1" x14ac:dyDescent="0.25">
      <c r="A28" t="s">
        <v>635</v>
      </c>
    </row>
    <row r="29" spans="1:1" x14ac:dyDescent="0.25">
      <c r="A29" t="s">
        <v>636</v>
      </c>
    </row>
    <row r="30" spans="1:1" x14ac:dyDescent="0.25">
      <c r="A30" t="s">
        <v>637</v>
      </c>
    </row>
    <row r="31" spans="1:1" x14ac:dyDescent="0.25">
      <c r="A31" t="s">
        <v>638</v>
      </c>
    </row>
    <row r="32" spans="1:1" x14ac:dyDescent="0.25">
      <c r="A32" t="s">
        <v>639</v>
      </c>
    </row>
    <row r="33" spans="1:1" x14ac:dyDescent="0.25">
      <c r="A33" t="s">
        <v>640</v>
      </c>
    </row>
    <row r="34" spans="1:1" x14ac:dyDescent="0.25">
      <c r="A34" t="s">
        <v>641</v>
      </c>
    </row>
    <row r="35" spans="1:1" x14ac:dyDescent="0.25">
      <c r="A35" t="s">
        <v>642</v>
      </c>
    </row>
    <row r="36" spans="1:1" x14ac:dyDescent="0.25">
      <c r="A36" t="s">
        <v>643</v>
      </c>
    </row>
    <row r="37" spans="1:1" x14ac:dyDescent="0.25">
      <c r="A37" t="s">
        <v>644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">
    <tabColor theme="9" tint="-0.249977111117893"/>
  </sheetPr>
  <dimension ref="A1:G170"/>
  <sheetViews>
    <sheetView showGridLines="0" zoomScale="80" zoomScaleNormal="80" workbookViewId="0">
      <selection activeCell="B168" sqref="B168"/>
    </sheetView>
  </sheetViews>
  <sheetFormatPr baseColWidth="10" defaultRowHeight="15" x14ac:dyDescent="0.25"/>
  <cols>
    <col min="1" max="1" width="58" bestFit="1" customWidth="1"/>
    <col min="2" max="2" width="16.7109375" style="5" bestFit="1" customWidth="1"/>
    <col min="3" max="3" width="12.7109375" style="3" bestFit="1" customWidth="1"/>
    <col min="4" max="4" width="14.7109375" bestFit="1" customWidth="1"/>
    <col min="5" max="5" width="18.85546875" style="3" bestFit="1" customWidth="1"/>
    <col min="6" max="6" width="23" customWidth="1"/>
    <col min="7" max="7" width="16.7109375" customWidth="1"/>
  </cols>
  <sheetData>
    <row r="1" spans="1:7" ht="51" customHeight="1" thickBot="1" x14ac:dyDescent="0.3">
      <c r="A1" s="365" t="s">
        <v>34</v>
      </c>
      <c r="B1" s="366"/>
      <c r="C1" s="366"/>
      <c r="D1" s="366"/>
      <c r="E1" s="367"/>
    </row>
    <row r="2" spans="1:7" x14ac:dyDescent="0.25">
      <c r="A2" s="223" t="s">
        <v>1</v>
      </c>
      <c r="B2" s="224" t="s">
        <v>2</v>
      </c>
      <c r="C2" s="225" t="s">
        <v>3</v>
      </c>
      <c r="D2" s="226" t="s">
        <v>4</v>
      </c>
      <c r="E2" s="225" t="s">
        <v>5</v>
      </c>
    </row>
    <row r="3" spans="1:7" x14ac:dyDescent="0.25">
      <c r="A3" s="368" t="s">
        <v>280</v>
      </c>
      <c r="B3" s="368"/>
      <c r="C3" s="368"/>
      <c r="D3" s="368"/>
      <c r="E3" s="368"/>
    </row>
    <row r="4" spans="1:7" s="5" customFormat="1" x14ac:dyDescent="0.25">
      <c r="A4" s="212" t="s">
        <v>0</v>
      </c>
      <c r="B4" s="213">
        <v>23000</v>
      </c>
      <c r="C4" s="214">
        <v>3000</v>
      </c>
      <c r="D4" s="215">
        <f>+B4*C4</f>
        <v>69000000</v>
      </c>
      <c r="E4" s="214" t="s">
        <v>6</v>
      </c>
    </row>
    <row r="5" spans="1:7" x14ac:dyDescent="0.25">
      <c r="A5" s="9" t="s">
        <v>8</v>
      </c>
      <c r="B5" s="213">
        <v>8950000</v>
      </c>
      <c r="C5" s="214">
        <v>2</v>
      </c>
      <c r="D5" s="215">
        <f>+C5*B5</f>
        <v>17900000</v>
      </c>
      <c r="E5" s="214" t="s">
        <v>7</v>
      </c>
    </row>
    <row r="6" spans="1:7" x14ac:dyDescent="0.25">
      <c r="A6" s="9" t="s">
        <v>9</v>
      </c>
      <c r="B6" s="213">
        <v>11850800</v>
      </c>
      <c r="C6" s="214">
        <v>1</v>
      </c>
      <c r="D6" s="20">
        <f>+B6*C6</f>
        <v>11850800</v>
      </c>
      <c r="E6" s="214" t="s">
        <v>10</v>
      </c>
    </row>
    <row r="7" spans="1:7" ht="15.75" customHeight="1" x14ac:dyDescent="0.25">
      <c r="A7" s="9" t="s">
        <v>11</v>
      </c>
      <c r="B7" s="213">
        <v>7200000</v>
      </c>
      <c r="C7" s="214">
        <v>7</v>
      </c>
      <c r="D7" s="20">
        <f>+B7*C7</f>
        <v>50400000</v>
      </c>
      <c r="E7" s="214" t="s">
        <v>7</v>
      </c>
    </row>
    <row r="8" spans="1:7" ht="27.75" customHeight="1" x14ac:dyDescent="0.25">
      <c r="A8" s="199" t="s">
        <v>75</v>
      </c>
      <c r="B8" s="216">
        <v>91517000</v>
      </c>
      <c r="C8" s="184">
        <v>1</v>
      </c>
      <c r="D8" s="217">
        <f>+B8*C8</f>
        <v>91517000</v>
      </c>
      <c r="E8" s="184" t="s">
        <v>7</v>
      </c>
    </row>
    <row r="9" spans="1:7" x14ac:dyDescent="0.25">
      <c r="A9" s="368" t="s">
        <v>266</v>
      </c>
      <c r="B9" s="368"/>
      <c r="C9" s="368"/>
      <c r="D9" s="368"/>
      <c r="E9" s="368"/>
    </row>
    <row r="10" spans="1:7" x14ac:dyDescent="0.25">
      <c r="A10" s="212" t="s">
        <v>220</v>
      </c>
      <c r="B10" s="22">
        <v>2100000</v>
      </c>
      <c r="C10" s="214">
        <v>1</v>
      </c>
      <c r="D10" s="22">
        <f>+C10*B10</f>
        <v>2100000</v>
      </c>
      <c r="E10" s="184" t="s">
        <v>7</v>
      </c>
    </row>
    <row r="11" spans="1:7" x14ac:dyDescent="0.25">
      <c r="A11" s="9" t="s">
        <v>221</v>
      </c>
      <c r="B11" s="218">
        <v>499900</v>
      </c>
      <c r="C11" s="214">
        <v>4</v>
      </c>
      <c r="D11" s="217">
        <f>+B11*C11</f>
        <v>1999600</v>
      </c>
      <c r="E11" s="184" t="s">
        <v>7</v>
      </c>
    </row>
    <row r="12" spans="1:7" x14ac:dyDescent="0.25">
      <c r="A12" s="9" t="s">
        <v>222</v>
      </c>
      <c r="B12" s="218">
        <v>885450</v>
      </c>
      <c r="C12" s="214">
        <v>12</v>
      </c>
      <c r="D12" s="217">
        <f t="shared" ref="D12:D30" si="0">+B12*C12</f>
        <v>10625400</v>
      </c>
      <c r="E12" s="184" t="s">
        <v>7</v>
      </c>
    </row>
    <row r="13" spans="1:7" x14ac:dyDescent="0.25">
      <c r="A13" s="9" t="s">
        <v>13</v>
      </c>
      <c r="B13" s="218">
        <v>120000</v>
      </c>
      <c r="C13" s="214">
        <v>16</v>
      </c>
      <c r="D13" s="217">
        <f t="shared" si="0"/>
        <v>1920000</v>
      </c>
      <c r="E13" s="184" t="s">
        <v>7</v>
      </c>
    </row>
    <row r="14" spans="1:7" x14ac:dyDescent="0.25">
      <c r="A14" s="9" t="s">
        <v>20</v>
      </c>
      <c r="B14" s="218">
        <v>34900</v>
      </c>
      <c r="C14" s="214">
        <v>16</v>
      </c>
      <c r="D14" s="217">
        <f t="shared" si="0"/>
        <v>558400</v>
      </c>
      <c r="E14" s="184" t="s">
        <v>7</v>
      </c>
      <c r="F14" s="176" t="s">
        <v>12</v>
      </c>
      <c r="G14" s="20">
        <f>D11+D12+D15+D16+D20+D27+D29+D69+D70+D80+D87+D88+D90+D101+D102+D103</f>
        <v>35965900</v>
      </c>
    </row>
    <row r="15" spans="1:7" x14ac:dyDescent="0.25">
      <c r="A15" s="9" t="s">
        <v>24</v>
      </c>
      <c r="B15" s="218">
        <v>670000</v>
      </c>
      <c r="C15" s="214">
        <v>10</v>
      </c>
      <c r="D15" s="217">
        <f t="shared" si="0"/>
        <v>6700000</v>
      </c>
      <c r="E15" s="184" t="s">
        <v>7</v>
      </c>
      <c r="F15" s="176" t="s">
        <v>267</v>
      </c>
      <c r="G15" s="20">
        <f>D21+D22+D23+D32+D33+D34+D36+D46+D47+D51+D45+D44+D54+D64+D65+D77+D78+D79+D91+D48+D49+D66+D62</f>
        <v>46946100</v>
      </c>
    </row>
    <row r="16" spans="1:7" x14ac:dyDescent="0.25">
      <c r="A16" s="9" t="s">
        <v>30</v>
      </c>
      <c r="B16" s="218">
        <v>130000</v>
      </c>
      <c r="C16" s="214">
        <v>14</v>
      </c>
      <c r="D16" s="217">
        <f t="shared" si="0"/>
        <v>1820000</v>
      </c>
      <c r="E16" s="184" t="s">
        <v>7</v>
      </c>
      <c r="F16" s="176" t="s">
        <v>268</v>
      </c>
      <c r="G16" s="20">
        <f>+SUM(D94:D98)</f>
        <v>5411000</v>
      </c>
    </row>
    <row r="17" spans="1:5" x14ac:dyDescent="0.25">
      <c r="A17" s="9" t="s">
        <v>25</v>
      </c>
      <c r="B17" s="218">
        <v>34900</v>
      </c>
      <c r="C17" s="214">
        <v>12</v>
      </c>
      <c r="D17" s="217">
        <f>+B17*C17</f>
        <v>418800</v>
      </c>
      <c r="E17" s="184" t="s">
        <v>7</v>
      </c>
    </row>
    <row r="18" spans="1:5" x14ac:dyDescent="0.25">
      <c r="A18" s="9" t="s">
        <v>26</v>
      </c>
      <c r="B18" s="218">
        <v>95000</v>
      </c>
      <c r="C18" s="214">
        <v>2</v>
      </c>
      <c r="D18" s="217">
        <f>+B18*C18</f>
        <v>190000</v>
      </c>
      <c r="E18" s="184" t="s">
        <v>7</v>
      </c>
    </row>
    <row r="19" spans="1:5" x14ac:dyDescent="0.25">
      <c r="A19" s="9" t="s">
        <v>28</v>
      </c>
      <c r="B19" s="218">
        <v>90000</v>
      </c>
      <c r="C19" s="214">
        <v>20</v>
      </c>
      <c r="D19" s="217">
        <f>+B19*C19</f>
        <v>1800000</v>
      </c>
      <c r="E19" s="184" t="s">
        <v>7</v>
      </c>
    </row>
    <row r="20" spans="1:5" x14ac:dyDescent="0.25">
      <c r="A20" s="9" t="s">
        <v>29</v>
      </c>
      <c r="B20" s="218">
        <v>300000</v>
      </c>
      <c r="C20" s="214">
        <v>10</v>
      </c>
      <c r="D20" s="217">
        <f>+B20*C20</f>
        <v>3000000</v>
      </c>
      <c r="E20" s="184" t="s">
        <v>7</v>
      </c>
    </row>
    <row r="21" spans="1:5" x14ac:dyDescent="0.25">
      <c r="A21" s="9" t="s">
        <v>56</v>
      </c>
      <c r="B21" s="218">
        <v>850000</v>
      </c>
      <c r="C21" s="214">
        <v>10</v>
      </c>
      <c r="D21" s="217">
        <f t="shared" si="0"/>
        <v>8500000</v>
      </c>
      <c r="E21" s="184" t="s">
        <v>7</v>
      </c>
    </row>
    <row r="22" spans="1:5" x14ac:dyDescent="0.25">
      <c r="A22" s="9" t="s">
        <v>31</v>
      </c>
      <c r="B22" s="218">
        <v>250000</v>
      </c>
      <c r="C22" s="214">
        <v>10</v>
      </c>
      <c r="D22" s="217">
        <f t="shared" si="0"/>
        <v>2500000</v>
      </c>
      <c r="E22" s="184" t="s">
        <v>7</v>
      </c>
    </row>
    <row r="23" spans="1:5" x14ac:dyDescent="0.25">
      <c r="A23" s="9" t="s">
        <v>32</v>
      </c>
      <c r="B23" s="218">
        <v>360000</v>
      </c>
      <c r="C23" s="214">
        <v>10</v>
      </c>
      <c r="D23" s="217">
        <f t="shared" si="0"/>
        <v>3600000</v>
      </c>
      <c r="E23" s="184" t="s">
        <v>7</v>
      </c>
    </row>
    <row r="24" spans="1:5" x14ac:dyDescent="0.25">
      <c r="A24" s="9" t="s">
        <v>33</v>
      </c>
      <c r="B24" s="218">
        <v>110000</v>
      </c>
      <c r="C24" s="214">
        <v>14</v>
      </c>
      <c r="D24" s="217">
        <f t="shared" si="0"/>
        <v>1540000</v>
      </c>
      <c r="E24" s="184" t="s">
        <v>7</v>
      </c>
    </row>
    <row r="25" spans="1:5" x14ac:dyDescent="0.25">
      <c r="A25" s="9" t="s">
        <v>35</v>
      </c>
      <c r="B25" s="218">
        <v>80000</v>
      </c>
      <c r="C25" s="214">
        <v>6</v>
      </c>
      <c r="D25" s="217">
        <f t="shared" si="0"/>
        <v>480000</v>
      </c>
      <c r="E25" s="184" t="s">
        <v>7</v>
      </c>
    </row>
    <row r="26" spans="1:5" x14ac:dyDescent="0.25">
      <c r="A26" s="9" t="s">
        <v>36</v>
      </c>
      <c r="B26" s="218">
        <v>35000</v>
      </c>
      <c r="C26" s="214">
        <v>25</v>
      </c>
      <c r="D26" s="217">
        <f t="shared" si="0"/>
        <v>875000</v>
      </c>
      <c r="E26" s="184" t="s">
        <v>7</v>
      </c>
    </row>
    <row r="27" spans="1:5" x14ac:dyDescent="0.25">
      <c r="A27" s="9" t="s">
        <v>37</v>
      </c>
      <c r="B27" s="218">
        <v>60000</v>
      </c>
      <c r="C27" s="214">
        <v>12</v>
      </c>
      <c r="D27" s="217">
        <f t="shared" si="0"/>
        <v>720000</v>
      </c>
      <c r="E27" s="184" t="s">
        <v>7</v>
      </c>
    </row>
    <row r="28" spans="1:5" x14ac:dyDescent="0.25">
      <c r="A28" s="9" t="s">
        <v>38</v>
      </c>
      <c r="B28" s="218">
        <v>22000</v>
      </c>
      <c r="C28" s="214">
        <v>25</v>
      </c>
      <c r="D28" s="217">
        <f t="shared" si="0"/>
        <v>550000</v>
      </c>
      <c r="E28" s="184" t="s">
        <v>7</v>
      </c>
    </row>
    <row r="29" spans="1:5" x14ac:dyDescent="0.25">
      <c r="A29" s="9" t="s">
        <v>39</v>
      </c>
      <c r="B29" s="218">
        <v>220000</v>
      </c>
      <c r="C29" s="214">
        <v>1</v>
      </c>
      <c r="D29" s="217">
        <f t="shared" si="0"/>
        <v>220000</v>
      </c>
      <c r="E29" s="184" t="s">
        <v>7</v>
      </c>
    </row>
    <row r="30" spans="1:5" x14ac:dyDescent="0.25">
      <c r="A30" s="9" t="s">
        <v>40</v>
      </c>
      <c r="B30" s="218">
        <v>95000</v>
      </c>
      <c r="C30" s="214">
        <v>2</v>
      </c>
      <c r="D30" s="217">
        <f t="shared" si="0"/>
        <v>190000</v>
      </c>
      <c r="E30" s="184" t="s">
        <v>7</v>
      </c>
    </row>
    <row r="31" spans="1:5" x14ac:dyDescent="0.25">
      <c r="A31" s="368" t="s">
        <v>223</v>
      </c>
      <c r="B31" s="368"/>
      <c r="C31" s="368"/>
      <c r="D31" s="368"/>
      <c r="E31" s="368"/>
    </row>
    <row r="32" spans="1:5" x14ac:dyDescent="0.25">
      <c r="A32" s="9" t="s">
        <v>41</v>
      </c>
      <c r="B32" s="219">
        <v>4299900</v>
      </c>
      <c r="C32" s="214">
        <v>1</v>
      </c>
      <c r="D32" s="217">
        <f>+B32*C32</f>
        <v>4299900</v>
      </c>
      <c r="E32" s="184" t="s">
        <v>7</v>
      </c>
    </row>
    <row r="33" spans="1:5" x14ac:dyDescent="0.25">
      <c r="A33" s="9" t="s">
        <v>42</v>
      </c>
      <c r="B33" s="219">
        <v>599900</v>
      </c>
      <c r="C33" s="214">
        <v>1</v>
      </c>
      <c r="D33" s="217">
        <f t="shared" ref="D33:D47" si="1">+B33*C33</f>
        <v>599900</v>
      </c>
      <c r="E33" s="184" t="s">
        <v>7</v>
      </c>
    </row>
    <row r="34" spans="1:5" x14ac:dyDescent="0.25">
      <c r="A34" s="9" t="s">
        <v>57</v>
      </c>
      <c r="B34" s="219">
        <v>549900</v>
      </c>
      <c r="C34" s="214">
        <v>2</v>
      </c>
      <c r="D34" s="217">
        <f t="shared" si="1"/>
        <v>1099800</v>
      </c>
      <c r="E34" s="184" t="s">
        <v>7</v>
      </c>
    </row>
    <row r="35" spans="1:5" x14ac:dyDescent="0.25">
      <c r="A35" s="9" t="s">
        <v>188</v>
      </c>
      <c r="B35" s="219">
        <v>239900</v>
      </c>
      <c r="C35" s="214">
        <v>2</v>
      </c>
      <c r="D35" s="217">
        <f t="shared" si="1"/>
        <v>479800</v>
      </c>
      <c r="E35" s="184" t="s">
        <v>7</v>
      </c>
    </row>
    <row r="36" spans="1:5" x14ac:dyDescent="0.25">
      <c r="A36" s="9" t="s">
        <v>43</v>
      </c>
      <c r="B36" s="219">
        <v>479900</v>
      </c>
      <c r="C36" s="214">
        <v>2</v>
      </c>
      <c r="D36" s="217">
        <f t="shared" si="1"/>
        <v>959800</v>
      </c>
      <c r="E36" s="184" t="s">
        <v>7</v>
      </c>
    </row>
    <row r="37" spans="1:5" x14ac:dyDescent="0.25">
      <c r="A37" s="9" t="s">
        <v>189</v>
      </c>
      <c r="B37" s="219">
        <v>149900</v>
      </c>
      <c r="C37" s="214">
        <v>2</v>
      </c>
      <c r="D37" s="217">
        <f t="shared" si="1"/>
        <v>299800</v>
      </c>
      <c r="E37" s="184" t="s">
        <v>7</v>
      </c>
    </row>
    <row r="38" spans="1:5" x14ac:dyDescent="0.25">
      <c r="A38" s="9" t="s">
        <v>58</v>
      </c>
      <c r="B38" s="219">
        <v>180000</v>
      </c>
      <c r="C38" s="214">
        <v>7</v>
      </c>
      <c r="D38" s="217">
        <f t="shared" si="1"/>
        <v>1260000</v>
      </c>
      <c r="E38" s="184" t="s">
        <v>7</v>
      </c>
    </row>
    <row r="39" spans="1:5" x14ac:dyDescent="0.25">
      <c r="A39" s="9" t="s">
        <v>190</v>
      </c>
      <c r="B39" s="219">
        <v>75000</v>
      </c>
      <c r="C39" s="214">
        <v>7</v>
      </c>
      <c r="D39" s="217">
        <f t="shared" si="1"/>
        <v>525000</v>
      </c>
      <c r="E39" s="184" t="s">
        <v>7</v>
      </c>
    </row>
    <row r="40" spans="1:5" x14ac:dyDescent="0.25">
      <c r="A40" s="9" t="s">
        <v>191</v>
      </c>
      <c r="B40" s="219">
        <v>29900</v>
      </c>
      <c r="C40" s="214">
        <v>7</v>
      </c>
      <c r="D40" s="217">
        <f t="shared" si="1"/>
        <v>209300</v>
      </c>
      <c r="E40" s="184" t="s">
        <v>7</v>
      </c>
    </row>
    <row r="41" spans="1:5" x14ac:dyDescent="0.25">
      <c r="A41" s="9" t="s">
        <v>44</v>
      </c>
      <c r="B41" s="219">
        <v>395600</v>
      </c>
      <c r="C41" s="214">
        <v>1</v>
      </c>
      <c r="D41" s="217">
        <f t="shared" si="1"/>
        <v>395600</v>
      </c>
      <c r="E41" s="184" t="s">
        <v>7</v>
      </c>
    </row>
    <row r="42" spans="1:5" x14ac:dyDescent="0.25">
      <c r="A42" s="9" t="s">
        <v>45</v>
      </c>
      <c r="B42" s="219">
        <v>36900</v>
      </c>
      <c r="C42" s="214">
        <v>5</v>
      </c>
      <c r="D42" s="217">
        <f t="shared" si="1"/>
        <v>184500</v>
      </c>
      <c r="E42" s="184" t="s">
        <v>7</v>
      </c>
    </row>
    <row r="43" spans="1:5" x14ac:dyDescent="0.25">
      <c r="A43" s="9" t="s">
        <v>192</v>
      </c>
      <c r="B43" s="219">
        <v>35900</v>
      </c>
      <c r="C43" s="214">
        <v>6</v>
      </c>
      <c r="D43" s="217">
        <f t="shared" si="1"/>
        <v>215400</v>
      </c>
      <c r="E43" s="184" t="s">
        <v>7</v>
      </c>
    </row>
    <row r="44" spans="1:5" x14ac:dyDescent="0.25">
      <c r="A44" s="9" t="s">
        <v>49</v>
      </c>
      <c r="B44" s="219">
        <v>1099000</v>
      </c>
      <c r="C44" s="214">
        <v>1</v>
      </c>
      <c r="D44" s="217">
        <f t="shared" si="1"/>
        <v>1099000</v>
      </c>
      <c r="E44" s="184" t="s">
        <v>7</v>
      </c>
    </row>
    <row r="45" spans="1:5" x14ac:dyDescent="0.25">
      <c r="A45" s="9" t="s">
        <v>52</v>
      </c>
      <c r="B45" s="219">
        <v>1600000</v>
      </c>
      <c r="C45" s="214">
        <v>1</v>
      </c>
      <c r="D45" s="217">
        <f t="shared" si="1"/>
        <v>1600000</v>
      </c>
      <c r="E45" s="184" t="s">
        <v>7</v>
      </c>
    </row>
    <row r="46" spans="1:5" x14ac:dyDescent="0.25">
      <c r="A46" s="9" t="s">
        <v>224</v>
      </c>
      <c r="B46" s="219">
        <v>1800000</v>
      </c>
      <c r="C46" s="214">
        <v>1</v>
      </c>
      <c r="D46" s="217">
        <f t="shared" si="1"/>
        <v>1800000</v>
      </c>
      <c r="E46" s="184" t="s">
        <v>7</v>
      </c>
    </row>
    <row r="47" spans="1:5" x14ac:dyDescent="0.25">
      <c r="A47" s="9" t="s">
        <v>225</v>
      </c>
      <c r="B47" s="219">
        <v>1250000</v>
      </c>
      <c r="C47" s="214">
        <v>1</v>
      </c>
      <c r="D47" s="217">
        <f t="shared" si="1"/>
        <v>1250000</v>
      </c>
      <c r="E47" s="184" t="s">
        <v>7</v>
      </c>
    </row>
    <row r="48" spans="1:5" x14ac:dyDescent="0.25">
      <c r="A48" s="9" t="s">
        <v>226</v>
      </c>
      <c r="B48" s="219">
        <v>565000</v>
      </c>
      <c r="C48" s="214">
        <v>1</v>
      </c>
      <c r="D48" s="217">
        <f>+B48*C48</f>
        <v>565000</v>
      </c>
      <c r="E48" s="184" t="s">
        <v>7</v>
      </c>
    </row>
    <row r="49" spans="1:5" x14ac:dyDescent="0.25">
      <c r="A49" s="9" t="s">
        <v>227</v>
      </c>
      <c r="B49" s="219">
        <v>559000</v>
      </c>
      <c r="C49" s="214">
        <v>1</v>
      </c>
      <c r="D49" s="217">
        <f>+B49*C49</f>
        <v>559000</v>
      </c>
      <c r="E49" s="184" t="s">
        <v>7</v>
      </c>
    </row>
    <row r="50" spans="1:5" x14ac:dyDescent="0.25">
      <c r="A50" s="9" t="s">
        <v>228</v>
      </c>
      <c r="B50" s="219">
        <v>56000</v>
      </c>
      <c r="C50" s="214">
        <v>1</v>
      </c>
      <c r="D50" s="217">
        <f>+B50*C50</f>
        <v>56000</v>
      </c>
      <c r="E50" s="184" t="s">
        <v>7</v>
      </c>
    </row>
    <row r="51" spans="1:5" x14ac:dyDescent="0.25">
      <c r="A51" s="9" t="s">
        <v>229</v>
      </c>
      <c r="B51" s="219">
        <v>1650000</v>
      </c>
      <c r="C51" s="214">
        <v>1</v>
      </c>
      <c r="D51" s="217">
        <f>+B51*C51</f>
        <v>1650000</v>
      </c>
      <c r="E51" s="184" t="s">
        <v>7</v>
      </c>
    </row>
    <row r="52" spans="1:5" x14ac:dyDescent="0.25">
      <c r="A52" s="9"/>
      <c r="B52" s="218"/>
      <c r="C52" s="214"/>
      <c r="D52" s="217"/>
      <c r="E52" s="184"/>
    </row>
    <row r="53" spans="1:5" s="222" customFormat="1" x14ac:dyDescent="0.25">
      <c r="A53" s="368" t="s">
        <v>230</v>
      </c>
      <c r="B53" s="368"/>
      <c r="C53" s="368"/>
      <c r="D53" s="368"/>
      <c r="E53" s="368"/>
    </row>
    <row r="54" spans="1:5" x14ac:dyDescent="0.25">
      <c r="A54" s="9" t="s">
        <v>231</v>
      </c>
      <c r="B54" s="219">
        <v>2500000</v>
      </c>
      <c r="C54" s="214">
        <v>1</v>
      </c>
      <c r="D54" s="217">
        <f t="shared" ref="D54:D66" si="2">+B54*C54</f>
        <v>2500000</v>
      </c>
      <c r="E54" s="184" t="s">
        <v>7</v>
      </c>
    </row>
    <row r="55" spans="1:5" x14ac:dyDescent="0.25">
      <c r="A55" s="9" t="s">
        <v>183</v>
      </c>
      <c r="B55" s="219">
        <v>45600</v>
      </c>
      <c r="C55" s="214">
        <v>5</v>
      </c>
      <c r="D55" s="217">
        <f t="shared" si="2"/>
        <v>228000</v>
      </c>
      <c r="E55" s="184" t="s">
        <v>7</v>
      </c>
    </row>
    <row r="56" spans="1:5" x14ac:dyDescent="0.25">
      <c r="A56" s="9" t="s">
        <v>184</v>
      </c>
      <c r="B56" s="219">
        <v>24600</v>
      </c>
      <c r="C56" s="214">
        <v>5</v>
      </c>
      <c r="D56" s="217">
        <f t="shared" si="2"/>
        <v>123000</v>
      </c>
      <c r="E56" s="184" t="s">
        <v>7</v>
      </c>
    </row>
    <row r="57" spans="1:5" x14ac:dyDescent="0.25">
      <c r="A57" s="9" t="s">
        <v>185</v>
      </c>
      <c r="B57" s="219">
        <v>36100</v>
      </c>
      <c r="C57" s="214">
        <v>5</v>
      </c>
      <c r="D57" s="217">
        <f t="shared" si="2"/>
        <v>180500</v>
      </c>
      <c r="E57" s="184" t="s">
        <v>7</v>
      </c>
    </row>
    <row r="58" spans="1:5" x14ac:dyDescent="0.25">
      <c r="A58" s="9" t="s">
        <v>186</v>
      </c>
      <c r="B58" s="219">
        <v>22300</v>
      </c>
      <c r="C58" s="214">
        <v>5</v>
      </c>
      <c r="D58" s="217">
        <f t="shared" si="2"/>
        <v>111500</v>
      </c>
      <c r="E58" s="184" t="s">
        <v>7</v>
      </c>
    </row>
    <row r="59" spans="1:5" x14ac:dyDescent="0.25">
      <c r="A59" s="9" t="s">
        <v>232</v>
      </c>
      <c r="B59" s="219">
        <v>285000</v>
      </c>
      <c r="C59" s="214">
        <v>8</v>
      </c>
      <c r="D59" s="217">
        <f t="shared" si="2"/>
        <v>2280000</v>
      </c>
      <c r="E59" s="184" t="s">
        <v>7</v>
      </c>
    </row>
    <row r="60" spans="1:5" x14ac:dyDescent="0.25">
      <c r="A60" s="9" t="s">
        <v>233</v>
      </c>
      <c r="B60" s="219">
        <v>4500</v>
      </c>
      <c r="C60" s="214">
        <v>40</v>
      </c>
      <c r="D60" s="217">
        <f t="shared" si="2"/>
        <v>180000</v>
      </c>
      <c r="E60" s="184" t="s">
        <v>7</v>
      </c>
    </row>
    <row r="61" spans="1:5" x14ac:dyDescent="0.25">
      <c r="A61" s="9" t="s">
        <v>60</v>
      </c>
      <c r="B61" s="219">
        <v>225000</v>
      </c>
      <c r="C61" s="214">
        <v>1</v>
      </c>
      <c r="D61" s="217">
        <f t="shared" si="2"/>
        <v>225000</v>
      </c>
      <c r="E61" s="184" t="s">
        <v>7</v>
      </c>
    </row>
    <row r="62" spans="1:5" x14ac:dyDescent="0.25">
      <c r="A62" s="9" t="s">
        <v>50</v>
      </c>
      <c r="B62" s="219">
        <v>599000</v>
      </c>
      <c r="C62" s="214">
        <v>1</v>
      </c>
      <c r="D62" s="217">
        <f t="shared" si="2"/>
        <v>599000</v>
      </c>
      <c r="E62" s="184" t="s">
        <v>7</v>
      </c>
    </row>
    <row r="63" spans="1:5" x14ac:dyDescent="0.25">
      <c r="A63" s="9" t="s">
        <v>51</v>
      </c>
      <c r="B63" s="219">
        <v>18900</v>
      </c>
      <c r="C63" s="214">
        <v>4</v>
      </c>
      <c r="D63" s="217">
        <f t="shared" si="2"/>
        <v>75600</v>
      </c>
      <c r="E63" s="184" t="s">
        <v>7</v>
      </c>
    </row>
    <row r="64" spans="1:5" x14ac:dyDescent="0.25">
      <c r="A64" s="9" t="s">
        <v>187</v>
      </c>
      <c r="B64" s="219">
        <v>1314900</v>
      </c>
      <c r="C64" s="214">
        <v>1</v>
      </c>
      <c r="D64" s="217">
        <f t="shared" si="2"/>
        <v>1314900</v>
      </c>
      <c r="E64" s="184" t="s">
        <v>7</v>
      </c>
    </row>
    <row r="65" spans="1:5" x14ac:dyDescent="0.25">
      <c r="A65" s="9" t="s">
        <v>213</v>
      </c>
      <c r="B65" s="219">
        <v>3200000</v>
      </c>
      <c r="C65" s="214">
        <v>1</v>
      </c>
      <c r="D65" s="217">
        <f t="shared" si="2"/>
        <v>3200000</v>
      </c>
      <c r="E65" s="184" t="s">
        <v>7</v>
      </c>
    </row>
    <row r="66" spans="1:5" x14ac:dyDescent="0.25">
      <c r="A66" s="9" t="s">
        <v>214</v>
      </c>
      <c r="B66" s="219">
        <v>520000</v>
      </c>
      <c r="C66" s="214">
        <v>1</v>
      </c>
      <c r="D66" s="217">
        <f t="shared" si="2"/>
        <v>520000</v>
      </c>
      <c r="E66" s="184" t="s">
        <v>7</v>
      </c>
    </row>
    <row r="67" spans="1:5" x14ac:dyDescent="0.25">
      <c r="A67" s="9"/>
      <c r="B67" s="219"/>
      <c r="C67" s="214"/>
      <c r="D67" s="217"/>
      <c r="E67" s="184"/>
    </row>
    <row r="68" spans="1:5" x14ac:dyDescent="0.25">
      <c r="A68" s="368" t="s">
        <v>234</v>
      </c>
      <c r="B68" s="368"/>
      <c r="C68" s="368"/>
      <c r="D68" s="368"/>
      <c r="E68" s="368"/>
    </row>
    <row r="69" spans="1:5" ht="14.25" customHeight="1" x14ac:dyDescent="0.25">
      <c r="A69" s="9" t="s">
        <v>46</v>
      </c>
      <c r="B69" s="219">
        <v>185000</v>
      </c>
      <c r="C69" s="214">
        <v>10</v>
      </c>
      <c r="D69" s="217">
        <f t="shared" ref="D69:D74" si="3">+B69*C69</f>
        <v>1850000</v>
      </c>
      <c r="E69" s="184" t="s">
        <v>7</v>
      </c>
    </row>
    <row r="70" spans="1:5" x14ac:dyDescent="0.25">
      <c r="A70" s="9" t="s">
        <v>47</v>
      </c>
      <c r="B70" s="219">
        <v>39900</v>
      </c>
      <c r="C70" s="214">
        <v>40</v>
      </c>
      <c r="D70" s="217">
        <f t="shared" si="3"/>
        <v>1596000</v>
      </c>
      <c r="E70" s="184" t="s">
        <v>7</v>
      </c>
    </row>
    <row r="71" spans="1:5" x14ac:dyDescent="0.25">
      <c r="A71" s="9" t="s">
        <v>48</v>
      </c>
      <c r="B71" s="219">
        <v>25600</v>
      </c>
      <c r="C71" s="214">
        <v>10</v>
      </c>
      <c r="D71" s="217">
        <f t="shared" si="3"/>
        <v>256000</v>
      </c>
      <c r="E71" s="184" t="s">
        <v>7</v>
      </c>
    </row>
    <row r="72" spans="1:5" x14ac:dyDescent="0.25">
      <c r="A72" s="9" t="s">
        <v>61</v>
      </c>
      <c r="B72" s="219">
        <v>5200</v>
      </c>
      <c r="C72" s="214">
        <v>40</v>
      </c>
      <c r="D72" s="217">
        <f t="shared" si="3"/>
        <v>208000</v>
      </c>
      <c r="E72" s="184" t="s">
        <v>7</v>
      </c>
    </row>
    <row r="73" spans="1:5" x14ac:dyDescent="0.25">
      <c r="A73" s="9" t="s">
        <v>62</v>
      </c>
      <c r="B73" s="219">
        <v>1200</v>
      </c>
      <c r="C73" s="214">
        <v>40</v>
      </c>
      <c r="D73" s="217">
        <f t="shared" si="3"/>
        <v>48000</v>
      </c>
      <c r="E73" s="184" t="s">
        <v>7</v>
      </c>
    </row>
    <row r="74" spans="1:5" x14ac:dyDescent="0.25">
      <c r="A74" s="9" t="s">
        <v>215</v>
      </c>
      <c r="B74" s="219">
        <v>3200</v>
      </c>
      <c r="C74" s="214">
        <v>20</v>
      </c>
      <c r="D74" s="217">
        <f t="shared" si="3"/>
        <v>64000</v>
      </c>
      <c r="E74" s="184" t="s">
        <v>7</v>
      </c>
    </row>
    <row r="75" spans="1:5" x14ac:dyDescent="0.25">
      <c r="A75" s="9"/>
      <c r="B75" s="219"/>
      <c r="C75" s="214"/>
      <c r="D75" s="217"/>
      <c r="E75" s="184"/>
    </row>
    <row r="76" spans="1:5" x14ac:dyDescent="0.25">
      <c r="A76" s="368" t="s">
        <v>235</v>
      </c>
      <c r="B76" s="368"/>
      <c r="C76" s="368"/>
      <c r="D76" s="368"/>
      <c r="E76" s="368"/>
    </row>
    <row r="77" spans="1:5" x14ac:dyDescent="0.25">
      <c r="A77" s="9" t="s">
        <v>53</v>
      </c>
      <c r="B77" s="219">
        <v>5300000</v>
      </c>
      <c r="C77" s="214">
        <v>1</v>
      </c>
      <c r="D77" s="217">
        <f t="shared" ref="D77:D78" si="4">+B77*C77</f>
        <v>5300000</v>
      </c>
      <c r="E77" s="184" t="s">
        <v>7</v>
      </c>
    </row>
    <row r="78" spans="1:5" x14ac:dyDescent="0.25">
      <c r="A78" s="9" t="s">
        <v>54</v>
      </c>
      <c r="B78" s="219">
        <v>2299900</v>
      </c>
      <c r="C78" s="214">
        <v>1</v>
      </c>
      <c r="D78" s="217">
        <f t="shared" si="4"/>
        <v>2299900</v>
      </c>
      <c r="E78" s="184" t="s">
        <v>7</v>
      </c>
    </row>
    <row r="79" spans="1:5" x14ac:dyDescent="0.25">
      <c r="A79" s="9" t="s">
        <v>216</v>
      </c>
      <c r="B79" s="219">
        <v>279900</v>
      </c>
      <c r="C79" s="214">
        <v>1</v>
      </c>
      <c r="D79" s="217">
        <f>+C79*B79</f>
        <v>279900</v>
      </c>
      <c r="E79" s="184" t="s">
        <v>7</v>
      </c>
    </row>
    <row r="80" spans="1:5" x14ac:dyDescent="0.25">
      <c r="A80" s="9" t="s">
        <v>217</v>
      </c>
      <c r="B80" s="219">
        <v>350000</v>
      </c>
      <c r="C80" s="214">
        <v>1</v>
      </c>
      <c r="D80" s="217">
        <f>+C80*B80</f>
        <v>350000</v>
      </c>
      <c r="E80" s="184" t="s">
        <v>7</v>
      </c>
    </row>
    <row r="81" spans="1:5" x14ac:dyDescent="0.25">
      <c r="A81" s="9" t="s">
        <v>218</v>
      </c>
      <c r="B81" s="219">
        <v>185000</v>
      </c>
      <c r="C81" s="214">
        <v>2</v>
      </c>
      <c r="D81" s="217">
        <f>+C81*B81</f>
        <v>370000</v>
      </c>
      <c r="E81" s="184" t="s">
        <v>7</v>
      </c>
    </row>
    <row r="82" spans="1:5" x14ac:dyDescent="0.25">
      <c r="A82" s="9"/>
      <c r="B82" s="219"/>
      <c r="C82" s="214"/>
      <c r="D82" s="217"/>
      <c r="E82" s="184"/>
    </row>
    <row r="83" spans="1:5" x14ac:dyDescent="0.25">
      <c r="A83" s="368" t="s">
        <v>236</v>
      </c>
      <c r="B83" s="368"/>
      <c r="C83" s="368"/>
      <c r="D83" s="368"/>
      <c r="E83" s="368"/>
    </row>
    <row r="84" spans="1:5" x14ac:dyDescent="0.25">
      <c r="A84" s="9" t="s">
        <v>85</v>
      </c>
      <c r="B84" s="219">
        <v>2250000</v>
      </c>
      <c r="C84" s="214">
        <v>4</v>
      </c>
      <c r="D84" s="217">
        <f t="shared" ref="D84:D91" si="5">+C84*B84</f>
        <v>9000000</v>
      </c>
      <c r="E84" s="184" t="s">
        <v>7</v>
      </c>
    </row>
    <row r="85" spans="1:5" x14ac:dyDescent="0.25">
      <c r="A85" s="9" t="s">
        <v>86</v>
      </c>
      <c r="B85" s="219">
        <v>345000</v>
      </c>
      <c r="C85" s="214">
        <v>2</v>
      </c>
      <c r="D85" s="217">
        <f t="shared" si="5"/>
        <v>690000</v>
      </c>
      <c r="E85" s="184" t="s">
        <v>7</v>
      </c>
    </row>
    <row r="86" spans="1:5" x14ac:dyDescent="0.25">
      <c r="A86" s="9" t="s">
        <v>237</v>
      </c>
      <c r="B86" s="219">
        <v>125000</v>
      </c>
      <c r="C86" s="214">
        <v>3</v>
      </c>
      <c r="D86" s="217">
        <f t="shared" si="5"/>
        <v>375000</v>
      </c>
      <c r="E86" s="184" t="s">
        <v>7</v>
      </c>
    </row>
    <row r="87" spans="1:5" x14ac:dyDescent="0.25">
      <c r="A87" s="9" t="s">
        <v>88</v>
      </c>
      <c r="B87" s="219">
        <v>1560000</v>
      </c>
      <c r="C87" s="214">
        <v>1</v>
      </c>
      <c r="D87" s="217">
        <f t="shared" si="5"/>
        <v>1560000</v>
      </c>
      <c r="E87" s="184" t="s">
        <v>7</v>
      </c>
    </row>
    <row r="88" spans="1:5" ht="14.25" customHeight="1" x14ac:dyDescent="0.25">
      <c r="A88" s="9" t="s">
        <v>89</v>
      </c>
      <c r="B88" s="219">
        <v>580000</v>
      </c>
      <c r="C88" s="214">
        <v>5</v>
      </c>
      <c r="D88" s="217">
        <f t="shared" si="5"/>
        <v>2900000</v>
      </c>
      <c r="E88" s="184" t="s">
        <v>7</v>
      </c>
    </row>
    <row r="89" spans="1:5" ht="14.25" customHeight="1" x14ac:dyDescent="0.25">
      <c r="A89" s="9" t="s">
        <v>238</v>
      </c>
      <c r="B89" s="219">
        <v>225000</v>
      </c>
      <c r="C89" s="214">
        <v>4</v>
      </c>
      <c r="D89" s="217">
        <f t="shared" si="5"/>
        <v>900000</v>
      </c>
      <c r="E89" s="184" t="s">
        <v>7</v>
      </c>
    </row>
    <row r="90" spans="1:5" ht="14.25" customHeight="1" x14ac:dyDescent="0.25">
      <c r="A90" s="9" t="s">
        <v>239</v>
      </c>
      <c r="B90" s="219">
        <v>199900</v>
      </c>
      <c r="C90" s="214">
        <v>1</v>
      </c>
      <c r="D90" s="217">
        <f t="shared" si="5"/>
        <v>199900</v>
      </c>
      <c r="E90" s="184" t="s">
        <v>7</v>
      </c>
    </row>
    <row r="91" spans="1:5" ht="14.25" customHeight="1" x14ac:dyDescent="0.25">
      <c r="A91" s="9" t="s">
        <v>56</v>
      </c>
      <c r="B91" s="219">
        <v>850000</v>
      </c>
      <c r="C91" s="214">
        <v>1</v>
      </c>
      <c r="D91" s="217">
        <f t="shared" si="5"/>
        <v>850000</v>
      </c>
      <c r="E91" s="184" t="s">
        <v>7</v>
      </c>
    </row>
    <row r="92" spans="1:5" ht="17.25" customHeight="1" x14ac:dyDescent="0.25">
      <c r="A92" s="200"/>
      <c r="B92" s="219"/>
      <c r="C92" s="214"/>
      <c r="D92" s="217"/>
      <c r="E92" s="184"/>
    </row>
    <row r="93" spans="1:5" ht="14.25" customHeight="1" x14ac:dyDescent="0.25">
      <c r="A93" s="368" t="s">
        <v>240</v>
      </c>
      <c r="B93" s="368"/>
      <c r="C93" s="368"/>
      <c r="D93" s="368"/>
      <c r="E93" s="368"/>
    </row>
    <row r="94" spans="1:5" ht="14.25" customHeight="1" x14ac:dyDescent="0.25">
      <c r="A94" s="9" t="s">
        <v>241</v>
      </c>
      <c r="B94" s="219">
        <v>1800000</v>
      </c>
      <c r="C94" s="214">
        <v>1</v>
      </c>
      <c r="D94" s="217">
        <f>+C94*B94</f>
        <v>1800000</v>
      </c>
      <c r="E94" s="184" t="s">
        <v>7</v>
      </c>
    </row>
    <row r="95" spans="1:5" ht="14.25" customHeight="1" x14ac:dyDescent="0.25">
      <c r="A95" s="9" t="s">
        <v>242</v>
      </c>
      <c r="B95" s="219">
        <v>950000</v>
      </c>
      <c r="C95" s="214">
        <v>1</v>
      </c>
      <c r="D95" s="217">
        <f>+C95*B95</f>
        <v>950000</v>
      </c>
      <c r="E95" s="184" t="s">
        <v>7</v>
      </c>
    </row>
    <row r="96" spans="1:5" ht="14.25" customHeight="1" x14ac:dyDescent="0.25">
      <c r="A96" s="9" t="s">
        <v>243</v>
      </c>
      <c r="B96" s="219">
        <v>535000</v>
      </c>
      <c r="C96" s="214">
        <v>1</v>
      </c>
      <c r="D96" s="217">
        <f>+C96*B96</f>
        <v>535000</v>
      </c>
      <c r="E96" s="184" t="s">
        <v>7</v>
      </c>
    </row>
    <row r="97" spans="1:5" ht="14.25" customHeight="1" x14ac:dyDescent="0.25">
      <c r="A97" s="9" t="s">
        <v>244</v>
      </c>
      <c r="B97" s="219">
        <v>1600000</v>
      </c>
      <c r="C97" s="214">
        <v>1</v>
      </c>
      <c r="D97" s="217">
        <f>+C97*B97</f>
        <v>1600000</v>
      </c>
      <c r="E97" s="184" t="s">
        <v>7</v>
      </c>
    </row>
    <row r="98" spans="1:5" ht="14.25" customHeight="1" x14ac:dyDescent="0.25">
      <c r="A98" s="9" t="s">
        <v>245</v>
      </c>
      <c r="B98" s="219">
        <v>526000</v>
      </c>
      <c r="C98" s="214">
        <v>1</v>
      </c>
      <c r="D98" s="217">
        <f>+C98*B98</f>
        <v>526000</v>
      </c>
      <c r="E98" s="184" t="s">
        <v>7</v>
      </c>
    </row>
    <row r="99" spans="1:5" ht="14.25" customHeight="1" x14ac:dyDescent="0.25">
      <c r="A99" s="9"/>
      <c r="B99" s="219"/>
      <c r="C99" s="214"/>
      <c r="D99" s="217"/>
      <c r="E99" s="184"/>
    </row>
    <row r="100" spans="1:5" ht="14.25" customHeight="1" x14ac:dyDescent="0.25">
      <c r="A100" s="368" t="s">
        <v>246</v>
      </c>
      <c r="B100" s="368"/>
      <c r="C100" s="368"/>
      <c r="D100" s="368"/>
      <c r="E100" s="368"/>
    </row>
    <row r="101" spans="1:5" ht="14.25" customHeight="1" x14ac:dyDescent="0.25">
      <c r="A101" s="212" t="s">
        <v>247</v>
      </c>
      <c r="B101" s="22">
        <v>825000</v>
      </c>
      <c r="C101" s="214">
        <v>2</v>
      </c>
      <c r="D101" s="22">
        <f t="shared" ref="D101:D107" si="6">+B101*C101</f>
        <v>1650000</v>
      </c>
      <c r="E101" s="214" t="s">
        <v>7</v>
      </c>
    </row>
    <row r="102" spans="1:5" ht="14.25" customHeight="1" x14ac:dyDescent="0.25">
      <c r="A102" s="212" t="s">
        <v>248</v>
      </c>
      <c r="B102" s="22">
        <v>215000</v>
      </c>
      <c r="C102" s="214">
        <v>3</v>
      </c>
      <c r="D102" s="22">
        <f t="shared" si="6"/>
        <v>645000</v>
      </c>
      <c r="E102" s="214" t="s">
        <v>7</v>
      </c>
    </row>
    <row r="103" spans="1:5" ht="14.25" customHeight="1" x14ac:dyDescent="0.25">
      <c r="A103" s="212" t="s">
        <v>249</v>
      </c>
      <c r="B103" s="22">
        <v>65000</v>
      </c>
      <c r="C103" s="214">
        <v>2</v>
      </c>
      <c r="D103" s="22">
        <f t="shared" si="6"/>
        <v>130000</v>
      </c>
      <c r="E103" s="214" t="s">
        <v>7</v>
      </c>
    </row>
    <row r="104" spans="1:5" ht="14.25" customHeight="1" x14ac:dyDescent="0.25">
      <c r="A104" s="212" t="s">
        <v>250</v>
      </c>
      <c r="B104" s="22">
        <v>560000</v>
      </c>
      <c r="C104" s="214">
        <v>1</v>
      </c>
      <c r="D104" s="22">
        <f t="shared" si="6"/>
        <v>560000</v>
      </c>
      <c r="E104" s="214" t="s">
        <v>7</v>
      </c>
    </row>
    <row r="105" spans="1:5" ht="14.25" customHeight="1" x14ac:dyDescent="0.25">
      <c r="A105" s="212" t="s">
        <v>251</v>
      </c>
      <c r="B105" s="22">
        <v>120000</v>
      </c>
      <c r="C105" s="214">
        <v>1</v>
      </c>
      <c r="D105" s="22">
        <f t="shared" si="6"/>
        <v>120000</v>
      </c>
      <c r="E105" s="214" t="s">
        <v>7</v>
      </c>
    </row>
    <row r="106" spans="1:5" ht="14.25" customHeight="1" x14ac:dyDescent="0.25">
      <c r="A106" s="212" t="s">
        <v>252</v>
      </c>
      <c r="B106" s="220">
        <v>60000</v>
      </c>
      <c r="C106" s="214">
        <v>2</v>
      </c>
      <c r="D106" s="22">
        <f t="shared" si="6"/>
        <v>120000</v>
      </c>
      <c r="E106" s="214" t="s">
        <v>7</v>
      </c>
    </row>
    <row r="107" spans="1:5" ht="14.25" customHeight="1" x14ac:dyDescent="0.25">
      <c r="A107" s="212" t="s">
        <v>253</v>
      </c>
      <c r="B107" s="220">
        <v>100000</v>
      </c>
      <c r="C107" s="214">
        <v>1</v>
      </c>
      <c r="D107" s="22">
        <f t="shared" si="6"/>
        <v>100000</v>
      </c>
      <c r="E107" s="214" t="s">
        <v>7</v>
      </c>
    </row>
    <row r="108" spans="1:5" ht="14.25" customHeight="1" x14ac:dyDescent="0.25">
      <c r="A108" s="9"/>
      <c r="B108" s="219"/>
      <c r="C108" s="214"/>
      <c r="D108" s="217"/>
      <c r="E108" s="184"/>
    </row>
    <row r="109" spans="1:5" s="222" customFormat="1" x14ac:dyDescent="0.25">
      <c r="A109" s="368" t="s">
        <v>68</v>
      </c>
      <c r="B109" s="368"/>
      <c r="C109" s="368"/>
      <c r="D109" s="368"/>
      <c r="E109" s="368"/>
    </row>
    <row r="110" spans="1:5" x14ac:dyDescent="0.25">
      <c r="A110" s="9" t="s">
        <v>254</v>
      </c>
      <c r="B110" s="219">
        <v>76000</v>
      </c>
      <c r="C110" s="214">
        <v>2</v>
      </c>
      <c r="D110" s="217">
        <f t="shared" ref="D110:D142" si="7">+B110*C110</f>
        <v>152000</v>
      </c>
      <c r="E110" s="184" t="s">
        <v>7</v>
      </c>
    </row>
    <row r="111" spans="1:5" x14ac:dyDescent="0.25">
      <c r="A111" s="9" t="s">
        <v>63</v>
      </c>
      <c r="B111" s="219">
        <v>18000</v>
      </c>
      <c r="C111" s="214">
        <v>10</v>
      </c>
      <c r="D111" s="217">
        <f t="shared" si="7"/>
        <v>180000</v>
      </c>
      <c r="E111" s="184" t="s">
        <v>7</v>
      </c>
    </row>
    <row r="112" spans="1:5" x14ac:dyDescent="0.25">
      <c r="A112" s="9" t="s">
        <v>255</v>
      </c>
      <c r="B112" s="21">
        <v>14000</v>
      </c>
      <c r="C112" s="214">
        <v>10</v>
      </c>
      <c r="D112" s="217">
        <f t="shared" si="7"/>
        <v>140000</v>
      </c>
      <c r="E112" s="184" t="s">
        <v>7</v>
      </c>
    </row>
    <row r="113" spans="1:5" x14ac:dyDescent="0.25">
      <c r="A113" s="9" t="s">
        <v>256</v>
      </c>
      <c r="B113" s="21">
        <v>18300</v>
      </c>
      <c r="C113" s="214">
        <v>5</v>
      </c>
      <c r="D113" s="217">
        <f t="shared" si="7"/>
        <v>91500</v>
      </c>
      <c r="E113" s="184" t="s">
        <v>7</v>
      </c>
    </row>
    <row r="114" spans="1:5" x14ac:dyDescent="0.25">
      <c r="A114" s="9" t="s">
        <v>64</v>
      </c>
      <c r="B114" s="21">
        <v>13200</v>
      </c>
      <c r="C114" s="214">
        <v>3</v>
      </c>
      <c r="D114" s="217">
        <f t="shared" si="7"/>
        <v>39600</v>
      </c>
      <c r="E114" s="184" t="s">
        <v>7</v>
      </c>
    </row>
    <row r="115" spans="1:5" x14ac:dyDescent="0.25">
      <c r="A115" s="9" t="s">
        <v>65</v>
      </c>
      <c r="B115" s="21">
        <v>8900</v>
      </c>
      <c r="C115" s="214">
        <v>5</v>
      </c>
      <c r="D115" s="217">
        <f t="shared" si="7"/>
        <v>44500</v>
      </c>
      <c r="E115" s="184" t="s">
        <v>7</v>
      </c>
    </row>
    <row r="116" spans="1:5" x14ac:dyDescent="0.25">
      <c r="A116" s="9" t="s">
        <v>66</v>
      </c>
      <c r="B116" s="21">
        <v>6000</v>
      </c>
      <c r="C116" s="214">
        <v>5</v>
      </c>
      <c r="D116" s="217">
        <f t="shared" si="7"/>
        <v>30000</v>
      </c>
      <c r="E116" s="184" t="s">
        <v>7</v>
      </c>
    </row>
    <row r="117" spans="1:5" x14ac:dyDescent="0.25">
      <c r="A117" s="9" t="s">
        <v>55</v>
      </c>
      <c r="B117" s="21">
        <v>4500</v>
      </c>
      <c r="C117" s="214">
        <v>6</v>
      </c>
      <c r="D117" s="217">
        <f t="shared" si="7"/>
        <v>27000</v>
      </c>
      <c r="E117" s="184" t="s">
        <v>7</v>
      </c>
    </row>
    <row r="118" spans="1:5" x14ac:dyDescent="0.25">
      <c r="A118" s="9" t="s">
        <v>73</v>
      </c>
      <c r="B118" s="21">
        <v>3200</v>
      </c>
      <c r="C118" s="214">
        <v>6</v>
      </c>
      <c r="D118" s="217">
        <f t="shared" si="7"/>
        <v>19200</v>
      </c>
      <c r="E118" s="184" t="s">
        <v>7</v>
      </c>
    </row>
    <row r="119" spans="1:5" x14ac:dyDescent="0.25">
      <c r="A119" s="9" t="s">
        <v>74</v>
      </c>
      <c r="B119" s="21">
        <v>6500</v>
      </c>
      <c r="C119" s="214">
        <v>4</v>
      </c>
      <c r="D119" s="217">
        <f t="shared" si="7"/>
        <v>26000</v>
      </c>
      <c r="E119" s="184" t="s">
        <v>7</v>
      </c>
    </row>
    <row r="120" spans="1:5" x14ac:dyDescent="0.25">
      <c r="A120" s="9" t="s">
        <v>15</v>
      </c>
      <c r="B120" s="218">
        <v>39900</v>
      </c>
      <c r="C120" s="214">
        <v>6</v>
      </c>
      <c r="D120" s="217">
        <f t="shared" ref="D120:D129" si="8">+B120*C120</f>
        <v>239400</v>
      </c>
      <c r="E120" s="184" t="s">
        <v>7</v>
      </c>
    </row>
    <row r="121" spans="1:5" x14ac:dyDescent="0.25">
      <c r="A121" s="9" t="s">
        <v>16</v>
      </c>
      <c r="B121" s="218">
        <v>64900</v>
      </c>
      <c r="C121" s="214">
        <v>16</v>
      </c>
      <c r="D121" s="217">
        <f t="shared" si="8"/>
        <v>1038400</v>
      </c>
      <c r="E121" s="184" t="s">
        <v>7</v>
      </c>
    </row>
    <row r="122" spans="1:5" x14ac:dyDescent="0.25">
      <c r="A122" s="9" t="s">
        <v>14</v>
      </c>
      <c r="B122" s="218">
        <v>85900</v>
      </c>
      <c r="C122" s="214">
        <v>30</v>
      </c>
      <c r="D122" s="217">
        <f t="shared" si="8"/>
        <v>2577000</v>
      </c>
      <c r="E122" s="184" t="s">
        <v>7</v>
      </c>
    </row>
    <row r="123" spans="1:5" x14ac:dyDescent="0.25">
      <c r="A123" s="9" t="s">
        <v>27</v>
      </c>
      <c r="B123" s="218">
        <v>95500</v>
      </c>
      <c r="C123" s="214">
        <v>20</v>
      </c>
      <c r="D123" s="217">
        <f t="shared" si="8"/>
        <v>1910000</v>
      </c>
      <c r="E123" s="184" t="s">
        <v>7</v>
      </c>
    </row>
    <row r="124" spans="1:5" x14ac:dyDescent="0.25">
      <c r="A124" s="9" t="s">
        <v>17</v>
      </c>
      <c r="B124" s="218">
        <v>45700</v>
      </c>
      <c r="C124" s="214">
        <v>30</v>
      </c>
      <c r="D124" s="217">
        <f t="shared" si="8"/>
        <v>1371000</v>
      </c>
      <c r="E124" s="184" t="s">
        <v>7</v>
      </c>
    </row>
    <row r="125" spans="1:5" x14ac:dyDescent="0.25">
      <c r="A125" s="9" t="s">
        <v>18</v>
      </c>
      <c r="B125" s="218">
        <v>4400</v>
      </c>
      <c r="C125" s="214">
        <v>15</v>
      </c>
      <c r="D125" s="217">
        <f t="shared" si="8"/>
        <v>66000</v>
      </c>
      <c r="E125" s="184" t="s">
        <v>7</v>
      </c>
    </row>
    <row r="126" spans="1:5" x14ac:dyDescent="0.25">
      <c r="A126" s="9" t="s">
        <v>19</v>
      </c>
      <c r="B126" s="218">
        <v>14900</v>
      </c>
      <c r="C126" s="214">
        <v>40</v>
      </c>
      <c r="D126" s="217">
        <f t="shared" si="8"/>
        <v>596000</v>
      </c>
      <c r="E126" s="184" t="s">
        <v>7</v>
      </c>
    </row>
    <row r="127" spans="1:5" x14ac:dyDescent="0.25">
      <c r="A127" s="9" t="s">
        <v>21</v>
      </c>
      <c r="B127" s="218">
        <v>12900</v>
      </c>
      <c r="C127" s="214">
        <v>40</v>
      </c>
      <c r="D127" s="217">
        <f t="shared" si="8"/>
        <v>516000</v>
      </c>
      <c r="E127" s="184" t="s">
        <v>7</v>
      </c>
    </row>
    <row r="128" spans="1:5" x14ac:dyDescent="0.25">
      <c r="A128" s="9" t="s">
        <v>22</v>
      </c>
      <c r="B128" s="218">
        <v>39900</v>
      </c>
      <c r="C128" s="214">
        <v>10</v>
      </c>
      <c r="D128" s="217">
        <f t="shared" si="8"/>
        <v>399000</v>
      </c>
      <c r="E128" s="184" t="s">
        <v>7</v>
      </c>
    </row>
    <row r="129" spans="1:7" x14ac:dyDescent="0.25">
      <c r="A129" s="9" t="s">
        <v>23</v>
      </c>
      <c r="B129" s="218">
        <v>250000</v>
      </c>
      <c r="C129" s="214">
        <v>3</v>
      </c>
      <c r="D129" s="217">
        <f t="shared" si="8"/>
        <v>750000</v>
      </c>
      <c r="E129" s="184" t="s">
        <v>7</v>
      </c>
    </row>
    <row r="130" spans="1:7" x14ac:dyDescent="0.25">
      <c r="A130" s="9" t="s">
        <v>67</v>
      </c>
      <c r="B130" s="21">
        <v>1500</v>
      </c>
      <c r="C130" s="214">
        <v>40</v>
      </c>
      <c r="D130" s="217">
        <f t="shared" si="7"/>
        <v>60000</v>
      </c>
      <c r="E130" s="184" t="s">
        <v>7</v>
      </c>
    </row>
    <row r="131" spans="1:7" x14ac:dyDescent="0.25">
      <c r="A131" s="9" t="s">
        <v>257</v>
      </c>
      <c r="B131" s="21">
        <v>2200</v>
      </c>
      <c r="C131" s="214">
        <v>200</v>
      </c>
      <c r="D131" s="217">
        <f t="shared" si="7"/>
        <v>440000</v>
      </c>
      <c r="E131" s="184" t="s">
        <v>7</v>
      </c>
    </row>
    <row r="132" spans="1:7" x14ac:dyDescent="0.25">
      <c r="A132" s="9" t="s">
        <v>258</v>
      </c>
      <c r="B132" s="219">
        <v>2000000</v>
      </c>
      <c r="C132" s="214">
        <v>4</v>
      </c>
      <c r="D132" s="217">
        <f t="shared" si="7"/>
        <v>8000000</v>
      </c>
      <c r="E132" s="184" t="s">
        <v>7</v>
      </c>
    </row>
    <row r="133" spans="1:7" x14ac:dyDescent="0.25">
      <c r="A133" s="9" t="s">
        <v>69</v>
      </c>
      <c r="B133" s="219">
        <v>2500000</v>
      </c>
      <c r="C133" s="214">
        <v>4</v>
      </c>
      <c r="D133" s="217">
        <f t="shared" si="7"/>
        <v>10000000</v>
      </c>
      <c r="E133" s="184" t="s">
        <v>7</v>
      </c>
    </row>
    <row r="134" spans="1:7" x14ac:dyDescent="0.25">
      <c r="A134" s="9" t="s">
        <v>70</v>
      </c>
      <c r="B134" s="219">
        <v>8500</v>
      </c>
      <c r="C134" s="214">
        <v>10</v>
      </c>
      <c r="D134" s="217">
        <f t="shared" si="7"/>
        <v>85000</v>
      </c>
      <c r="E134" s="184" t="s">
        <v>7</v>
      </c>
    </row>
    <row r="135" spans="1:7" x14ac:dyDescent="0.25">
      <c r="A135" s="9" t="s">
        <v>72</v>
      </c>
      <c r="B135" s="219">
        <v>8100</v>
      </c>
      <c r="C135" s="214">
        <v>10</v>
      </c>
      <c r="D135" s="217">
        <f t="shared" si="7"/>
        <v>81000</v>
      </c>
      <c r="E135" s="184" t="s">
        <v>7</v>
      </c>
    </row>
    <row r="136" spans="1:7" x14ac:dyDescent="0.25">
      <c r="A136" s="9" t="s">
        <v>71</v>
      </c>
      <c r="B136" s="219">
        <v>185000</v>
      </c>
      <c r="C136" s="214">
        <v>9</v>
      </c>
      <c r="D136" s="217">
        <f t="shared" si="7"/>
        <v>1665000</v>
      </c>
      <c r="E136" s="184" t="s">
        <v>7</v>
      </c>
      <c r="G136" s="3"/>
    </row>
    <row r="137" spans="1:7" x14ac:dyDescent="0.25">
      <c r="A137" s="9" t="s">
        <v>259</v>
      </c>
      <c r="B137" s="219">
        <v>3500</v>
      </c>
      <c r="C137" s="214">
        <v>16</v>
      </c>
      <c r="D137" s="217">
        <f t="shared" si="7"/>
        <v>56000</v>
      </c>
      <c r="E137" s="184" t="s">
        <v>7</v>
      </c>
      <c r="G137" s="3"/>
    </row>
    <row r="138" spans="1:7" x14ac:dyDescent="0.25">
      <c r="A138" s="9" t="s">
        <v>260</v>
      </c>
      <c r="B138" s="219">
        <v>11500</v>
      </c>
      <c r="C138" s="214">
        <v>13</v>
      </c>
      <c r="D138" s="217">
        <f t="shared" si="7"/>
        <v>149500</v>
      </c>
      <c r="E138" s="184" t="s">
        <v>7</v>
      </c>
      <c r="G138" s="3"/>
    </row>
    <row r="139" spans="1:7" x14ac:dyDescent="0.25">
      <c r="A139" s="9" t="s">
        <v>261</v>
      </c>
      <c r="B139" s="219">
        <v>15100</v>
      </c>
      <c r="C139" s="214">
        <v>4</v>
      </c>
      <c r="D139" s="217">
        <f t="shared" si="7"/>
        <v>60400</v>
      </c>
      <c r="E139" s="184" t="s">
        <v>7</v>
      </c>
      <c r="G139" s="3"/>
    </row>
    <row r="140" spans="1:7" x14ac:dyDescent="0.25">
      <c r="A140" s="9" t="s">
        <v>262</v>
      </c>
      <c r="B140" s="219">
        <v>18500</v>
      </c>
      <c r="C140" s="214">
        <v>4</v>
      </c>
      <c r="D140" s="217">
        <f t="shared" si="7"/>
        <v>74000</v>
      </c>
      <c r="E140" s="184" t="s">
        <v>7</v>
      </c>
      <c r="G140" s="3"/>
    </row>
    <row r="141" spans="1:7" x14ac:dyDescent="0.25">
      <c r="A141" s="9" t="s">
        <v>263</v>
      </c>
      <c r="B141" s="219">
        <v>6500</v>
      </c>
      <c r="C141" s="214">
        <v>15</v>
      </c>
      <c r="D141" s="217">
        <f t="shared" si="7"/>
        <v>97500</v>
      </c>
      <c r="E141" s="184" t="s">
        <v>7</v>
      </c>
      <c r="G141" s="19"/>
    </row>
    <row r="142" spans="1:7" x14ac:dyDescent="0.25">
      <c r="A142" s="9" t="s">
        <v>87</v>
      </c>
      <c r="B142" s="219">
        <v>180000</v>
      </c>
      <c r="C142" s="214">
        <v>1</v>
      </c>
      <c r="D142" s="217">
        <f t="shared" si="7"/>
        <v>180000</v>
      </c>
      <c r="E142" s="184" t="s">
        <v>7</v>
      </c>
      <c r="G142" s="19"/>
    </row>
    <row r="143" spans="1:7" x14ac:dyDescent="0.25">
      <c r="A143" s="9"/>
      <c r="B143" s="218"/>
      <c r="C143" s="214"/>
      <c r="D143" s="217"/>
      <c r="E143" s="184"/>
      <c r="G143" s="19"/>
    </row>
    <row r="144" spans="1:7" x14ac:dyDescent="0.25">
      <c r="A144" s="368" t="s">
        <v>84</v>
      </c>
      <c r="B144" s="368"/>
      <c r="C144" s="368"/>
      <c r="D144" s="368"/>
      <c r="E144" s="368"/>
      <c r="F144" s="214" t="s">
        <v>80</v>
      </c>
      <c r="G144" s="214">
        <v>1.47</v>
      </c>
    </row>
    <row r="145" spans="1:7" x14ac:dyDescent="0.25">
      <c r="A145" s="9" t="s">
        <v>78</v>
      </c>
      <c r="B145" s="218">
        <f>2500000*G144</f>
        <v>3675000</v>
      </c>
      <c r="C145" s="214">
        <v>1</v>
      </c>
      <c r="D145" s="9"/>
      <c r="E145" s="214" t="s">
        <v>180</v>
      </c>
      <c r="G145" s="3"/>
    </row>
    <row r="146" spans="1:7" x14ac:dyDescent="0.25">
      <c r="A146" s="9" t="s">
        <v>77</v>
      </c>
      <c r="B146" s="218">
        <f>950000*G144</f>
        <v>1396500</v>
      </c>
      <c r="C146" s="214">
        <v>1</v>
      </c>
      <c r="D146" s="9"/>
      <c r="E146" s="214" t="s">
        <v>180</v>
      </c>
      <c r="G146" s="3"/>
    </row>
    <row r="147" spans="1:7" x14ac:dyDescent="0.25">
      <c r="A147" s="9" t="s">
        <v>76</v>
      </c>
      <c r="B147" s="218">
        <f>1100000*G144</f>
        <v>1617000</v>
      </c>
      <c r="C147" s="214">
        <v>1</v>
      </c>
      <c r="D147" s="9"/>
      <c r="E147" s="214" t="s">
        <v>180</v>
      </c>
      <c r="G147" s="3"/>
    </row>
    <row r="148" spans="1:7" x14ac:dyDescent="0.25">
      <c r="A148" s="9" t="s">
        <v>79</v>
      </c>
      <c r="B148" s="218">
        <f>1000000*G144</f>
        <v>1470000</v>
      </c>
      <c r="C148" s="214">
        <v>1</v>
      </c>
      <c r="D148" s="9"/>
      <c r="E148" s="214" t="s">
        <v>180</v>
      </c>
      <c r="G148" s="3"/>
    </row>
    <row r="149" spans="1:7" x14ac:dyDescent="0.25">
      <c r="A149" s="9" t="s">
        <v>81</v>
      </c>
      <c r="B149" s="218">
        <v>2200000</v>
      </c>
      <c r="C149" s="214">
        <v>1</v>
      </c>
      <c r="D149" s="9"/>
      <c r="E149" s="214" t="s">
        <v>180</v>
      </c>
    </row>
    <row r="150" spans="1:7" x14ac:dyDescent="0.25">
      <c r="A150" s="9" t="s">
        <v>82</v>
      </c>
      <c r="B150" s="218">
        <v>1250000</v>
      </c>
      <c r="C150" s="214">
        <v>1</v>
      </c>
      <c r="D150" s="9"/>
      <c r="E150" s="214" t="s">
        <v>180</v>
      </c>
    </row>
    <row r="151" spans="1:7" x14ac:dyDescent="0.25">
      <c r="A151" s="9" t="s">
        <v>83</v>
      </c>
      <c r="B151" s="218">
        <v>1100000</v>
      </c>
      <c r="C151" s="214">
        <v>1</v>
      </c>
      <c r="D151" s="9"/>
      <c r="E151" s="214" t="s">
        <v>180</v>
      </c>
    </row>
    <row r="152" spans="1:7" x14ac:dyDescent="0.25">
      <c r="A152" s="369" t="s">
        <v>264</v>
      </c>
      <c r="B152" s="369"/>
      <c r="C152" s="369"/>
      <c r="D152" s="369"/>
      <c r="E152" s="369"/>
    </row>
    <row r="153" spans="1:7" x14ac:dyDescent="0.25">
      <c r="A153" s="9" t="s">
        <v>162</v>
      </c>
      <c r="B153" s="218">
        <v>1000000</v>
      </c>
      <c r="C153" s="214"/>
      <c r="D153" s="9"/>
      <c r="E153" s="214" t="s">
        <v>180</v>
      </c>
    </row>
    <row r="154" spans="1:7" x14ac:dyDescent="0.25">
      <c r="A154" s="9" t="s">
        <v>169</v>
      </c>
      <c r="B154" s="218">
        <v>250000</v>
      </c>
      <c r="C154" s="214"/>
      <c r="D154" s="9"/>
      <c r="E154" s="214" t="s">
        <v>180</v>
      </c>
    </row>
    <row r="155" spans="1:7" x14ac:dyDescent="0.25">
      <c r="A155" s="9" t="s">
        <v>170</v>
      </c>
      <c r="B155" s="218">
        <v>580000</v>
      </c>
      <c r="C155" s="214"/>
      <c r="D155" s="9"/>
      <c r="E155" s="214" t="s">
        <v>180</v>
      </c>
    </row>
    <row r="156" spans="1:7" x14ac:dyDescent="0.25">
      <c r="A156" s="9" t="s">
        <v>161</v>
      </c>
      <c r="B156" s="218">
        <v>56000</v>
      </c>
      <c r="C156" s="214"/>
      <c r="D156" s="9"/>
      <c r="E156" s="214" t="s">
        <v>180</v>
      </c>
    </row>
    <row r="157" spans="1:7" x14ac:dyDescent="0.25">
      <c r="A157" s="9" t="s">
        <v>166</v>
      </c>
      <c r="B157" s="218">
        <f>+D110+D111+D112+D113+D114+D115+D116+D117+D118+D119++D131+D137+D138</f>
        <v>1395300</v>
      </c>
      <c r="C157" s="214"/>
      <c r="D157" s="9"/>
      <c r="E157" s="214" t="s">
        <v>180</v>
      </c>
    </row>
    <row r="158" spans="1:7" x14ac:dyDescent="0.25">
      <c r="A158" s="9" t="s">
        <v>167</v>
      </c>
      <c r="B158" s="218">
        <f>D10+D13+D14+D17+D18+D19+D24+D25+D26+D28+D30+D35+D37+D39+D38+D40+D41+D42+D43+D50+D55+D56+D57+D58+D59+D60+D61+D63+D89+D81+D71+D72+D73+D74+D104+D120+D121+D122+D123+D105+D106+D107+D124+D125+D126+D127+D129+D128+D130</f>
        <v>29920000</v>
      </c>
      <c r="C158" s="214"/>
      <c r="D158" s="9"/>
      <c r="E158" s="214" t="s">
        <v>182</v>
      </c>
    </row>
    <row r="159" spans="1:7" x14ac:dyDescent="0.25">
      <c r="A159" s="9" t="s">
        <v>168</v>
      </c>
      <c r="B159" s="218">
        <f>D134+D135+D136</f>
        <v>1831000</v>
      </c>
      <c r="C159" s="214"/>
      <c r="D159" s="9"/>
      <c r="E159" s="214" t="s">
        <v>181</v>
      </c>
    </row>
    <row r="160" spans="1:7" x14ac:dyDescent="0.25">
      <c r="A160" s="9" t="s">
        <v>163</v>
      </c>
      <c r="B160" s="218">
        <f>+D132</f>
        <v>8000000</v>
      </c>
      <c r="C160" s="214"/>
      <c r="D160" s="9"/>
      <c r="E160" s="214" t="s">
        <v>180</v>
      </c>
    </row>
    <row r="161" spans="1:5" x14ac:dyDescent="0.25">
      <c r="A161" s="9" t="s">
        <v>59</v>
      </c>
      <c r="B161" s="218">
        <f>+D133</f>
        <v>10000000</v>
      </c>
      <c r="C161" s="214"/>
      <c r="D161" s="9"/>
      <c r="E161" s="214" t="s">
        <v>180</v>
      </c>
    </row>
    <row r="162" spans="1:5" x14ac:dyDescent="0.25">
      <c r="A162" s="9" t="s">
        <v>164</v>
      </c>
      <c r="B162" s="221">
        <f>+SUM(D139:D141)</f>
        <v>231900</v>
      </c>
      <c r="C162" s="214"/>
      <c r="D162" s="9"/>
      <c r="E162" s="214" t="s">
        <v>180</v>
      </c>
    </row>
    <row r="163" spans="1:5" x14ac:dyDescent="0.25">
      <c r="A163" s="9" t="s">
        <v>171</v>
      </c>
      <c r="B163" s="218">
        <f>+B142</f>
        <v>180000</v>
      </c>
      <c r="C163" s="214"/>
      <c r="D163" s="9"/>
      <c r="E163" s="214" t="s">
        <v>193</v>
      </c>
    </row>
    <row r="164" spans="1:5" x14ac:dyDescent="0.25">
      <c r="A164" s="9" t="s">
        <v>172</v>
      </c>
      <c r="B164" s="218">
        <v>5000000</v>
      </c>
      <c r="C164" s="214"/>
      <c r="D164" s="9"/>
      <c r="E164" s="214" t="s">
        <v>193</v>
      </c>
    </row>
    <row r="165" spans="1:5" x14ac:dyDescent="0.25">
      <c r="A165" s="9" t="s">
        <v>179</v>
      </c>
      <c r="B165" s="218">
        <v>2460</v>
      </c>
      <c r="C165" s="214"/>
      <c r="D165" s="9"/>
      <c r="E165" s="214" t="s">
        <v>194</v>
      </c>
    </row>
    <row r="166" spans="1:5" x14ac:dyDescent="0.25">
      <c r="A166" s="368" t="s">
        <v>205</v>
      </c>
      <c r="B166" s="368"/>
      <c r="C166" s="368"/>
      <c r="D166" s="368"/>
      <c r="E166" s="368"/>
    </row>
    <row r="167" spans="1:5" x14ac:dyDescent="0.25">
      <c r="A167" s="9" t="s">
        <v>206</v>
      </c>
      <c r="B167" s="218">
        <v>2500000</v>
      </c>
      <c r="C167" s="214">
        <v>1</v>
      </c>
      <c r="D167" s="9"/>
      <c r="E167" s="214" t="s">
        <v>180</v>
      </c>
    </row>
    <row r="168" spans="1:5" x14ac:dyDescent="0.25">
      <c r="A168" s="9" t="s">
        <v>207</v>
      </c>
      <c r="B168" s="218">
        <v>1150000</v>
      </c>
      <c r="C168" s="214">
        <v>1</v>
      </c>
      <c r="D168" s="9"/>
      <c r="E168" s="214" t="s">
        <v>180</v>
      </c>
    </row>
    <row r="169" spans="1:5" x14ac:dyDescent="0.25">
      <c r="A169" s="9" t="s">
        <v>208</v>
      </c>
      <c r="B169" s="218">
        <v>1200000</v>
      </c>
      <c r="C169" s="214">
        <v>1</v>
      </c>
      <c r="D169" s="9"/>
      <c r="E169" s="214" t="s">
        <v>180</v>
      </c>
    </row>
    <row r="170" spans="1:5" x14ac:dyDescent="0.25">
      <c r="A170" s="9" t="s">
        <v>212</v>
      </c>
      <c r="B170" s="218">
        <v>500000</v>
      </c>
      <c r="C170" s="214">
        <v>1</v>
      </c>
      <c r="D170" s="9"/>
      <c r="E170" s="214" t="s">
        <v>180</v>
      </c>
    </row>
  </sheetData>
  <mergeCells count="14">
    <mergeCell ref="A166:E166"/>
    <mergeCell ref="A152:E152"/>
    <mergeCell ref="A109:E109"/>
    <mergeCell ref="A83:E83"/>
    <mergeCell ref="A76:E76"/>
    <mergeCell ref="A1:E1"/>
    <mergeCell ref="A68:E68"/>
    <mergeCell ref="A31:E31"/>
    <mergeCell ref="A9:E9"/>
    <mergeCell ref="A144:E144"/>
    <mergeCell ref="A53:E53"/>
    <mergeCell ref="A93:E93"/>
    <mergeCell ref="A100:E100"/>
    <mergeCell ref="A3:E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">
    <tabColor theme="7" tint="0.59999389629810485"/>
  </sheetPr>
  <dimension ref="A1:I35"/>
  <sheetViews>
    <sheetView workbookViewId="0">
      <selection activeCell="I14" sqref="I14"/>
    </sheetView>
  </sheetViews>
  <sheetFormatPr baseColWidth="10" defaultRowHeight="15" x14ac:dyDescent="0.25"/>
  <cols>
    <col min="1" max="1" width="26.5703125" style="133" bestFit="1" customWidth="1"/>
    <col min="2" max="2" width="14.28515625" style="282" bestFit="1" customWidth="1"/>
    <col min="3" max="3" width="26.7109375" style="133" bestFit="1" customWidth="1"/>
    <col min="4" max="4" width="11.42578125" style="133"/>
    <col min="5" max="9" width="16.140625" style="133" bestFit="1" customWidth="1"/>
    <col min="10" max="16384" width="11.42578125" style="133"/>
  </cols>
  <sheetData>
    <row r="1" spans="1:9" x14ac:dyDescent="0.25">
      <c r="A1" s="370" t="s">
        <v>539</v>
      </c>
      <c r="B1" s="370"/>
    </row>
    <row r="2" spans="1:9" x14ac:dyDescent="0.25">
      <c r="A2" s="264" t="s">
        <v>104</v>
      </c>
      <c r="B2" s="265">
        <v>28</v>
      </c>
    </row>
    <row r="3" spans="1:9" x14ac:dyDescent="0.25">
      <c r="A3" s="264" t="s">
        <v>105</v>
      </c>
      <c r="B3" s="266">
        <v>190000</v>
      </c>
    </row>
    <row r="4" spans="1:9" x14ac:dyDescent="0.25">
      <c r="A4" s="264" t="s">
        <v>106</v>
      </c>
      <c r="B4" s="265">
        <v>30</v>
      </c>
    </row>
    <row r="5" spans="1:9" x14ac:dyDescent="0.25">
      <c r="A5" s="264" t="s">
        <v>149</v>
      </c>
      <c r="B5" s="267">
        <v>0</v>
      </c>
    </row>
    <row r="6" spans="1:9" x14ac:dyDescent="0.25">
      <c r="A6" s="264" t="s">
        <v>150</v>
      </c>
      <c r="B6" s="267">
        <v>5.0000000000000001E-3</v>
      </c>
      <c r="C6" s="268"/>
    </row>
    <row r="7" spans="1:9" x14ac:dyDescent="0.25">
      <c r="A7" s="264" t="s">
        <v>151</v>
      </c>
      <c r="B7" s="267">
        <v>0.01</v>
      </c>
    </row>
    <row r="8" spans="1:9" x14ac:dyDescent="0.25">
      <c r="A8" s="264" t="s">
        <v>152</v>
      </c>
      <c r="B8" s="267">
        <v>1.4999999999999999E-2</v>
      </c>
    </row>
    <row r="9" spans="1:9" x14ac:dyDescent="0.25">
      <c r="A9" s="264" t="s">
        <v>153</v>
      </c>
      <c r="B9" s="267">
        <v>0.02</v>
      </c>
    </row>
    <row r="10" spans="1:9" x14ac:dyDescent="0.25">
      <c r="A10" s="269"/>
      <c r="B10" s="270"/>
    </row>
    <row r="11" spans="1:9" ht="20.25" customHeight="1" x14ac:dyDescent="0.25">
      <c r="A11" s="370" t="s">
        <v>155</v>
      </c>
      <c r="B11" s="370"/>
      <c r="C11" s="370"/>
    </row>
    <row r="12" spans="1:9" s="271" customFormat="1" ht="26.25" customHeight="1" x14ac:dyDescent="0.25">
      <c r="A12" s="371" t="s">
        <v>154</v>
      </c>
      <c r="B12" s="371"/>
      <c r="C12" s="371"/>
    </row>
    <row r="13" spans="1:9" ht="39.75" customHeight="1" x14ac:dyDescent="0.25">
      <c r="A13" s="305" t="s">
        <v>90</v>
      </c>
      <c r="B13" s="305" t="s">
        <v>91</v>
      </c>
      <c r="C13" s="306" t="s">
        <v>144</v>
      </c>
      <c r="E13" s="307" t="s">
        <v>160</v>
      </c>
      <c r="F13" s="307" t="s">
        <v>156</v>
      </c>
      <c r="G13" s="307" t="s">
        <v>157</v>
      </c>
      <c r="H13" s="307" t="s">
        <v>158</v>
      </c>
      <c r="I13" s="307" t="s">
        <v>159</v>
      </c>
    </row>
    <row r="14" spans="1:9" x14ac:dyDescent="0.25">
      <c r="A14" s="161" t="s">
        <v>92</v>
      </c>
      <c r="B14" s="278">
        <v>0.4</v>
      </c>
      <c r="C14" s="273">
        <f t="shared" ref="C14:C25" si="0">+B14*$B$2*30</f>
        <v>336.00000000000006</v>
      </c>
      <c r="E14" s="274">
        <f>+SUM(C14:C25)</f>
        <v>3553.2</v>
      </c>
      <c r="F14" s="274">
        <f>+E14+(E14*B6)</f>
        <v>3570.9659999999999</v>
      </c>
      <c r="G14" s="274">
        <f>+F14+(F14*B7)</f>
        <v>3606.6756599999999</v>
      </c>
      <c r="H14" s="274">
        <f>+G14+(G14*B8)</f>
        <v>3660.7757948999997</v>
      </c>
      <c r="I14" s="274">
        <f>+H14+(H14*B9)</f>
        <v>3733.9913107979996</v>
      </c>
    </row>
    <row r="15" spans="1:9" x14ac:dyDescent="0.25">
      <c r="A15" s="161" t="s">
        <v>93</v>
      </c>
      <c r="B15" s="278">
        <v>0.25</v>
      </c>
      <c r="C15" s="273">
        <f t="shared" si="0"/>
        <v>210</v>
      </c>
    </row>
    <row r="16" spans="1:9" x14ac:dyDescent="0.25">
      <c r="A16" s="161" t="s">
        <v>94</v>
      </c>
      <c r="B16" s="278">
        <v>0.35</v>
      </c>
      <c r="C16" s="273">
        <f t="shared" si="0"/>
        <v>293.99999999999994</v>
      </c>
      <c r="E16" s="157"/>
      <c r="F16" s="157"/>
      <c r="G16" s="157"/>
    </row>
    <row r="17" spans="1:8" x14ac:dyDescent="0.25">
      <c r="A17" s="161" t="s">
        <v>95</v>
      </c>
      <c r="B17" s="278">
        <v>0.38</v>
      </c>
      <c r="C17" s="273">
        <f t="shared" si="0"/>
        <v>319.20000000000005</v>
      </c>
      <c r="E17" s="275"/>
      <c r="F17" s="276"/>
      <c r="G17" s="277"/>
    </row>
    <row r="18" spans="1:8" x14ac:dyDescent="0.25">
      <c r="A18" s="161" t="s">
        <v>96</v>
      </c>
      <c r="B18" s="278">
        <v>0.35</v>
      </c>
      <c r="C18" s="273">
        <f t="shared" si="0"/>
        <v>293.99999999999994</v>
      </c>
      <c r="D18" s="157"/>
      <c r="E18" s="277"/>
      <c r="F18" s="276"/>
      <c r="G18" s="277"/>
      <c r="H18" s="157"/>
    </row>
    <row r="19" spans="1:8" x14ac:dyDescent="0.25">
      <c r="A19" s="161" t="s">
        <v>97</v>
      </c>
      <c r="B19" s="278">
        <v>0.4</v>
      </c>
      <c r="C19" s="273">
        <f t="shared" si="0"/>
        <v>336.00000000000006</v>
      </c>
      <c r="D19" s="157"/>
      <c r="E19" s="277"/>
      <c r="F19" s="276"/>
      <c r="G19" s="277"/>
      <c r="H19" s="157"/>
    </row>
    <row r="20" spans="1:8" x14ac:dyDescent="0.25">
      <c r="A20" s="161" t="s">
        <v>98</v>
      </c>
      <c r="B20" s="278">
        <v>0.45</v>
      </c>
      <c r="C20" s="273">
        <f t="shared" si="0"/>
        <v>378</v>
      </c>
      <c r="D20" s="157"/>
      <c r="E20" s="308"/>
      <c r="F20" s="276"/>
      <c r="G20" s="277"/>
      <c r="H20" s="157"/>
    </row>
    <row r="21" spans="1:8" s="271" customFormat="1" ht="14.25" customHeight="1" x14ac:dyDescent="0.25">
      <c r="A21" s="161" t="s">
        <v>99</v>
      </c>
      <c r="B21" s="278">
        <v>0.35</v>
      </c>
      <c r="C21" s="273">
        <f t="shared" si="0"/>
        <v>293.99999999999994</v>
      </c>
      <c r="D21" s="279"/>
      <c r="E21" s="308"/>
      <c r="F21" s="276"/>
      <c r="G21" s="277"/>
      <c r="H21" s="279"/>
    </row>
    <row r="22" spans="1:8" x14ac:dyDescent="0.25">
      <c r="A22" s="161" t="s">
        <v>100</v>
      </c>
      <c r="B22" s="278">
        <v>0.25</v>
      </c>
      <c r="C22" s="273">
        <f t="shared" si="0"/>
        <v>210</v>
      </c>
      <c r="D22" s="157"/>
      <c r="E22" s="308"/>
      <c r="F22" s="276"/>
      <c r="G22" s="277"/>
      <c r="H22" s="157"/>
    </row>
    <row r="23" spans="1:8" x14ac:dyDescent="0.25">
      <c r="A23" s="161" t="s">
        <v>101</v>
      </c>
      <c r="B23" s="278">
        <v>0.25</v>
      </c>
      <c r="C23" s="273">
        <f t="shared" si="0"/>
        <v>210</v>
      </c>
      <c r="D23" s="157"/>
      <c r="E23" s="308"/>
      <c r="F23" s="276"/>
      <c r="G23" s="277"/>
      <c r="H23" s="157"/>
    </row>
    <row r="24" spans="1:8" x14ac:dyDescent="0.25">
      <c r="A24" s="161" t="s">
        <v>102</v>
      </c>
      <c r="B24" s="278">
        <v>0.35</v>
      </c>
      <c r="C24" s="273">
        <f t="shared" si="0"/>
        <v>293.99999999999994</v>
      </c>
      <c r="D24" s="157"/>
      <c r="E24" s="308"/>
      <c r="F24" s="276"/>
      <c r="G24" s="277"/>
      <c r="H24" s="157"/>
    </row>
    <row r="25" spans="1:8" x14ac:dyDescent="0.25">
      <c r="A25" s="161" t="s">
        <v>103</v>
      </c>
      <c r="B25" s="278">
        <v>0.45</v>
      </c>
      <c r="C25" s="273">
        <f t="shared" si="0"/>
        <v>378</v>
      </c>
      <c r="D25" s="157"/>
      <c r="E25" s="308"/>
      <c r="F25" s="276"/>
      <c r="G25" s="277"/>
      <c r="H25" s="157"/>
    </row>
    <row r="26" spans="1:8" s="271" customFormat="1" ht="20.25" customHeight="1" x14ac:dyDescent="0.25">
      <c r="A26" s="166" t="s">
        <v>481</v>
      </c>
      <c r="B26" s="280">
        <f>+AVERAGE(B14:B25)</f>
        <v>0.35250000000000004</v>
      </c>
      <c r="C26" s="281"/>
      <c r="D26" s="279"/>
      <c r="E26" s="308"/>
      <c r="F26" s="276"/>
      <c r="G26" s="277"/>
      <c r="H26" s="279"/>
    </row>
    <row r="27" spans="1:8" x14ac:dyDescent="0.25">
      <c r="D27" s="157"/>
      <c r="E27" s="308"/>
      <c r="F27" s="276"/>
      <c r="G27" s="277"/>
      <c r="H27" s="157"/>
    </row>
    <row r="28" spans="1:8" x14ac:dyDescent="0.25">
      <c r="D28" s="157"/>
      <c r="E28" s="308"/>
      <c r="F28" s="276"/>
      <c r="G28" s="277"/>
      <c r="H28" s="157"/>
    </row>
    <row r="29" spans="1:8" x14ac:dyDescent="0.25">
      <c r="D29" s="157"/>
      <c r="E29" s="308"/>
      <c r="F29" s="276"/>
      <c r="G29" s="277"/>
      <c r="H29" s="157"/>
    </row>
    <row r="30" spans="1:8" x14ac:dyDescent="0.25">
      <c r="D30" s="157"/>
      <c r="E30" s="308"/>
      <c r="F30" s="276"/>
      <c r="G30" s="277"/>
      <c r="H30" s="157"/>
    </row>
    <row r="31" spans="1:8" x14ac:dyDescent="0.25">
      <c r="D31" s="157"/>
      <c r="E31" s="308"/>
      <c r="F31" s="276"/>
      <c r="G31" s="277"/>
      <c r="H31" s="157"/>
    </row>
    <row r="32" spans="1:8" x14ac:dyDescent="0.25">
      <c r="D32" s="157"/>
      <c r="E32" s="157"/>
      <c r="F32" s="157"/>
      <c r="G32" s="157"/>
      <c r="H32" s="157"/>
    </row>
    <row r="33" spans="3:8" x14ac:dyDescent="0.25">
      <c r="D33" s="157"/>
      <c r="E33" s="157"/>
      <c r="F33" s="157"/>
      <c r="G33" s="157"/>
      <c r="H33" s="157"/>
    </row>
    <row r="35" spans="3:8" x14ac:dyDescent="0.25">
      <c r="C35" s="283"/>
    </row>
  </sheetData>
  <mergeCells count="3">
    <mergeCell ref="A11:C11"/>
    <mergeCell ref="A12:C12"/>
    <mergeCell ref="A1:B1"/>
  </mergeCells>
  <phoneticPr fontId="10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">
    <tabColor theme="5" tint="0.39997558519241921"/>
  </sheetPr>
  <dimension ref="A5:T34"/>
  <sheetViews>
    <sheetView showGridLines="0" topLeftCell="A19" workbookViewId="0">
      <selection activeCell="F21" sqref="F21"/>
    </sheetView>
  </sheetViews>
  <sheetFormatPr baseColWidth="10" defaultRowHeight="15" x14ac:dyDescent="0.25"/>
  <cols>
    <col min="1" max="1" width="25.140625" bestFit="1" customWidth="1"/>
    <col min="2" max="2" width="14" bestFit="1" customWidth="1"/>
    <col min="3" max="3" width="18.140625" bestFit="1" customWidth="1"/>
    <col min="4" max="6" width="14" bestFit="1" customWidth="1"/>
    <col min="8" max="8" width="19.42578125" customWidth="1"/>
    <col min="9" max="9" width="13.140625" customWidth="1"/>
    <col min="10" max="10" width="12.28515625" customWidth="1"/>
    <col min="11" max="11" width="12.42578125" customWidth="1"/>
    <col min="12" max="12" width="13" customWidth="1"/>
    <col min="13" max="13" width="12.7109375" customWidth="1"/>
    <col min="14" max="14" width="13.140625" customWidth="1"/>
    <col min="15" max="15" width="12.140625" customWidth="1"/>
    <col min="16" max="16" width="12.5703125" customWidth="1"/>
    <col min="17" max="18" width="12.7109375" customWidth="1"/>
    <col min="19" max="19" width="12.140625" customWidth="1"/>
    <col min="20" max="20" width="12.28515625" customWidth="1"/>
  </cols>
  <sheetData>
    <row r="5" spans="1:20" x14ac:dyDescent="0.25">
      <c r="A5" s="368" t="s">
        <v>173</v>
      </c>
      <c r="B5" s="368"/>
      <c r="C5" s="368"/>
      <c r="D5" s="368"/>
      <c r="E5" s="368"/>
      <c r="F5" s="368"/>
    </row>
    <row r="6" spans="1:20" x14ac:dyDescent="0.25">
      <c r="A6" s="227"/>
      <c r="B6" s="228" t="s">
        <v>154</v>
      </c>
      <c r="C6" s="228" t="s">
        <v>174</v>
      </c>
      <c r="D6" s="228" t="s">
        <v>175</v>
      </c>
      <c r="E6" s="228" t="s">
        <v>176</v>
      </c>
      <c r="F6" s="228" t="s">
        <v>177</v>
      </c>
      <c r="H6" s="240"/>
      <c r="I6" s="372" t="s">
        <v>108</v>
      </c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</row>
    <row r="7" spans="1:20" x14ac:dyDescent="0.25">
      <c r="A7" s="9" t="s">
        <v>165</v>
      </c>
      <c r="B7" s="20">
        <f>+SUM('INFORMACIÓN INICIAL '!B145:B151)*12</f>
        <v>152502000</v>
      </c>
      <c r="C7" s="21">
        <f>+B7+(B7*'PARÁM-SENSIBILIDAD'!$J$1)</f>
        <v>157504065.59999999</v>
      </c>
      <c r="D7" s="21">
        <f>+C7+(C7*'PARÁM-SENSIBILIDAD'!$J$2)</f>
        <v>162859203.83039999</v>
      </c>
      <c r="E7" s="21">
        <f>+D7+(D7*'PARÁM-SENSIBILIDAD'!$J$3)</f>
        <v>168722135.1682944</v>
      </c>
      <c r="F7" s="21">
        <f>+E7+(E7*'PARÁM-SENSIBILIDAD'!$J$4)</f>
        <v>175133576.30468959</v>
      </c>
      <c r="H7" s="240"/>
      <c r="I7" s="240" t="s">
        <v>541</v>
      </c>
      <c r="J7" s="240" t="s">
        <v>542</v>
      </c>
      <c r="K7" s="240" t="s">
        <v>543</v>
      </c>
      <c r="L7" s="240" t="s">
        <v>544</v>
      </c>
      <c r="M7" s="240" t="s">
        <v>545</v>
      </c>
      <c r="N7" s="240" t="s">
        <v>546</v>
      </c>
      <c r="O7" s="240" t="s">
        <v>547</v>
      </c>
      <c r="P7" s="240" t="s">
        <v>548</v>
      </c>
      <c r="Q7" s="240" t="s">
        <v>549</v>
      </c>
      <c r="R7" s="240" t="s">
        <v>550</v>
      </c>
      <c r="S7" s="240" t="s">
        <v>551</v>
      </c>
      <c r="T7" s="240" t="s">
        <v>552</v>
      </c>
    </row>
    <row r="8" spans="1:20" x14ac:dyDescent="0.25">
      <c r="A8" s="9" t="s">
        <v>162</v>
      </c>
      <c r="B8" s="22">
        <f>1000000*12</f>
        <v>12000000</v>
      </c>
      <c r="C8" s="21">
        <f>+B8+(B8*'PARÁM-SENSIBILIDAD'!$J$1)</f>
        <v>12393600</v>
      </c>
      <c r="D8" s="21">
        <f>+C8+(C8*'PARÁM-SENSIBILIDAD'!$J$2)</f>
        <v>12814982.4</v>
      </c>
      <c r="E8" s="21">
        <f>+D8+(D8*'PARÁM-SENSIBILIDAD'!$J$3)</f>
        <v>13276321.7664</v>
      </c>
      <c r="F8" s="21">
        <f>+E8+(E8*'PARÁM-SENSIBILIDAD'!$J$4)</f>
        <v>13780821.993523199</v>
      </c>
      <c r="H8" s="241" t="s">
        <v>165</v>
      </c>
      <c r="I8" s="242">
        <f>SUM('INFORMACIÓN INICIAL '!$B$145:$B$151)</f>
        <v>12708500</v>
      </c>
      <c r="J8" s="242">
        <f>SUM('INFORMACIÓN INICIAL '!$B$145:$B$151)</f>
        <v>12708500</v>
      </c>
      <c r="K8" s="242">
        <f>SUM('INFORMACIÓN INICIAL '!$B$145:$B$151)</f>
        <v>12708500</v>
      </c>
      <c r="L8" s="242">
        <f>SUM('INFORMACIÓN INICIAL '!$B$145:$B$151)</f>
        <v>12708500</v>
      </c>
      <c r="M8" s="242">
        <f>SUM('INFORMACIÓN INICIAL '!$B$145:$B$151)</f>
        <v>12708500</v>
      </c>
      <c r="N8" s="242">
        <f>SUM('INFORMACIÓN INICIAL '!$B$145:$B$151)</f>
        <v>12708500</v>
      </c>
      <c r="O8" s="242">
        <f>SUM('INFORMACIÓN INICIAL '!$B$145:$B$151)</f>
        <v>12708500</v>
      </c>
      <c r="P8" s="242">
        <f>SUM('INFORMACIÓN INICIAL '!$B$145:$B$151)</f>
        <v>12708500</v>
      </c>
      <c r="Q8" s="242">
        <f>SUM('INFORMACIÓN INICIAL '!$B$145:$B$151)</f>
        <v>12708500</v>
      </c>
      <c r="R8" s="242">
        <f>SUM('INFORMACIÓN INICIAL '!$B$145:$B$151)</f>
        <v>12708500</v>
      </c>
      <c r="S8" s="242">
        <f>SUM('INFORMACIÓN INICIAL '!$B$145:$B$151)</f>
        <v>12708500</v>
      </c>
      <c r="T8" s="242">
        <f>SUM('INFORMACIÓN INICIAL '!$B$145:$B$151)</f>
        <v>12708500</v>
      </c>
    </row>
    <row r="9" spans="1:20" x14ac:dyDescent="0.25">
      <c r="A9" s="9" t="s">
        <v>169</v>
      </c>
      <c r="B9" s="22">
        <f>+'INFORMACIÓN INICIAL '!$B$154*12</f>
        <v>3000000</v>
      </c>
      <c r="C9" s="21">
        <f>+B9+(B9*'PARÁM-SENSIBILIDAD'!$J$1)</f>
        <v>3098400</v>
      </c>
      <c r="D9" s="21">
        <f>+C9+(C9*'PARÁM-SENSIBILIDAD'!$J$2)</f>
        <v>3203745.6</v>
      </c>
      <c r="E9" s="21">
        <f>+D9+(D9*'PARÁM-SENSIBILIDAD'!$J$3)</f>
        <v>3319080.4416</v>
      </c>
      <c r="F9" s="21">
        <f>+E9+(E9*'PARÁM-SENSIBILIDAD'!$J$4)</f>
        <v>3445205.4983807998</v>
      </c>
      <c r="H9" s="241" t="s">
        <v>162</v>
      </c>
      <c r="I9" s="242">
        <f>'INFORMACIÓN INICIAL '!$B$153</f>
        <v>1000000</v>
      </c>
      <c r="J9" s="242">
        <f>'INFORMACIÓN INICIAL '!$B$153</f>
        <v>1000000</v>
      </c>
      <c r="K9" s="242">
        <f>'INFORMACIÓN INICIAL '!$B$153</f>
        <v>1000000</v>
      </c>
      <c r="L9" s="242">
        <f>'INFORMACIÓN INICIAL '!$B$153</f>
        <v>1000000</v>
      </c>
      <c r="M9" s="242">
        <f>'INFORMACIÓN INICIAL '!$B$153</f>
        <v>1000000</v>
      </c>
      <c r="N9" s="242">
        <f>'INFORMACIÓN INICIAL '!$B$153</f>
        <v>1000000</v>
      </c>
      <c r="O9" s="242">
        <f>'INFORMACIÓN INICIAL '!$B$153</f>
        <v>1000000</v>
      </c>
      <c r="P9" s="242">
        <f>'INFORMACIÓN INICIAL '!$B$153</f>
        <v>1000000</v>
      </c>
      <c r="Q9" s="242">
        <f>'INFORMACIÓN INICIAL '!$B$153</f>
        <v>1000000</v>
      </c>
      <c r="R9" s="242">
        <f>'INFORMACIÓN INICIAL '!$B$153</f>
        <v>1000000</v>
      </c>
      <c r="S9" s="242">
        <f>'INFORMACIÓN INICIAL '!$B$153</f>
        <v>1000000</v>
      </c>
      <c r="T9" s="242">
        <f>'INFORMACIÓN INICIAL '!$B$153</f>
        <v>1000000</v>
      </c>
    </row>
    <row r="10" spans="1:20" x14ac:dyDescent="0.25">
      <c r="A10" s="9" t="s">
        <v>170</v>
      </c>
      <c r="B10" s="21">
        <f>+'INFORMACIÓN INICIAL '!B155*12</f>
        <v>6960000</v>
      </c>
      <c r="C10" s="21">
        <f>+B10+(B10*'PARÁM-SENSIBILIDAD'!$J$1)</f>
        <v>7188288</v>
      </c>
      <c r="D10" s="21">
        <f>+C10+(C10*'PARÁM-SENSIBILIDAD'!$J$2)</f>
        <v>7432689.7920000004</v>
      </c>
      <c r="E10" s="21">
        <f>+D10+(D10*'PARÁM-SENSIBILIDAD'!$J$3)</f>
        <v>7700266.624512</v>
      </c>
      <c r="F10" s="21">
        <f>+E10+(E10*'PARÁM-SENSIBILIDAD'!$J$4)</f>
        <v>7992876.7562434562</v>
      </c>
      <c r="H10" s="241" t="s">
        <v>169</v>
      </c>
      <c r="I10" s="242">
        <f>'INFORMACIÓN INICIAL '!$B$154</f>
        <v>250000</v>
      </c>
      <c r="J10" s="242">
        <f>'INFORMACIÓN INICIAL '!$B$154</f>
        <v>250000</v>
      </c>
      <c r="K10" s="242">
        <f>'INFORMACIÓN INICIAL '!$B$154</f>
        <v>250000</v>
      </c>
      <c r="L10" s="242">
        <f>'INFORMACIÓN INICIAL '!$B$154</f>
        <v>250000</v>
      </c>
      <c r="M10" s="242">
        <f>'INFORMACIÓN INICIAL '!$B$154</f>
        <v>250000</v>
      </c>
      <c r="N10" s="242">
        <f>'INFORMACIÓN INICIAL '!$B$154</f>
        <v>250000</v>
      </c>
      <c r="O10" s="242">
        <f>'INFORMACIÓN INICIAL '!$B$154</f>
        <v>250000</v>
      </c>
      <c r="P10" s="242">
        <f>'INFORMACIÓN INICIAL '!$B$154</f>
        <v>250000</v>
      </c>
      <c r="Q10" s="242">
        <f>'INFORMACIÓN INICIAL '!$B$154</f>
        <v>250000</v>
      </c>
      <c r="R10" s="242">
        <f>'INFORMACIÓN INICIAL '!$B$154</f>
        <v>250000</v>
      </c>
      <c r="S10" s="242">
        <f>'INFORMACIÓN INICIAL '!$B$154</f>
        <v>250000</v>
      </c>
      <c r="T10" s="242">
        <f>'INFORMACIÓN INICIAL '!$B$154</f>
        <v>250000</v>
      </c>
    </row>
    <row r="11" spans="1:20" x14ac:dyDescent="0.25">
      <c r="A11" s="9" t="s">
        <v>161</v>
      </c>
      <c r="B11" s="20">
        <f>+'INFORMACIÓN INICIAL '!B156*12</f>
        <v>672000</v>
      </c>
      <c r="C11" s="21">
        <f>+B11+(B11*'PARÁM-SENSIBILIDAD'!$J$1)</f>
        <v>694041.59999999998</v>
      </c>
      <c r="D11" s="21">
        <f>+C11+(C11*'PARÁM-SENSIBILIDAD'!$J$2)</f>
        <v>717639.01439999999</v>
      </c>
      <c r="E11" s="21">
        <f>+D11+(D11*'PARÁM-SENSIBILIDAD'!$J$3)</f>
        <v>743474.01891839993</v>
      </c>
      <c r="F11" s="21">
        <f>+E11+(E11*'PARÁM-SENSIBILIDAD'!$J$4)</f>
        <v>771726.03163729911</v>
      </c>
      <c r="H11" s="241" t="s">
        <v>170</v>
      </c>
      <c r="I11" s="242">
        <f>'INFORMACIÓN INICIAL '!$B$155</f>
        <v>580000</v>
      </c>
      <c r="J11" s="242">
        <f>'INFORMACIÓN INICIAL '!$B$155</f>
        <v>580000</v>
      </c>
      <c r="K11" s="242">
        <f>'INFORMACIÓN INICIAL '!$B$155</f>
        <v>580000</v>
      </c>
      <c r="L11" s="242">
        <f>'INFORMACIÓN INICIAL '!$B$155</f>
        <v>580000</v>
      </c>
      <c r="M11" s="242">
        <f>'INFORMACIÓN INICIAL '!$B$155</f>
        <v>580000</v>
      </c>
      <c r="N11" s="242">
        <f>'INFORMACIÓN INICIAL '!$B$155</f>
        <v>580000</v>
      </c>
      <c r="O11" s="242">
        <f>'INFORMACIÓN INICIAL '!$B$155</f>
        <v>580000</v>
      </c>
      <c r="P11" s="242">
        <f>'INFORMACIÓN INICIAL '!$B$155</f>
        <v>580000</v>
      </c>
      <c r="Q11" s="242">
        <f>'INFORMACIÓN INICIAL '!$B$155</f>
        <v>580000</v>
      </c>
      <c r="R11" s="242">
        <f>'INFORMACIÓN INICIAL '!$B$155</f>
        <v>580000</v>
      </c>
      <c r="S11" s="242">
        <f>'INFORMACIÓN INICIAL '!$B$155</f>
        <v>580000</v>
      </c>
      <c r="T11" s="242">
        <f>'INFORMACIÓN INICIAL '!$B$155</f>
        <v>580000</v>
      </c>
    </row>
    <row r="12" spans="1:20" x14ac:dyDescent="0.25">
      <c r="A12" s="9" t="s">
        <v>166</v>
      </c>
      <c r="B12" s="20">
        <f>+'INFORMACIÓN INICIAL '!B157*12</f>
        <v>16743600</v>
      </c>
      <c r="C12" s="21">
        <f>+B12+(B12*'PARÁM-SENSIBILIDAD'!$J$1)</f>
        <v>17292790.079999998</v>
      </c>
      <c r="D12" s="21">
        <f>+C12+(C12*'PARÁM-SENSIBILIDAD'!$J$2)</f>
        <v>17880744.94272</v>
      </c>
      <c r="E12" s="21">
        <f>+D12+(D12*'PARÁM-SENSIBILIDAD'!$J$3)</f>
        <v>18524451.760657921</v>
      </c>
      <c r="F12" s="21">
        <f>+E12+(E12*'PARÁM-SENSIBILIDAD'!$J$4)</f>
        <v>19228380.927562922</v>
      </c>
      <c r="H12" s="241" t="s">
        <v>161</v>
      </c>
      <c r="I12" s="242">
        <f>'INFORMACIÓN INICIAL '!$B$156</f>
        <v>56000</v>
      </c>
      <c r="J12" s="242">
        <f>'INFORMACIÓN INICIAL '!$B$156</f>
        <v>56000</v>
      </c>
      <c r="K12" s="242">
        <f>'INFORMACIÓN INICIAL '!$B$156</f>
        <v>56000</v>
      </c>
      <c r="L12" s="242">
        <f>'INFORMACIÓN INICIAL '!$B$156</f>
        <v>56000</v>
      </c>
      <c r="M12" s="242">
        <f>'INFORMACIÓN INICIAL '!$B$156</f>
        <v>56000</v>
      </c>
      <c r="N12" s="242">
        <f>'INFORMACIÓN INICIAL '!$B$156</f>
        <v>56000</v>
      </c>
      <c r="O12" s="242">
        <f>'INFORMACIÓN INICIAL '!$B$156</f>
        <v>56000</v>
      </c>
      <c r="P12" s="242">
        <f>'INFORMACIÓN INICIAL '!$B$156</f>
        <v>56000</v>
      </c>
      <c r="Q12" s="242">
        <f>'INFORMACIÓN INICIAL '!$B$156</f>
        <v>56000</v>
      </c>
      <c r="R12" s="242">
        <f>'INFORMACIÓN INICIAL '!$B$156</f>
        <v>56000</v>
      </c>
      <c r="S12" s="242">
        <f>'INFORMACIÓN INICIAL '!$B$156</f>
        <v>56000</v>
      </c>
      <c r="T12" s="242">
        <f>'INFORMACIÓN INICIAL '!$B$156</f>
        <v>56000</v>
      </c>
    </row>
    <row r="13" spans="1:20" x14ac:dyDescent="0.25">
      <c r="A13" s="9" t="s">
        <v>167</v>
      </c>
      <c r="B13" s="20">
        <f>+'INFORMACIÓN INICIAL '!B158</f>
        <v>29920000</v>
      </c>
      <c r="C13" s="21">
        <f>+B13+(B13*'PARÁM-SENSIBILIDAD'!$J$1)</f>
        <v>30901376</v>
      </c>
      <c r="D13" s="21">
        <f>+C13+(C13*'PARÁM-SENSIBILIDAD'!$J$2)</f>
        <v>31952022.784000002</v>
      </c>
      <c r="E13" s="21">
        <f>+D13+(D13*'PARÁM-SENSIBILIDAD'!$J$3)</f>
        <v>33102295.604224</v>
      </c>
      <c r="F13" s="21">
        <f>+E13+(E13*'PARÁM-SENSIBILIDAD'!$J$4)</f>
        <v>34360182.837184511</v>
      </c>
      <c r="H13" s="241" t="s">
        <v>166</v>
      </c>
      <c r="I13" s="242">
        <f>'INFORMACIÓN INICIAL '!$B$157</f>
        <v>1395300</v>
      </c>
      <c r="J13" s="242">
        <f>'INFORMACIÓN INICIAL '!$B$157</f>
        <v>1395300</v>
      </c>
      <c r="K13" s="242">
        <f>'INFORMACIÓN INICIAL '!$B$157</f>
        <v>1395300</v>
      </c>
      <c r="L13" s="242">
        <f>'INFORMACIÓN INICIAL '!$B$157</f>
        <v>1395300</v>
      </c>
      <c r="M13" s="242">
        <f>'INFORMACIÓN INICIAL '!$B$157</f>
        <v>1395300</v>
      </c>
      <c r="N13" s="242">
        <f>'INFORMACIÓN INICIAL '!$B$157</f>
        <v>1395300</v>
      </c>
      <c r="O13" s="242">
        <f>'INFORMACIÓN INICIAL '!$B$157</f>
        <v>1395300</v>
      </c>
      <c r="P13" s="242">
        <f>'INFORMACIÓN INICIAL '!$B$157</f>
        <v>1395300</v>
      </c>
      <c r="Q13" s="242">
        <f>'INFORMACIÓN INICIAL '!$B$157</f>
        <v>1395300</v>
      </c>
      <c r="R13" s="242">
        <f>'INFORMACIÓN INICIAL '!$B$157</f>
        <v>1395300</v>
      </c>
      <c r="S13" s="242">
        <f>'INFORMACIÓN INICIAL '!$B$157</f>
        <v>1395300</v>
      </c>
      <c r="T13" s="242">
        <f>'INFORMACIÓN INICIAL '!$B$157</f>
        <v>1395300</v>
      </c>
    </row>
    <row r="14" spans="1:20" ht="24.75" x14ac:dyDescent="0.25">
      <c r="A14" s="9" t="s">
        <v>168</v>
      </c>
      <c r="B14" s="20">
        <f>+'INFORMACIÓN INICIAL '!B159*3</f>
        <v>5493000</v>
      </c>
      <c r="C14" s="21">
        <f>+B14+(B14*'PARÁM-SENSIBILIDAD'!$J$1)</f>
        <v>5673170.4000000004</v>
      </c>
      <c r="D14" s="21">
        <f>+C14+(C14*'PARÁM-SENSIBILIDAD'!$J$2)</f>
        <v>5866058.1936000008</v>
      </c>
      <c r="E14" s="21">
        <f>+D14+(D14*'PARÁM-SENSIBILIDAD'!$J$3)</f>
        <v>6077236.2885696013</v>
      </c>
      <c r="F14" s="21">
        <f>+E14+(E14*'PARÁM-SENSIBILIDAD'!$J$4)</f>
        <v>6308171.267535246</v>
      </c>
      <c r="H14" s="243" t="s">
        <v>167</v>
      </c>
      <c r="I14" s="244">
        <f>'INFORMACIÓN INICIAL '!$B$158/12</f>
        <v>2493333.3333333335</v>
      </c>
      <c r="J14" s="244">
        <f>'INFORMACIÓN INICIAL '!$B$158/12</f>
        <v>2493333.3333333335</v>
      </c>
      <c r="K14" s="244">
        <f>'INFORMACIÓN INICIAL '!$B$158/12</f>
        <v>2493333.3333333335</v>
      </c>
      <c r="L14" s="244">
        <f>'INFORMACIÓN INICIAL '!$B$158/12</f>
        <v>2493333.3333333335</v>
      </c>
      <c r="M14" s="244">
        <f>'INFORMACIÓN INICIAL '!$B$158/12</f>
        <v>2493333.3333333335</v>
      </c>
      <c r="N14" s="244">
        <f>'INFORMACIÓN INICIAL '!$B$158/12</f>
        <v>2493333.3333333335</v>
      </c>
      <c r="O14" s="244">
        <f>'INFORMACIÓN INICIAL '!$B$158/12</f>
        <v>2493333.3333333335</v>
      </c>
      <c r="P14" s="244">
        <f>'INFORMACIÓN INICIAL '!$B$158/12</f>
        <v>2493333.3333333335</v>
      </c>
      <c r="Q14" s="244">
        <f>'INFORMACIÓN INICIAL '!$B$158/12</f>
        <v>2493333.3333333335</v>
      </c>
      <c r="R14" s="244">
        <f>'INFORMACIÓN INICIAL '!$B$158/12</f>
        <v>2493333.3333333335</v>
      </c>
      <c r="S14" s="244">
        <f>'INFORMACIÓN INICIAL '!$B$158/12</f>
        <v>2493333.3333333335</v>
      </c>
      <c r="T14" s="244">
        <f>'INFORMACIÓN INICIAL '!$B$158/12</f>
        <v>2493333.3333333335</v>
      </c>
    </row>
    <row r="15" spans="1:20" x14ac:dyDescent="0.25">
      <c r="A15" s="9" t="s">
        <v>163</v>
      </c>
      <c r="B15" s="20">
        <f>+'INFORMACIÓN INICIAL '!B160*12</f>
        <v>96000000</v>
      </c>
      <c r="C15" s="21">
        <f>+B15+(B15*'PARÁM-SENSIBILIDAD'!$J$1)</f>
        <v>99148800</v>
      </c>
      <c r="D15" s="21">
        <f>+C15+(C15*'PARÁM-SENSIBILIDAD'!$J$2)</f>
        <v>102519859.2</v>
      </c>
      <c r="E15" s="21">
        <f>+D15+(D15*'PARÁM-SENSIBILIDAD'!$J$3)</f>
        <v>106210574.1312</v>
      </c>
      <c r="F15" s="21">
        <f>+E15+(E15*'PARÁM-SENSIBILIDAD'!$J$4)</f>
        <v>110246575.94818559</v>
      </c>
      <c r="H15" s="241" t="s">
        <v>168</v>
      </c>
      <c r="I15" s="242">
        <f>('INFORMACIÓN INICIAL '!$B$159*3)/12</f>
        <v>457750</v>
      </c>
      <c r="J15" s="242">
        <f>('INFORMACIÓN INICIAL '!$B$159*3)/12</f>
        <v>457750</v>
      </c>
      <c r="K15" s="242">
        <f>('INFORMACIÓN INICIAL '!$B$159*3)/12</f>
        <v>457750</v>
      </c>
      <c r="L15" s="242">
        <f>('INFORMACIÓN INICIAL '!$B$159*3)/12</f>
        <v>457750</v>
      </c>
      <c r="M15" s="242">
        <f>('INFORMACIÓN INICIAL '!$B$159*3)/12</f>
        <v>457750</v>
      </c>
      <c r="N15" s="242">
        <f>('INFORMACIÓN INICIAL '!$B$159*3)/12</f>
        <v>457750</v>
      </c>
      <c r="O15" s="242">
        <f>('INFORMACIÓN INICIAL '!$B$159*3)/12</f>
        <v>457750</v>
      </c>
      <c r="P15" s="242">
        <f>('INFORMACIÓN INICIAL '!$B$159*3)/12</f>
        <v>457750</v>
      </c>
      <c r="Q15" s="242">
        <f>('INFORMACIÓN INICIAL '!$B$159*3)/12</f>
        <v>457750</v>
      </c>
      <c r="R15" s="242">
        <f>('INFORMACIÓN INICIAL '!$B$159*3)/12</f>
        <v>457750</v>
      </c>
      <c r="S15" s="242">
        <f>('INFORMACIÓN INICIAL '!$B$159*3)/12</f>
        <v>457750</v>
      </c>
      <c r="T15" s="242">
        <f>('INFORMACIÓN INICIAL '!$B$159*3)/12</f>
        <v>457750</v>
      </c>
    </row>
    <row r="16" spans="1:20" x14ac:dyDescent="0.25">
      <c r="A16" s="9" t="s">
        <v>59</v>
      </c>
      <c r="B16" s="20">
        <f>+'INFORMACIÓN INICIAL '!B161*12</f>
        <v>120000000</v>
      </c>
      <c r="C16" s="21">
        <f>+B16+(B16*'PARÁM-SENSIBILIDAD'!$J$1)</f>
        <v>123936000</v>
      </c>
      <c r="D16" s="21">
        <f>+C16+(C16*'PARÁM-SENSIBILIDAD'!$J$2)</f>
        <v>128149824</v>
      </c>
      <c r="E16" s="21">
        <f>+D16+(D16*'PARÁM-SENSIBILIDAD'!$J$3)</f>
        <v>132763217.664</v>
      </c>
      <c r="F16" s="21">
        <f>+E16+(E16*'PARÁM-SENSIBILIDAD'!$J$4)</f>
        <v>137808219.93523201</v>
      </c>
      <c r="H16" s="241" t="s">
        <v>163</v>
      </c>
      <c r="I16" s="242">
        <f>'INFORMACIÓN INICIAL '!$B$160</f>
        <v>8000000</v>
      </c>
      <c r="J16" s="242">
        <f>'INFORMACIÓN INICIAL '!$B$160</f>
        <v>8000000</v>
      </c>
      <c r="K16" s="242">
        <f>'INFORMACIÓN INICIAL '!$B$160</f>
        <v>8000000</v>
      </c>
      <c r="L16" s="242">
        <f>'INFORMACIÓN INICIAL '!$B$160</f>
        <v>8000000</v>
      </c>
      <c r="M16" s="242">
        <f>'INFORMACIÓN INICIAL '!$B$160</f>
        <v>8000000</v>
      </c>
      <c r="N16" s="242">
        <f>'INFORMACIÓN INICIAL '!$B$160</f>
        <v>8000000</v>
      </c>
      <c r="O16" s="242">
        <f>'INFORMACIÓN INICIAL '!$B$160</f>
        <v>8000000</v>
      </c>
      <c r="P16" s="242">
        <f>'INFORMACIÓN INICIAL '!$B$160</f>
        <v>8000000</v>
      </c>
      <c r="Q16" s="242">
        <f>'INFORMACIÓN INICIAL '!$B$160</f>
        <v>8000000</v>
      </c>
      <c r="R16" s="242">
        <f>'INFORMACIÓN INICIAL '!$B$160</f>
        <v>8000000</v>
      </c>
      <c r="S16" s="242">
        <f>'INFORMACIÓN INICIAL '!$B$160</f>
        <v>8000000</v>
      </c>
      <c r="T16" s="242">
        <f>'INFORMACIÓN INICIAL '!$B$160</f>
        <v>8000000</v>
      </c>
    </row>
    <row r="17" spans="1:20" x14ac:dyDescent="0.25">
      <c r="A17" s="9" t="s">
        <v>164</v>
      </c>
      <c r="B17" s="20">
        <f>+'INFORMACIÓN INICIAL '!B162*12</f>
        <v>2782800</v>
      </c>
      <c r="C17" s="21">
        <f>+B17+(B17*'PARÁM-SENSIBILIDAD'!$J$1)</f>
        <v>2874075.84</v>
      </c>
      <c r="D17" s="21">
        <f>+C17+(C17*'PARÁM-SENSIBILIDAD'!$J$2)</f>
        <v>2971794.4185599997</v>
      </c>
      <c r="E17" s="21">
        <f>+D17+(D17*'PARÁM-SENSIBILIDAD'!$J$3)</f>
        <v>3078779.0176281598</v>
      </c>
      <c r="F17" s="21">
        <f>+E17+(E17*'PARÁM-SENSIBILIDAD'!$J$4)</f>
        <v>3195772.6202980299</v>
      </c>
      <c r="H17" s="241" t="s">
        <v>59</v>
      </c>
      <c r="I17" s="242">
        <f>'INFORMACIÓN INICIAL '!$B$161</f>
        <v>10000000</v>
      </c>
      <c r="J17" s="242">
        <f>'INFORMACIÓN INICIAL '!$B$161</f>
        <v>10000000</v>
      </c>
      <c r="K17" s="242">
        <f>'INFORMACIÓN INICIAL '!$B$161</f>
        <v>10000000</v>
      </c>
      <c r="L17" s="242">
        <f>'INFORMACIÓN INICIAL '!$B$161</f>
        <v>10000000</v>
      </c>
      <c r="M17" s="242">
        <f>'INFORMACIÓN INICIAL '!$B$161</f>
        <v>10000000</v>
      </c>
      <c r="N17" s="242">
        <f>'INFORMACIÓN INICIAL '!$B$161</f>
        <v>10000000</v>
      </c>
      <c r="O17" s="242">
        <f>'INFORMACIÓN INICIAL '!$B$161</f>
        <v>10000000</v>
      </c>
      <c r="P17" s="242">
        <f>'INFORMACIÓN INICIAL '!$B$161</f>
        <v>10000000</v>
      </c>
      <c r="Q17" s="242">
        <f>'INFORMACIÓN INICIAL '!$B$161</f>
        <v>10000000</v>
      </c>
      <c r="R17" s="242">
        <f>'INFORMACIÓN INICIAL '!$B$161</f>
        <v>10000000</v>
      </c>
      <c r="S17" s="242">
        <f>'INFORMACIÓN INICIAL '!$B$161</f>
        <v>10000000</v>
      </c>
      <c r="T17" s="242">
        <f>'INFORMACIÓN INICIAL '!$B$161</f>
        <v>10000000</v>
      </c>
    </row>
    <row r="18" spans="1:20" x14ac:dyDescent="0.25">
      <c r="A18" s="9" t="s">
        <v>171</v>
      </c>
      <c r="B18" s="20">
        <f>+'INFORMACIÓN INICIAL '!B163*12</f>
        <v>2160000</v>
      </c>
      <c r="C18" s="21">
        <f>+B18+(B18*'PARÁM-SENSIBILIDAD'!$J$1)</f>
        <v>2230848</v>
      </c>
      <c r="D18" s="21">
        <f>+C18+(C18*'PARÁM-SENSIBILIDAD'!$J$2)</f>
        <v>2306696.8319999999</v>
      </c>
      <c r="E18" s="21">
        <f>+D18+(D18*'PARÁM-SENSIBILIDAD'!$J$3)</f>
        <v>2389737.9179520002</v>
      </c>
      <c r="F18" s="21">
        <f>+E18+(E18*'PARÁM-SENSIBILIDAD'!$J$4)</f>
        <v>2480547.958834176</v>
      </c>
      <c r="H18" s="241" t="s">
        <v>164</v>
      </c>
      <c r="I18" s="242">
        <f>'INFORMACIÓN INICIAL '!$B$162</f>
        <v>231900</v>
      </c>
      <c r="J18" s="242">
        <f>'INFORMACIÓN INICIAL '!$B$162</f>
        <v>231900</v>
      </c>
      <c r="K18" s="242">
        <f>'INFORMACIÓN INICIAL '!$B$162</f>
        <v>231900</v>
      </c>
      <c r="L18" s="242">
        <f>'INFORMACIÓN INICIAL '!$B$162</f>
        <v>231900</v>
      </c>
      <c r="M18" s="242">
        <f>'INFORMACIÓN INICIAL '!$B$162</f>
        <v>231900</v>
      </c>
      <c r="N18" s="242">
        <f>'INFORMACIÓN INICIAL '!$B$162</f>
        <v>231900</v>
      </c>
      <c r="O18" s="242">
        <f>'INFORMACIÓN INICIAL '!$B$162</f>
        <v>231900</v>
      </c>
      <c r="P18" s="242">
        <f>'INFORMACIÓN INICIAL '!$B$162</f>
        <v>231900</v>
      </c>
      <c r="Q18" s="242">
        <f>'INFORMACIÓN INICIAL '!$B$162</f>
        <v>231900</v>
      </c>
      <c r="R18" s="242">
        <f>'INFORMACIÓN INICIAL '!$B$162</f>
        <v>231900</v>
      </c>
      <c r="S18" s="242">
        <f>'INFORMACIÓN INICIAL '!$B$162</f>
        <v>231900</v>
      </c>
      <c r="T18" s="242">
        <f>'INFORMACIÓN INICIAL '!$B$162</f>
        <v>231900</v>
      </c>
    </row>
    <row r="19" spans="1:20" x14ac:dyDescent="0.25">
      <c r="A19" s="9" t="s">
        <v>172</v>
      </c>
      <c r="B19" s="20">
        <f>+'INFORMACIÓN INICIAL '!B164*12</f>
        <v>60000000</v>
      </c>
      <c r="C19" s="21">
        <f>+B19+(B19*'PARÁM-SENSIBILIDAD'!$J$1)</f>
        <v>61968000</v>
      </c>
      <c r="D19" s="21">
        <f>+C19+(C19*'PARÁM-SENSIBILIDAD'!$J$2)</f>
        <v>64074912</v>
      </c>
      <c r="E19" s="21">
        <f>+D19+(D19*'PARÁM-SENSIBILIDAD'!$J$3)</f>
        <v>66381608.832000002</v>
      </c>
      <c r="F19" s="21">
        <f>+E19+(E19*'PARÁM-SENSIBILIDAD'!$J$4)</f>
        <v>68904109.967616007</v>
      </c>
      <c r="H19" s="241" t="s">
        <v>171</v>
      </c>
      <c r="I19" s="242">
        <f>'INFORMACIÓN INICIAL '!$B$163</f>
        <v>180000</v>
      </c>
      <c r="J19" s="242">
        <f>'INFORMACIÓN INICIAL '!$B$163</f>
        <v>180000</v>
      </c>
      <c r="K19" s="242">
        <f>'INFORMACIÓN INICIAL '!$B$163</f>
        <v>180000</v>
      </c>
      <c r="L19" s="242">
        <f>'INFORMACIÓN INICIAL '!$B$163</f>
        <v>180000</v>
      </c>
      <c r="M19" s="242">
        <f>'INFORMACIÓN INICIAL '!$B$163</f>
        <v>180000</v>
      </c>
      <c r="N19" s="242">
        <f>'INFORMACIÓN INICIAL '!$B$163</f>
        <v>180000</v>
      </c>
      <c r="O19" s="242">
        <f>'INFORMACIÓN INICIAL '!$B$163</f>
        <v>180000</v>
      </c>
      <c r="P19" s="242">
        <f>'INFORMACIÓN INICIAL '!$B$163</f>
        <v>180000</v>
      </c>
      <c r="Q19" s="242">
        <f>'INFORMACIÓN INICIAL '!$B$163</f>
        <v>180000</v>
      </c>
      <c r="R19" s="242">
        <f>'INFORMACIÓN INICIAL '!$B$163</f>
        <v>180000</v>
      </c>
      <c r="S19" s="242">
        <f>'INFORMACIÓN INICIAL '!$B$163</f>
        <v>180000</v>
      </c>
      <c r="T19" s="242">
        <f>'INFORMACIÓN INICIAL '!$B$163</f>
        <v>180000</v>
      </c>
    </row>
    <row r="20" spans="1:20" x14ac:dyDescent="0.25">
      <c r="A20" s="9" t="s">
        <v>178</v>
      </c>
      <c r="B20" s="21">
        <f>+'INFORMACIÓN INICIAL '!$B$165*'OCUPACIÓN TARIFAS'!E14</f>
        <v>8740872</v>
      </c>
      <c r="C20" s="21">
        <f>+('INFORMACIÓN INICIAL '!$B$165+('INFORMACIÓN INICIAL '!$B$165*'PARÁM-SENSIBILIDAD'!J1))*'OCUPACIÓN TARIFAS'!F14</f>
        <v>9072710.4646080006</v>
      </c>
      <c r="D20" s="21">
        <f>+('INFORMACIÓN INICIAL '!B165+('INFORMACIÓN INICIAL '!B165*'PARÁM-SENSIBILIDAD'!J2))*'OCUPACIÓN TARIFAS'!G14</f>
        <v>9174084.4758023992</v>
      </c>
      <c r="E20" s="21">
        <f>+('INFORMACIÓN INICIAL '!B165+('INFORMACIÓN INICIAL '!B165*'PARÁM-SENSIBILIDAD'!J3))*'OCUPACIÓN TARIFAS'!H14</f>
        <v>9329706.7598503437</v>
      </c>
      <c r="F20" s="21">
        <f>+('INFORMACIÓN INICIAL '!B165+('INFORMACIÓN INICIAL '!B165*'PARÁM-SENSIBILIDAD'!J4))*'OCUPACIÓN TARIFAS'!I14</f>
        <v>9534672.1322964765</v>
      </c>
      <c r="H20" s="241" t="s">
        <v>172</v>
      </c>
      <c r="I20" s="242">
        <f>'INFORMACIÓN INICIAL '!$B$164</f>
        <v>5000000</v>
      </c>
      <c r="J20" s="242">
        <f>'INFORMACIÓN INICIAL '!$B$164</f>
        <v>5000000</v>
      </c>
      <c r="K20" s="242">
        <f>'INFORMACIÓN INICIAL '!$B$164</f>
        <v>5000000</v>
      </c>
      <c r="L20" s="242">
        <f>'INFORMACIÓN INICIAL '!$B$164</f>
        <v>5000000</v>
      </c>
      <c r="M20" s="242">
        <f>'INFORMACIÓN INICIAL '!$B$164</f>
        <v>5000000</v>
      </c>
      <c r="N20" s="242">
        <f>'INFORMACIÓN INICIAL '!$B$164</f>
        <v>5000000</v>
      </c>
      <c r="O20" s="242">
        <f>'INFORMACIÓN INICIAL '!$B$164</f>
        <v>5000000</v>
      </c>
      <c r="P20" s="242">
        <f>'INFORMACIÓN INICIAL '!$B$164</f>
        <v>5000000</v>
      </c>
      <c r="Q20" s="242">
        <f>'INFORMACIÓN INICIAL '!$B$164</f>
        <v>5000000</v>
      </c>
      <c r="R20" s="242">
        <f>'INFORMACIÓN INICIAL '!$B$164</f>
        <v>5000000</v>
      </c>
      <c r="S20" s="242">
        <f>'INFORMACIÓN INICIAL '!$B$164</f>
        <v>5000000</v>
      </c>
      <c r="T20" s="242">
        <f>'INFORMACIÓN INICIAL '!$B$164</f>
        <v>5000000</v>
      </c>
    </row>
    <row r="21" spans="1:20" x14ac:dyDescent="0.25">
      <c r="A21" s="38" t="s">
        <v>197</v>
      </c>
      <c r="B21" s="39">
        <f>+SUM(B7:B20)</f>
        <v>516974272</v>
      </c>
      <c r="C21" s="39">
        <f>+SUM(C7:C20)</f>
        <v>533976165.98460793</v>
      </c>
      <c r="D21" s="39">
        <f>+SUM(D7:D20)</f>
        <v>551924257.48348248</v>
      </c>
      <c r="E21" s="39">
        <f>+SUM(E7:E20)</f>
        <v>571618885.99580681</v>
      </c>
      <c r="F21" s="39">
        <f>+SUM(F7:F20)</f>
        <v>593190840.17921925</v>
      </c>
      <c r="H21" s="241" t="s">
        <v>178</v>
      </c>
      <c r="I21" s="242">
        <f>'INFORMACIÓN INICIAL '!$B$165*'OCUPACIÓN TARIFAS'!C14</f>
        <v>826560.00000000012</v>
      </c>
      <c r="J21" s="242">
        <f>'INFORMACIÓN INICIAL '!$B$165*'OCUPACIÓN TARIFAS'!C15</f>
        <v>516600</v>
      </c>
      <c r="K21" s="242">
        <f>'INFORMACIÓN INICIAL '!$B$165*'OCUPACIÓN TARIFAS'!C16</f>
        <v>723239.99999999988</v>
      </c>
      <c r="L21" s="242">
        <f>'INFORMACIÓN INICIAL '!$B$165*'OCUPACIÓN TARIFAS'!C17</f>
        <v>785232.00000000012</v>
      </c>
      <c r="M21" s="242">
        <f>'INFORMACIÓN INICIAL '!$B$165*'OCUPACIÓN TARIFAS'!C18</f>
        <v>723239.99999999988</v>
      </c>
      <c r="N21" s="242">
        <f>'INFORMACIÓN INICIAL '!$B$165*'OCUPACIÓN TARIFAS'!C19</f>
        <v>826560.00000000012</v>
      </c>
      <c r="O21" s="242">
        <f>'INFORMACIÓN INICIAL '!$B$165*'OCUPACIÓN TARIFAS'!C20</f>
        <v>929880</v>
      </c>
      <c r="P21" s="242">
        <f>'INFORMACIÓN INICIAL '!$B$165*'OCUPACIÓN TARIFAS'!C21</f>
        <v>723239.99999999988</v>
      </c>
      <c r="Q21" s="242">
        <f>'INFORMACIÓN INICIAL '!$B$165*'OCUPACIÓN TARIFAS'!C22</f>
        <v>516600</v>
      </c>
      <c r="R21" s="242">
        <f>'INFORMACIÓN INICIAL '!$B$165*'OCUPACIÓN TARIFAS'!C23</f>
        <v>516600</v>
      </c>
      <c r="S21" s="242">
        <f>'INFORMACIÓN INICIAL '!$B$165*'OCUPACIÓN TARIFAS'!C24</f>
        <v>723239.99999999988</v>
      </c>
      <c r="T21" s="242">
        <f>'INFORMACIÓN INICIAL '!$B$165*'OCUPACIÓN TARIFAS'!C25</f>
        <v>929880</v>
      </c>
    </row>
    <row r="22" spans="1:20" x14ac:dyDescent="0.25">
      <c r="H22" s="240" t="s">
        <v>553</v>
      </c>
      <c r="I22" s="242">
        <f>SUM(I8:I21)</f>
        <v>43179343.333333328</v>
      </c>
      <c r="J22" s="242">
        <f t="shared" ref="J22:T22" si="0">SUM(J8:J21)</f>
        <v>42869383.333333328</v>
      </c>
      <c r="K22" s="242">
        <f t="shared" si="0"/>
        <v>43076023.333333328</v>
      </c>
      <c r="L22" s="242">
        <f t="shared" si="0"/>
        <v>43138015.333333328</v>
      </c>
      <c r="M22" s="242">
        <f t="shared" si="0"/>
        <v>43076023.333333328</v>
      </c>
      <c r="N22" s="242">
        <f t="shared" si="0"/>
        <v>43179343.333333328</v>
      </c>
      <c r="O22" s="242">
        <f t="shared" si="0"/>
        <v>43282663.333333328</v>
      </c>
      <c r="P22" s="242">
        <f t="shared" si="0"/>
        <v>43076023.333333328</v>
      </c>
      <c r="Q22" s="242">
        <f t="shared" si="0"/>
        <v>42869383.333333328</v>
      </c>
      <c r="R22" s="242">
        <f t="shared" si="0"/>
        <v>42869383.333333328</v>
      </c>
      <c r="S22" s="242">
        <f t="shared" si="0"/>
        <v>43076023.333333328</v>
      </c>
      <c r="T22" s="242">
        <f t="shared" si="0"/>
        <v>43282663.333333328</v>
      </c>
    </row>
    <row r="23" spans="1:20" x14ac:dyDescent="0.25">
      <c r="A23" s="368" t="s">
        <v>219</v>
      </c>
      <c r="B23" s="368"/>
      <c r="C23" s="368"/>
      <c r="D23" s="368"/>
      <c r="E23" s="368"/>
      <c r="F23" s="368"/>
    </row>
    <row r="24" spans="1:20" x14ac:dyDescent="0.25">
      <c r="A24" s="227"/>
      <c r="B24" s="228" t="s">
        <v>154</v>
      </c>
      <c r="C24" s="228" t="s">
        <v>174</v>
      </c>
      <c r="D24" s="228" t="s">
        <v>175</v>
      </c>
      <c r="E24" s="228" t="s">
        <v>176</v>
      </c>
      <c r="F24" s="228" t="s">
        <v>177</v>
      </c>
    </row>
    <row r="25" spans="1:20" x14ac:dyDescent="0.25">
      <c r="A25" s="9" t="s">
        <v>206</v>
      </c>
      <c r="B25" s="20">
        <f>+'INFORMACIÓN INICIAL '!B167*12</f>
        <v>30000000</v>
      </c>
      <c r="C25" s="20">
        <f>+B25+(B25*'PARÁM-SENSIBILIDAD'!$J$1)</f>
        <v>30984000</v>
      </c>
      <c r="D25" s="20">
        <f>+C25+(C25*'PARÁM-SENSIBILIDAD'!$J$2)</f>
        <v>32037456</v>
      </c>
      <c r="E25" s="20">
        <f>+D25+(D25*'PARÁM-SENSIBILIDAD'!$J$3)</f>
        <v>33190804.416000001</v>
      </c>
      <c r="F25" s="20">
        <f>+E25+(E25*'PARÁM-SENSIBILIDAD'!$J$4)</f>
        <v>34452054.983808003</v>
      </c>
    </row>
    <row r="26" spans="1:20" x14ac:dyDescent="0.25">
      <c r="A26" s="9" t="s">
        <v>207</v>
      </c>
      <c r="B26" s="20">
        <f>+'INFORMACIÓN INICIAL '!B168*12</f>
        <v>13800000</v>
      </c>
      <c r="C26" s="20">
        <f>+B26+(B26*'PARÁM-SENSIBILIDAD'!$J$1)</f>
        <v>14252640</v>
      </c>
      <c r="D26" s="20">
        <f>+C26+(C26*'PARÁM-SENSIBILIDAD'!$J$2)</f>
        <v>14737229.76</v>
      </c>
      <c r="E26" s="20">
        <f>+D26+(D26*'PARÁM-SENSIBILIDAD'!$J$3)</f>
        <v>15267770.03136</v>
      </c>
      <c r="F26" s="20">
        <f>+E26+(E26*'PARÁM-SENSIBILIDAD'!$J$4)</f>
        <v>15847945.29255168</v>
      </c>
    </row>
    <row r="27" spans="1:20" x14ac:dyDescent="0.25">
      <c r="A27" s="9" t="s">
        <v>208</v>
      </c>
      <c r="B27" s="20">
        <f>+'INFORMACIÓN INICIAL '!B169*12</f>
        <v>14400000</v>
      </c>
      <c r="C27" s="20">
        <f>+B27+(B27*'PARÁM-SENSIBILIDAD'!$J$1)</f>
        <v>14872320</v>
      </c>
      <c r="D27" s="20">
        <f>+C27+(C27*'PARÁM-SENSIBILIDAD'!$J$2)</f>
        <v>15377978.880000001</v>
      </c>
      <c r="E27" s="20">
        <f>+D27+(D27*'PARÁM-SENSIBILIDAD'!$J$3)</f>
        <v>15931586.11968</v>
      </c>
      <c r="F27" s="20">
        <f>+E27+(E27*'PARÁM-SENSIBILIDAD'!$J$4)</f>
        <v>16536986.39222784</v>
      </c>
    </row>
    <row r="28" spans="1:20" x14ac:dyDescent="0.25">
      <c r="A28" s="9" t="s">
        <v>212</v>
      </c>
      <c r="B28" s="20">
        <f>+'INFORMACIÓN INICIAL '!B170*12</f>
        <v>6000000</v>
      </c>
      <c r="C28" s="20">
        <f>+B28+(B28*'PARÁM-SENSIBILIDAD'!$J$1)</f>
        <v>6196800</v>
      </c>
      <c r="D28" s="20">
        <f>+C28+(C28*'PARÁM-SENSIBILIDAD'!$J$2)</f>
        <v>6407491.2000000002</v>
      </c>
      <c r="E28" s="20">
        <f>+D28+(D28*'PARÁM-SENSIBILIDAD'!$J$3)</f>
        <v>6638160.8832</v>
      </c>
      <c r="F28" s="20">
        <f>+E28+(E28*'PARÁM-SENSIBILIDAD'!$J$4)</f>
        <v>6890410.9967615996</v>
      </c>
    </row>
    <row r="29" spans="1:20" x14ac:dyDescent="0.25">
      <c r="A29" s="38" t="s">
        <v>540</v>
      </c>
      <c r="B29" s="39">
        <f>+SUM(B25:B28)</f>
        <v>64200000</v>
      </c>
      <c r="C29" s="39">
        <f>+SUM(C25:C28)</f>
        <v>66305760</v>
      </c>
      <c r="D29" s="39">
        <f t="shared" ref="D29:F29" si="1">+SUM(D25:D28)</f>
        <v>68560155.840000004</v>
      </c>
      <c r="E29" s="39">
        <f t="shared" si="1"/>
        <v>71028321.450240001</v>
      </c>
      <c r="F29" s="39">
        <f t="shared" si="1"/>
        <v>73727397.665349126</v>
      </c>
    </row>
    <row r="33" spans="1:6" x14ac:dyDescent="0.25">
      <c r="B33" s="228" t="s">
        <v>154</v>
      </c>
      <c r="C33" s="228" t="s">
        <v>174</v>
      </c>
      <c r="D33" s="228" t="s">
        <v>175</v>
      </c>
      <c r="E33" s="228" t="s">
        <v>176</v>
      </c>
      <c r="F33" s="228" t="s">
        <v>177</v>
      </c>
    </row>
    <row r="34" spans="1:6" x14ac:dyDescent="0.25">
      <c r="A34" t="s">
        <v>195</v>
      </c>
      <c r="B34" s="2">
        <f>B21+B29</f>
        <v>581174272</v>
      </c>
      <c r="C34" s="2">
        <f>C21+C29</f>
        <v>600281925.98460793</v>
      </c>
      <c r="D34" s="2">
        <f t="shared" ref="D34:F34" si="2">D21+D29</f>
        <v>620484413.32348251</v>
      </c>
      <c r="E34" s="2">
        <f t="shared" si="2"/>
        <v>642647207.44604683</v>
      </c>
      <c r="F34" s="2">
        <f t="shared" si="2"/>
        <v>666918237.84456837</v>
      </c>
    </row>
  </sheetData>
  <mergeCells count="3">
    <mergeCell ref="A5:F5"/>
    <mergeCell ref="A23:F23"/>
    <mergeCell ref="I6:T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34998626667073579"/>
  </sheetPr>
  <dimension ref="A7:G13"/>
  <sheetViews>
    <sheetView showGridLines="0" workbookViewId="0">
      <selection activeCell="B13" sqref="B13"/>
    </sheetView>
  </sheetViews>
  <sheetFormatPr baseColWidth="10" defaultRowHeight="15" x14ac:dyDescent="0.25"/>
  <cols>
    <col min="2" max="2" width="15.5703125" customWidth="1"/>
    <col min="3" max="3" width="15.140625" customWidth="1"/>
    <col min="4" max="4" width="20.28515625" customWidth="1"/>
    <col min="5" max="5" width="16.85546875" customWidth="1"/>
    <col min="6" max="6" width="15.42578125" customWidth="1"/>
    <col min="7" max="7" width="15.28515625" customWidth="1"/>
  </cols>
  <sheetData>
    <row r="7" spans="1:7" x14ac:dyDescent="0.25">
      <c r="A7" s="44"/>
      <c r="B7" s="156" t="s">
        <v>107</v>
      </c>
      <c r="C7" s="156" t="s">
        <v>108</v>
      </c>
      <c r="D7" s="156" t="s">
        <v>109</v>
      </c>
      <c r="E7" s="57" t="s">
        <v>110</v>
      </c>
      <c r="F7" s="57" t="s">
        <v>111</v>
      </c>
      <c r="G7" s="57" t="s">
        <v>112</v>
      </c>
    </row>
    <row r="8" spans="1:7" x14ac:dyDescent="0.25">
      <c r="A8" s="47"/>
      <c r="B8" s="47"/>
      <c r="C8" s="47"/>
      <c r="D8" s="47"/>
      <c r="E8" s="47"/>
    </row>
    <row r="9" spans="1:7" x14ac:dyDescent="0.25">
      <c r="A9" s="48" t="s">
        <v>272</v>
      </c>
      <c r="B9" s="49">
        <f>'PARÁM-SENSIBILIDAD'!B46</f>
        <v>154729419.353425</v>
      </c>
      <c r="C9" s="50"/>
      <c r="D9" s="50"/>
      <c r="E9" s="50"/>
    </row>
    <row r="10" spans="1:7" x14ac:dyDescent="0.25">
      <c r="A10" s="48" t="s">
        <v>273</v>
      </c>
      <c r="B10" s="50"/>
      <c r="C10" s="53">
        <f>C12-C11</f>
        <v>25344289.09492474</v>
      </c>
      <c r="D10" s="53">
        <f>D12-D11</f>
        <v>27878718.004417211</v>
      </c>
      <c r="E10" s="53">
        <f>E12-E11</f>
        <v>30666589.804858934</v>
      </c>
      <c r="F10" s="53">
        <f>F12-F11</f>
        <v>33733248.785344824</v>
      </c>
      <c r="G10" s="53">
        <f>G12-G11</f>
        <v>37106573.663879313</v>
      </c>
    </row>
    <row r="11" spans="1:7" x14ac:dyDescent="0.25">
      <c r="A11" s="48" t="s">
        <v>274</v>
      </c>
      <c r="B11" s="50"/>
      <c r="C11" s="51">
        <f>B13*'PARÁM-SENSIBILIDAD'!$B$48</f>
        <v>15472941.9353425</v>
      </c>
      <c r="D11" s="51">
        <f>C13*'PARÁM-SENSIBILIDAD'!$B$48</f>
        <v>12938513.025850026</v>
      </c>
      <c r="E11" s="51">
        <f>D13*'PARÁM-SENSIBILIDAD'!$B$48</f>
        <v>10150641.225408304</v>
      </c>
      <c r="F11" s="51">
        <f>E13*'PARÁM-SENSIBILIDAD'!$B$48</f>
        <v>7083982.2449224107</v>
      </c>
      <c r="G11" s="51">
        <f>F13*'PARÁM-SENSIBILIDAD'!$B$48</f>
        <v>3710657.3663879279</v>
      </c>
    </row>
    <row r="12" spans="1:7" x14ac:dyDescent="0.25">
      <c r="A12" s="48" t="s">
        <v>275</v>
      </c>
      <c r="B12" s="50"/>
      <c r="C12" s="53">
        <f>PMT('PARÁM-SENSIBILIDAD'!$B$48,'PARÁM-SENSIBILIDAD'!$B$47,-'PARÁM-SENSIBILIDAD'!$B$46)</f>
        <v>40817231.030267239</v>
      </c>
      <c r="D12" s="53">
        <f>PMT('PARÁM-SENSIBILIDAD'!$B$48,'PARÁM-SENSIBILIDAD'!$B$47,-'PARÁM-SENSIBILIDAD'!$B$46)</f>
        <v>40817231.030267239</v>
      </c>
      <c r="E12" s="53">
        <f>PMT('PARÁM-SENSIBILIDAD'!$B$48,'PARÁM-SENSIBILIDAD'!$B$47,-'PARÁM-SENSIBILIDAD'!$B$46)</f>
        <v>40817231.030267239</v>
      </c>
      <c r="F12" s="53">
        <f>PMT('PARÁM-SENSIBILIDAD'!$B$48,'PARÁM-SENSIBILIDAD'!$B$47,-'PARÁM-SENSIBILIDAD'!$B$46)</f>
        <v>40817231.030267239</v>
      </c>
      <c r="G12" s="53">
        <f>PMT('PARÁM-SENSIBILIDAD'!$B$48,'PARÁM-SENSIBILIDAD'!$B$47,-'PARÁM-SENSIBILIDAD'!$B$46)</f>
        <v>40817231.030267239</v>
      </c>
    </row>
    <row r="13" spans="1:7" x14ac:dyDescent="0.25">
      <c r="A13" s="48" t="s">
        <v>276</v>
      </c>
      <c r="B13" s="52">
        <f>+B9</f>
        <v>154729419.353425</v>
      </c>
      <c r="C13" s="21">
        <f>+B13-C10</f>
        <v>129385130.25850025</v>
      </c>
      <c r="D13" s="21">
        <f>+C13-D10</f>
        <v>101506412.25408304</v>
      </c>
      <c r="E13" s="21">
        <f>+D13-E10</f>
        <v>70839822.4492241</v>
      </c>
      <c r="F13" s="21">
        <f>+E13-F10</f>
        <v>37106573.663879275</v>
      </c>
      <c r="G13" s="21">
        <f t="shared" ref="G13" si="0">+F13-G10</f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5" tint="0.39997558519241921"/>
  </sheetPr>
  <dimension ref="A6:G38"/>
  <sheetViews>
    <sheetView showGridLines="0" topLeftCell="B5" workbookViewId="0">
      <selection activeCell="G37" sqref="G37"/>
    </sheetView>
  </sheetViews>
  <sheetFormatPr baseColWidth="10" defaultRowHeight="15" x14ac:dyDescent="0.25"/>
  <cols>
    <col min="1" max="1" width="33" customWidth="1"/>
    <col min="2" max="2" width="18.7109375" customWidth="1"/>
    <col min="3" max="3" width="16.85546875" customWidth="1"/>
    <col min="4" max="4" width="19.28515625" customWidth="1"/>
    <col min="5" max="5" width="15.42578125" customWidth="1"/>
    <col min="6" max="6" width="13.85546875" customWidth="1"/>
    <col min="7" max="7" width="14.28515625" customWidth="1"/>
  </cols>
  <sheetData>
    <row r="6" spans="1:7" x14ac:dyDescent="0.25">
      <c r="A6" s="44"/>
      <c r="B6" s="57" t="s">
        <v>107</v>
      </c>
      <c r="C6" s="57" t="s">
        <v>108</v>
      </c>
      <c r="D6" s="57" t="s">
        <v>109</v>
      </c>
      <c r="E6" s="57" t="s">
        <v>110</v>
      </c>
      <c r="F6" s="57" t="s">
        <v>111</v>
      </c>
      <c r="G6" s="57" t="s">
        <v>112</v>
      </c>
    </row>
    <row r="8" spans="1:7" x14ac:dyDescent="0.25">
      <c r="A8" s="54" t="s">
        <v>280</v>
      </c>
      <c r="B8" s="50">
        <f>'PARÁM-SENSIBILIDAD'!B25</f>
        <v>69000000</v>
      </c>
      <c r="C8" s="50"/>
      <c r="D8" s="50"/>
      <c r="E8" s="50"/>
    </row>
    <row r="9" spans="1:7" hidden="1" x14ac:dyDescent="0.25">
      <c r="A9" s="47" t="s">
        <v>277</v>
      </c>
      <c r="B9" s="50"/>
      <c r="C9" s="50">
        <f>'PARÁM-SENSIBILIDAD'!$B$25/'PARÁM-SENSIBILIDAD'!$B$26</f>
        <v>3450000</v>
      </c>
      <c r="D9" s="50">
        <f>'PARÁM-SENSIBILIDAD'!$B$25/'PARÁM-SENSIBILIDAD'!$B$26</f>
        <v>3450000</v>
      </c>
      <c r="E9" s="50">
        <f>'PARÁM-SENSIBILIDAD'!$B$25/'PARÁM-SENSIBILIDAD'!$B$26</f>
        <v>3450000</v>
      </c>
      <c r="F9" s="50">
        <f>'PARÁM-SENSIBILIDAD'!$B$25/'PARÁM-SENSIBILIDAD'!$B$26</f>
        <v>3450000</v>
      </c>
      <c r="G9" s="50">
        <f>'PARÁM-SENSIBILIDAD'!$B$25/'PARÁM-SENSIBILIDAD'!$B$26</f>
        <v>3450000</v>
      </c>
    </row>
    <row r="10" spans="1:7" hidden="1" x14ac:dyDescent="0.25">
      <c r="A10" s="47" t="s">
        <v>278</v>
      </c>
      <c r="B10" s="50"/>
      <c r="C10" s="50">
        <f>C9</f>
        <v>3450000</v>
      </c>
      <c r="D10" s="50">
        <f>+D9+C10</f>
        <v>6900000</v>
      </c>
      <c r="E10" s="50">
        <f>+E9+D10</f>
        <v>10350000</v>
      </c>
      <c r="F10" s="50">
        <f>+F9+E10</f>
        <v>13800000</v>
      </c>
      <c r="G10" s="50">
        <f t="shared" ref="G10" si="0">+G9+F10</f>
        <v>17250000</v>
      </c>
    </row>
    <row r="11" spans="1:7" x14ac:dyDescent="0.25">
      <c r="A11" s="111" t="s">
        <v>279</v>
      </c>
      <c r="B11" s="55">
        <f>B8</f>
        <v>69000000</v>
      </c>
      <c r="C11" s="55">
        <f>$B$8-C10</f>
        <v>65550000</v>
      </c>
      <c r="D11" s="55">
        <f>$B$8-D10</f>
        <v>62100000</v>
      </c>
      <c r="E11" s="55">
        <f>$B$8-E10</f>
        <v>58650000</v>
      </c>
      <c r="F11" s="55">
        <f>$B$8-F10</f>
        <v>55200000</v>
      </c>
      <c r="G11" s="155">
        <f>$B$8-G10</f>
        <v>51750000</v>
      </c>
    </row>
    <row r="13" spans="1:7" x14ac:dyDescent="0.25">
      <c r="A13" s="54" t="s">
        <v>210</v>
      </c>
      <c r="B13" s="50">
        <f>'PARÁM-SENSIBILIDAD'!B27</f>
        <v>171667800</v>
      </c>
      <c r="C13" s="50"/>
      <c r="D13" s="50"/>
      <c r="E13" s="50"/>
    </row>
    <row r="14" spans="1:7" hidden="1" x14ac:dyDescent="0.25">
      <c r="A14" s="47" t="s">
        <v>277</v>
      </c>
      <c r="B14" s="50"/>
      <c r="C14" s="50">
        <f>'PARÁM-SENSIBILIDAD'!$B$27/'PARÁM-SENSIBILIDAD'!$B$28</f>
        <v>8583390</v>
      </c>
      <c r="D14" s="50">
        <f>'PARÁM-SENSIBILIDAD'!$B$27/'PARÁM-SENSIBILIDAD'!$B$28</f>
        <v>8583390</v>
      </c>
      <c r="E14" s="50">
        <f>'PARÁM-SENSIBILIDAD'!$B$27/'PARÁM-SENSIBILIDAD'!$B$28</f>
        <v>8583390</v>
      </c>
      <c r="F14" s="50">
        <f>'PARÁM-SENSIBILIDAD'!$B$27/'PARÁM-SENSIBILIDAD'!$B$28</f>
        <v>8583390</v>
      </c>
      <c r="G14" s="50">
        <f>'PARÁM-SENSIBILIDAD'!$B$27/'PARÁM-SENSIBILIDAD'!$B$28</f>
        <v>8583390</v>
      </c>
    </row>
    <row r="15" spans="1:7" hidden="1" x14ac:dyDescent="0.25">
      <c r="A15" s="47" t="s">
        <v>278</v>
      </c>
      <c r="B15" s="50"/>
      <c r="C15" s="50">
        <f>C14</f>
        <v>8583390</v>
      </c>
      <c r="D15" s="50">
        <f>D14+C15</f>
        <v>17166780</v>
      </c>
      <c r="E15" s="50">
        <f>E14+D15</f>
        <v>25750170</v>
      </c>
      <c r="F15" s="50">
        <f t="shared" ref="F15:G15" si="1">F14+E15</f>
        <v>34333560</v>
      </c>
      <c r="G15" s="50">
        <f t="shared" si="1"/>
        <v>42916950</v>
      </c>
    </row>
    <row r="16" spans="1:7" x14ac:dyDescent="0.25">
      <c r="A16" s="111" t="s">
        <v>279</v>
      </c>
      <c r="B16" s="55">
        <f>B13</f>
        <v>171667800</v>
      </c>
      <c r="C16" s="55">
        <f>$B$13-C15</f>
        <v>163084410</v>
      </c>
      <c r="D16" s="55">
        <f>$B$13-D15</f>
        <v>154501020</v>
      </c>
      <c r="E16" s="55">
        <f>$B$13-E15</f>
        <v>145917630</v>
      </c>
      <c r="F16" s="55">
        <f>$B$13-F15</f>
        <v>137334240</v>
      </c>
      <c r="G16" s="155">
        <f>$B$13-G15</f>
        <v>128750850</v>
      </c>
    </row>
    <row r="18" spans="1:7" x14ac:dyDescent="0.25">
      <c r="A18" s="54" t="s">
        <v>12</v>
      </c>
      <c r="B18" s="50">
        <f>'PARÁM-SENSIBILIDAD'!B29</f>
        <v>35965900</v>
      </c>
      <c r="C18" s="50"/>
      <c r="D18" s="50"/>
      <c r="E18" s="50"/>
    </row>
    <row r="19" spans="1:7" hidden="1" x14ac:dyDescent="0.25">
      <c r="A19" s="47" t="s">
        <v>277</v>
      </c>
      <c r="B19" s="50"/>
      <c r="C19" s="50">
        <f>'PARÁM-SENSIBILIDAD'!$B$29/'PARÁM-SENSIBILIDAD'!$B$30</f>
        <v>7193180</v>
      </c>
      <c r="D19" s="50">
        <f>'PARÁM-SENSIBILIDAD'!$B$29/'PARÁM-SENSIBILIDAD'!$B$30</f>
        <v>7193180</v>
      </c>
      <c r="E19" s="50">
        <f>'PARÁM-SENSIBILIDAD'!$B$29/'PARÁM-SENSIBILIDAD'!$B$30</f>
        <v>7193180</v>
      </c>
      <c r="F19" s="50">
        <f>'PARÁM-SENSIBILIDAD'!$B$29/'PARÁM-SENSIBILIDAD'!$B$30</f>
        <v>7193180</v>
      </c>
      <c r="G19" s="50">
        <f>'PARÁM-SENSIBILIDAD'!$B$29/'PARÁM-SENSIBILIDAD'!$B$30</f>
        <v>7193180</v>
      </c>
    </row>
    <row r="20" spans="1:7" hidden="1" x14ac:dyDescent="0.25">
      <c r="A20" s="47" t="s">
        <v>278</v>
      </c>
      <c r="B20" s="50"/>
      <c r="C20" s="50">
        <f>C19</f>
        <v>7193180</v>
      </c>
      <c r="D20" s="50">
        <f>D19+C20</f>
        <v>14386360</v>
      </c>
      <c r="E20" s="50">
        <f>E19+D20</f>
        <v>21579540</v>
      </c>
      <c r="F20" s="50">
        <f>F19+E20</f>
        <v>28772720</v>
      </c>
      <c r="G20" s="50">
        <f>G19+F20</f>
        <v>35965900</v>
      </c>
    </row>
    <row r="21" spans="1:7" x14ac:dyDescent="0.25">
      <c r="A21" s="111" t="s">
        <v>279</v>
      </c>
      <c r="B21" s="55">
        <f>B18</f>
        <v>35965900</v>
      </c>
      <c r="C21" s="55">
        <f>$B$18-C20</f>
        <v>28772720</v>
      </c>
      <c r="D21" s="55">
        <f>$B$18-D20</f>
        <v>21579540</v>
      </c>
      <c r="E21" s="55">
        <f>$B$18-E20</f>
        <v>14386360</v>
      </c>
      <c r="F21" s="55">
        <f>$B$18-F20</f>
        <v>7193180</v>
      </c>
      <c r="G21" s="155">
        <f>$B$18-G20</f>
        <v>0</v>
      </c>
    </row>
    <row r="23" spans="1:7" x14ac:dyDescent="0.25">
      <c r="A23" s="54" t="s">
        <v>281</v>
      </c>
      <c r="B23" s="50">
        <f>'PARÁM-SENSIBILIDAD'!B31</f>
        <v>10065000</v>
      </c>
      <c r="C23" s="50"/>
      <c r="D23" s="50"/>
      <c r="E23" s="50"/>
    </row>
    <row r="24" spans="1:7" hidden="1" x14ac:dyDescent="0.25">
      <c r="A24" s="47" t="s">
        <v>277</v>
      </c>
      <c r="B24" s="50"/>
      <c r="C24" s="50">
        <f>'PARÁM-SENSIBILIDAD'!$B$31/'PARÁM-SENSIBILIDAD'!$B$32</f>
        <v>2013000</v>
      </c>
      <c r="D24" s="50">
        <f>'PARÁM-SENSIBILIDAD'!$B$31/'PARÁM-SENSIBILIDAD'!$B$32</f>
        <v>2013000</v>
      </c>
      <c r="E24" s="50">
        <f>'PARÁM-SENSIBILIDAD'!$B$31/'PARÁM-SENSIBILIDAD'!$B$32</f>
        <v>2013000</v>
      </c>
      <c r="F24" s="50">
        <f>'PARÁM-SENSIBILIDAD'!$B$31/'PARÁM-SENSIBILIDAD'!$B$32</f>
        <v>2013000</v>
      </c>
      <c r="G24" s="50">
        <f>'PARÁM-SENSIBILIDAD'!$B$31/'PARÁM-SENSIBILIDAD'!$B$32</f>
        <v>2013000</v>
      </c>
    </row>
    <row r="25" spans="1:7" hidden="1" x14ac:dyDescent="0.25">
      <c r="A25" s="47" t="s">
        <v>278</v>
      </c>
      <c r="B25" s="50"/>
      <c r="C25" s="50">
        <f>C24</f>
        <v>2013000</v>
      </c>
      <c r="D25" s="50">
        <f>D24+C25</f>
        <v>4026000</v>
      </c>
      <c r="E25" s="50">
        <f>E24+D25</f>
        <v>6039000</v>
      </c>
      <c r="F25" s="50">
        <f>F24+E25</f>
        <v>8052000</v>
      </c>
      <c r="G25" s="50">
        <f>G24+F25</f>
        <v>10065000</v>
      </c>
    </row>
    <row r="26" spans="1:7" x14ac:dyDescent="0.25">
      <c r="A26" s="111" t="s">
        <v>279</v>
      </c>
      <c r="B26" s="55">
        <f>B23</f>
        <v>10065000</v>
      </c>
      <c r="C26" s="55">
        <f>$B$23-C25</f>
        <v>8052000</v>
      </c>
      <c r="D26" s="55">
        <f>$B$23-D25</f>
        <v>6039000</v>
      </c>
      <c r="E26" s="55">
        <f>$B$23-E25</f>
        <v>4026000</v>
      </c>
      <c r="F26" s="55">
        <f>$B$23-F25</f>
        <v>2013000</v>
      </c>
      <c r="G26" s="155">
        <f t="shared" ref="G26" si="2">$B$23-G25</f>
        <v>0</v>
      </c>
    </row>
    <row r="28" spans="1:7" x14ac:dyDescent="0.25">
      <c r="A28" s="54" t="s">
        <v>282</v>
      </c>
      <c r="B28" s="50">
        <f>'PARÁM-SENSIBILIDAD'!B33</f>
        <v>5411000</v>
      </c>
      <c r="C28" s="50"/>
      <c r="D28" s="50"/>
      <c r="E28" s="50"/>
    </row>
    <row r="29" spans="1:7" hidden="1" x14ac:dyDescent="0.25">
      <c r="A29" s="47" t="s">
        <v>277</v>
      </c>
      <c r="B29" s="50"/>
      <c r="C29" s="50">
        <f>'PARÁM-SENSIBILIDAD'!$B$33/'PARÁM-SENSIBILIDAD'!$B$34</f>
        <v>541100</v>
      </c>
      <c r="D29" s="50">
        <f>'PARÁM-SENSIBILIDAD'!$B$33/'PARÁM-SENSIBILIDAD'!$B$34</f>
        <v>541100</v>
      </c>
      <c r="E29" s="50">
        <f>'PARÁM-SENSIBILIDAD'!$B$33/'PARÁM-SENSIBILIDAD'!$B$34</f>
        <v>541100</v>
      </c>
      <c r="F29" s="50">
        <f>'PARÁM-SENSIBILIDAD'!$B$33/'PARÁM-SENSIBILIDAD'!$B$34</f>
        <v>541100</v>
      </c>
      <c r="G29" s="50">
        <f>'PARÁM-SENSIBILIDAD'!$B$33/'PARÁM-SENSIBILIDAD'!$B$34</f>
        <v>541100</v>
      </c>
    </row>
    <row r="30" spans="1:7" hidden="1" x14ac:dyDescent="0.25">
      <c r="A30" s="47" t="s">
        <v>278</v>
      </c>
      <c r="B30" s="50"/>
      <c r="C30" s="50">
        <f>C29</f>
        <v>541100</v>
      </c>
      <c r="D30" s="50">
        <f>D29+C30</f>
        <v>1082200</v>
      </c>
      <c r="E30" s="50">
        <f>E29+D30</f>
        <v>1623300</v>
      </c>
      <c r="F30" s="50">
        <f>F29+E30</f>
        <v>2164400</v>
      </c>
      <c r="G30" s="50">
        <f>G29+F30</f>
        <v>2705500</v>
      </c>
    </row>
    <row r="31" spans="1:7" x14ac:dyDescent="0.25">
      <c r="A31" s="111" t="s">
        <v>279</v>
      </c>
      <c r="B31" s="55">
        <f>B28</f>
        <v>5411000</v>
      </c>
      <c r="C31" s="55">
        <f>$B$28-C30</f>
        <v>4869900</v>
      </c>
      <c r="D31" s="55">
        <f t="shared" ref="D31:E31" si="3">$B$28-D30</f>
        <v>4328800</v>
      </c>
      <c r="E31" s="55">
        <f t="shared" si="3"/>
        <v>3787700</v>
      </c>
      <c r="F31" s="55">
        <f>$B$28-F30</f>
        <v>3246600</v>
      </c>
      <c r="G31" s="155">
        <f>$B$28-G30</f>
        <v>2705500</v>
      </c>
    </row>
    <row r="33" spans="1:7" x14ac:dyDescent="0.25">
      <c r="A33" s="54" t="s">
        <v>269</v>
      </c>
      <c r="B33" s="50">
        <f>'PARÁM-SENSIBILIDAD'!B35</f>
        <v>46946100</v>
      </c>
      <c r="C33" s="50"/>
      <c r="D33" s="50"/>
      <c r="E33" s="50"/>
    </row>
    <row r="34" spans="1:7" hidden="1" x14ac:dyDescent="0.25">
      <c r="A34" s="47" t="s">
        <v>277</v>
      </c>
      <c r="B34" s="50"/>
      <c r="C34" s="50">
        <f>'PARÁM-SENSIBILIDAD'!$B$35/'PARÁM-SENSIBILIDAD'!$B$36</f>
        <v>4694610</v>
      </c>
      <c r="D34" s="50">
        <f>'PARÁM-SENSIBILIDAD'!$B$35/'PARÁM-SENSIBILIDAD'!$B$36</f>
        <v>4694610</v>
      </c>
      <c r="E34" s="50">
        <f>'PARÁM-SENSIBILIDAD'!$B$35/'PARÁM-SENSIBILIDAD'!$B$36</f>
        <v>4694610</v>
      </c>
      <c r="F34" s="50">
        <f>'PARÁM-SENSIBILIDAD'!$B$35/'PARÁM-SENSIBILIDAD'!$B$36</f>
        <v>4694610</v>
      </c>
      <c r="G34" s="50">
        <f>'PARÁM-SENSIBILIDAD'!$B$35/'PARÁM-SENSIBILIDAD'!$B$36</f>
        <v>4694610</v>
      </c>
    </row>
    <row r="35" spans="1:7" hidden="1" x14ac:dyDescent="0.25">
      <c r="A35" s="47" t="s">
        <v>278</v>
      </c>
      <c r="B35" s="50"/>
      <c r="C35" s="50">
        <f>C34</f>
        <v>4694610</v>
      </c>
      <c r="D35" s="50">
        <f>D34+C35</f>
        <v>9389220</v>
      </c>
      <c r="E35" s="50">
        <f>E34+D35</f>
        <v>14083830</v>
      </c>
      <c r="F35" s="50">
        <f>F34+E35</f>
        <v>18778440</v>
      </c>
      <c r="G35" s="50">
        <f>G34+F35</f>
        <v>23473050</v>
      </c>
    </row>
    <row r="36" spans="1:7" x14ac:dyDescent="0.25">
      <c r="A36" s="111" t="s">
        <v>279</v>
      </c>
      <c r="B36" s="55">
        <f>B33</f>
        <v>46946100</v>
      </c>
      <c r="C36" s="55">
        <f>$B$33-C35</f>
        <v>42251490</v>
      </c>
      <c r="D36" s="55">
        <f t="shared" ref="D36:G36" si="4">$B$33-D35</f>
        <v>37556880</v>
      </c>
      <c r="E36" s="55">
        <f t="shared" si="4"/>
        <v>32862270</v>
      </c>
      <c r="F36" s="55">
        <f t="shared" si="4"/>
        <v>28167660</v>
      </c>
      <c r="G36" s="155">
        <f t="shared" si="4"/>
        <v>23473050</v>
      </c>
    </row>
    <row r="37" spans="1:7" ht="30" x14ac:dyDescent="0.25">
      <c r="F37" s="318" t="s">
        <v>558</v>
      </c>
      <c r="G37" s="252">
        <f>+G11+G16+G21+G26+G31+G36</f>
        <v>206679400</v>
      </c>
    </row>
    <row r="38" spans="1:7" x14ac:dyDescent="0.25">
      <c r="F38" s="31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theme="9" tint="0.39997558519241921"/>
  </sheetPr>
  <dimension ref="A5:G22"/>
  <sheetViews>
    <sheetView showGridLines="0" topLeftCell="A10" workbookViewId="0">
      <selection activeCell="G10" sqref="G10"/>
    </sheetView>
  </sheetViews>
  <sheetFormatPr baseColWidth="10" defaultRowHeight="15" x14ac:dyDescent="0.25"/>
  <cols>
    <col min="1" max="1" width="21" customWidth="1"/>
    <col min="2" max="2" width="16.42578125" customWidth="1"/>
    <col min="3" max="3" width="16.7109375" customWidth="1"/>
    <col min="4" max="4" width="15.28515625" customWidth="1"/>
    <col min="5" max="5" width="20.85546875" customWidth="1"/>
    <col min="6" max="6" width="20.140625" customWidth="1"/>
    <col min="7" max="7" width="15.42578125" customWidth="1"/>
  </cols>
  <sheetData>
    <row r="5" spans="1:7" ht="15.75" thickBot="1" x14ac:dyDescent="0.3"/>
    <row r="6" spans="1:7" ht="15.75" thickBot="1" x14ac:dyDescent="0.3">
      <c r="A6" s="373" t="s">
        <v>283</v>
      </c>
      <c r="B6" s="374"/>
      <c r="C6" s="374"/>
      <c r="D6" s="374"/>
      <c r="E6" s="374"/>
      <c r="F6" s="374"/>
      <c r="G6" s="375"/>
    </row>
    <row r="7" spans="1:7" x14ac:dyDescent="0.25">
      <c r="A7" s="284"/>
      <c r="B7" s="284"/>
      <c r="C7" s="284"/>
      <c r="D7" s="284"/>
      <c r="E7" s="284"/>
      <c r="F7" s="284"/>
      <c r="G7" s="284"/>
    </row>
    <row r="8" spans="1:7" x14ac:dyDescent="0.25">
      <c r="A8" s="153"/>
      <c r="B8" s="46" t="s">
        <v>107</v>
      </c>
      <c r="C8" s="46" t="s">
        <v>108</v>
      </c>
      <c r="D8" s="46" t="s">
        <v>109</v>
      </c>
      <c r="E8" s="46" t="s">
        <v>110</v>
      </c>
      <c r="F8" s="46" t="s">
        <v>111</v>
      </c>
      <c r="G8" s="46" t="s">
        <v>112</v>
      </c>
    </row>
    <row r="9" spans="1:7" x14ac:dyDescent="0.25">
      <c r="A9" s="47"/>
      <c r="B9" s="47"/>
      <c r="C9" s="47"/>
      <c r="D9" s="47"/>
      <c r="E9" s="47"/>
    </row>
    <row r="10" spans="1:7" x14ac:dyDescent="0.25">
      <c r="A10" s="111" t="s">
        <v>116</v>
      </c>
      <c r="B10" s="55">
        <f>'PARÁM-SENSIBILIDAD'!B22</f>
        <v>0</v>
      </c>
      <c r="C10" s="55">
        <f>'PARÁM-SENSIBILIDAD'!C22</f>
        <v>107613548</v>
      </c>
      <c r="D10" s="55">
        <f>'PARÁM-SENSIBILIDAD'!D22</f>
        <v>114655034.8138721</v>
      </c>
      <c r="E10" s="55">
        <f>'PARÁM-SENSIBILIDAD'!E22</f>
        <v>126152852.31680205</v>
      </c>
      <c r="F10" s="55">
        <f>'PARÁM-SENSIBILIDAD'!F22</f>
        <v>143957314.1491009</v>
      </c>
      <c r="G10" s="155">
        <f>'PARÁM-SENSIBILIDAD'!G22</f>
        <v>165907165.43951035</v>
      </c>
    </row>
    <row r="11" spans="1:7" x14ac:dyDescent="0.25">
      <c r="A11" s="47"/>
      <c r="B11" s="50"/>
      <c r="C11" s="50"/>
      <c r="D11" s="50"/>
      <c r="E11" s="50"/>
    </row>
    <row r="12" spans="1:7" x14ac:dyDescent="0.25">
      <c r="A12" s="47" t="s">
        <v>284</v>
      </c>
      <c r="B12" s="50"/>
      <c r="C12" s="50">
        <f>'AMORT-DEPREC'!C9+'AMORT-DEPREC'!C14+'AMORT-DEPREC'!C19+'AMORT-DEPREC'!C24+'AMORT-DEPREC'!C29+'AMORT-DEPREC'!C34</f>
        <v>26475280</v>
      </c>
      <c r="D12" s="50">
        <f>'AMORT-DEPREC'!D9+'AMORT-DEPREC'!D14+'AMORT-DEPREC'!D19+'AMORT-DEPREC'!D24+'AMORT-DEPREC'!D29+'AMORT-DEPREC'!D34</f>
        <v>26475280</v>
      </c>
      <c r="E12" s="50">
        <f>'AMORT-DEPREC'!E9+'AMORT-DEPREC'!E14+'AMORT-DEPREC'!E19+'AMORT-DEPREC'!E24+'AMORT-DEPREC'!E29+'AMORT-DEPREC'!E34</f>
        <v>26475280</v>
      </c>
      <c r="F12" s="50">
        <f>'AMORT-DEPREC'!F9+'AMORT-DEPREC'!F14+'AMORT-DEPREC'!F19+'AMORT-DEPREC'!F24+'AMORT-DEPREC'!F29+'AMORT-DEPREC'!F34</f>
        <v>26475280</v>
      </c>
      <c r="G12" s="50">
        <f>'AMORT-DEPREC'!G9+'AMORT-DEPREC'!G14+'AMORT-DEPREC'!G19+'AMORT-DEPREC'!G24+'AMORT-DEPREC'!G29+'AMORT-DEPREC'!G34</f>
        <v>26475280</v>
      </c>
    </row>
    <row r="13" spans="1:7" x14ac:dyDescent="0.25">
      <c r="A13" s="47"/>
      <c r="B13" s="50"/>
      <c r="C13" s="50"/>
      <c r="D13" s="50"/>
      <c r="E13" s="50"/>
    </row>
    <row r="14" spans="1:7" x14ac:dyDescent="0.25">
      <c r="A14" s="111" t="s">
        <v>285</v>
      </c>
      <c r="B14" s="55"/>
      <c r="C14" s="55">
        <f>C10-C12</f>
        <v>81138268</v>
      </c>
      <c r="D14" s="55">
        <f>D10-D12</f>
        <v>88179754.813872099</v>
      </c>
      <c r="E14" s="55">
        <f t="shared" ref="E14:F14" si="0">E10-E12</f>
        <v>99677572.316802055</v>
      </c>
      <c r="F14" s="55">
        <f t="shared" si="0"/>
        <v>117482034.1491009</v>
      </c>
      <c r="G14" s="155">
        <f>G10-G12</f>
        <v>139431885.43951035</v>
      </c>
    </row>
    <row r="15" spans="1:7" x14ac:dyDescent="0.25">
      <c r="A15" s="47"/>
      <c r="B15" s="50"/>
      <c r="C15" s="50"/>
      <c r="D15" s="50"/>
      <c r="E15" s="50"/>
    </row>
    <row r="16" spans="1:7" x14ac:dyDescent="0.25">
      <c r="A16" s="47" t="s">
        <v>274</v>
      </c>
      <c r="B16" s="50"/>
      <c r="C16" s="50">
        <f>'SERV DEUDA'!C11</f>
        <v>15472941.9353425</v>
      </c>
      <c r="D16" s="50">
        <f>'SERV DEUDA'!D11</f>
        <v>12938513.025850026</v>
      </c>
      <c r="E16" s="50">
        <f>'SERV DEUDA'!E11</f>
        <v>10150641.225408304</v>
      </c>
      <c r="F16" s="50">
        <f>'SERV DEUDA'!F11</f>
        <v>7083982.2449224107</v>
      </c>
      <c r="G16" s="50">
        <f>'SERV DEUDA'!G11</f>
        <v>3710657.3663879279</v>
      </c>
    </row>
    <row r="17" spans="1:7" x14ac:dyDescent="0.25">
      <c r="A17" s="47"/>
      <c r="B17" s="50"/>
      <c r="C17" s="50"/>
      <c r="D17" s="50"/>
      <c r="E17" s="50"/>
    </row>
    <row r="18" spans="1:7" x14ac:dyDescent="0.25">
      <c r="A18" s="111" t="s">
        <v>286</v>
      </c>
      <c r="B18" s="55"/>
      <c r="C18" s="55">
        <f>C14-C16</f>
        <v>65665326.064657502</v>
      </c>
      <c r="D18" s="55">
        <f>D14-D16</f>
        <v>75241241.788022071</v>
      </c>
      <c r="E18" s="55">
        <f>E14-E16</f>
        <v>89526931.091393754</v>
      </c>
      <c r="F18" s="55">
        <f t="shared" ref="F18" si="1">F14-F16</f>
        <v>110398051.90417849</v>
      </c>
      <c r="G18" s="155">
        <f>G14-G16</f>
        <v>135721228.07312241</v>
      </c>
    </row>
    <row r="19" spans="1:7" x14ac:dyDescent="0.25">
      <c r="A19" s="47"/>
      <c r="B19" s="50"/>
      <c r="C19" s="50"/>
      <c r="D19" s="50"/>
      <c r="E19" s="50"/>
    </row>
    <row r="20" spans="1:7" x14ac:dyDescent="0.25">
      <c r="A20" s="47" t="s">
        <v>130</v>
      </c>
      <c r="B20" s="50"/>
      <c r="C20" s="50">
        <f>C18*'PARÁM-SENSIBILIDAD'!C53</f>
        <v>5909879.3458191752</v>
      </c>
      <c r="D20" s="50">
        <f>D18*'PARÁM-SENSIBILIDAD'!D53</f>
        <v>6771711.7609219858</v>
      </c>
      <c r="E20" s="50">
        <f>E18*'PARÁM-SENSIBILIDAD'!E53</f>
        <v>8057423.7982254373</v>
      </c>
      <c r="F20" s="50">
        <f>F18*'PARÁM-SENSIBILIDAD'!F53</f>
        <v>9935824.6713760626</v>
      </c>
      <c r="G20" s="50">
        <f>G18*'PARÁM-SENSIBILIDAD'!G53</f>
        <v>12214910.526581017</v>
      </c>
    </row>
    <row r="21" spans="1:7" x14ac:dyDescent="0.25">
      <c r="A21" s="47"/>
      <c r="B21" s="50"/>
      <c r="C21" s="50"/>
      <c r="D21" s="50"/>
      <c r="E21" s="50"/>
    </row>
    <row r="22" spans="1:7" x14ac:dyDescent="0.25">
      <c r="A22" s="154" t="s">
        <v>287</v>
      </c>
      <c r="B22" s="55">
        <f>B10</f>
        <v>0</v>
      </c>
      <c r="C22" s="55">
        <f>C18-C20</f>
        <v>59755446.718838327</v>
      </c>
      <c r="D22" s="55">
        <f>D18-D20</f>
        <v>68469530.027100086</v>
      </c>
      <c r="E22" s="55">
        <f>E18-E20</f>
        <v>81469507.293168321</v>
      </c>
      <c r="F22" s="55">
        <f t="shared" ref="F22:G22" si="2">F18-F20</f>
        <v>100462227.23280242</v>
      </c>
      <c r="G22" s="155">
        <f t="shared" si="2"/>
        <v>123506317.54654139</v>
      </c>
    </row>
  </sheetData>
  <mergeCells count="1"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8">
    <tabColor theme="7" tint="0.39997558519241921"/>
  </sheetPr>
  <dimension ref="A6:O74"/>
  <sheetViews>
    <sheetView showGridLines="0" tabSelected="1" topLeftCell="C22" workbookViewId="0">
      <selection activeCell="C27" sqref="C27"/>
    </sheetView>
  </sheetViews>
  <sheetFormatPr baseColWidth="10" defaultRowHeight="15" x14ac:dyDescent="0.25"/>
  <cols>
    <col min="1" max="1" width="28.140625" customWidth="1"/>
    <col min="2" max="2" width="14" bestFit="1" customWidth="1"/>
    <col min="3" max="3" width="15" customWidth="1"/>
    <col min="4" max="4" width="13.85546875" customWidth="1"/>
    <col min="5" max="5" width="14.140625" customWidth="1"/>
    <col min="6" max="6" width="15" customWidth="1"/>
    <col min="7" max="7" width="14.5703125" customWidth="1"/>
    <col min="10" max="10" width="14" bestFit="1" customWidth="1"/>
    <col min="11" max="11" width="13" bestFit="1" customWidth="1"/>
    <col min="12" max="15" width="14" bestFit="1" customWidth="1"/>
  </cols>
  <sheetData>
    <row r="6" spans="1:15" x14ac:dyDescent="0.25">
      <c r="A6" s="44"/>
      <c r="B6" s="45" t="s">
        <v>107</v>
      </c>
      <c r="C6" s="45" t="s">
        <v>108</v>
      </c>
      <c r="D6" s="45" t="s">
        <v>109</v>
      </c>
      <c r="E6" s="46" t="s">
        <v>110</v>
      </c>
      <c r="F6" s="56" t="s">
        <v>111</v>
      </c>
      <c r="G6" s="56" t="s">
        <v>112</v>
      </c>
      <c r="J6" s="45" t="s">
        <v>107</v>
      </c>
      <c r="K6" s="45" t="s">
        <v>108</v>
      </c>
      <c r="L6" s="45" t="s">
        <v>109</v>
      </c>
      <c r="M6" s="46" t="s">
        <v>110</v>
      </c>
      <c r="N6" s="56" t="s">
        <v>111</v>
      </c>
      <c r="O6" s="56" t="s">
        <v>112</v>
      </c>
    </row>
    <row r="7" spans="1:15" x14ac:dyDescent="0.25">
      <c r="A7" s="378" t="s">
        <v>288</v>
      </c>
      <c r="B7" s="378"/>
      <c r="C7" s="378"/>
      <c r="D7" s="378"/>
      <c r="E7" s="378"/>
      <c r="F7" s="378"/>
      <c r="G7" s="378"/>
      <c r="J7" s="1">
        <v>-386823548.38356161</v>
      </c>
      <c r="K7" s="1">
        <v>98740611.771676049</v>
      </c>
      <c r="L7" s="1">
        <v>105058378.46920925</v>
      </c>
      <c r="M7" s="1">
        <v>115360271.29136679</v>
      </c>
      <c r="N7" s="1">
        <v>131389051.86484444</v>
      </c>
      <c r="O7" s="1">
        <v>208173493.38101482</v>
      </c>
    </row>
    <row r="9" spans="1:15" x14ac:dyDescent="0.25">
      <c r="A9" s="58" t="s">
        <v>116</v>
      </c>
      <c r="B9" s="109">
        <f>+ER!B10</f>
        <v>0</v>
      </c>
      <c r="C9" s="109">
        <f>+ER!C10</f>
        <v>107613548</v>
      </c>
      <c r="D9" s="109">
        <f>+ER!D10</f>
        <v>114655034.8138721</v>
      </c>
      <c r="E9" s="109">
        <f>+ER!E10</f>
        <v>126152852.31680205</v>
      </c>
      <c r="F9" s="109">
        <f>+ER!F10</f>
        <v>143957314.1491009</v>
      </c>
      <c r="G9" s="110">
        <f>+ER!G10</f>
        <v>165907165.43951035</v>
      </c>
    </row>
    <row r="10" spans="1:15" x14ac:dyDescent="0.25">
      <c r="A10" s="47" t="s">
        <v>284</v>
      </c>
      <c r="C10" s="2">
        <f>+ER!C12</f>
        <v>26475280</v>
      </c>
      <c r="D10" s="2">
        <f>+ER!D12</f>
        <v>26475280</v>
      </c>
      <c r="E10" s="2">
        <f>+ER!E12</f>
        <v>26475280</v>
      </c>
      <c r="F10" s="2">
        <f>+ER!F12</f>
        <v>26475280</v>
      </c>
      <c r="G10" s="2">
        <f>+ER!G12</f>
        <v>26475280</v>
      </c>
    </row>
    <row r="11" spans="1:15" x14ac:dyDescent="0.25">
      <c r="A11" s="111" t="s">
        <v>285</v>
      </c>
      <c r="B11" s="112"/>
      <c r="C11" s="109">
        <f>C9-C10</f>
        <v>81138268</v>
      </c>
      <c r="D11" s="109">
        <f t="shared" ref="D11:G11" si="0">D9-D10</f>
        <v>88179754.813872099</v>
      </c>
      <c r="E11" s="109">
        <f t="shared" si="0"/>
        <v>99677572.316802055</v>
      </c>
      <c r="F11" s="109">
        <f t="shared" si="0"/>
        <v>117482034.1491009</v>
      </c>
      <c r="G11" s="110">
        <f t="shared" si="0"/>
        <v>139431885.43951035</v>
      </c>
    </row>
    <row r="12" spans="1:15" x14ac:dyDescent="0.25">
      <c r="A12" s="47" t="s">
        <v>130</v>
      </c>
      <c r="C12" s="1">
        <f>+C11*'PARÁM-SENSIBILIDAD'!C53</f>
        <v>7302444.1200000001</v>
      </c>
      <c r="D12" s="1">
        <f>+D11*'PARÁM-SENSIBILIDAD'!D53</f>
        <v>7936177.9332484882</v>
      </c>
      <c r="E12" s="1">
        <f>+E11*'PARÁM-SENSIBILIDAD'!E53</f>
        <v>8970981.508512184</v>
      </c>
      <c r="F12" s="1">
        <f>+F11*'PARÁM-SENSIBILIDAD'!F53</f>
        <v>10573383.073419081</v>
      </c>
      <c r="G12" s="1">
        <f>+G11*'PARÁM-SENSIBILIDAD'!G53</f>
        <v>12548869.68955593</v>
      </c>
    </row>
    <row r="13" spans="1:15" x14ac:dyDescent="0.25">
      <c r="A13" s="113" t="s">
        <v>296</v>
      </c>
      <c r="B13" s="112"/>
      <c r="C13" s="114">
        <f>+C11-C12</f>
        <v>73835823.879999995</v>
      </c>
      <c r="D13" s="114">
        <f t="shared" ref="D13:G13" si="1">+D11-D12</f>
        <v>80243576.880623609</v>
      </c>
      <c r="E13" s="114">
        <f t="shared" si="1"/>
        <v>90706590.808289871</v>
      </c>
      <c r="F13" s="114">
        <f t="shared" si="1"/>
        <v>106908651.07568182</v>
      </c>
      <c r="G13" s="115">
        <f t="shared" si="1"/>
        <v>126883015.74995442</v>
      </c>
    </row>
    <row r="14" spans="1:15" x14ac:dyDescent="0.25">
      <c r="A14" s="47" t="s">
        <v>284</v>
      </c>
      <c r="C14" s="2">
        <f>ER!C12</f>
        <v>26475280</v>
      </c>
      <c r="D14" s="2">
        <f>ER!D12</f>
        <v>26475280</v>
      </c>
      <c r="E14" s="2">
        <f>ER!E12</f>
        <v>26475280</v>
      </c>
      <c r="F14" s="2">
        <f>ER!F12</f>
        <v>26475280</v>
      </c>
      <c r="G14" s="2">
        <f>ER!G12</f>
        <v>26475280</v>
      </c>
    </row>
    <row r="15" spans="1:15" x14ac:dyDescent="0.25">
      <c r="A15" s="116" t="s">
        <v>297</v>
      </c>
      <c r="B15" s="112"/>
      <c r="C15" s="109">
        <f>+C13+C14</f>
        <v>100311103.88</v>
      </c>
      <c r="D15" s="109">
        <f t="shared" ref="D15:G15" si="2">+D13+D14</f>
        <v>106718856.88062361</v>
      </c>
      <c r="E15" s="109">
        <f t="shared" si="2"/>
        <v>117181870.80828987</v>
      </c>
      <c r="F15" s="109">
        <f t="shared" si="2"/>
        <v>133383931.07568182</v>
      </c>
      <c r="G15" s="110">
        <f t="shared" si="2"/>
        <v>153358295.7499544</v>
      </c>
    </row>
    <row r="16" spans="1:15" x14ac:dyDescent="0.25">
      <c r="A16" s="47"/>
    </row>
    <row r="17" spans="1:15" x14ac:dyDescent="0.25">
      <c r="A17" s="47" t="s">
        <v>298</v>
      </c>
      <c r="B17" s="1">
        <f>'PARÁM-SENSIBILIDAD'!B64</f>
        <v>-47767748.383561641</v>
      </c>
      <c r="C17" s="1">
        <f>'PARÁM-SENSIBILIDAD'!C64</f>
        <v>-1570492.1083239466</v>
      </c>
      <c r="D17" s="1">
        <f>'PARÁM-SENSIBILIDAD'!D64</f>
        <v>-1660478.4114143476</v>
      </c>
      <c r="E17" s="1">
        <f>'PARÁM-SENSIBILIDAD'!E64</f>
        <v>-1821599.5169230923</v>
      </c>
      <c r="F17" s="1">
        <f>'PARÁM-SENSIBILIDAD'!F64</f>
        <v>-1994879.2108373865</v>
      </c>
      <c r="G17" s="1">
        <f>'PARÁM-SENSIBILIDAD'!G64</f>
        <v>54815197.631060414</v>
      </c>
    </row>
    <row r="18" spans="1:15" x14ac:dyDescent="0.25">
      <c r="A18" s="54" t="s">
        <v>299</v>
      </c>
    </row>
    <row r="19" spans="1:15" x14ac:dyDescent="0.25">
      <c r="A19" s="59" t="s">
        <v>280</v>
      </c>
      <c r="B19" s="1">
        <f>-'PARÁM-SENSIBILIDAD'!B25</f>
        <v>-69000000</v>
      </c>
    </row>
    <row r="20" spans="1:15" x14ac:dyDescent="0.25">
      <c r="A20" s="59" t="s">
        <v>210</v>
      </c>
      <c r="B20" s="1">
        <f>-'PARÁM-SENSIBILIDAD'!B27</f>
        <v>-171667800</v>
      </c>
    </row>
    <row r="21" spans="1:15" x14ac:dyDescent="0.25">
      <c r="A21" s="59" t="s">
        <v>301</v>
      </c>
      <c r="B21" s="1">
        <f>-'PARÁM-SENSIBILIDAD'!B29</f>
        <v>-35965900</v>
      </c>
    </row>
    <row r="22" spans="1:15" x14ac:dyDescent="0.25">
      <c r="A22" s="59" t="s">
        <v>281</v>
      </c>
      <c r="B22" s="1">
        <f>-'PARÁM-SENSIBILIDAD'!B31</f>
        <v>-10065000</v>
      </c>
    </row>
    <row r="23" spans="1:15" x14ac:dyDescent="0.25">
      <c r="A23" s="59" t="s">
        <v>282</v>
      </c>
      <c r="B23" s="1">
        <f>-'PARÁM-SENSIBILIDAD'!B33</f>
        <v>-5411000</v>
      </c>
    </row>
    <row r="24" spans="1:15" x14ac:dyDescent="0.25">
      <c r="A24" s="59" t="s">
        <v>269</v>
      </c>
      <c r="B24" s="1">
        <f>-'PARÁM-SENSIBILIDAD'!B35</f>
        <v>-46946100</v>
      </c>
    </row>
    <row r="25" spans="1:15" x14ac:dyDescent="0.25">
      <c r="A25" s="59"/>
    </row>
    <row r="26" spans="1:15" x14ac:dyDescent="0.25">
      <c r="A26" s="47" t="s">
        <v>300</v>
      </c>
      <c r="J26" s="45" t="s">
        <v>107</v>
      </c>
      <c r="K26" s="45" t="s">
        <v>108</v>
      </c>
      <c r="L26" s="45" t="s">
        <v>109</v>
      </c>
      <c r="M26" s="46" t="s">
        <v>110</v>
      </c>
      <c r="N26" s="56" t="s">
        <v>111</v>
      </c>
      <c r="O26" s="56" t="s">
        <v>112</v>
      </c>
    </row>
    <row r="27" spans="1:15" x14ac:dyDescent="0.25">
      <c r="A27" s="58" t="s">
        <v>302</v>
      </c>
      <c r="B27" s="58">
        <f>B15+B17+B19+B20+B21+B22+B23+B24</f>
        <v>-386823548.38356161</v>
      </c>
      <c r="C27" s="58">
        <f>C15+C17+C19+C20+C21+C22+C23+C24</f>
        <v>98740611.771676049</v>
      </c>
      <c r="D27" s="58">
        <f t="shared" ref="D27:F27" si="3">D15+D17+D19+D20+D21+D22+D23+D24</f>
        <v>105058378.46920925</v>
      </c>
      <c r="E27" s="58">
        <f t="shared" si="3"/>
        <v>115360271.29136679</v>
      </c>
      <c r="F27" s="58">
        <f t="shared" si="3"/>
        <v>131389051.86484444</v>
      </c>
      <c r="G27" s="58">
        <f>G15+G17+G19+G20+G21+G22+G23+G24</f>
        <v>208173493.38101482</v>
      </c>
      <c r="J27" s="1">
        <v>-232094129.030137</v>
      </c>
      <c r="K27" s="1">
        <v>54671266.716478914</v>
      </c>
      <c r="L27" s="1">
        <v>60679224.893280499</v>
      </c>
      <c r="M27" s="1">
        <v>70624837.916596621</v>
      </c>
      <c r="N27" s="1">
        <v>86243896.721406668</v>
      </c>
      <c r="O27" s="1">
        <v>162557158.20360935</v>
      </c>
    </row>
    <row r="29" spans="1:15" x14ac:dyDescent="0.25">
      <c r="A29" s="9" t="s">
        <v>303</v>
      </c>
      <c r="B29" s="245">
        <f>(B27/(1+'PARÁM-SENSIBILIDAD'!$B$55)^0)</f>
        <v>-386823548.38356161</v>
      </c>
      <c r="C29" s="60">
        <f>(C27/(1+'PARÁM-SENSIBILIDAD'!$B$55)^1)</f>
        <v>87834074.986092523</v>
      </c>
      <c r="D29" s="60">
        <f>(D27/(1+'PARÁM-SENSIBILIDAD'!$B$55)^2)</f>
        <v>83131406.789869264</v>
      </c>
      <c r="E29" s="60">
        <f>(E27/(1+'PARÁM-SENSIBILIDAD'!$B$55)^3)</f>
        <v>81200354.170859247</v>
      </c>
      <c r="F29" s="60">
        <f>(F27/(1+'PARÁM-SENSIBILIDAD'!$B$55)^4)</f>
        <v>82267452.996833414</v>
      </c>
      <c r="G29" s="60">
        <f>(G27/(1+'PARÁM-SENSIBILIDAD'!$B$55)^5)</f>
        <v>115947535.37645485</v>
      </c>
    </row>
    <row r="30" spans="1:15" x14ac:dyDescent="0.25">
      <c r="A30" s="107" t="s">
        <v>304</v>
      </c>
      <c r="B30" s="9"/>
    </row>
    <row r="31" spans="1:15" x14ac:dyDescent="0.25">
      <c r="A31" s="107" t="s">
        <v>305</v>
      </c>
      <c r="B31" s="246">
        <f>SUM(C29:G29)</f>
        <v>450380824.32010925</v>
      </c>
      <c r="F31" s="108" t="s">
        <v>435</v>
      </c>
    </row>
    <row r="32" spans="1:15" x14ac:dyDescent="0.25">
      <c r="A32" s="107" t="s">
        <v>306</v>
      </c>
      <c r="B32" s="247">
        <f>+NPV('PARÁM-SENSIBILIDAD'!B55,C27:G27)+B29</f>
        <v>63557275.936547756</v>
      </c>
      <c r="C32" s="248" t="s">
        <v>434</v>
      </c>
      <c r="E32" s="104">
        <f>+B31+B29</f>
        <v>63557275.936547637</v>
      </c>
      <c r="F32" s="105">
        <f>B32-E32</f>
        <v>1.1920928955078125E-7</v>
      </c>
    </row>
    <row r="33" spans="1:7" x14ac:dyDescent="0.25">
      <c r="A33" s="107" t="s">
        <v>307</v>
      </c>
      <c r="B33" s="182">
        <f>IRR(B27:G27)</f>
        <v>0.18129452769335441</v>
      </c>
    </row>
    <row r="34" spans="1:7" x14ac:dyDescent="0.25">
      <c r="A34" s="107" t="s">
        <v>308</v>
      </c>
      <c r="B34" s="159">
        <f>'PARÁM-SENSIBILIDAD'!B55</f>
        <v>0.12417204584109807</v>
      </c>
      <c r="C34" s="249" t="s">
        <v>436</v>
      </c>
    </row>
    <row r="35" spans="1:7" x14ac:dyDescent="0.25">
      <c r="A35" s="47"/>
      <c r="B35" s="103"/>
      <c r="C35" s="106"/>
    </row>
    <row r="37" spans="1:7" x14ac:dyDescent="0.25">
      <c r="A37" s="107"/>
      <c r="B37" s="46" t="s">
        <v>107</v>
      </c>
      <c r="C37" s="46" t="s">
        <v>108</v>
      </c>
      <c r="D37" s="46" t="s">
        <v>109</v>
      </c>
      <c r="E37" s="46" t="s">
        <v>110</v>
      </c>
      <c r="F37" s="46" t="s">
        <v>111</v>
      </c>
      <c r="G37" s="46" t="s">
        <v>112</v>
      </c>
    </row>
    <row r="38" spans="1:7" x14ac:dyDescent="0.25">
      <c r="A38" s="378" t="s">
        <v>437</v>
      </c>
      <c r="B38" s="378"/>
      <c r="C38" s="378"/>
      <c r="D38" s="378"/>
      <c r="E38" s="378"/>
      <c r="F38" s="378"/>
      <c r="G38" s="378"/>
    </row>
    <row r="40" spans="1:7" x14ac:dyDescent="0.25">
      <c r="A40" s="117" t="s">
        <v>116</v>
      </c>
      <c r="B40" s="109">
        <f>B9</f>
        <v>0</v>
      </c>
      <c r="C40" s="109">
        <f t="shared" ref="C40:G40" si="4">C9</f>
        <v>107613548</v>
      </c>
      <c r="D40" s="109">
        <f t="shared" si="4"/>
        <v>114655034.8138721</v>
      </c>
      <c r="E40" s="109">
        <f t="shared" si="4"/>
        <v>126152852.31680205</v>
      </c>
      <c r="F40" s="109">
        <f t="shared" si="4"/>
        <v>143957314.1491009</v>
      </c>
      <c r="G40" s="110">
        <f t="shared" si="4"/>
        <v>165907165.43951035</v>
      </c>
    </row>
    <row r="41" spans="1:7" x14ac:dyDescent="0.25">
      <c r="A41" s="47" t="s">
        <v>284</v>
      </c>
      <c r="B41" s="1">
        <f>B10</f>
        <v>0</v>
      </c>
      <c r="C41" s="1">
        <f t="shared" ref="C41:G41" si="5">C10</f>
        <v>26475280</v>
      </c>
      <c r="D41" s="1">
        <f t="shared" si="5"/>
        <v>26475280</v>
      </c>
      <c r="E41" s="1">
        <f t="shared" si="5"/>
        <v>26475280</v>
      </c>
      <c r="F41" s="1">
        <f t="shared" si="5"/>
        <v>26475280</v>
      </c>
      <c r="G41" s="1">
        <f t="shared" si="5"/>
        <v>26475280</v>
      </c>
    </row>
    <row r="42" spans="1:7" x14ac:dyDescent="0.25">
      <c r="A42" s="111" t="s">
        <v>285</v>
      </c>
      <c r="B42" s="118">
        <f>B11</f>
        <v>0</v>
      </c>
      <c r="C42" s="118">
        <f t="shared" ref="C42:G42" si="6">C11</f>
        <v>81138268</v>
      </c>
      <c r="D42" s="118">
        <f t="shared" si="6"/>
        <v>88179754.813872099</v>
      </c>
      <c r="E42" s="118">
        <f t="shared" si="6"/>
        <v>99677572.316802055</v>
      </c>
      <c r="F42" s="118">
        <f t="shared" si="6"/>
        <v>117482034.1491009</v>
      </c>
      <c r="G42" s="119">
        <f t="shared" si="6"/>
        <v>139431885.43951035</v>
      </c>
    </row>
    <row r="43" spans="1:7" x14ac:dyDescent="0.25">
      <c r="A43" s="47" t="s">
        <v>274</v>
      </c>
      <c r="C43" s="2">
        <f>ER!C16</f>
        <v>15472941.9353425</v>
      </c>
      <c r="D43" s="2">
        <f>ER!D16</f>
        <v>12938513.025850026</v>
      </c>
      <c r="E43" s="2">
        <f>ER!E16</f>
        <v>10150641.225408304</v>
      </c>
      <c r="F43" s="2">
        <f>ER!F16</f>
        <v>7083982.2449224107</v>
      </c>
      <c r="G43" s="2">
        <f>ER!G16</f>
        <v>3710657.3663879279</v>
      </c>
    </row>
    <row r="44" spans="1:7" x14ac:dyDescent="0.25">
      <c r="A44" s="111" t="s">
        <v>438</v>
      </c>
      <c r="B44" s="112"/>
      <c r="C44" s="109">
        <f>+C42-C43</f>
        <v>65665326.064657502</v>
      </c>
      <c r="D44" s="109">
        <f t="shared" ref="D44:G44" si="7">+D42-D43</f>
        <v>75241241.788022071</v>
      </c>
      <c r="E44" s="109">
        <f t="shared" si="7"/>
        <v>89526931.091393754</v>
      </c>
      <c r="F44" s="109">
        <f t="shared" si="7"/>
        <v>110398051.90417849</v>
      </c>
      <c r="G44" s="110">
        <f t="shared" si="7"/>
        <v>135721228.07312241</v>
      </c>
    </row>
    <row r="45" spans="1:7" x14ac:dyDescent="0.25">
      <c r="A45" s="47" t="s">
        <v>130</v>
      </c>
      <c r="C45" s="2">
        <f>ER!C20</f>
        <v>5909879.3458191752</v>
      </c>
      <c r="D45" s="2">
        <f>ER!D20</f>
        <v>6771711.7609219858</v>
      </c>
      <c r="E45" s="2">
        <f>ER!E20</f>
        <v>8057423.7982254373</v>
      </c>
      <c r="F45" s="2">
        <f>ER!F20</f>
        <v>9935824.6713760626</v>
      </c>
      <c r="G45" s="2">
        <f>ER!G20</f>
        <v>12214910.526581017</v>
      </c>
    </row>
    <row r="46" spans="1:7" x14ac:dyDescent="0.25">
      <c r="A46" s="120" t="s">
        <v>439</v>
      </c>
      <c r="B46" s="112"/>
      <c r="C46" s="109">
        <f>+C44-C45</f>
        <v>59755446.718838327</v>
      </c>
      <c r="D46" s="109">
        <f t="shared" ref="D46:G46" si="8">+D44-D45</f>
        <v>68469530.027100086</v>
      </c>
      <c r="E46" s="109">
        <f t="shared" si="8"/>
        <v>81469507.293168321</v>
      </c>
      <c r="F46" s="109">
        <f t="shared" si="8"/>
        <v>100462227.23280242</v>
      </c>
      <c r="G46" s="110">
        <f t="shared" si="8"/>
        <v>123506317.54654139</v>
      </c>
    </row>
    <row r="47" spans="1:7" x14ac:dyDescent="0.25">
      <c r="A47" s="47" t="s">
        <v>284</v>
      </c>
      <c r="C47" s="2">
        <f>C41</f>
        <v>26475280</v>
      </c>
      <c r="D47" s="2">
        <f t="shared" ref="D47:G47" si="9">D41</f>
        <v>26475280</v>
      </c>
      <c r="E47" s="2">
        <f t="shared" si="9"/>
        <v>26475280</v>
      </c>
      <c r="F47" s="2">
        <f t="shared" si="9"/>
        <v>26475280</v>
      </c>
      <c r="G47" s="2">
        <f t="shared" si="9"/>
        <v>26475280</v>
      </c>
    </row>
    <row r="48" spans="1:7" x14ac:dyDescent="0.25">
      <c r="A48" s="47" t="s">
        <v>125</v>
      </c>
      <c r="B48" s="2">
        <f>'PARÁM-SENSIBILIDAD'!B46</f>
        <v>154729419.353425</v>
      </c>
    </row>
    <row r="49" spans="1:7" x14ac:dyDescent="0.25">
      <c r="A49" s="47" t="s">
        <v>273</v>
      </c>
      <c r="C49" s="121">
        <f>+'SERV DEUDA'!C10</f>
        <v>25344289.09492474</v>
      </c>
      <c r="D49" s="121">
        <f>+'SERV DEUDA'!D10</f>
        <v>27878718.004417211</v>
      </c>
      <c r="E49" s="121">
        <f>+'SERV DEUDA'!E10</f>
        <v>30666589.804858934</v>
      </c>
      <c r="F49" s="121">
        <f>+'SERV DEUDA'!F10</f>
        <v>33733248.785344824</v>
      </c>
      <c r="G49" s="121">
        <f>+'SERV DEUDA'!G10</f>
        <v>37106573.663879313</v>
      </c>
    </row>
    <row r="50" spans="1:7" x14ac:dyDescent="0.25">
      <c r="A50" s="54" t="s">
        <v>299</v>
      </c>
    </row>
    <row r="51" spans="1:7" x14ac:dyDescent="0.25">
      <c r="A51" s="122" t="s">
        <v>209</v>
      </c>
      <c r="B51" s="1">
        <f>'PARÁM-SENSIBILIDAD'!B25</f>
        <v>69000000</v>
      </c>
    </row>
    <row r="52" spans="1:7" x14ac:dyDescent="0.25">
      <c r="A52" s="122" t="s">
        <v>210</v>
      </c>
      <c r="B52" s="1">
        <f>+'PARÁM-SENSIBILIDAD'!B27</f>
        <v>171667800</v>
      </c>
    </row>
    <row r="53" spans="1:7" x14ac:dyDescent="0.25">
      <c r="A53" s="122" t="s">
        <v>12</v>
      </c>
      <c r="B53" s="1">
        <f>+'PARÁM-SENSIBILIDAD'!B29</f>
        <v>35965900</v>
      </c>
    </row>
    <row r="54" spans="1:7" x14ac:dyDescent="0.25">
      <c r="A54" s="122" t="s">
        <v>211</v>
      </c>
      <c r="B54" s="1">
        <f>+'PARÁM-SENSIBILIDAD'!B31</f>
        <v>10065000</v>
      </c>
    </row>
    <row r="55" spans="1:7" x14ac:dyDescent="0.25">
      <c r="A55" s="122" t="s">
        <v>265</v>
      </c>
      <c r="B55" s="2">
        <f>+'PARÁM-SENSIBILIDAD'!B33</f>
        <v>5411000</v>
      </c>
    </row>
    <row r="56" spans="1:7" x14ac:dyDescent="0.25">
      <c r="A56" s="122" t="s">
        <v>269</v>
      </c>
      <c r="B56" s="2">
        <f>+'PARÁM-SENSIBILIDAD'!B35</f>
        <v>46946100</v>
      </c>
    </row>
    <row r="57" spans="1:7" x14ac:dyDescent="0.25">
      <c r="A57" s="122" t="s">
        <v>119</v>
      </c>
      <c r="B57" s="2">
        <f>-B17</f>
        <v>47767748.383561641</v>
      </c>
      <c r="C57" s="2">
        <f t="shared" ref="C57:G57" si="10">-C17</f>
        <v>1570492.1083239466</v>
      </c>
      <c r="D57" s="2">
        <f t="shared" si="10"/>
        <v>1660478.4114143476</v>
      </c>
      <c r="E57" s="2">
        <f t="shared" si="10"/>
        <v>1821599.5169230923</v>
      </c>
      <c r="F57" s="2">
        <f t="shared" si="10"/>
        <v>1994879.2108373865</v>
      </c>
      <c r="G57" s="2">
        <f t="shared" si="10"/>
        <v>-54815197.631060414</v>
      </c>
    </row>
    <row r="58" spans="1:7" x14ac:dyDescent="0.25">
      <c r="A58" s="58" t="s">
        <v>440</v>
      </c>
      <c r="B58" s="123">
        <f>B46+B47+B48-B49-B51-B52-B53-B54-B55-B56-B57</f>
        <v>-232094129.03013664</v>
      </c>
      <c r="C58" s="123">
        <f t="shared" ref="C58:G58" si="11">C46+C47+C48-C49-C51-C52-C53-C54-C55-C56-C57</f>
        <v>59315945.515589647</v>
      </c>
      <c r="D58" s="123">
        <f t="shared" si="11"/>
        <v>65405613.611268528</v>
      </c>
      <c r="E58" s="123">
        <f t="shared" si="11"/>
        <v>75456597.971386284</v>
      </c>
      <c r="F58" s="123">
        <f t="shared" si="11"/>
        <v>91209379.236620218</v>
      </c>
      <c r="G58" s="123">
        <f t="shared" si="11"/>
        <v>167690221.51372251</v>
      </c>
    </row>
    <row r="60" spans="1:7" x14ac:dyDescent="0.25">
      <c r="A60" s="250" t="s">
        <v>303</v>
      </c>
      <c r="B60" s="251">
        <f>(B58/(1+$B$65)^0)</f>
        <v>-232094129.03013664</v>
      </c>
      <c r="C60" s="124">
        <f>(C58/(1+$B$65)^1)</f>
        <v>51746167.243290901</v>
      </c>
      <c r="D60" s="124">
        <f>(D58/(1+$B$65)^2)</f>
        <v>49776973.203294925</v>
      </c>
      <c r="E60" s="124">
        <f>(E58/(1+$B$65)^3)</f>
        <v>50097656.590874031</v>
      </c>
      <c r="F60" s="124">
        <f>(F58/(1+$B$65)^4)</f>
        <v>52828273.899737358</v>
      </c>
      <c r="G60" s="124">
        <f>(G58/(1+$B$65)^5)</f>
        <v>84730816.126464933</v>
      </c>
    </row>
    <row r="61" spans="1:7" x14ac:dyDescent="0.25">
      <c r="A61" s="250" t="s">
        <v>441</v>
      </c>
      <c r="B61" s="252">
        <f>SUM(C60:G60)</f>
        <v>289179887.06366217</v>
      </c>
    </row>
    <row r="62" spans="1:7" x14ac:dyDescent="0.25">
      <c r="A62" s="250" t="s">
        <v>304</v>
      </c>
      <c r="B62" s="253">
        <f>'PARÁM-SENSIBILIDAD'!B49</f>
        <v>232094129.03013721</v>
      </c>
    </row>
    <row r="63" spans="1:7" x14ac:dyDescent="0.25">
      <c r="A63" s="250" t="s">
        <v>306</v>
      </c>
      <c r="B63" s="254">
        <f>NPV(B65,C58:G58)+B58</f>
        <v>57085758.033525527</v>
      </c>
      <c r="E63" s="183" t="s">
        <v>533</v>
      </c>
      <c r="F63" s="183" t="s">
        <v>554</v>
      </c>
    </row>
    <row r="64" spans="1:7" x14ac:dyDescent="0.25">
      <c r="A64" s="250" t="s">
        <v>307</v>
      </c>
      <c r="B64" s="255">
        <f>IRR(B58:G58)</f>
        <v>0.22883779637673296</v>
      </c>
      <c r="E64" s="183" t="s">
        <v>306</v>
      </c>
      <c r="F64" s="260">
        <f>B63</f>
        <v>57085758.033525527</v>
      </c>
    </row>
    <row r="65" spans="1:6" x14ac:dyDescent="0.25">
      <c r="A65" s="256" t="s">
        <v>442</v>
      </c>
      <c r="B65" s="257">
        <f>+'PARÁM-SENSIBILIDAD'!B50</f>
        <v>0.14628674306849648</v>
      </c>
      <c r="E65" s="183" t="s">
        <v>132</v>
      </c>
      <c r="F65" s="261">
        <f>WACC!O12</f>
        <v>0.12417204584109807</v>
      </c>
    </row>
    <row r="66" spans="1:6" x14ac:dyDescent="0.25">
      <c r="E66" s="183" t="s">
        <v>442</v>
      </c>
      <c r="F66" s="261">
        <f>B65</f>
        <v>0.14628674306849648</v>
      </c>
    </row>
    <row r="67" spans="1:6" x14ac:dyDescent="0.25">
      <c r="E67" s="183" t="s">
        <v>307</v>
      </c>
      <c r="F67" s="262">
        <f>B64</f>
        <v>0.22883779637673296</v>
      </c>
    </row>
    <row r="70" spans="1:6" x14ac:dyDescent="0.25">
      <c r="A70" s="379" t="s">
        <v>476</v>
      </c>
      <c r="B70" s="379"/>
      <c r="C70" s="379"/>
    </row>
    <row r="71" spans="1:6" x14ac:dyDescent="0.25">
      <c r="A71" s="376" t="s">
        <v>530</v>
      </c>
      <c r="B71" s="376"/>
      <c r="C71" s="258">
        <v>0</v>
      </c>
    </row>
    <row r="72" spans="1:6" x14ac:dyDescent="0.25">
      <c r="A72" s="376" t="s">
        <v>531</v>
      </c>
      <c r="B72" s="376"/>
      <c r="C72" s="259">
        <f>ABS(B58)</f>
        <v>232094129.03013664</v>
      </c>
    </row>
    <row r="73" spans="1:6" x14ac:dyDescent="0.25">
      <c r="A73" s="376" t="s">
        <v>532</v>
      </c>
      <c r="B73" s="376"/>
      <c r="C73" s="259">
        <f>C58</f>
        <v>59315945.515589647</v>
      </c>
    </row>
    <row r="74" spans="1:6" x14ac:dyDescent="0.25">
      <c r="A74" s="377" t="s">
        <v>533</v>
      </c>
      <c r="B74" s="377"/>
      <c r="C74" s="319">
        <f>C71+(C72/C73)</f>
        <v>3.9128454754065545</v>
      </c>
    </row>
  </sheetData>
  <mergeCells count="7">
    <mergeCell ref="A73:B73"/>
    <mergeCell ref="A74:B74"/>
    <mergeCell ref="A7:G7"/>
    <mergeCell ref="A38:G38"/>
    <mergeCell ref="A70:C70"/>
    <mergeCell ref="A71:B71"/>
    <mergeCell ref="A72:B7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tabColor theme="4" tint="0.39997558519241921"/>
  </sheetPr>
  <dimension ref="A1:V150"/>
  <sheetViews>
    <sheetView showGridLines="0" topLeftCell="D1" workbookViewId="0">
      <selection activeCell="I1" sqref="I1:J9"/>
    </sheetView>
  </sheetViews>
  <sheetFormatPr baseColWidth="10" defaultColWidth="9.140625" defaultRowHeight="15" x14ac:dyDescent="0.25"/>
  <cols>
    <col min="1" max="1" width="34" customWidth="1"/>
    <col min="2" max="2" width="21.5703125" style="3" customWidth="1"/>
    <col min="3" max="3" width="21.7109375" customWidth="1"/>
    <col min="4" max="4" width="20.140625" customWidth="1"/>
    <col min="5" max="7" width="20" customWidth="1"/>
    <col min="8" max="8" width="23.7109375" customWidth="1"/>
    <col min="9" max="9" width="26.5703125" customWidth="1"/>
    <col min="10" max="10" width="25.7109375" style="15" customWidth="1"/>
    <col min="11" max="22" width="25.7109375" customWidth="1"/>
  </cols>
  <sheetData>
    <row r="1" spans="1:11" x14ac:dyDescent="0.25">
      <c r="I1" s="9" t="s">
        <v>145</v>
      </c>
      <c r="J1" s="35">
        <v>3.2800000000000003E-2</v>
      </c>
    </row>
    <row r="2" spans="1:11" x14ac:dyDescent="0.25">
      <c r="B2" s="32"/>
      <c r="E2" t="s">
        <v>592</v>
      </c>
      <c r="F2" t="s">
        <v>593</v>
      </c>
      <c r="I2" s="9" t="s">
        <v>146</v>
      </c>
      <c r="J2" s="36">
        <v>3.4000000000000002E-2</v>
      </c>
    </row>
    <row r="3" spans="1:11" x14ac:dyDescent="0.25">
      <c r="B3" s="32"/>
      <c r="D3" t="s">
        <v>591</v>
      </c>
      <c r="E3">
        <f>Ingresos*(1+15%)</f>
        <v>792105992.99999988</v>
      </c>
      <c r="F3">
        <f>Ingresos*(1-10%)</f>
        <v>619909038</v>
      </c>
      <c r="I3" s="9" t="s">
        <v>147</v>
      </c>
      <c r="J3" s="36">
        <v>3.5999999999999997E-2</v>
      </c>
    </row>
    <row r="4" spans="1:11" x14ac:dyDescent="0.25">
      <c r="B4" s="32"/>
      <c r="D4" t="s">
        <v>594</v>
      </c>
      <c r="E4">
        <f>costo*(1+5%)</f>
        <v>542822985.60000002</v>
      </c>
      <c r="F4">
        <f>costo*(1+5%)</f>
        <v>542822985.60000002</v>
      </c>
      <c r="I4" s="9" t="s">
        <v>148</v>
      </c>
      <c r="J4" s="36">
        <v>3.7999999999999999E-2</v>
      </c>
    </row>
    <row r="5" spans="1:11" x14ac:dyDescent="0.25">
      <c r="B5" s="32"/>
      <c r="I5" s="9" t="s">
        <v>149</v>
      </c>
      <c r="J5" s="37">
        <v>0</v>
      </c>
    </row>
    <row r="6" spans="1:11" x14ac:dyDescent="0.25">
      <c r="A6" s="309"/>
      <c r="B6" s="310" t="s">
        <v>107</v>
      </c>
      <c r="C6" s="310" t="s">
        <v>108</v>
      </c>
      <c r="D6" s="310" t="s">
        <v>109</v>
      </c>
      <c r="E6" s="310" t="s">
        <v>110</v>
      </c>
      <c r="F6" s="310" t="s">
        <v>111</v>
      </c>
      <c r="G6" s="311" t="s">
        <v>112</v>
      </c>
      <c r="I6" s="9" t="s">
        <v>150</v>
      </c>
      <c r="J6" s="37">
        <v>5.0000000000000001E-3</v>
      </c>
    </row>
    <row r="7" spans="1:11" x14ac:dyDescent="0.25">
      <c r="A7" s="10"/>
      <c r="I7" s="9" t="s">
        <v>151</v>
      </c>
      <c r="J7" s="37">
        <v>0.01</v>
      </c>
    </row>
    <row r="8" spans="1:11" x14ac:dyDescent="0.25">
      <c r="A8" s="10" t="s">
        <v>199</v>
      </c>
      <c r="B8" s="8"/>
      <c r="C8" s="360">
        <v>688787820</v>
      </c>
      <c r="D8" s="1">
        <f>+D9+D12</f>
        <v>714936960.79848003</v>
      </c>
      <c r="E8" s="1">
        <f>+E9+E12</f>
        <v>746637265.64028454</v>
      </c>
      <c r="F8" s="1">
        <f>+F9+F12</f>
        <v>786604521.59514773</v>
      </c>
      <c r="G8" s="1">
        <f>+G9+G12</f>
        <v>832825403.28407872</v>
      </c>
      <c r="I8" s="9" t="s">
        <v>152</v>
      </c>
      <c r="J8" s="37">
        <v>1.4999999999999999E-2</v>
      </c>
    </row>
    <row r="9" spans="1:11" x14ac:dyDescent="0.25">
      <c r="A9" t="s">
        <v>198</v>
      </c>
      <c r="C9" s="23">
        <f>C10*C11</f>
        <v>675108000</v>
      </c>
      <c r="D9" s="23">
        <f>D10*D11</f>
        <v>700737800.11199999</v>
      </c>
      <c r="E9" s="23">
        <f>E10*E11</f>
        <v>731808514.16896605</v>
      </c>
      <c r="F9" s="23">
        <f>F10*F11</f>
        <v>771011496.2729975</v>
      </c>
      <c r="G9" s="23">
        <f>G10*G11</f>
        <v>816316131.79399884</v>
      </c>
      <c r="I9" s="9" t="s">
        <v>153</v>
      </c>
      <c r="J9" s="37">
        <v>0.02</v>
      </c>
    </row>
    <row r="10" spans="1:11" x14ac:dyDescent="0.25">
      <c r="A10" t="s">
        <v>113</v>
      </c>
      <c r="B10" s="12"/>
      <c r="C10" s="24">
        <f>+'OCUPACIÓN TARIFAS'!E14</f>
        <v>3553.2</v>
      </c>
      <c r="D10" s="24">
        <f>+'OCUPACIÓN TARIFAS'!F14</f>
        <v>3570.9659999999999</v>
      </c>
      <c r="E10" s="24">
        <f>+'OCUPACIÓN TARIFAS'!G14</f>
        <v>3606.6756599999999</v>
      </c>
      <c r="F10" s="24">
        <f>+'OCUPACIÓN TARIFAS'!H14</f>
        <v>3660.7757948999997</v>
      </c>
      <c r="G10" s="24">
        <f>+'OCUPACIÓN TARIFAS'!I14</f>
        <v>3733.9913107979996</v>
      </c>
      <c r="I10" s="9" t="s">
        <v>270</v>
      </c>
      <c r="J10" s="9">
        <v>30</v>
      </c>
    </row>
    <row r="11" spans="1:11" x14ac:dyDescent="0.25">
      <c r="A11" t="s">
        <v>114</v>
      </c>
      <c r="B11" s="12"/>
      <c r="C11" s="25">
        <v>190000</v>
      </c>
      <c r="D11" s="25">
        <f>+C11+(C11*J1)</f>
        <v>196232</v>
      </c>
      <c r="E11" s="18">
        <f>+D11+(D11*J2)</f>
        <v>202903.88800000001</v>
      </c>
      <c r="F11" s="25">
        <f>+E11+(E11*J4)</f>
        <v>210614.23574400001</v>
      </c>
      <c r="G11" s="25">
        <f>+F11+(J4*F11)</f>
        <v>218617.576702272</v>
      </c>
      <c r="I11" s="9" t="s">
        <v>271</v>
      </c>
      <c r="J11" s="9">
        <v>365</v>
      </c>
    </row>
    <row r="12" spans="1:11" x14ac:dyDescent="0.25">
      <c r="A12" t="s">
        <v>200</v>
      </c>
      <c r="B12" s="12"/>
      <c r="C12" s="25">
        <f>+C13*C15</f>
        <v>13679819.999999998</v>
      </c>
      <c r="D12" s="25">
        <f>+D13*D15</f>
        <v>14199160.686480001</v>
      </c>
      <c r="E12" s="25">
        <f>+E13*E15</f>
        <v>14828751.471318522</v>
      </c>
      <c r="F12" s="25">
        <f>+F13*F15</f>
        <v>15593025.322150279</v>
      </c>
      <c r="G12" s="25">
        <f>+G13*G15</f>
        <v>16509271.490079829</v>
      </c>
      <c r="J12"/>
    </row>
    <row r="13" spans="1:11" x14ac:dyDescent="0.25">
      <c r="A13" t="s">
        <v>201</v>
      </c>
      <c r="B13" s="12"/>
      <c r="C13" s="25">
        <f>+'OCUPACIÓN TARIFAS'!E14*70%</f>
        <v>2487.2399999999998</v>
      </c>
      <c r="D13" s="25">
        <f>+'OCUPACIÓN TARIFAS'!F14*70%</f>
        <v>2499.6761999999999</v>
      </c>
      <c r="E13" s="25">
        <f>+'OCUPACIÓN TARIFAS'!G14*70%</f>
        <v>2524.6729619999996</v>
      </c>
      <c r="F13" s="25">
        <f>+'OCUPACIÓN TARIFAS'!H14*70%</f>
        <v>2562.5430564299995</v>
      </c>
      <c r="G13" s="25">
        <f>+'OCUPACIÓN TARIFAS'!I14*70%</f>
        <v>2613.7939175585998</v>
      </c>
    </row>
    <row r="14" spans="1:11" x14ac:dyDescent="0.25">
      <c r="A14" t="s">
        <v>202</v>
      </c>
      <c r="B14" s="12"/>
      <c r="C14" s="25">
        <v>110000</v>
      </c>
      <c r="D14" s="25">
        <f>+C14+(C14*$J$1)</f>
        <v>113608</v>
      </c>
      <c r="E14" s="25">
        <f>+D14+(D14*$J$2)</f>
        <v>117470.67200000001</v>
      </c>
      <c r="F14" s="25">
        <f>+E14+(E14*$J$3)</f>
        <v>121699.616192</v>
      </c>
      <c r="G14" s="25">
        <f>+F14+(F14*$J$4)</f>
        <v>126324.201607296</v>
      </c>
      <c r="I14" s="383" t="s">
        <v>562</v>
      </c>
      <c r="J14" s="383"/>
    </row>
    <row r="15" spans="1:11" x14ac:dyDescent="0.25">
      <c r="A15" t="s">
        <v>203</v>
      </c>
      <c r="B15" s="12"/>
      <c r="C15" s="23">
        <f>+C14*5%</f>
        <v>5500</v>
      </c>
      <c r="D15" s="23">
        <f>+D14*5%</f>
        <v>5680.4000000000005</v>
      </c>
      <c r="E15" s="23">
        <f>+E14*5%</f>
        <v>5873.5336000000007</v>
      </c>
      <c r="F15" s="23">
        <f>+F14*5%</f>
        <v>6084.9808096000006</v>
      </c>
      <c r="G15" s="23">
        <f>+G14*5%</f>
        <v>6316.2100803648</v>
      </c>
      <c r="I15" s="321" t="s">
        <v>563</v>
      </c>
      <c r="J15" s="183" t="s">
        <v>470</v>
      </c>
    </row>
    <row r="16" spans="1:11" x14ac:dyDescent="0.25">
      <c r="B16" s="12"/>
      <c r="C16" s="11"/>
      <c r="D16" s="11"/>
      <c r="E16" s="11"/>
      <c r="F16" s="11"/>
      <c r="G16" s="11"/>
      <c r="I16" s="9" t="s">
        <v>564</v>
      </c>
      <c r="J16" s="322">
        <v>0.35</v>
      </c>
      <c r="K16">
        <v>25</v>
      </c>
    </row>
    <row r="17" spans="1:10" x14ac:dyDescent="0.25">
      <c r="A17" s="10" t="s">
        <v>195</v>
      </c>
      <c r="B17" s="12"/>
      <c r="C17" s="11"/>
      <c r="D17" s="11"/>
      <c r="E17" s="11"/>
      <c r="F17" s="11"/>
      <c r="G17" s="11"/>
      <c r="I17" s="9" t="s">
        <v>568</v>
      </c>
      <c r="J17" s="323">
        <v>339055800</v>
      </c>
    </row>
    <row r="18" spans="1:10" x14ac:dyDescent="0.25">
      <c r="A18" t="s">
        <v>196</v>
      </c>
      <c r="B18" s="12"/>
      <c r="C18" s="361">
        <v>516974272</v>
      </c>
      <c r="D18" s="11">
        <f>+'COSTOS Y GASTOS '!C21</f>
        <v>533976165.98460793</v>
      </c>
      <c r="E18" s="11">
        <f>+'COSTOS Y GASTOS '!D21</f>
        <v>551924257.48348248</v>
      </c>
      <c r="F18" s="11">
        <f>+'COSTOS Y GASTOS '!E21</f>
        <v>571618885.99580681</v>
      </c>
      <c r="G18" s="11">
        <f>+'COSTOS Y GASTOS '!F21</f>
        <v>593190840.17921925</v>
      </c>
      <c r="I18" s="9" t="s">
        <v>565</v>
      </c>
      <c r="J18" s="323">
        <v>190000</v>
      </c>
    </row>
    <row r="19" spans="1:10" x14ac:dyDescent="0.25">
      <c r="A19" t="s">
        <v>115</v>
      </c>
      <c r="B19" s="12"/>
      <c r="C19" s="11">
        <f>+C8-C18</f>
        <v>171813548</v>
      </c>
      <c r="D19" s="11">
        <f>+D8-D18</f>
        <v>180960794.8138721</v>
      </c>
      <c r="E19" s="11">
        <f>+E8-E18</f>
        <v>194713008.15680206</v>
      </c>
      <c r="F19" s="11">
        <f>+F8-F18</f>
        <v>214985635.59934092</v>
      </c>
      <c r="G19" s="11">
        <f>+G8-G18</f>
        <v>239634563.10485947</v>
      </c>
      <c r="I19" s="9" t="s">
        <v>566</v>
      </c>
      <c r="J19" s="323">
        <v>516974272</v>
      </c>
    </row>
    <row r="20" spans="1:10" x14ac:dyDescent="0.25">
      <c r="A20" t="s">
        <v>204</v>
      </c>
      <c r="B20" s="12"/>
      <c r="C20" s="25">
        <f>+'COSTOS Y GASTOS '!B29</f>
        <v>64200000</v>
      </c>
      <c r="D20" s="25">
        <f>+'COSTOS Y GASTOS '!C29</f>
        <v>66305760</v>
      </c>
      <c r="E20" s="25">
        <f>+'COSTOS Y GASTOS '!D29</f>
        <v>68560155.840000004</v>
      </c>
      <c r="F20" s="25">
        <f>+'COSTOS Y GASTOS '!E29</f>
        <v>71028321.450240001</v>
      </c>
      <c r="G20" s="25">
        <f>+'COSTOS Y GASTOS '!F29</f>
        <v>73727397.665349126</v>
      </c>
      <c r="I20" s="9" t="s">
        <v>567</v>
      </c>
      <c r="J20" s="322">
        <v>0.15</v>
      </c>
    </row>
    <row r="21" spans="1:10" x14ac:dyDescent="0.25">
      <c r="B21" s="12"/>
      <c r="C21" s="17"/>
      <c r="D21" s="11"/>
      <c r="E21" s="11"/>
      <c r="F21" s="11"/>
      <c r="G21" s="11"/>
    </row>
    <row r="22" spans="1:10" x14ac:dyDescent="0.25">
      <c r="A22" s="169" t="s">
        <v>116</v>
      </c>
      <c r="B22" s="170"/>
      <c r="C22" s="172">
        <f>C19-C20-C21</f>
        <v>107613548</v>
      </c>
      <c r="D22" s="172">
        <f>D19-D20-D21</f>
        <v>114655034.8138721</v>
      </c>
      <c r="E22" s="172">
        <f>E19-E20-E21</f>
        <v>126152852.31680205</v>
      </c>
      <c r="F22" s="172">
        <f>F19-F20-F21</f>
        <v>143957314.1491009</v>
      </c>
      <c r="G22" s="173">
        <f>G19-G20-G21</f>
        <v>165907165.43951035</v>
      </c>
      <c r="I22" s="324" t="s">
        <v>569</v>
      </c>
      <c r="J22" s="362">
        <f>+FC!B32</f>
        <v>63557275.936547756</v>
      </c>
    </row>
    <row r="23" spans="1:10" x14ac:dyDescent="0.25">
      <c r="B23" s="12"/>
      <c r="C23" s="11"/>
      <c r="D23" s="11"/>
      <c r="E23" s="11"/>
      <c r="F23" s="11"/>
      <c r="G23" s="11"/>
      <c r="I23" s="324" t="s">
        <v>307</v>
      </c>
      <c r="J23" s="363">
        <f>+FC!B33</f>
        <v>0.18129452769335441</v>
      </c>
    </row>
    <row r="24" spans="1:10" x14ac:dyDescent="0.25">
      <c r="A24" s="10" t="s">
        <v>117</v>
      </c>
      <c r="B24" s="12">
        <f>+B25+B27+B29+B31+B33+B35</f>
        <v>339055800</v>
      </c>
      <c r="C24" s="11"/>
      <c r="D24" s="29"/>
      <c r="E24" s="29"/>
      <c r="F24" s="29"/>
      <c r="G24" s="29"/>
      <c r="J24" s="325"/>
    </row>
    <row r="25" spans="1:10" x14ac:dyDescent="0.25">
      <c r="A25" s="6" t="s">
        <v>209</v>
      </c>
      <c r="B25" s="26">
        <f>+'INFORMACIÓN INICIAL '!D4</f>
        <v>69000000</v>
      </c>
      <c r="C25" s="11"/>
      <c r="D25" s="29"/>
      <c r="E25" s="29"/>
      <c r="F25" s="29"/>
      <c r="G25" s="29"/>
    </row>
    <row r="26" spans="1:10" x14ac:dyDescent="0.25">
      <c r="A26" t="s">
        <v>118</v>
      </c>
      <c r="B26" s="27">
        <v>20</v>
      </c>
      <c r="C26" s="11"/>
      <c r="D26" s="29"/>
      <c r="E26" s="29"/>
      <c r="F26" s="29"/>
      <c r="G26" s="29"/>
    </row>
    <row r="27" spans="1:10" x14ac:dyDescent="0.25">
      <c r="A27" s="6" t="s">
        <v>210</v>
      </c>
      <c r="B27" s="26">
        <f>+SUM('INFORMACIÓN INICIAL '!D5:D8)</f>
        <v>171667800</v>
      </c>
      <c r="C27" s="11"/>
      <c r="D27" s="29"/>
      <c r="E27" s="29"/>
      <c r="F27" s="29"/>
      <c r="G27" s="29"/>
    </row>
    <row r="28" spans="1:10" x14ac:dyDescent="0.25">
      <c r="A28" t="s">
        <v>118</v>
      </c>
      <c r="B28" s="27">
        <v>20</v>
      </c>
      <c r="C28" s="11"/>
      <c r="D28" s="29"/>
      <c r="E28" s="29"/>
      <c r="F28" s="29"/>
      <c r="G28" s="29"/>
    </row>
    <row r="29" spans="1:10" x14ac:dyDescent="0.25">
      <c r="A29" s="6" t="s">
        <v>12</v>
      </c>
      <c r="B29" s="26">
        <f>+'INFORMACIÓN INICIAL '!G14</f>
        <v>35965900</v>
      </c>
      <c r="C29" s="11"/>
      <c r="D29" s="29"/>
      <c r="E29" s="29"/>
      <c r="F29" s="29"/>
      <c r="G29" s="29"/>
    </row>
    <row r="30" spans="1:10" x14ac:dyDescent="0.25">
      <c r="A30" t="s">
        <v>118</v>
      </c>
      <c r="B30" s="27">
        <v>5</v>
      </c>
      <c r="D30" s="30"/>
      <c r="E30" s="30"/>
      <c r="F30" s="30"/>
      <c r="G30" s="30"/>
    </row>
    <row r="31" spans="1:10" x14ac:dyDescent="0.25">
      <c r="A31" s="6" t="s">
        <v>211</v>
      </c>
      <c r="B31" s="40">
        <f>+'INFORMACIÓN INICIAL '!D84+'INFORMACIÓN INICIAL '!D85+'INFORMACIÓN INICIAL '!D86</f>
        <v>10065000</v>
      </c>
      <c r="D31" s="30"/>
      <c r="E31" s="30"/>
      <c r="F31" s="30"/>
      <c r="G31" s="31"/>
    </row>
    <row r="32" spans="1:10" x14ac:dyDescent="0.25">
      <c r="A32" t="s">
        <v>118</v>
      </c>
      <c r="B32" s="27">
        <v>5</v>
      </c>
      <c r="D32" s="30"/>
      <c r="E32" s="30"/>
      <c r="F32" s="30"/>
      <c r="G32" s="31"/>
    </row>
    <row r="33" spans="1:7" x14ac:dyDescent="0.25">
      <c r="A33" s="6" t="s">
        <v>265</v>
      </c>
      <c r="B33" s="34">
        <f>+'INFORMACIÓN INICIAL '!G16</f>
        <v>5411000</v>
      </c>
      <c r="D33" s="30"/>
      <c r="E33" s="30"/>
      <c r="F33" s="30"/>
      <c r="G33" s="31"/>
    </row>
    <row r="34" spans="1:7" x14ac:dyDescent="0.25">
      <c r="A34" t="s">
        <v>118</v>
      </c>
      <c r="B34" s="27">
        <v>10</v>
      </c>
      <c r="D34" s="30"/>
      <c r="E34" s="30"/>
      <c r="F34" s="30"/>
      <c r="G34" s="31"/>
    </row>
    <row r="35" spans="1:7" x14ac:dyDescent="0.25">
      <c r="A35" s="6" t="s">
        <v>269</v>
      </c>
      <c r="B35" s="34">
        <f>+'INFORMACIÓN INICIAL '!G15</f>
        <v>46946100</v>
      </c>
      <c r="D35" s="30"/>
      <c r="E35" s="30"/>
      <c r="F35" s="30"/>
      <c r="G35" s="31"/>
    </row>
    <row r="36" spans="1:7" x14ac:dyDescent="0.25">
      <c r="A36" t="s">
        <v>118</v>
      </c>
      <c r="B36" s="27">
        <v>10</v>
      </c>
      <c r="D36" s="30"/>
      <c r="E36" s="30"/>
      <c r="F36" s="30"/>
      <c r="G36" s="31"/>
    </row>
    <row r="37" spans="1:7" x14ac:dyDescent="0.25">
      <c r="A37" s="6"/>
      <c r="B37" s="28"/>
      <c r="D37" s="30"/>
      <c r="E37" s="30"/>
      <c r="F37" s="30"/>
      <c r="G37" s="31"/>
    </row>
    <row r="38" spans="1:7" x14ac:dyDescent="0.25">
      <c r="A38" s="169" t="s">
        <v>119</v>
      </c>
      <c r="B38" s="170">
        <f>($J$10*(C18+C20))/$J$11</f>
        <v>47767748.383561641</v>
      </c>
      <c r="C38" s="170">
        <f t="shared" ref="C38:G38" si="0">($J$10*(D18+D20))/$J$11</f>
        <v>49338240.491885588</v>
      </c>
      <c r="D38" s="170">
        <f t="shared" si="0"/>
        <v>50998718.903299935</v>
      </c>
      <c r="E38" s="170">
        <f t="shared" si="0"/>
        <v>52820318.420223027</v>
      </c>
      <c r="F38" s="170">
        <f t="shared" si="0"/>
        <v>54815197.631060414</v>
      </c>
      <c r="G38" s="171">
        <f t="shared" si="0"/>
        <v>0</v>
      </c>
    </row>
    <row r="40" spans="1:7" x14ac:dyDescent="0.25">
      <c r="A40" s="169" t="s">
        <v>121</v>
      </c>
      <c r="B40" s="171">
        <v>386823548.38356203</v>
      </c>
      <c r="C40" s="11"/>
      <c r="D40" s="11"/>
      <c r="E40" s="11"/>
      <c r="F40" s="11"/>
      <c r="G40" s="11"/>
    </row>
    <row r="42" spans="1:7" x14ac:dyDescent="0.25">
      <c r="A42" s="6" t="s">
        <v>122</v>
      </c>
    </row>
    <row r="43" spans="1:7" x14ac:dyDescent="0.25">
      <c r="A43" s="41" t="s">
        <v>123</v>
      </c>
      <c r="B43" s="42">
        <v>0.4</v>
      </c>
    </row>
    <row r="44" spans="1:7" x14ac:dyDescent="0.25">
      <c r="A44" s="41" t="s">
        <v>124</v>
      </c>
      <c r="B44" s="43">
        <v>0.6</v>
      </c>
    </row>
    <row r="45" spans="1:7" x14ac:dyDescent="0.25">
      <c r="A45" s="13"/>
    </row>
    <row r="46" spans="1:7" x14ac:dyDescent="0.25">
      <c r="A46" s="231" t="s">
        <v>125</v>
      </c>
      <c r="B46" s="232">
        <v>154729419.353425</v>
      </c>
    </row>
    <row r="47" spans="1:7" x14ac:dyDescent="0.25">
      <c r="A47" s="233" t="s">
        <v>126</v>
      </c>
      <c r="B47" s="234">
        <v>5</v>
      </c>
    </row>
    <row r="48" spans="1:7" ht="15.75" x14ac:dyDescent="0.3">
      <c r="A48" s="233" t="s">
        <v>127</v>
      </c>
      <c r="B48" s="235">
        <v>0.1</v>
      </c>
    </row>
    <row r="49" spans="1:10" ht="14.25" customHeight="1" x14ac:dyDescent="0.25">
      <c r="A49" s="233" t="s">
        <v>128</v>
      </c>
      <c r="B49" s="236">
        <f>B44*B40</f>
        <v>232094129.03013721</v>
      </c>
      <c r="C49" s="1"/>
    </row>
    <row r="50" spans="1:10" x14ac:dyDescent="0.25">
      <c r="A50" s="237" t="s">
        <v>129</v>
      </c>
      <c r="B50" s="238">
        <f>WACC!B21</f>
        <v>0.14628674306849648</v>
      </c>
    </row>
    <row r="52" spans="1:10" x14ac:dyDescent="0.25">
      <c r="A52" s="14" t="s">
        <v>130</v>
      </c>
    </row>
    <row r="53" spans="1:10" s="7" customFormat="1" ht="12.75" customHeight="1" x14ac:dyDescent="0.25">
      <c r="A53" s="229" t="s">
        <v>131</v>
      </c>
      <c r="B53" s="230">
        <v>0.09</v>
      </c>
      <c r="C53" s="230">
        <v>0.09</v>
      </c>
      <c r="D53" s="230">
        <v>0.09</v>
      </c>
      <c r="E53" s="230">
        <v>0.09</v>
      </c>
      <c r="F53" s="230">
        <v>0.09</v>
      </c>
      <c r="G53" s="239">
        <v>0.09</v>
      </c>
      <c r="J53" s="16"/>
    </row>
    <row r="55" spans="1:10" x14ac:dyDescent="0.25">
      <c r="A55" s="169" t="s">
        <v>132</v>
      </c>
      <c r="B55" s="174">
        <f>WACC!O12</f>
        <v>0.12417204584109807</v>
      </c>
      <c r="C55" s="174">
        <f>WACC!P12</f>
        <v>0.12930504058418446</v>
      </c>
      <c r="D55" s="174">
        <f>WACC!Q12</f>
        <v>0.13413505652238877</v>
      </c>
      <c r="E55" s="174">
        <f>WACC!R12</f>
        <v>0.13864670051251349</v>
      </c>
      <c r="F55" s="174">
        <f>WACC!S12</f>
        <v>0.14274574824413799</v>
      </c>
      <c r="G55" s="175">
        <f>WACC!T12</f>
        <v>0.14628674306849662</v>
      </c>
    </row>
    <row r="58" spans="1:10" x14ac:dyDescent="0.25">
      <c r="A58" t="s">
        <v>133</v>
      </c>
      <c r="C58" s="11">
        <f t="shared" ref="C58:H58" si="1">B38</f>
        <v>47767748.383561641</v>
      </c>
      <c r="D58" s="11">
        <f t="shared" si="1"/>
        <v>49338240.491885588</v>
      </c>
      <c r="E58" s="11">
        <f t="shared" si="1"/>
        <v>50998718.903299935</v>
      </c>
      <c r="F58" s="11">
        <f t="shared" si="1"/>
        <v>52820318.420223027</v>
      </c>
      <c r="G58" s="11">
        <f t="shared" si="1"/>
        <v>54815197.631060414</v>
      </c>
      <c r="H58" s="11">
        <f t="shared" si="1"/>
        <v>0</v>
      </c>
    </row>
    <row r="59" spans="1:10" x14ac:dyDescent="0.25">
      <c r="A59" t="s">
        <v>134</v>
      </c>
      <c r="C59" s="11">
        <f>C58-B58</f>
        <v>47767748.383561641</v>
      </c>
      <c r="D59" s="11">
        <f t="shared" ref="D59:H59" si="2">D58-C58</f>
        <v>1570492.1083239466</v>
      </c>
      <c r="E59" s="11">
        <f t="shared" si="2"/>
        <v>1660478.4114143476</v>
      </c>
      <c r="F59" s="11">
        <f t="shared" si="2"/>
        <v>1821599.5169230923</v>
      </c>
      <c r="G59" s="11">
        <f t="shared" si="2"/>
        <v>1994879.2108373865</v>
      </c>
      <c r="H59" s="11">
        <f t="shared" si="2"/>
        <v>-54815197.631060414</v>
      </c>
    </row>
    <row r="60" spans="1:10" x14ac:dyDescent="0.25">
      <c r="C60" t="s">
        <v>135</v>
      </c>
      <c r="D60" t="s">
        <v>135</v>
      </c>
      <c r="E60" s="3" t="s">
        <v>135</v>
      </c>
      <c r="F60" t="s">
        <v>135</v>
      </c>
    </row>
    <row r="62" spans="1:10" x14ac:dyDescent="0.25">
      <c r="A62" s="309" t="s">
        <v>120</v>
      </c>
      <c r="B62" s="312"/>
      <c r="C62" s="313">
        <f>-C59</f>
        <v>-47767748.383561641</v>
      </c>
      <c r="D62" s="313">
        <f>-D59</f>
        <v>-1570492.1083239466</v>
      </c>
      <c r="E62" s="313">
        <f t="shared" ref="E62:H62" si="3">-E59</f>
        <v>-1660478.4114143476</v>
      </c>
      <c r="F62" s="313">
        <f t="shared" si="3"/>
        <v>-1821599.5169230923</v>
      </c>
      <c r="G62" s="313">
        <f t="shared" si="3"/>
        <v>-1994879.2108373865</v>
      </c>
      <c r="H62" s="314">
        <f t="shared" si="3"/>
        <v>54815197.631060414</v>
      </c>
    </row>
    <row r="63" spans="1:10" x14ac:dyDescent="0.25">
      <c r="C63" t="s">
        <v>136</v>
      </c>
      <c r="D63" t="s">
        <v>136</v>
      </c>
      <c r="E63" t="s">
        <v>136</v>
      </c>
      <c r="F63" t="s">
        <v>137</v>
      </c>
      <c r="G63" t="s">
        <v>137</v>
      </c>
    </row>
    <row r="64" spans="1:10" x14ac:dyDescent="0.25">
      <c r="A64" s="309" t="s">
        <v>138</v>
      </c>
      <c r="B64" s="170">
        <f>C62</f>
        <v>-47767748.383561641</v>
      </c>
      <c r="C64" s="313">
        <f>D62</f>
        <v>-1570492.1083239466</v>
      </c>
      <c r="D64" s="313">
        <f t="shared" ref="D64:G64" si="4">E62</f>
        <v>-1660478.4114143476</v>
      </c>
      <c r="E64" s="313">
        <f t="shared" si="4"/>
        <v>-1821599.5169230923</v>
      </c>
      <c r="F64" s="313">
        <f t="shared" si="4"/>
        <v>-1994879.2108373865</v>
      </c>
      <c r="G64" s="313">
        <f t="shared" si="4"/>
        <v>54815197.631060414</v>
      </c>
      <c r="H64" s="315"/>
    </row>
    <row r="67" spans="1:22" ht="21" x14ac:dyDescent="0.35">
      <c r="A67" s="381" t="s">
        <v>479</v>
      </c>
      <c r="B67" s="382"/>
      <c r="C67" s="382"/>
      <c r="D67" s="382"/>
      <c r="E67" s="382"/>
      <c r="F67" s="382"/>
      <c r="G67" s="382"/>
      <c r="H67" s="382"/>
    </row>
    <row r="68" spans="1:22" x14ac:dyDescent="0.25">
      <c r="A68" s="179" t="s">
        <v>480</v>
      </c>
      <c r="B68" s="177"/>
      <c r="C68" s="6" t="s">
        <v>482</v>
      </c>
      <c r="D68" t="s">
        <v>557</v>
      </c>
    </row>
    <row r="69" spans="1:22" x14ac:dyDescent="0.25">
      <c r="A69" s="4">
        <f>FC!B63</f>
        <v>57085758.033525527</v>
      </c>
      <c r="B69" s="6">
        <v>50000</v>
      </c>
      <c r="C69" s="6">
        <v>60000</v>
      </c>
      <c r="D69" s="6">
        <v>70000</v>
      </c>
      <c r="E69" s="6">
        <v>80000</v>
      </c>
      <c r="F69" s="6">
        <v>90000</v>
      </c>
      <c r="G69" s="6">
        <v>100000</v>
      </c>
      <c r="H69" s="6">
        <v>110000</v>
      </c>
      <c r="I69" s="6">
        <v>120000</v>
      </c>
      <c r="J69" s="6">
        <v>130000</v>
      </c>
      <c r="K69" s="6">
        <v>140000</v>
      </c>
      <c r="L69" s="6">
        <v>150000</v>
      </c>
      <c r="M69" s="6">
        <v>160000</v>
      </c>
      <c r="N69" s="6">
        <v>170000</v>
      </c>
      <c r="O69" s="6">
        <v>180000</v>
      </c>
      <c r="P69" s="6">
        <v>190000</v>
      </c>
      <c r="Q69" s="6">
        <v>200000</v>
      </c>
      <c r="R69" s="6">
        <v>210000</v>
      </c>
      <c r="S69" s="6">
        <v>220000</v>
      </c>
      <c r="T69" s="6">
        <v>230000</v>
      </c>
      <c r="U69" s="6">
        <v>240000</v>
      </c>
      <c r="V69" s="6">
        <v>250000</v>
      </c>
    </row>
    <row r="70" spans="1:22" x14ac:dyDescent="0.25">
      <c r="A70" s="316">
        <v>1824.0070903087365</v>
      </c>
      <c r="B70" s="3">
        <f t="dataTable" ref="B70:V94" dt2D="1" dtr="1" r1="C11" r2="C10" ca="1"/>
        <v>-1202298089.2396259</v>
      </c>
      <c r="C70">
        <v>-1112342100.1486866</v>
      </c>
      <c r="D70">
        <v>-1022386111.0577474</v>
      </c>
      <c r="E70">
        <v>-932430121.96680784</v>
      </c>
      <c r="F70">
        <v>-842474132.87586856</v>
      </c>
      <c r="G70">
        <v>-752518143.78492916</v>
      </c>
      <c r="H70">
        <v>-662562154.69398963</v>
      </c>
      <c r="I70">
        <v>-572606165.60305047</v>
      </c>
      <c r="J70" s="15">
        <v>-482650176.51211095</v>
      </c>
      <c r="K70">
        <v>-392694187.42117155</v>
      </c>
      <c r="L70">
        <v>-302738198.33023214</v>
      </c>
      <c r="M70">
        <v>-212782209.23929268</v>
      </c>
      <c r="N70">
        <v>-122826220.14835326</v>
      </c>
      <c r="O70" s="1">
        <v>-32870231.057413906</v>
      </c>
      <c r="P70" s="1">
        <v>57085758.033525527</v>
      </c>
      <c r="Q70" s="1">
        <v>147041747.12446493</v>
      </c>
      <c r="R70" s="1">
        <v>236997736.21540445</v>
      </c>
      <c r="S70" s="1">
        <v>326953725.30634385</v>
      </c>
      <c r="T70" s="1">
        <v>416909714.39728326</v>
      </c>
      <c r="U70" s="1">
        <v>506865703.48822242</v>
      </c>
      <c r="V70" s="1">
        <v>596821692.57916188</v>
      </c>
    </row>
    <row r="71" spans="1:22" x14ac:dyDescent="0.25">
      <c r="A71" s="316">
        <v>1920.0074634828807</v>
      </c>
      <c r="B71" s="4">
        <v>-1202298089.2396259</v>
      </c>
      <c r="C71" s="1">
        <v>-1112342100.1486866</v>
      </c>
      <c r="D71" s="1">
        <v>-1022386111.0577474</v>
      </c>
      <c r="E71" s="1">
        <v>-932430121.96680784</v>
      </c>
      <c r="F71" s="1">
        <v>-842474132.87586856</v>
      </c>
      <c r="G71" s="1">
        <v>-752518143.78492916</v>
      </c>
      <c r="H71" s="1">
        <v>-662562154.69398963</v>
      </c>
      <c r="I71" s="1">
        <v>-572606165.60305047</v>
      </c>
      <c r="J71" s="4">
        <v>-482650176.51211095</v>
      </c>
      <c r="K71" s="1">
        <v>-392694187.42117155</v>
      </c>
      <c r="L71" s="1">
        <v>-302738198.33023214</v>
      </c>
      <c r="M71" s="1">
        <v>-212782209.23929268</v>
      </c>
      <c r="N71" s="1">
        <v>-122826220.14835326</v>
      </c>
      <c r="O71" s="1">
        <v>-32870231.057413906</v>
      </c>
      <c r="P71" s="1">
        <v>57085758.033525527</v>
      </c>
      <c r="Q71" s="1">
        <v>147041747.12446493</v>
      </c>
      <c r="R71" s="1">
        <v>236997736.21540445</v>
      </c>
      <c r="S71" s="1">
        <v>326953725.30634385</v>
      </c>
      <c r="T71" s="1">
        <v>416909714.39728326</v>
      </c>
      <c r="U71" s="1">
        <v>506865703.48822242</v>
      </c>
      <c r="V71" s="1">
        <v>596821692.57916188</v>
      </c>
    </row>
    <row r="72" spans="1:22" x14ac:dyDescent="0.25">
      <c r="A72" s="316">
        <v>2021.0604878767165</v>
      </c>
      <c r="B72" s="4">
        <v>-1202298089.2396259</v>
      </c>
      <c r="C72" s="1">
        <v>-1112342100.1486866</v>
      </c>
      <c r="D72" s="1">
        <v>-1022386111.0577474</v>
      </c>
      <c r="E72" s="1">
        <v>-932430121.96680784</v>
      </c>
      <c r="F72" s="1">
        <v>-842474132.87586856</v>
      </c>
      <c r="G72" s="1">
        <v>-752518143.78492916</v>
      </c>
      <c r="H72" s="1">
        <v>-662562154.69398963</v>
      </c>
      <c r="I72" s="1">
        <v>-572606165.60305047</v>
      </c>
      <c r="J72" s="4">
        <v>-482650176.51211095</v>
      </c>
      <c r="K72" s="1">
        <v>-392694187.42117155</v>
      </c>
      <c r="L72" s="1">
        <v>-302738198.33023214</v>
      </c>
      <c r="M72" s="1">
        <v>-212782209.23929268</v>
      </c>
      <c r="N72" s="1">
        <v>-122826220.14835326</v>
      </c>
      <c r="O72" s="1">
        <v>-32870231.057413906</v>
      </c>
      <c r="P72" s="1">
        <v>57085758.033525527</v>
      </c>
      <c r="Q72" s="1">
        <v>147041747.12446493</v>
      </c>
      <c r="R72" s="1">
        <v>236997736.21540445</v>
      </c>
      <c r="S72" s="1">
        <v>326953725.30634385</v>
      </c>
      <c r="T72" s="1">
        <v>416909714.39728326</v>
      </c>
      <c r="U72" s="1">
        <v>506865703.48822242</v>
      </c>
      <c r="V72" s="1">
        <v>596821692.57916188</v>
      </c>
    </row>
    <row r="73" spans="1:22" x14ac:dyDescent="0.25">
      <c r="A73" s="316">
        <v>2127.4320925018069</v>
      </c>
      <c r="B73" s="4">
        <v>-1202298089.2396259</v>
      </c>
      <c r="C73" s="1">
        <v>-1112342100.1486866</v>
      </c>
      <c r="D73" s="1">
        <v>-1022386111.0577474</v>
      </c>
      <c r="E73" s="1">
        <v>-932430121.96680784</v>
      </c>
      <c r="F73" s="1">
        <v>-842474132.87586856</v>
      </c>
      <c r="G73" s="1">
        <v>-752518143.78492916</v>
      </c>
      <c r="H73" s="1">
        <v>-662562154.69398963</v>
      </c>
      <c r="I73" s="1">
        <v>-572606165.60305047</v>
      </c>
      <c r="J73" s="4">
        <v>-482650176.51211095</v>
      </c>
      <c r="K73" s="1">
        <v>-392694187.42117155</v>
      </c>
      <c r="L73" s="1">
        <v>-302738198.33023214</v>
      </c>
      <c r="M73" s="1">
        <v>-212782209.23929268</v>
      </c>
      <c r="N73" s="1">
        <v>-122826220.14835326</v>
      </c>
      <c r="O73" s="1">
        <v>-32870231.057413906</v>
      </c>
      <c r="P73" s="1">
        <v>57085758.033525527</v>
      </c>
      <c r="Q73" s="1">
        <v>147041747.12446493</v>
      </c>
      <c r="R73" s="1">
        <v>236997736.21540445</v>
      </c>
      <c r="S73" s="1">
        <v>326953725.30634385</v>
      </c>
      <c r="T73" s="1">
        <v>416909714.39728326</v>
      </c>
      <c r="U73" s="1">
        <v>506865703.48822242</v>
      </c>
      <c r="V73" s="1">
        <v>596821692.57916188</v>
      </c>
    </row>
    <row r="74" spans="1:22" x14ac:dyDescent="0.25">
      <c r="A74" s="316">
        <v>2239.402202633481</v>
      </c>
      <c r="B74" s="4">
        <v>-1202298089.2396259</v>
      </c>
      <c r="C74" s="1">
        <v>-1112342100.1486866</v>
      </c>
      <c r="D74" s="1">
        <v>-1022386111.0577474</v>
      </c>
      <c r="E74" s="1">
        <v>-932430121.96680784</v>
      </c>
      <c r="F74" s="1">
        <v>-842474132.87586856</v>
      </c>
      <c r="G74" s="1">
        <v>-752518143.78492916</v>
      </c>
      <c r="H74" s="1">
        <v>-662562154.69398963</v>
      </c>
      <c r="I74" s="1">
        <v>-572606165.60305047</v>
      </c>
      <c r="J74" s="4">
        <v>-482650176.51211095</v>
      </c>
      <c r="K74" s="1">
        <v>-392694187.42117155</v>
      </c>
      <c r="L74" s="1">
        <v>-302738198.33023214</v>
      </c>
      <c r="M74" s="1">
        <v>-212782209.23929268</v>
      </c>
      <c r="N74" s="1">
        <v>-122826220.14835326</v>
      </c>
      <c r="O74" s="1">
        <v>-32870231.057413906</v>
      </c>
      <c r="P74" s="1">
        <v>57085758.033525527</v>
      </c>
      <c r="Q74" s="1">
        <v>147041747.12446493</v>
      </c>
      <c r="R74" s="1">
        <v>236997736.21540445</v>
      </c>
      <c r="S74" s="1">
        <v>326953725.30634385</v>
      </c>
      <c r="T74" s="1">
        <v>416909714.39728326</v>
      </c>
      <c r="U74" s="1">
        <v>506865703.48822242</v>
      </c>
      <c r="V74" s="1">
        <v>596821692.57916188</v>
      </c>
    </row>
    <row r="75" spans="1:22" x14ac:dyDescent="0.25">
      <c r="A75" s="316">
        <v>2357.2654764562958</v>
      </c>
      <c r="B75" s="4">
        <v>-1202298089.2396259</v>
      </c>
      <c r="C75" s="1">
        <v>-1112342100.1486866</v>
      </c>
      <c r="D75" s="1">
        <v>-1022386111.0577474</v>
      </c>
      <c r="E75" s="1">
        <v>-932430121.96680784</v>
      </c>
      <c r="F75" s="1">
        <v>-842474132.87586856</v>
      </c>
      <c r="G75" s="1">
        <v>-752518143.78492916</v>
      </c>
      <c r="H75" s="1">
        <v>-662562154.69398963</v>
      </c>
      <c r="I75" s="1">
        <v>-572606165.60305047</v>
      </c>
      <c r="J75" s="4">
        <v>-482650176.51211095</v>
      </c>
      <c r="K75" s="1">
        <v>-392694187.42117155</v>
      </c>
      <c r="L75" s="1">
        <v>-302738198.33023214</v>
      </c>
      <c r="M75" s="1">
        <v>-212782209.23929268</v>
      </c>
      <c r="N75" s="1">
        <v>-122826220.14835326</v>
      </c>
      <c r="O75" s="1">
        <v>-32870231.057413906</v>
      </c>
      <c r="P75" s="1">
        <v>57085758.033525527</v>
      </c>
      <c r="Q75" s="1">
        <v>147041747.12446493</v>
      </c>
      <c r="R75" s="1">
        <v>236997736.21540445</v>
      </c>
      <c r="S75" s="1">
        <v>326953725.30634385</v>
      </c>
      <c r="T75" s="1">
        <v>416909714.39728326</v>
      </c>
      <c r="U75" s="1">
        <v>506865703.48822242</v>
      </c>
      <c r="V75" s="1">
        <v>596821692.57916188</v>
      </c>
    </row>
    <row r="76" spans="1:22" x14ac:dyDescent="0.25">
      <c r="A76" s="316">
        <v>2481.3320804803116</v>
      </c>
      <c r="B76" s="4">
        <v>-1202298089.2396259</v>
      </c>
      <c r="C76" s="1">
        <v>-1112342100.1486866</v>
      </c>
      <c r="D76" s="1">
        <v>-1022386111.0577474</v>
      </c>
      <c r="E76" s="1">
        <v>-932430121.96680784</v>
      </c>
      <c r="F76" s="1">
        <v>-842474132.87586856</v>
      </c>
      <c r="G76" s="1">
        <v>-752518143.78492916</v>
      </c>
      <c r="H76" s="1">
        <v>-662562154.69398963</v>
      </c>
      <c r="I76" s="1">
        <v>-572606165.60305047</v>
      </c>
      <c r="J76" s="4">
        <v>-482650176.51211095</v>
      </c>
      <c r="K76" s="1">
        <v>-392694187.42117155</v>
      </c>
      <c r="L76" s="1">
        <v>-302738198.33023214</v>
      </c>
      <c r="M76" s="1">
        <v>-212782209.23929268</v>
      </c>
      <c r="N76" s="1">
        <v>-122826220.14835326</v>
      </c>
      <c r="O76" s="1">
        <v>-32870231.057413906</v>
      </c>
      <c r="P76" s="1">
        <v>57085758.033525527</v>
      </c>
      <c r="Q76" s="1">
        <v>147041747.12446493</v>
      </c>
      <c r="R76" s="1">
        <v>236997736.21540445</v>
      </c>
      <c r="S76" s="1">
        <v>326953725.30634385</v>
      </c>
      <c r="T76" s="1">
        <v>416909714.39728326</v>
      </c>
      <c r="U76" s="1">
        <v>506865703.48822242</v>
      </c>
      <c r="V76" s="1">
        <v>596821692.57916188</v>
      </c>
    </row>
    <row r="77" spans="1:22" x14ac:dyDescent="0.25">
      <c r="A77" s="316">
        <v>2611.9285057687493</v>
      </c>
      <c r="B77" s="4">
        <v>-1202298089.2396259</v>
      </c>
      <c r="C77" s="1">
        <v>-1112342100.1486866</v>
      </c>
      <c r="D77" s="1">
        <v>-1022386111.0577474</v>
      </c>
      <c r="E77" s="1">
        <v>-932430121.96680784</v>
      </c>
      <c r="F77" s="1">
        <v>-842474132.87586856</v>
      </c>
      <c r="G77" s="1">
        <v>-752518143.78492916</v>
      </c>
      <c r="H77" s="1">
        <v>-662562154.69398963</v>
      </c>
      <c r="I77" s="1">
        <v>-572606165.60305047</v>
      </c>
      <c r="J77" s="4">
        <v>-482650176.51211095</v>
      </c>
      <c r="K77" s="1">
        <v>-392694187.42117155</v>
      </c>
      <c r="L77" s="1">
        <v>-302738198.33023214</v>
      </c>
      <c r="M77" s="1">
        <v>-212782209.23929268</v>
      </c>
      <c r="N77" s="1">
        <v>-122826220.14835326</v>
      </c>
      <c r="O77" s="1">
        <v>-32870231.057413906</v>
      </c>
      <c r="P77" s="1">
        <v>57085758.033525527</v>
      </c>
      <c r="Q77" s="1">
        <v>147041747.12446493</v>
      </c>
      <c r="R77" s="1">
        <v>236997736.21540445</v>
      </c>
      <c r="S77" s="1">
        <v>326953725.30634385</v>
      </c>
      <c r="T77" s="1">
        <v>416909714.39728326</v>
      </c>
      <c r="U77" s="1">
        <v>506865703.48822242</v>
      </c>
      <c r="V77" s="1">
        <v>596821692.57916188</v>
      </c>
    </row>
    <row r="78" spans="1:22" x14ac:dyDescent="0.25">
      <c r="A78" s="316">
        <v>2749.3984271249992</v>
      </c>
      <c r="B78" s="4">
        <v>-1202298089.2396259</v>
      </c>
      <c r="C78" s="1">
        <v>-1112342100.1486866</v>
      </c>
      <c r="D78" s="1">
        <v>-1022386111.0577474</v>
      </c>
      <c r="E78" s="1">
        <v>-932430121.96680784</v>
      </c>
      <c r="F78" s="1">
        <v>-842474132.87586856</v>
      </c>
      <c r="G78" s="1">
        <v>-752518143.78492916</v>
      </c>
      <c r="H78" s="1">
        <v>-662562154.69398963</v>
      </c>
      <c r="I78" s="1">
        <v>-572606165.60305047</v>
      </c>
      <c r="J78" s="4">
        <v>-482650176.51211095</v>
      </c>
      <c r="K78" s="1">
        <v>-392694187.42117155</v>
      </c>
      <c r="L78" s="1">
        <v>-302738198.33023214</v>
      </c>
      <c r="M78" s="1">
        <v>-212782209.23929268</v>
      </c>
      <c r="N78" s="1">
        <v>-122826220.14835326</v>
      </c>
      <c r="O78" s="1">
        <v>-32870231.057413906</v>
      </c>
      <c r="P78" s="1">
        <v>57085758.033525527</v>
      </c>
      <c r="Q78" s="1">
        <v>147041747.12446493</v>
      </c>
      <c r="R78" s="1">
        <v>236997736.21540445</v>
      </c>
      <c r="S78" s="1">
        <v>326953725.30634385</v>
      </c>
      <c r="T78" s="1">
        <v>416909714.39728326</v>
      </c>
      <c r="U78" s="1">
        <v>506865703.48822242</v>
      </c>
      <c r="V78" s="1">
        <v>596821692.57916188</v>
      </c>
    </row>
    <row r="79" spans="1:22" x14ac:dyDescent="0.25">
      <c r="A79" s="316">
        <v>2894.1036074999993</v>
      </c>
      <c r="B79" s="4">
        <v>-1202298089.2396259</v>
      </c>
      <c r="C79" s="1">
        <v>-1112342100.1486866</v>
      </c>
      <c r="D79" s="1">
        <v>-1022386111.0577474</v>
      </c>
      <c r="E79" s="1">
        <v>-932430121.96680784</v>
      </c>
      <c r="F79" s="1">
        <v>-842474132.87586856</v>
      </c>
      <c r="G79" s="1">
        <v>-752518143.78492916</v>
      </c>
      <c r="H79" s="1">
        <v>-662562154.69398963</v>
      </c>
      <c r="I79" s="1">
        <v>-572606165.60305047</v>
      </c>
      <c r="J79" s="4">
        <v>-482650176.51211095</v>
      </c>
      <c r="K79" s="1">
        <v>-392694187.42117155</v>
      </c>
      <c r="L79" s="1">
        <v>-302738198.33023214</v>
      </c>
      <c r="M79" s="1">
        <v>-212782209.23929268</v>
      </c>
      <c r="N79" s="1">
        <v>-122826220.14835326</v>
      </c>
      <c r="O79" s="1">
        <v>-32870231.057413906</v>
      </c>
      <c r="P79" s="1">
        <v>57085758.033525527</v>
      </c>
      <c r="Q79" s="1">
        <v>147041747.12446493</v>
      </c>
      <c r="R79" s="1">
        <v>236997736.21540445</v>
      </c>
      <c r="S79" s="1">
        <v>326953725.30634385</v>
      </c>
      <c r="T79" s="1">
        <v>416909714.39728326</v>
      </c>
      <c r="U79" s="1">
        <v>506865703.48822242</v>
      </c>
      <c r="V79" s="1">
        <v>596821692.57916188</v>
      </c>
    </row>
    <row r="80" spans="1:22" x14ac:dyDescent="0.25">
      <c r="A80" s="316">
        <v>3046.4248499999994</v>
      </c>
      <c r="B80" s="4">
        <v>-1202298089.2396259</v>
      </c>
      <c r="C80" s="1">
        <v>-1112342100.1486866</v>
      </c>
      <c r="D80" s="1">
        <v>-1022386111.0577474</v>
      </c>
      <c r="E80" s="1">
        <v>-932430121.96680784</v>
      </c>
      <c r="F80" s="1">
        <v>-842474132.87586856</v>
      </c>
      <c r="G80" s="1">
        <v>-752518143.78492916</v>
      </c>
      <c r="H80" s="1">
        <v>-662562154.69398963</v>
      </c>
      <c r="I80" s="1">
        <v>-572606165.60305047</v>
      </c>
      <c r="J80" s="4">
        <v>-482650176.51211095</v>
      </c>
      <c r="K80" s="1">
        <v>-392694187.42117155</v>
      </c>
      <c r="L80" s="1">
        <v>-302738198.33023214</v>
      </c>
      <c r="M80" s="1">
        <v>-212782209.23929268</v>
      </c>
      <c r="N80" s="1">
        <v>-122826220.14835326</v>
      </c>
      <c r="O80" s="1">
        <v>-32870231.057413906</v>
      </c>
      <c r="P80" s="1">
        <v>57085758.033525527</v>
      </c>
      <c r="Q80" s="1">
        <v>147041747.12446493</v>
      </c>
      <c r="R80" s="1">
        <v>236997736.21540445</v>
      </c>
      <c r="S80" s="1">
        <v>326953725.30634385</v>
      </c>
      <c r="T80" s="1">
        <v>416909714.39728326</v>
      </c>
      <c r="U80" s="1">
        <v>506865703.48822242</v>
      </c>
      <c r="V80" s="1">
        <v>596821692.57916188</v>
      </c>
    </row>
    <row r="81" spans="1:22" x14ac:dyDescent="0.25">
      <c r="A81" s="316">
        <v>3206.7629999999995</v>
      </c>
      <c r="B81" s="4">
        <v>-1202298089.2396259</v>
      </c>
      <c r="C81" s="1">
        <v>-1112342100.1486866</v>
      </c>
      <c r="D81" s="1">
        <v>-1022386111.0577474</v>
      </c>
      <c r="E81" s="1">
        <v>-932430121.96680784</v>
      </c>
      <c r="F81" s="1">
        <v>-842474132.87586856</v>
      </c>
      <c r="G81" s="1">
        <v>-752518143.78492916</v>
      </c>
      <c r="H81" s="1">
        <v>-662562154.69398963</v>
      </c>
      <c r="I81" s="1">
        <v>-572606165.60305047</v>
      </c>
      <c r="J81" s="4">
        <v>-482650176.51211095</v>
      </c>
      <c r="K81" s="1">
        <v>-392694187.42117155</v>
      </c>
      <c r="L81" s="1">
        <v>-302738198.33023214</v>
      </c>
      <c r="M81" s="1">
        <v>-212782209.23929268</v>
      </c>
      <c r="N81" s="1">
        <v>-122826220.14835326</v>
      </c>
      <c r="O81" s="1">
        <v>-32870231.057413906</v>
      </c>
      <c r="P81" s="1">
        <v>57085758.033525527</v>
      </c>
      <c r="Q81" s="1">
        <v>147041747.12446493</v>
      </c>
      <c r="R81" s="1">
        <v>236997736.21540445</v>
      </c>
      <c r="S81" s="1">
        <v>326953725.30634385</v>
      </c>
      <c r="T81" s="1">
        <v>416909714.39728326</v>
      </c>
      <c r="U81" s="1">
        <v>506865703.48822242</v>
      </c>
      <c r="V81" s="1">
        <v>596821692.57916188</v>
      </c>
    </row>
    <row r="82" spans="1:22" x14ac:dyDescent="0.25">
      <c r="A82" s="316">
        <v>3375.5399999999995</v>
      </c>
      <c r="B82" s="4">
        <v>-1202298089.2396259</v>
      </c>
      <c r="C82" s="1">
        <v>-1112342100.1486866</v>
      </c>
      <c r="D82" s="1">
        <v>-1022386111.0577474</v>
      </c>
      <c r="E82" s="1">
        <v>-932430121.96680784</v>
      </c>
      <c r="F82" s="1">
        <v>-842474132.87586856</v>
      </c>
      <c r="G82" s="1">
        <v>-752518143.78492916</v>
      </c>
      <c r="H82" s="1">
        <v>-662562154.69398963</v>
      </c>
      <c r="I82" s="1">
        <v>-572606165.60305047</v>
      </c>
      <c r="J82" s="4">
        <v>-482650176.51211095</v>
      </c>
      <c r="K82" s="1">
        <v>-392694187.42117155</v>
      </c>
      <c r="L82" s="1">
        <v>-302738198.33023214</v>
      </c>
      <c r="M82" s="1">
        <v>-212782209.23929268</v>
      </c>
      <c r="N82" s="1">
        <v>-122826220.14835326</v>
      </c>
      <c r="O82" s="1">
        <v>-32870231.057413906</v>
      </c>
      <c r="P82" s="1">
        <v>57085758.033525527</v>
      </c>
      <c r="Q82" s="1">
        <v>147041747.12446493</v>
      </c>
      <c r="R82" s="1">
        <v>236997736.21540445</v>
      </c>
      <c r="S82" s="1">
        <v>326953725.30634385</v>
      </c>
      <c r="T82" s="1">
        <v>416909714.39728326</v>
      </c>
      <c r="U82" s="1">
        <v>506865703.48822242</v>
      </c>
      <c r="V82" s="1">
        <v>596821692.57916188</v>
      </c>
    </row>
    <row r="83" spans="1:22" x14ac:dyDescent="0.25">
      <c r="A83" s="316">
        <v>3553.2</v>
      </c>
      <c r="B83" s="4">
        <v>-1202298089.2396259</v>
      </c>
      <c r="C83" s="1">
        <v>-1112342100.1486866</v>
      </c>
      <c r="D83" s="1">
        <v>-1022386111.0577474</v>
      </c>
      <c r="E83" s="1">
        <v>-932430121.96680784</v>
      </c>
      <c r="F83" s="1">
        <v>-842474132.87586856</v>
      </c>
      <c r="G83" s="1">
        <v>-752518143.78492916</v>
      </c>
      <c r="H83" s="1">
        <v>-662562154.69398963</v>
      </c>
      <c r="I83" s="1">
        <v>-572606165.60305047</v>
      </c>
      <c r="J83" s="4">
        <v>-482650176.51211095</v>
      </c>
      <c r="K83" s="1">
        <v>-392694187.42117155</v>
      </c>
      <c r="L83" s="1">
        <v>-302738198.33023214</v>
      </c>
      <c r="M83" s="1">
        <v>-212782209.23929268</v>
      </c>
      <c r="N83" s="1">
        <v>-122826220.14835326</v>
      </c>
      <c r="O83" s="1">
        <v>-32870231.057413906</v>
      </c>
      <c r="P83" s="1">
        <v>57085758.033525527</v>
      </c>
      <c r="Q83" s="1">
        <v>147041747.12446493</v>
      </c>
      <c r="R83" s="1">
        <v>236997736.21540445</v>
      </c>
      <c r="S83" s="1">
        <v>326953725.30634385</v>
      </c>
      <c r="T83" s="1">
        <v>416909714.39728326</v>
      </c>
      <c r="U83" s="1">
        <v>506865703.48822242</v>
      </c>
      <c r="V83" s="1">
        <v>596821692.57916188</v>
      </c>
    </row>
    <row r="84" spans="1:22" x14ac:dyDescent="0.25">
      <c r="A84" s="317">
        <v>3730.86</v>
      </c>
      <c r="B84" s="4">
        <v>-1202298089.2396259</v>
      </c>
      <c r="C84" s="1">
        <v>-1112342100.1486866</v>
      </c>
      <c r="D84" s="1">
        <v>-1022386111.0577474</v>
      </c>
      <c r="E84" s="1">
        <v>-932430121.96680784</v>
      </c>
      <c r="F84" s="1">
        <v>-842474132.87586856</v>
      </c>
      <c r="G84" s="1">
        <v>-752518143.78492916</v>
      </c>
      <c r="H84" s="1">
        <v>-662562154.69398963</v>
      </c>
      <c r="I84" s="1">
        <v>-572606165.60305047</v>
      </c>
      <c r="J84" s="4">
        <v>-482650176.51211095</v>
      </c>
      <c r="K84" s="1">
        <v>-392694187.42117155</v>
      </c>
      <c r="L84" s="1">
        <v>-302738198.33023214</v>
      </c>
      <c r="M84" s="1">
        <v>-212782209.23929268</v>
      </c>
      <c r="N84" s="1">
        <v>-122826220.14835326</v>
      </c>
      <c r="O84" s="1">
        <v>-32870231.057413906</v>
      </c>
      <c r="P84" s="1">
        <v>57085758.033525527</v>
      </c>
      <c r="Q84" s="1">
        <v>147041747.12446493</v>
      </c>
      <c r="R84" s="1">
        <v>236997736.21540445</v>
      </c>
      <c r="S84" s="1">
        <v>326953725.30634385</v>
      </c>
      <c r="T84" s="1">
        <v>416909714.39728326</v>
      </c>
      <c r="U84" s="1">
        <v>506865703.48822242</v>
      </c>
      <c r="V84" s="1">
        <v>596821692.57916188</v>
      </c>
    </row>
    <row r="85" spans="1:22" x14ac:dyDescent="0.25">
      <c r="A85" s="317">
        <v>3917.4030000000002</v>
      </c>
      <c r="B85" s="4">
        <v>-1202298089.2396259</v>
      </c>
      <c r="C85" s="1">
        <v>-1112342100.1486866</v>
      </c>
      <c r="D85" s="1">
        <v>-1022386111.0577474</v>
      </c>
      <c r="E85" s="1">
        <v>-932430121.96680784</v>
      </c>
      <c r="F85" s="1">
        <v>-842474132.87586856</v>
      </c>
      <c r="G85" s="1">
        <v>-752518143.78492916</v>
      </c>
      <c r="H85" s="1">
        <v>-662562154.69398963</v>
      </c>
      <c r="I85" s="1">
        <v>-572606165.60305047</v>
      </c>
      <c r="J85" s="4">
        <v>-482650176.51211095</v>
      </c>
      <c r="K85" s="1">
        <v>-392694187.42117155</v>
      </c>
      <c r="L85" s="1">
        <v>-302738198.33023214</v>
      </c>
      <c r="M85" s="1">
        <v>-212782209.23929268</v>
      </c>
      <c r="N85" s="1">
        <v>-122826220.14835326</v>
      </c>
      <c r="O85" s="1">
        <v>-32870231.057413906</v>
      </c>
      <c r="P85" s="1">
        <v>57085758.033525527</v>
      </c>
      <c r="Q85" s="1">
        <v>147041747.12446493</v>
      </c>
      <c r="R85" s="1">
        <v>236997736.21540445</v>
      </c>
      <c r="S85" s="1">
        <v>326953725.30634385</v>
      </c>
      <c r="T85" s="1">
        <v>416909714.39728326</v>
      </c>
      <c r="U85" s="1">
        <v>506865703.48822242</v>
      </c>
      <c r="V85" s="1">
        <v>596821692.57916188</v>
      </c>
    </row>
    <row r="86" spans="1:22" x14ac:dyDescent="0.25">
      <c r="A86" s="317">
        <v>4113.27315</v>
      </c>
      <c r="B86" s="4">
        <v>-1202298089.2396259</v>
      </c>
      <c r="C86" s="1">
        <v>-1112342100.1486866</v>
      </c>
      <c r="D86" s="1">
        <v>-1022386111.0577474</v>
      </c>
      <c r="E86" s="1">
        <v>-932430121.96680784</v>
      </c>
      <c r="F86" s="1">
        <v>-842474132.87586856</v>
      </c>
      <c r="G86" s="1">
        <v>-752518143.78492916</v>
      </c>
      <c r="H86" s="1">
        <v>-662562154.69398963</v>
      </c>
      <c r="I86" s="1">
        <v>-572606165.60305047</v>
      </c>
      <c r="J86" s="4">
        <v>-482650176.51211095</v>
      </c>
      <c r="K86" s="1">
        <v>-392694187.42117155</v>
      </c>
      <c r="L86" s="1">
        <v>-302738198.33023214</v>
      </c>
      <c r="M86" s="1">
        <v>-212782209.23929268</v>
      </c>
      <c r="N86" s="1">
        <v>-122826220.14835326</v>
      </c>
      <c r="O86" s="1">
        <v>-32870231.057413906</v>
      </c>
      <c r="P86" s="1">
        <v>57085758.033525527</v>
      </c>
      <c r="Q86" s="1">
        <v>147041747.12446493</v>
      </c>
      <c r="R86" s="1">
        <v>236997736.21540445</v>
      </c>
      <c r="S86" s="1">
        <v>326953725.30634385</v>
      </c>
      <c r="T86" s="1">
        <v>416909714.39728326</v>
      </c>
      <c r="U86" s="1">
        <v>506865703.48822242</v>
      </c>
      <c r="V86" s="1">
        <v>596821692.57916188</v>
      </c>
    </row>
    <row r="87" spans="1:22" x14ac:dyDescent="0.25">
      <c r="A87" s="317">
        <v>4318.9368075000002</v>
      </c>
      <c r="B87" s="4">
        <v>-1202298089.2396259</v>
      </c>
      <c r="C87" s="1">
        <v>-1112342100.1486866</v>
      </c>
      <c r="D87" s="1">
        <v>-1022386111.0577474</v>
      </c>
      <c r="E87" s="1">
        <v>-932430121.96680784</v>
      </c>
      <c r="F87" s="1">
        <v>-842474132.87586856</v>
      </c>
      <c r="G87" s="1">
        <v>-752518143.78492916</v>
      </c>
      <c r="H87" s="178">
        <v>-662562154.69398963</v>
      </c>
      <c r="I87" s="1">
        <v>-572606165.60305047</v>
      </c>
      <c r="J87" s="4">
        <v>-482650176.51211095</v>
      </c>
      <c r="K87" s="1">
        <v>-392694187.42117155</v>
      </c>
      <c r="L87" s="1">
        <v>-302738198.33023214</v>
      </c>
      <c r="M87" s="1">
        <v>-212782209.23929268</v>
      </c>
      <c r="N87" s="1">
        <v>-122826220.14835326</v>
      </c>
      <c r="O87" s="1">
        <v>-32870231.057413906</v>
      </c>
      <c r="P87" s="1">
        <v>57085758.033525527</v>
      </c>
      <c r="Q87" s="1">
        <v>147041747.12446493</v>
      </c>
      <c r="R87" s="1">
        <v>236997736.21540445</v>
      </c>
      <c r="S87" s="1">
        <v>326953725.30634385</v>
      </c>
      <c r="T87" s="1">
        <v>416909714.39728326</v>
      </c>
      <c r="U87" s="1">
        <v>506865703.48822242</v>
      </c>
      <c r="V87" s="1">
        <v>596821692.57916188</v>
      </c>
    </row>
    <row r="88" spans="1:22" x14ac:dyDescent="0.25">
      <c r="A88" s="317">
        <v>4534.8836478750009</v>
      </c>
      <c r="B88" s="4">
        <v>-1202298089.2396259</v>
      </c>
      <c r="C88" s="1">
        <v>-1112342100.1486866</v>
      </c>
      <c r="D88" s="1">
        <v>-1022386111.0577474</v>
      </c>
      <c r="E88" s="1">
        <v>-932430121.96680784</v>
      </c>
      <c r="F88" s="1">
        <v>-842474132.87586856</v>
      </c>
      <c r="G88" s="1">
        <v>-752518143.78492916</v>
      </c>
      <c r="H88" s="1">
        <v>-662562154.69398963</v>
      </c>
      <c r="I88" s="1">
        <v>-572606165.60305047</v>
      </c>
      <c r="J88" s="4">
        <v>-482650176.51211095</v>
      </c>
      <c r="K88" s="1">
        <v>-392694187.42117155</v>
      </c>
      <c r="L88" s="1">
        <v>-302738198.33023214</v>
      </c>
      <c r="M88" s="1">
        <v>-212782209.23929268</v>
      </c>
      <c r="N88" s="1">
        <v>-122826220.14835326</v>
      </c>
      <c r="O88" s="1">
        <v>-32870231.057413906</v>
      </c>
      <c r="P88" s="1">
        <v>57085758.033525527</v>
      </c>
      <c r="Q88" s="1">
        <v>147041747.12446493</v>
      </c>
      <c r="R88" s="1">
        <v>236997736.21540445</v>
      </c>
      <c r="S88" s="1">
        <v>326953725.30634385</v>
      </c>
      <c r="T88" s="1">
        <v>416909714.39728326</v>
      </c>
      <c r="U88" s="1">
        <v>506865703.48822242</v>
      </c>
      <c r="V88" s="1">
        <v>596821692.57916188</v>
      </c>
    </row>
    <row r="89" spans="1:22" x14ac:dyDescent="0.25">
      <c r="A89" s="317">
        <v>4761.6278302687515</v>
      </c>
      <c r="B89" s="4">
        <v>-1202298089.2396259</v>
      </c>
      <c r="C89" s="1">
        <v>-1112342100.1486866</v>
      </c>
      <c r="D89" s="1">
        <v>-1022386111.0577474</v>
      </c>
      <c r="E89" s="1">
        <v>-932430121.96680784</v>
      </c>
      <c r="F89" s="1">
        <v>-842474132.87586856</v>
      </c>
      <c r="G89" s="1">
        <v>-752518143.78492916</v>
      </c>
      <c r="H89" s="1">
        <v>-662562154.69398963</v>
      </c>
      <c r="I89" s="1">
        <v>-572606165.60305047</v>
      </c>
      <c r="J89" s="4">
        <v>-482650176.51211095</v>
      </c>
      <c r="K89" s="1">
        <v>-392694187.42117155</v>
      </c>
      <c r="L89" s="1">
        <v>-302738198.33023214</v>
      </c>
      <c r="M89" s="1">
        <v>-212782209.23929268</v>
      </c>
      <c r="N89" s="1">
        <v>-122826220.14835326</v>
      </c>
      <c r="O89" s="1">
        <v>-32870231.057413906</v>
      </c>
      <c r="P89" s="1">
        <v>57085758.033525527</v>
      </c>
      <c r="Q89" s="1">
        <v>147041747.12446493</v>
      </c>
      <c r="R89" s="1">
        <v>236997736.21540445</v>
      </c>
      <c r="S89" s="1">
        <v>326953725.30634385</v>
      </c>
      <c r="T89" s="1">
        <v>416909714.39728326</v>
      </c>
      <c r="U89" s="1">
        <v>506865703.48822242</v>
      </c>
      <c r="V89" s="1">
        <v>596821692.57916188</v>
      </c>
    </row>
    <row r="90" spans="1:22" x14ac:dyDescent="0.25">
      <c r="A90" s="317">
        <v>4999.7092217821892</v>
      </c>
      <c r="B90" s="4">
        <v>-1202298089.2396259</v>
      </c>
      <c r="C90" s="1">
        <v>-1112342100.1486866</v>
      </c>
      <c r="D90" s="1">
        <v>-1022386111.0577474</v>
      </c>
      <c r="E90" s="1">
        <v>-932430121.96680784</v>
      </c>
      <c r="F90" s="1">
        <v>-842474132.87586856</v>
      </c>
      <c r="G90" s="1">
        <v>-752518143.78492916</v>
      </c>
      <c r="H90" s="1">
        <v>-662562154.69398963</v>
      </c>
      <c r="I90" s="1">
        <v>-572606165.60305047</v>
      </c>
      <c r="J90" s="4">
        <v>-482650176.51211095</v>
      </c>
      <c r="K90" s="1">
        <v>-392694187.42117155</v>
      </c>
      <c r="L90" s="1">
        <v>-302738198.33023214</v>
      </c>
      <c r="M90" s="1">
        <v>-212782209.23929268</v>
      </c>
      <c r="N90" s="1">
        <v>-122826220.14835326</v>
      </c>
      <c r="O90" s="1">
        <v>-32870231.057413906</v>
      </c>
      <c r="P90" s="1">
        <v>57085758.033525527</v>
      </c>
      <c r="Q90" s="1">
        <v>147041747.12446493</v>
      </c>
      <c r="R90" s="1">
        <v>236997736.21540445</v>
      </c>
      <c r="S90" s="1">
        <v>326953725.30634385</v>
      </c>
      <c r="T90" s="1">
        <v>416909714.39728326</v>
      </c>
      <c r="U90" s="1">
        <v>506865703.48822242</v>
      </c>
      <c r="V90" s="1">
        <v>596821692.57916188</v>
      </c>
    </row>
    <row r="91" spans="1:22" x14ac:dyDescent="0.25">
      <c r="A91" s="317">
        <v>5249.6946828712989</v>
      </c>
      <c r="B91" s="4">
        <v>-1202298089.2396259</v>
      </c>
      <c r="C91" s="1">
        <v>-1112342100.1486866</v>
      </c>
      <c r="D91" s="1">
        <v>-1022386111.0577474</v>
      </c>
      <c r="E91" s="1">
        <v>-932430121.96680784</v>
      </c>
      <c r="F91" s="1">
        <v>-842474132.87586856</v>
      </c>
      <c r="G91" s="1">
        <v>-752518143.78492916</v>
      </c>
      <c r="H91" s="1">
        <v>-662562154.69398963</v>
      </c>
      <c r="I91" s="1">
        <v>-572606165.60305047</v>
      </c>
      <c r="J91" s="4">
        <v>-482650176.51211095</v>
      </c>
      <c r="K91" s="1">
        <v>-392694187.42117155</v>
      </c>
      <c r="L91" s="1">
        <v>-302738198.33023214</v>
      </c>
      <c r="M91" s="1">
        <v>-212782209.23929268</v>
      </c>
      <c r="N91" s="1">
        <v>-122826220.14835326</v>
      </c>
      <c r="O91" s="1">
        <v>-32870231.057413906</v>
      </c>
      <c r="P91" s="1">
        <v>57085758.033525527</v>
      </c>
      <c r="Q91" s="1">
        <v>147041747.12446493</v>
      </c>
      <c r="R91" s="1">
        <v>236997736.21540445</v>
      </c>
      <c r="S91" s="1">
        <v>326953725.30634385</v>
      </c>
      <c r="T91" s="1">
        <v>416909714.39728326</v>
      </c>
      <c r="U91" s="1">
        <v>506865703.48822242</v>
      </c>
      <c r="V91" s="1">
        <v>596821692.57916188</v>
      </c>
    </row>
    <row r="92" spans="1:22" x14ac:dyDescent="0.25">
      <c r="A92" s="317">
        <v>5512.1794170148642</v>
      </c>
      <c r="B92" s="4">
        <v>-1202298089.2396259</v>
      </c>
      <c r="C92" s="1">
        <v>-1112342100.1486866</v>
      </c>
      <c r="D92" s="1">
        <v>-1022386111.0577474</v>
      </c>
      <c r="E92" s="1">
        <v>-932430121.96680784</v>
      </c>
      <c r="F92" s="1">
        <v>-842474132.87586856</v>
      </c>
      <c r="G92" s="1">
        <v>-752518143.78492916</v>
      </c>
      <c r="H92" s="1">
        <v>-662562154.69398963</v>
      </c>
      <c r="I92" s="1">
        <v>-572606165.60305047</v>
      </c>
      <c r="J92" s="4">
        <v>-482650176.51211095</v>
      </c>
      <c r="K92" s="1">
        <v>-392694187.42117155</v>
      </c>
      <c r="L92" s="1">
        <v>-302738198.33023214</v>
      </c>
      <c r="M92" s="1">
        <v>-212782209.23929268</v>
      </c>
      <c r="N92" s="1">
        <v>-122826220.14835326</v>
      </c>
      <c r="O92" s="1">
        <v>-32870231.057413906</v>
      </c>
      <c r="P92" s="1">
        <v>57085758.033525527</v>
      </c>
      <c r="Q92" s="1">
        <v>147041747.12446493</v>
      </c>
      <c r="R92" s="1">
        <v>236997736.21540445</v>
      </c>
      <c r="S92" s="1">
        <v>326953725.30634385</v>
      </c>
      <c r="T92" s="1">
        <v>416909714.39728326</v>
      </c>
      <c r="U92" s="1">
        <v>506865703.48822242</v>
      </c>
      <c r="V92" s="1">
        <v>596821692.57916188</v>
      </c>
    </row>
    <row r="93" spans="1:22" x14ac:dyDescent="0.25">
      <c r="A93" s="317">
        <v>5787.7883878656075</v>
      </c>
      <c r="B93" s="4">
        <v>-1202298089.2396259</v>
      </c>
      <c r="C93" s="1">
        <v>-1112342100.1486866</v>
      </c>
      <c r="D93" s="1">
        <v>-1022386111.0577474</v>
      </c>
      <c r="E93" s="1">
        <v>-932430121.96680784</v>
      </c>
      <c r="F93" s="1">
        <v>-842474132.87586856</v>
      </c>
      <c r="G93" s="1">
        <v>-752518143.78492916</v>
      </c>
      <c r="H93" s="1">
        <v>-662562154.69398963</v>
      </c>
      <c r="I93" s="1">
        <v>-572606165.60305047</v>
      </c>
      <c r="J93" s="4">
        <v>-482650176.51211095</v>
      </c>
      <c r="K93" s="1">
        <v>-392694187.42117155</v>
      </c>
      <c r="L93" s="1">
        <v>-302738198.33023214</v>
      </c>
      <c r="M93" s="1">
        <v>-212782209.23929268</v>
      </c>
      <c r="N93" s="1">
        <v>-122826220.14835326</v>
      </c>
      <c r="O93" s="1">
        <v>-32870231.057413906</v>
      </c>
      <c r="P93" s="1">
        <v>57085758.033525527</v>
      </c>
      <c r="Q93" s="1">
        <v>147041747.12446493</v>
      </c>
      <c r="R93" s="1">
        <v>236997736.21540445</v>
      </c>
      <c r="S93" s="1">
        <v>326953725.30634385</v>
      </c>
      <c r="T93" s="1">
        <v>416909714.39728326</v>
      </c>
      <c r="U93" s="1">
        <v>506865703.48822242</v>
      </c>
      <c r="V93" s="1">
        <v>596821692.57916188</v>
      </c>
    </row>
    <row r="94" spans="1:22" x14ac:dyDescent="0.25">
      <c r="A94" s="317">
        <v>6077.1778072588886</v>
      </c>
      <c r="B94" s="4">
        <v>-1202298089.2396259</v>
      </c>
      <c r="C94" s="1">
        <v>-1112342100.1486866</v>
      </c>
      <c r="D94" s="1">
        <v>-1022386111.0577474</v>
      </c>
      <c r="E94" s="1">
        <v>-932430121.96680784</v>
      </c>
      <c r="F94" s="1">
        <v>-842474132.87586856</v>
      </c>
      <c r="G94" s="1">
        <v>-752518143.78492916</v>
      </c>
      <c r="H94" s="1">
        <v>-662562154.69398963</v>
      </c>
      <c r="I94" s="1">
        <v>-572606165.60305047</v>
      </c>
      <c r="J94" s="4">
        <v>-482650176.51211095</v>
      </c>
      <c r="K94" s="1">
        <v>-392694187.42117155</v>
      </c>
      <c r="L94" s="1">
        <v>-302738198.33023214</v>
      </c>
      <c r="M94" s="1">
        <v>-212782209.23929268</v>
      </c>
      <c r="N94" s="1">
        <v>-122826220.14835326</v>
      </c>
      <c r="O94" s="1">
        <v>-32870231.057413906</v>
      </c>
      <c r="P94" s="1">
        <v>57085758.033525527</v>
      </c>
      <c r="Q94" s="1">
        <v>147041747.12446493</v>
      </c>
      <c r="R94" s="1">
        <v>236997736.21540445</v>
      </c>
      <c r="S94" s="1">
        <v>326953725.30634385</v>
      </c>
      <c r="T94" s="1">
        <v>416909714.39728326</v>
      </c>
      <c r="U94" s="1">
        <v>506865703.48822242</v>
      </c>
      <c r="V94" s="1">
        <v>596821692.57916188</v>
      </c>
    </row>
    <row r="97" spans="1:10" x14ac:dyDescent="0.25">
      <c r="A97" s="383" t="s">
        <v>572</v>
      </c>
      <c r="B97" s="383"/>
      <c r="C97" s="383"/>
      <c r="D97" s="383"/>
      <c r="E97" s="383"/>
      <c r="F97" s="383"/>
    </row>
    <row r="98" spans="1:10" x14ac:dyDescent="0.25">
      <c r="A98" s="9" t="s">
        <v>571</v>
      </c>
      <c r="B98" s="9" t="s">
        <v>304</v>
      </c>
      <c r="C98" s="9" t="s">
        <v>575</v>
      </c>
      <c r="D98" s="9" t="s">
        <v>573</v>
      </c>
      <c r="E98" s="9" t="s">
        <v>574</v>
      </c>
      <c r="F98" s="9" t="s">
        <v>114</v>
      </c>
    </row>
    <row r="99" spans="1:10" x14ac:dyDescent="0.25">
      <c r="A99" s="182">
        <v>0.4</v>
      </c>
      <c r="B99" s="330">
        <f t="shared" ref="B99:B105" si="5">$B$107*(1+A99)</f>
        <v>541552967.73698676</v>
      </c>
      <c r="C99" s="330">
        <f>$C$107*(1+A99)</f>
        <v>964302947.99999988</v>
      </c>
      <c r="D99" s="330">
        <f t="shared" ref="D99:D105" si="6">$D$107*(1+A99)</f>
        <v>723763980.79999995</v>
      </c>
      <c r="E99" s="330">
        <f t="shared" ref="E99:E105" si="7">$E$107*(1+A99)</f>
        <v>216621187.09479499</v>
      </c>
      <c r="F99" s="330">
        <f t="shared" ref="F99:F105" si="8">$F$107*(1+A99)</f>
        <v>266000</v>
      </c>
    </row>
    <row r="100" spans="1:10" x14ac:dyDescent="0.25">
      <c r="A100" s="331">
        <v>0.35</v>
      </c>
      <c r="B100" s="330">
        <f t="shared" si="5"/>
        <v>522211790.31780875</v>
      </c>
      <c r="C100" s="330">
        <f t="shared" ref="C100:C105" si="9">$C$107*(1+A100)</f>
        <v>929863557.00000012</v>
      </c>
      <c r="D100" s="330">
        <f t="shared" si="6"/>
        <v>697915267.20000005</v>
      </c>
      <c r="E100" s="330">
        <f t="shared" si="7"/>
        <v>208884716.12712377</v>
      </c>
      <c r="F100" s="330">
        <f t="shared" si="8"/>
        <v>256500.00000000003</v>
      </c>
    </row>
    <row r="101" spans="1:10" x14ac:dyDescent="0.25">
      <c r="A101" s="331">
        <v>0.3</v>
      </c>
      <c r="B101" s="330">
        <f t="shared" si="5"/>
        <v>502870612.89863068</v>
      </c>
      <c r="C101" s="330">
        <f t="shared" si="9"/>
        <v>895424166</v>
      </c>
      <c r="D101" s="330">
        <f t="shared" si="6"/>
        <v>672066553.60000002</v>
      </c>
      <c r="E101" s="330">
        <f t="shared" si="7"/>
        <v>201148245.1594525</v>
      </c>
      <c r="F101" s="330">
        <f t="shared" si="8"/>
        <v>247000</v>
      </c>
    </row>
    <row r="102" spans="1:10" x14ac:dyDescent="0.25">
      <c r="A102" s="331">
        <v>0.25</v>
      </c>
      <c r="B102" s="330">
        <f t="shared" si="5"/>
        <v>483529435.47945255</v>
      </c>
      <c r="C102" s="330">
        <f t="shared" si="9"/>
        <v>860984775</v>
      </c>
      <c r="D102" s="330">
        <f t="shared" si="6"/>
        <v>646217840</v>
      </c>
      <c r="E102" s="330">
        <f t="shared" si="7"/>
        <v>193411774.19178125</v>
      </c>
      <c r="F102" s="330">
        <f t="shared" si="8"/>
        <v>237500</v>
      </c>
    </row>
    <row r="103" spans="1:10" x14ac:dyDescent="0.25">
      <c r="A103" s="331">
        <v>0.2</v>
      </c>
      <c r="B103" s="330">
        <f>$B$107*(1+A103)</f>
        <v>464188258.06027442</v>
      </c>
      <c r="C103" s="330">
        <f t="shared" si="9"/>
        <v>826545384</v>
      </c>
      <c r="D103" s="330">
        <f t="shared" si="6"/>
        <v>620369126.39999998</v>
      </c>
      <c r="E103" s="330">
        <f t="shared" si="7"/>
        <v>185675303.22410998</v>
      </c>
      <c r="F103" s="330">
        <f t="shared" si="8"/>
        <v>228000</v>
      </c>
    </row>
    <row r="104" spans="1:10" x14ac:dyDescent="0.25">
      <c r="A104" s="331">
        <v>0.15</v>
      </c>
      <c r="B104" s="330">
        <f t="shared" si="5"/>
        <v>444847080.64109629</v>
      </c>
      <c r="C104" s="330">
        <f t="shared" si="9"/>
        <v>792105992.99999988</v>
      </c>
      <c r="D104" s="330">
        <f t="shared" si="6"/>
        <v>594520412.79999995</v>
      </c>
      <c r="E104" s="330">
        <f t="shared" si="7"/>
        <v>177938832.25643873</v>
      </c>
      <c r="F104" s="330">
        <f t="shared" si="8"/>
        <v>218499.99999999997</v>
      </c>
    </row>
    <row r="105" spans="1:10" x14ac:dyDescent="0.25">
      <c r="A105" s="331">
        <v>0.1</v>
      </c>
      <c r="B105" s="330">
        <f t="shared" si="5"/>
        <v>425505903.22191828</v>
      </c>
      <c r="C105" s="330">
        <f t="shared" si="9"/>
        <v>757666602.00000012</v>
      </c>
      <c r="D105" s="330">
        <f t="shared" si="6"/>
        <v>568671699.20000005</v>
      </c>
      <c r="E105" s="330">
        <f t="shared" si="7"/>
        <v>170202361.28876752</v>
      </c>
      <c r="F105" s="330">
        <f t="shared" si="8"/>
        <v>209000.00000000003</v>
      </c>
    </row>
    <row r="106" spans="1:10" x14ac:dyDescent="0.25">
      <c r="A106" s="331">
        <v>0.05</v>
      </c>
      <c r="B106" s="330">
        <f>$B$107*(1+A106)</f>
        <v>406164725.80274016</v>
      </c>
      <c r="C106" s="330">
        <f>$C$107*(1+A106)</f>
        <v>723227211</v>
      </c>
      <c r="D106" s="330">
        <f>$D$107*(1+A106)</f>
        <v>542822985.60000002</v>
      </c>
      <c r="E106" s="330">
        <f>$E$107*(1+A106)</f>
        <v>162465890.32109624</v>
      </c>
      <c r="F106" s="330">
        <f>$F$107*(1+A106)</f>
        <v>199500</v>
      </c>
    </row>
    <row r="107" spans="1:10" s="185" customFormat="1" x14ac:dyDescent="0.25">
      <c r="A107" s="332">
        <v>0</v>
      </c>
      <c r="B107" s="333">
        <f>B40</f>
        <v>386823548.38356203</v>
      </c>
      <c r="C107" s="334">
        <f>C8</f>
        <v>688787820</v>
      </c>
      <c r="D107" s="334">
        <f>C18</f>
        <v>516974272</v>
      </c>
      <c r="E107" s="335">
        <f>B46</f>
        <v>154729419.353425</v>
      </c>
      <c r="F107" s="334">
        <f>C11</f>
        <v>190000</v>
      </c>
      <c r="J107" s="327"/>
    </row>
    <row r="108" spans="1:10" x14ac:dyDescent="0.25">
      <c r="A108" s="331">
        <f>-5%</f>
        <v>-0.05</v>
      </c>
      <c r="B108" s="330">
        <f>$B$107*(1+A108)</f>
        <v>367482370.9643839</v>
      </c>
      <c r="C108" s="330">
        <f>$C$107*(1+A108)</f>
        <v>654348429</v>
      </c>
      <c r="D108" s="330">
        <f>$D$107*(1+A108)</f>
        <v>491125558.39999998</v>
      </c>
      <c r="E108" s="330">
        <f>$E$107*(1+A108)</f>
        <v>146992948.38575375</v>
      </c>
      <c r="F108" s="330">
        <f>$F$107*(1+A108)</f>
        <v>180500</v>
      </c>
    </row>
    <row r="109" spans="1:10" x14ac:dyDescent="0.25">
      <c r="A109" s="331">
        <v>-0.1</v>
      </c>
      <c r="B109" s="330">
        <f t="shared" ref="B109:B115" si="10">$B$107*(1+A109)</f>
        <v>348141193.54520583</v>
      </c>
      <c r="C109" s="330">
        <f t="shared" ref="C109:C114" si="11">$C$107*(1+A109)</f>
        <v>619909038</v>
      </c>
      <c r="D109" s="330">
        <f t="shared" ref="D109:D115" si="12">$D$107*(1+A109)</f>
        <v>465276844.80000001</v>
      </c>
      <c r="E109" s="330">
        <f t="shared" ref="E109:E115" si="13">$E$107*(1+A109)</f>
        <v>139256477.41808251</v>
      </c>
      <c r="F109" s="330">
        <f t="shared" ref="F109:F115" si="14">$F$107*(1+A109)</f>
        <v>171000</v>
      </c>
    </row>
    <row r="110" spans="1:10" x14ac:dyDescent="0.25">
      <c r="A110" s="331">
        <v>-0.15</v>
      </c>
      <c r="B110" s="330">
        <f t="shared" si="10"/>
        <v>328800016.1260277</v>
      </c>
      <c r="C110" s="330">
        <f t="shared" si="11"/>
        <v>585469647</v>
      </c>
      <c r="D110" s="330">
        <f t="shared" si="12"/>
        <v>439428131.19999999</v>
      </c>
      <c r="E110" s="330">
        <f t="shared" si="13"/>
        <v>131520006.45041125</v>
      </c>
      <c r="F110" s="330">
        <f t="shared" si="14"/>
        <v>161500</v>
      </c>
    </row>
    <row r="111" spans="1:10" x14ac:dyDescent="0.25">
      <c r="A111" s="331">
        <v>-0.2</v>
      </c>
      <c r="B111" s="330">
        <f t="shared" si="10"/>
        <v>309458838.70684963</v>
      </c>
      <c r="C111" s="330">
        <f t="shared" si="11"/>
        <v>551030256</v>
      </c>
      <c r="D111" s="330">
        <f t="shared" si="12"/>
        <v>413579417.60000002</v>
      </c>
      <c r="E111" s="330">
        <f t="shared" si="13"/>
        <v>123783535.48274</v>
      </c>
      <c r="F111" s="330">
        <f t="shared" si="14"/>
        <v>152000</v>
      </c>
    </row>
    <row r="112" spans="1:10" x14ac:dyDescent="0.25">
      <c r="A112" s="331">
        <v>-0.25</v>
      </c>
      <c r="B112" s="330">
        <f t="shared" si="10"/>
        <v>290117661.28767151</v>
      </c>
      <c r="C112" s="330">
        <f t="shared" si="11"/>
        <v>516590865</v>
      </c>
      <c r="D112" s="330">
        <f t="shared" si="12"/>
        <v>387730704</v>
      </c>
      <c r="E112" s="330">
        <f t="shared" si="13"/>
        <v>116047064.51506874</v>
      </c>
      <c r="F112" s="330">
        <f t="shared" si="14"/>
        <v>142500</v>
      </c>
    </row>
    <row r="113" spans="1:10" x14ac:dyDescent="0.25">
      <c r="A113" s="331">
        <v>-0.3</v>
      </c>
      <c r="B113" s="330">
        <f t="shared" si="10"/>
        <v>270776483.86849338</v>
      </c>
      <c r="C113" s="330">
        <f t="shared" si="11"/>
        <v>482151473.99999994</v>
      </c>
      <c r="D113" s="330">
        <f t="shared" si="12"/>
        <v>361881990.39999998</v>
      </c>
      <c r="E113" s="330">
        <f t="shared" si="13"/>
        <v>108310593.54739749</v>
      </c>
      <c r="F113" s="330">
        <f t="shared" si="14"/>
        <v>133000</v>
      </c>
    </row>
    <row r="114" spans="1:10" x14ac:dyDescent="0.25">
      <c r="A114" s="331">
        <v>-0.35</v>
      </c>
      <c r="B114" s="330">
        <f t="shared" si="10"/>
        <v>251435306.44931534</v>
      </c>
      <c r="C114" s="330">
        <f t="shared" si="11"/>
        <v>447712083</v>
      </c>
      <c r="D114" s="330">
        <f t="shared" si="12"/>
        <v>336033276.80000001</v>
      </c>
      <c r="E114" s="330">
        <f t="shared" si="13"/>
        <v>100574122.57972625</v>
      </c>
      <c r="F114" s="330">
        <f t="shared" si="14"/>
        <v>123500</v>
      </c>
    </row>
    <row r="115" spans="1:10" x14ac:dyDescent="0.25">
      <c r="A115" s="331">
        <v>-0.4</v>
      </c>
      <c r="B115" s="330">
        <f t="shared" si="10"/>
        <v>232094129.03013721</v>
      </c>
      <c r="C115" s="330">
        <f>$C$107*(1+A115)</f>
        <v>413272692</v>
      </c>
      <c r="D115" s="330">
        <f t="shared" si="12"/>
        <v>310184563.19999999</v>
      </c>
      <c r="E115" s="330">
        <f t="shared" si="13"/>
        <v>92837651.612054989</v>
      </c>
      <c r="F115" s="330">
        <f t="shared" si="14"/>
        <v>114000</v>
      </c>
    </row>
    <row r="118" spans="1:10" x14ac:dyDescent="0.25">
      <c r="A118" s="380" t="s">
        <v>304</v>
      </c>
      <c r="B118" s="380"/>
      <c r="C118" s="384" t="s">
        <v>575</v>
      </c>
      <c r="D118" s="385"/>
      <c r="E118" s="384" t="s">
        <v>573</v>
      </c>
      <c r="F118" s="385"/>
      <c r="G118" s="384" t="s">
        <v>574</v>
      </c>
      <c r="H118" s="385"/>
      <c r="I118" s="384" t="s">
        <v>114</v>
      </c>
      <c r="J118" s="385"/>
    </row>
    <row r="119" spans="1:10" x14ac:dyDescent="0.25">
      <c r="A119" s="214"/>
      <c r="B119" s="214" t="s">
        <v>306</v>
      </c>
      <c r="C119" s="9"/>
      <c r="D119" s="214" t="s">
        <v>306</v>
      </c>
      <c r="E119" s="9"/>
      <c r="F119" s="214" t="s">
        <v>306</v>
      </c>
      <c r="G119" s="9"/>
      <c r="H119" s="214" t="s">
        <v>306</v>
      </c>
      <c r="I119" s="9"/>
      <c r="J119" s="214" t="s">
        <v>306</v>
      </c>
    </row>
    <row r="120" spans="1:10" x14ac:dyDescent="0.25">
      <c r="A120" s="9"/>
      <c r="B120" s="22">
        <f>FC!B32</f>
        <v>63557275.936547756</v>
      </c>
      <c r="C120" s="9"/>
      <c r="D120" s="22">
        <f>FC!B32</f>
        <v>63557275.936547756</v>
      </c>
      <c r="E120" s="21"/>
      <c r="F120" s="22">
        <f>FC!B32</f>
        <v>63557275.936547756</v>
      </c>
      <c r="G120" s="21"/>
      <c r="H120" s="22">
        <f>FC!B32</f>
        <v>63557275.936547756</v>
      </c>
      <c r="I120" s="21"/>
      <c r="J120" s="22">
        <f>FC!B32</f>
        <v>63557275.936547756</v>
      </c>
    </row>
    <row r="121" spans="1:10" x14ac:dyDescent="0.25">
      <c r="A121" s="21">
        <v>541552967.73698628</v>
      </c>
      <c r="B121" s="22">
        <f t="dataTable" ref="B121:B137" dt2D="0" dtr="0" r1="B40" ca="1"/>
        <v>22734059.892775655</v>
      </c>
      <c r="C121" s="21">
        <v>964302947.99999988</v>
      </c>
      <c r="D121" s="21">
        <f t="dataTable" ref="D121:D137" dt2D="0" dtr="0" r1="C8" ca="1"/>
        <v>286582539.20255768</v>
      </c>
      <c r="E121" s="21">
        <v>723763980.79999995</v>
      </c>
      <c r="F121" s="21">
        <f t="dataTable" ref="F121:F137" dt2D="0" dtr="0" r1="C18" ca="1"/>
        <v>-99811658.235223353</v>
      </c>
      <c r="G121" s="21">
        <v>216621187.09479448</v>
      </c>
      <c r="H121" s="21">
        <f t="dataTable" ref="H121:H137" dt2D="0" dtr="0" r1="B46" ca="1"/>
        <v>45893892.151814461</v>
      </c>
      <c r="I121" s="21">
        <v>266000</v>
      </c>
      <c r="J121" s="22">
        <f t="dataTable" ref="J121:J137" dt2D="0" dtr="0" r1="C11" ca="1"/>
        <v>794112759.66279793</v>
      </c>
    </row>
    <row r="122" spans="1:10" x14ac:dyDescent="0.25">
      <c r="A122" s="21">
        <v>522211790.31780821</v>
      </c>
      <c r="B122" s="22">
        <v>27515760.465040147</v>
      </c>
      <c r="C122" s="21">
        <v>929863557.00000012</v>
      </c>
      <c r="D122" s="21">
        <v>258704381.29430664</v>
      </c>
      <c r="E122" s="21">
        <v>697915267.20000005</v>
      </c>
      <c r="F122" s="21">
        <v>-79292610.209742963</v>
      </c>
      <c r="G122" s="21">
        <v>208884716.12712327</v>
      </c>
      <c r="H122" s="21">
        <v>48042674.648530602</v>
      </c>
      <c r="I122" s="21">
        <v>256500.00000000003</v>
      </c>
      <c r="J122" s="22">
        <v>702793324.19701719</v>
      </c>
    </row>
    <row r="123" spans="1:10" x14ac:dyDescent="0.25">
      <c r="A123" s="21">
        <v>502870612.89863008</v>
      </c>
      <c r="B123" s="22">
        <v>32384961.106512368</v>
      </c>
      <c r="C123" s="21">
        <v>895424166</v>
      </c>
      <c r="D123" s="21">
        <v>230826223.38605535</v>
      </c>
      <c r="E123" s="21">
        <v>672066553.60000002</v>
      </c>
      <c r="F123" s="21">
        <v>-58800779.864033163</v>
      </c>
      <c r="G123" s="21">
        <v>201148245.15945205</v>
      </c>
      <c r="H123" s="21">
        <v>50208022.436853468</v>
      </c>
      <c r="I123" s="21">
        <v>247000</v>
      </c>
      <c r="J123" s="22">
        <v>611473888.73123562</v>
      </c>
    </row>
    <row r="124" spans="1:10" x14ac:dyDescent="0.25">
      <c r="A124" s="21">
        <v>483529435.47945201</v>
      </c>
      <c r="B124" s="22">
        <v>37343722.871240199</v>
      </c>
      <c r="C124" s="21">
        <v>860984775</v>
      </c>
      <c r="D124" s="21">
        <v>202948065.47780406</v>
      </c>
      <c r="E124" s="21">
        <v>646217840</v>
      </c>
      <c r="F124" s="21">
        <v>-38336539.812245846</v>
      </c>
      <c r="G124" s="21">
        <v>193411774.19178081</v>
      </c>
      <c r="H124" s="21">
        <v>52390099.068449914</v>
      </c>
      <c r="I124" s="21">
        <v>237500</v>
      </c>
      <c r="J124" s="22">
        <v>520154453.26545417</v>
      </c>
    </row>
    <row r="125" spans="1:10" x14ac:dyDescent="0.25">
      <c r="A125" s="21">
        <v>464188258.06027395</v>
      </c>
      <c r="B125" s="22">
        <v>42394165.119470835</v>
      </c>
      <c r="C125" s="21">
        <v>826545384</v>
      </c>
      <c r="D125" s="21">
        <v>175069907.56955278</v>
      </c>
      <c r="E125" s="21">
        <v>620369126.39999998</v>
      </c>
      <c r="F125" s="21">
        <v>-17900269.519892156</v>
      </c>
      <c r="G125" s="21">
        <v>185675303.22410956</v>
      </c>
      <c r="H125" s="21">
        <v>54589070.027328432</v>
      </c>
      <c r="I125" s="21">
        <v>228000</v>
      </c>
      <c r="J125" s="22">
        <v>428835017.79967308</v>
      </c>
    </row>
    <row r="126" spans="1:10" x14ac:dyDescent="0.25">
      <c r="A126" s="21">
        <v>444847080.64109582</v>
      </c>
      <c r="B126" s="22">
        <v>47538467.429329932</v>
      </c>
      <c r="C126" s="21">
        <v>792105992.99999988</v>
      </c>
      <c r="D126" s="21">
        <v>147191749.66130149</v>
      </c>
      <c r="E126" s="21">
        <v>594520412.79999995</v>
      </c>
      <c r="F126" s="21">
        <v>2507644.5374903679</v>
      </c>
      <c r="G126" s="21">
        <v>177938832.25643831</v>
      </c>
      <c r="H126" s="21">
        <v>56805102.756219327</v>
      </c>
      <c r="I126" s="21">
        <v>218499.99999999997</v>
      </c>
      <c r="J126" s="22">
        <v>337515582.33389127</v>
      </c>
    </row>
    <row r="127" spans="1:10" x14ac:dyDescent="0.25">
      <c r="A127" s="21">
        <v>425505903.22191781</v>
      </c>
      <c r="B127" s="22">
        <v>52778871.579553366</v>
      </c>
      <c r="C127" s="21">
        <v>757666602.00000012</v>
      </c>
      <c r="D127" s="21">
        <v>119313591.75305039</v>
      </c>
      <c r="E127" s="21">
        <v>568671699.20000005</v>
      </c>
      <c r="F127" s="21">
        <v>22886808.711233795</v>
      </c>
      <c r="G127" s="21">
        <v>170202361.28876713</v>
      </c>
      <c r="H127" s="21">
        <v>59038366.68336302</v>
      </c>
      <c r="I127" s="21">
        <v>209000.00000000003</v>
      </c>
      <c r="J127" s="22">
        <v>246196146.86811078</v>
      </c>
    </row>
    <row r="128" spans="1:10" x14ac:dyDescent="0.25">
      <c r="A128" s="21">
        <v>406164725.80273968</v>
      </c>
      <c r="B128" s="22">
        <v>58117683.606216788</v>
      </c>
      <c r="C128" s="21">
        <v>723227211</v>
      </c>
      <c r="D128" s="21">
        <v>91435433.844798982</v>
      </c>
      <c r="E128" s="21">
        <v>542822985.60000002</v>
      </c>
      <c r="F128" s="21">
        <v>43236822.011841595</v>
      </c>
      <c r="G128" s="21">
        <v>162465890.32109588</v>
      </c>
      <c r="H128" s="21">
        <v>61289033.249710977</v>
      </c>
      <c r="I128" s="21">
        <v>199500</v>
      </c>
      <c r="J128" s="22">
        <v>154876711.40232909</v>
      </c>
    </row>
    <row r="129" spans="1:10" s="185" customFormat="1" x14ac:dyDescent="0.25">
      <c r="A129" s="328">
        <v>386823548.38356161</v>
      </c>
      <c r="B129" s="329">
        <v>63557275.936547756</v>
      </c>
      <c r="C129" s="328">
        <v>688787820</v>
      </c>
      <c r="D129" s="328">
        <v>63557275.936547756</v>
      </c>
      <c r="E129" s="328">
        <v>516974272</v>
      </c>
      <c r="F129" s="328">
        <v>63557275.936547756</v>
      </c>
      <c r="G129" s="328">
        <v>154729419.35342464</v>
      </c>
      <c r="H129" s="328">
        <v>63557275.936547756</v>
      </c>
      <c r="I129" s="328">
        <v>190000</v>
      </c>
      <c r="J129" s="329">
        <v>63557275.936547756</v>
      </c>
    </row>
    <row r="130" spans="1:10" x14ac:dyDescent="0.25">
      <c r="A130" s="21">
        <v>367482370.96438354</v>
      </c>
      <c r="B130" s="22">
        <v>69100089.60304147</v>
      </c>
      <c r="C130" s="21">
        <v>654348429</v>
      </c>
      <c r="D130" s="21">
        <v>35679118.028296471</v>
      </c>
      <c r="E130" s="21">
        <v>491125558.39999998</v>
      </c>
      <c r="F130" s="21">
        <v>83847754.291980743</v>
      </c>
      <c r="G130" s="21">
        <v>146992948.38575339</v>
      </c>
      <c r="H130" s="21">
        <v>65843270.293543577</v>
      </c>
      <c r="I130" s="21">
        <v>180500</v>
      </c>
      <c r="J130" s="22">
        <v>-27762159.529233575</v>
      </c>
    </row>
    <row r="131" spans="1:10" x14ac:dyDescent="0.25">
      <c r="A131" s="21">
        <v>348141193.54520547</v>
      </c>
      <c r="B131" s="22">
        <v>74748636.54125762</v>
      </c>
      <c r="C131" s="21">
        <v>619909038</v>
      </c>
      <c r="D131" s="21">
        <v>7800960.1200452447</v>
      </c>
      <c r="E131" s="21">
        <v>465276844.80000001</v>
      </c>
      <c r="F131" s="21">
        <v>104107833.01176077</v>
      </c>
      <c r="G131" s="21">
        <v>139256477.41808218</v>
      </c>
      <c r="H131" s="21">
        <v>68147193.967240691</v>
      </c>
      <c r="I131" s="21">
        <v>171000</v>
      </c>
      <c r="J131" s="22">
        <v>-119081594.995015</v>
      </c>
    </row>
    <row r="132" spans="1:10" x14ac:dyDescent="0.25">
      <c r="A132" s="21">
        <v>328800016.12602735</v>
      </c>
      <c r="B132" s="22">
        <v>80505501.97482574</v>
      </c>
      <c r="C132" s="21">
        <v>585469647</v>
      </c>
      <c r="D132" s="21">
        <v>-20077197.7882061</v>
      </c>
      <c r="E132" s="21">
        <v>439428131.19999999</v>
      </c>
      <c r="F132" s="21">
        <v>124337079.96886504</v>
      </c>
      <c r="G132" s="21">
        <v>131520006.45041093</v>
      </c>
      <c r="H132" s="21">
        <v>70469226.729983807</v>
      </c>
      <c r="I132" s="21">
        <v>161500</v>
      </c>
      <c r="J132" s="22">
        <v>-210401030.460796</v>
      </c>
    </row>
    <row r="133" spans="1:10" x14ac:dyDescent="0.25">
      <c r="A133" s="21">
        <v>309458838.70684928</v>
      </c>
      <c r="B133" s="22">
        <v>86373346.891350865</v>
      </c>
      <c r="C133" s="21">
        <v>551030256</v>
      </c>
      <c r="D133" s="21">
        <v>-47955355.696457267</v>
      </c>
      <c r="E133" s="21">
        <v>413579417.60000002</v>
      </c>
      <c r="F133" s="21">
        <v>144535054.78258151</v>
      </c>
      <c r="G133" s="21">
        <v>123783535.48273972</v>
      </c>
      <c r="H133" s="21">
        <v>72809550.509302437</v>
      </c>
      <c r="I133" s="21">
        <v>152000</v>
      </c>
      <c r="J133" s="22">
        <v>-301720465.92657745</v>
      </c>
    </row>
    <row r="134" spans="1:10" x14ac:dyDescent="0.25">
      <c r="A134" s="21">
        <v>290117661.28767121</v>
      </c>
      <c r="B134" s="22">
        <v>92354910.613091111</v>
      </c>
      <c r="C134" s="21">
        <v>516590865</v>
      </c>
      <c r="D134" s="21">
        <v>-75833513.604708552</v>
      </c>
      <c r="E134" s="21">
        <v>387730704</v>
      </c>
      <c r="F134" s="21">
        <v>164701308.61987364</v>
      </c>
      <c r="G134" s="21">
        <v>116047064.51506847</v>
      </c>
      <c r="H134" s="21">
        <v>75168349.417751789</v>
      </c>
      <c r="I134" s="21">
        <v>142500</v>
      </c>
      <c r="J134" s="22">
        <v>-393039901.39235878</v>
      </c>
    </row>
    <row r="135" spans="1:10" x14ac:dyDescent="0.25">
      <c r="A135" s="21">
        <v>270776483.86849314</v>
      </c>
      <c r="B135" s="22">
        <v>98453013.466449618</v>
      </c>
      <c r="C135" s="21">
        <v>482151473.99999994</v>
      </c>
      <c r="D135" s="21">
        <v>-103711671.51295978</v>
      </c>
      <c r="E135" s="21">
        <v>361881990.39999998</v>
      </c>
      <c r="F135" s="21">
        <v>184835383.99095511</v>
      </c>
      <c r="G135" s="21">
        <v>108310593.54739724</v>
      </c>
      <c r="H135" s="21">
        <v>77545809.783219934</v>
      </c>
      <c r="I135" s="21">
        <v>133000</v>
      </c>
      <c r="J135" s="22">
        <v>-484359336.85814017</v>
      </c>
    </row>
    <row r="136" spans="1:10" x14ac:dyDescent="0.25">
      <c r="A136" s="21">
        <v>251435306.44931504</v>
      </c>
      <c r="B136" s="22">
        <v>104670559.55452484</v>
      </c>
      <c r="C136" s="21">
        <v>447712083</v>
      </c>
      <c r="D136" s="21">
        <v>-131589829.421211</v>
      </c>
      <c r="E136" s="21">
        <v>336033276.80000001</v>
      </c>
      <c r="F136" s="21">
        <v>204936814.53888786</v>
      </c>
      <c r="G136" s="21">
        <v>100574122.57972603</v>
      </c>
      <c r="H136" s="21">
        <v>79942120.179710507</v>
      </c>
      <c r="I136" s="21">
        <v>123500</v>
      </c>
      <c r="J136" s="22">
        <v>-575678772.32392144</v>
      </c>
    </row>
    <row r="137" spans="1:10" x14ac:dyDescent="0.25">
      <c r="A137" s="21">
        <v>232094129.03013697</v>
      </c>
      <c r="B137" s="22">
        <v>111010539.6371519</v>
      </c>
      <c r="C137" s="21">
        <v>413272692</v>
      </c>
      <c r="D137" s="21">
        <v>-159467987.32946232</v>
      </c>
      <c r="E137" s="21">
        <v>310184563.19999999</v>
      </c>
      <c r="F137" s="21">
        <v>225005124.82298708</v>
      </c>
      <c r="G137" s="21">
        <v>92837651.61205478</v>
      </c>
      <c r="H137" s="21">
        <v>82357471.458610058</v>
      </c>
      <c r="I137" s="21">
        <v>114000</v>
      </c>
      <c r="J137" s="22">
        <v>-666998207.78970265</v>
      </c>
    </row>
    <row r="139" spans="1:10" x14ac:dyDescent="0.25">
      <c r="A139" s="386" t="s">
        <v>582</v>
      </c>
      <c r="B139" s="386"/>
      <c r="C139" s="386"/>
      <c r="D139" s="386"/>
      <c r="E139" s="386"/>
      <c r="F139" s="386"/>
    </row>
    <row r="140" spans="1:10" x14ac:dyDescent="0.25">
      <c r="A140" s="9"/>
      <c r="B140" s="9" t="s">
        <v>304</v>
      </c>
      <c r="C140" s="9" t="s">
        <v>575</v>
      </c>
      <c r="D140" s="9" t="s">
        <v>573</v>
      </c>
      <c r="E140" s="9" t="s">
        <v>574</v>
      </c>
      <c r="F140" s="9" t="s">
        <v>114</v>
      </c>
    </row>
    <row r="141" spans="1:10" x14ac:dyDescent="0.25">
      <c r="A141" s="9" t="s">
        <v>583</v>
      </c>
      <c r="B141" s="330">
        <f>B142*(1+1%)</f>
        <v>390691783.86739767</v>
      </c>
      <c r="C141" s="330">
        <f t="shared" ref="C141:F141" si="15">C142*(1+1%)</f>
        <v>695675698.20000005</v>
      </c>
      <c r="D141" s="330">
        <f t="shared" si="15"/>
        <v>522144014.72000003</v>
      </c>
      <c r="E141" s="330">
        <f t="shared" si="15"/>
        <v>156276713.54695925</v>
      </c>
      <c r="F141" s="330">
        <f t="shared" si="15"/>
        <v>191900</v>
      </c>
    </row>
    <row r="142" spans="1:10" x14ac:dyDescent="0.25">
      <c r="A142" s="9" t="s">
        <v>584</v>
      </c>
      <c r="B142" s="330">
        <f>B107</f>
        <v>386823548.38356203</v>
      </c>
      <c r="C142" s="330">
        <f t="shared" ref="C142:F142" si="16">C107</f>
        <v>688787820</v>
      </c>
      <c r="D142" s="330">
        <f t="shared" si="16"/>
        <v>516974272</v>
      </c>
      <c r="E142" s="330">
        <f t="shared" si="16"/>
        <v>154729419.353425</v>
      </c>
      <c r="F142" s="330">
        <f t="shared" si="16"/>
        <v>190000</v>
      </c>
    </row>
    <row r="147" spans="1:10" x14ac:dyDescent="0.25">
      <c r="A147" s="380" t="s">
        <v>304</v>
      </c>
      <c r="B147" s="380"/>
      <c r="C147" s="380" t="s">
        <v>575</v>
      </c>
      <c r="D147" s="380"/>
      <c r="E147" s="380" t="s">
        <v>573</v>
      </c>
      <c r="F147" s="380"/>
      <c r="G147" s="380" t="s">
        <v>574</v>
      </c>
      <c r="H147" s="380"/>
      <c r="I147" s="380" t="s">
        <v>114</v>
      </c>
      <c r="J147" s="380"/>
    </row>
    <row r="148" spans="1:10" x14ac:dyDescent="0.25">
      <c r="A148" s="21"/>
      <c r="B148" s="22">
        <f>FC!B32</f>
        <v>63557275.936547756</v>
      </c>
      <c r="C148" s="21"/>
      <c r="D148" s="22">
        <f>FC!B32</f>
        <v>63557275.936547756</v>
      </c>
      <c r="E148" s="21"/>
      <c r="F148" s="22">
        <f>FC!B32</f>
        <v>63557275.936547756</v>
      </c>
      <c r="G148" s="21"/>
      <c r="H148" s="22">
        <f>FC!B32</f>
        <v>63557275.936547756</v>
      </c>
      <c r="I148" s="21"/>
      <c r="J148" s="22">
        <f>FC!B32</f>
        <v>63557275.936547756</v>
      </c>
    </row>
    <row r="149" spans="1:10" x14ac:dyDescent="0.25">
      <c r="A149" s="21">
        <v>390691783.86739725</v>
      </c>
      <c r="B149" s="22">
        <f t="dataTable" ref="B149:B150" dt2D="0" dtr="0" r1="B40" ca="1"/>
        <v>62461178.882820725</v>
      </c>
      <c r="C149" s="21">
        <v>695675698.20000005</v>
      </c>
      <c r="D149" s="21">
        <f t="dataTable" ref="D149:D150" dt2D="0" dtr="0" r1="C8" ca="1"/>
        <v>69132907.518198073</v>
      </c>
      <c r="E149" s="21">
        <v>522144014.72000003</v>
      </c>
      <c r="F149" s="21">
        <f t="dataTable" ref="F149:F150" dt2D="0" dtr="0" r1="C18" ca="1"/>
        <v>59495569.766759992</v>
      </c>
      <c r="G149" s="21">
        <v>156276713.54695889</v>
      </c>
      <c r="H149" s="21">
        <f t="dataTable" ref="H149:H150" dt2D="0" dtr="0" r1="B46" ca="1"/>
        <v>63102212.913170218</v>
      </c>
      <c r="I149" s="21">
        <v>191900</v>
      </c>
      <c r="J149" s="22">
        <f t="dataTable" ref="J149:J150" dt2D="0" dtr="0" r1="C11"/>
        <v>81821163.029703975</v>
      </c>
    </row>
    <row r="150" spans="1:10" x14ac:dyDescent="0.25">
      <c r="A150" s="21">
        <v>386823548.38356161</v>
      </c>
      <c r="B150" s="22">
        <v>63557275.936547756</v>
      </c>
      <c r="C150" s="21">
        <v>688787820</v>
      </c>
      <c r="D150" s="21">
        <v>63557275.936547756</v>
      </c>
      <c r="E150" s="21">
        <v>516974272</v>
      </c>
      <c r="F150" s="21">
        <v>63557275.936547756</v>
      </c>
      <c r="G150" s="21">
        <v>154729419.35342464</v>
      </c>
      <c r="H150" s="21">
        <v>63557275.936547756</v>
      </c>
      <c r="I150" s="21">
        <v>190000</v>
      </c>
      <c r="J150" s="22">
        <v>63557275.936547756</v>
      </c>
    </row>
  </sheetData>
  <scenarios current="0" sqref="J22:J23">
    <scenario name="Normal" locked="1" count="2" user="Felipe Rodas Tamayo">
      <inputCells r="C8" val="688787820" numFmtId="42"/>
      <inputCells r="C18" val="516974272" numFmtId="165"/>
    </scenario>
    <scenario name="Auge" locked="1" count="2" user="Felipe Rodas Tamayo">
      <inputCells r="C8" val="792105993" numFmtId="42"/>
      <inputCells r="C18" val="542822985,6" numFmtId="165"/>
    </scenario>
    <scenario name="Recesión" locked="1" count="2" user="Felipe Rodas Tamayo">
      <inputCells r="C8" val="619909038" numFmtId="42"/>
      <inputCells r="C18" val="542822985,6" numFmtId="165"/>
    </scenario>
  </scenarios>
  <mergeCells count="14">
    <mergeCell ref="I147:J147"/>
    <mergeCell ref="A67:H67"/>
    <mergeCell ref="I14:J14"/>
    <mergeCell ref="A118:B118"/>
    <mergeCell ref="C118:D118"/>
    <mergeCell ref="E118:F118"/>
    <mergeCell ref="G118:H118"/>
    <mergeCell ref="I118:J118"/>
    <mergeCell ref="A97:F97"/>
    <mergeCell ref="A139:F139"/>
    <mergeCell ref="A147:B147"/>
    <mergeCell ref="C147:D147"/>
    <mergeCell ref="E147:F147"/>
    <mergeCell ref="G147:H147"/>
  </mergeCells>
  <phoneticPr fontId="10" type="noConversion"/>
  <conditionalFormatting sqref="B70:V94">
    <cfRule type="cellIs" dxfId="16" priority="3" operator="greaterThan">
      <formula>0</formula>
    </cfRule>
  </conditionalFormatting>
  <conditionalFormatting sqref="A69:V94">
    <cfRule type="cellIs" dxfId="15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59999389629810485"/>
  </sheetPr>
  <dimension ref="A7:G38"/>
  <sheetViews>
    <sheetView showGridLines="0" topLeftCell="C1" workbookViewId="0">
      <selection activeCell="E23" sqref="E23"/>
    </sheetView>
  </sheetViews>
  <sheetFormatPr baseColWidth="10" defaultRowHeight="15" x14ac:dyDescent="0.25"/>
  <cols>
    <col min="1" max="1" width="30.42578125" customWidth="1"/>
    <col min="2" max="2" width="13.85546875" customWidth="1"/>
    <col min="3" max="3" width="14.42578125" customWidth="1"/>
    <col min="4" max="4" width="16.42578125" customWidth="1"/>
    <col min="5" max="5" width="17.5703125" customWidth="1"/>
    <col min="6" max="6" width="15.5703125" customWidth="1"/>
    <col min="7" max="7" width="16.42578125" customWidth="1"/>
  </cols>
  <sheetData>
    <row r="7" spans="1:7" ht="15.75" thickBot="1" x14ac:dyDescent="0.3"/>
    <row r="8" spans="1:7" ht="15.75" thickBot="1" x14ac:dyDescent="0.3">
      <c r="A8" s="387" t="s">
        <v>443</v>
      </c>
      <c r="B8" s="388"/>
      <c r="C8" s="388"/>
      <c r="D8" s="388"/>
      <c r="E8" s="388"/>
      <c r="F8" s="388"/>
      <c r="G8" s="389"/>
    </row>
    <row r="9" spans="1:7" x14ac:dyDescent="0.25">
      <c r="A9" s="125"/>
      <c r="B9" s="126" t="s">
        <v>107</v>
      </c>
      <c r="C9" s="126" t="s">
        <v>108</v>
      </c>
      <c r="D9" s="126" t="s">
        <v>109</v>
      </c>
      <c r="E9" s="126" t="s">
        <v>110</v>
      </c>
      <c r="F9" s="126" t="s">
        <v>111</v>
      </c>
      <c r="G9" s="142" t="s">
        <v>112</v>
      </c>
    </row>
    <row r="10" spans="1:7" x14ac:dyDescent="0.25">
      <c r="A10" s="128"/>
      <c r="B10" s="138"/>
      <c r="C10" s="138"/>
      <c r="D10" s="138"/>
      <c r="E10" s="138"/>
      <c r="F10" s="138"/>
      <c r="G10" s="135"/>
    </row>
    <row r="11" spans="1:7" x14ac:dyDescent="0.25">
      <c r="A11" s="127" t="s">
        <v>444</v>
      </c>
      <c r="B11" s="143"/>
      <c r="C11" s="143"/>
      <c r="D11" s="143"/>
      <c r="E11" s="143"/>
      <c r="F11" s="143"/>
      <c r="G11" s="144"/>
    </row>
    <row r="12" spans="1:7" x14ac:dyDescent="0.25">
      <c r="A12" s="125" t="s">
        <v>120</v>
      </c>
      <c r="B12" s="143">
        <f>'PARÁM-SENSIBILIDAD'!B38</f>
        <v>47767748.383561641</v>
      </c>
      <c r="C12" s="143">
        <f>'PARÁM-SENSIBILIDAD'!C38</f>
        <v>49338240.491885588</v>
      </c>
      <c r="D12" s="143">
        <f>'PARÁM-SENSIBILIDAD'!D38</f>
        <v>50998718.903299935</v>
      </c>
      <c r="E12" s="143">
        <f>'PARÁM-SENSIBILIDAD'!E38</f>
        <v>52820318.420223027</v>
      </c>
      <c r="F12" s="143">
        <f>'PARÁM-SENSIBILIDAD'!F38</f>
        <v>54815197.631060414</v>
      </c>
      <c r="G12" s="144">
        <f>'PARÁM-SENSIBILIDAD'!G38</f>
        <v>0</v>
      </c>
    </row>
    <row r="13" spans="1:7" x14ac:dyDescent="0.25">
      <c r="A13" s="125"/>
      <c r="B13" s="138"/>
      <c r="C13" s="138"/>
      <c r="D13" s="138"/>
      <c r="E13" s="138"/>
      <c r="F13" s="138"/>
      <c r="G13" s="135"/>
    </row>
    <row r="14" spans="1:7" x14ac:dyDescent="0.25">
      <c r="A14" s="127" t="s">
        <v>445</v>
      </c>
      <c r="B14" s="138"/>
      <c r="C14" s="138"/>
      <c r="D14" s="138"/>
      <c r="E14" s="138"/>
      <c r="F14" s="138"/>
      <c r="G14" s="135"/>
    </row>
    <row r="15" spans="1:7" x14ac:dyDescent="0.25">
      <c r="A15" s="145" t="s">
        <v>280</v>
      </c>
      <c r="B15" s="146">
        <f>'AMORT-DEPREC'!B11</f>
        <v>69000000</v>
      </c>
      <c r="C15" s="146">
        <f>'AMORT-DEPREC'!C11</f>
        <v>65550000</v>
      </c>
      <c r="D15" s="146">
        <f>'AMORT-DEPREC'!D11</f>
        <v>62100000</v>
      </c>
      <c r="E15" s="146">
        <f>'AMORT-DEPREC'!E11</f>
        <v>58650000</v>
      </c>
      <c r="F15" s="146">
        <f>'AMORT-DEPREC'!F11</f>
        <v>55200000</v>
      </c>
      <c r="G15" s="147">
        <f>'AMORT-DEPREC'!G11</f>
        <v>51750000</v>
      </c>
    </row>
    <row r="16" spans="1:7" x14ac:dyDescent="0.25">
      <c r="A16" s="145" t="s">
        <v>210</v>
      </c>
      <c r="B16" s="146">
        <f>'AMORT-DEPREC'!B16</f>
        <v>171667800</v>
      </c>
      <c r="C16" s="146">
        <f>'AMORT-DEPREC'!C16</f>
        <v>163084410</v>
      </c>
      <c r="D16" s="146">
        <f>'AMORT-DEPREC'!D16</f>
        <v>154501020</v>
      </c>
      <c r="E16" s="146">
        <f>'AMORT-DEPREC'!E16</f>
        <v>145917630</v>
      </c>
      <c r="F16" s="146">
        <f>'AMORT-DEPREC'!F16</f>
        <v>137334240</v>
      </c>
      <c r="G16" s="147">
        <f>'AMORT-DEPREC'!G16</f>
        <v>128750850</v>
      </c>
    </row>
    <row r="17" spans="1:7" x14ac:dyDescent="0.25">
      <c r="A17" s="145" t="s">
        <v>301</v>
      </c>
      <c r="B17" s="146">
        <f>'AMORT-DEPREC'!B21</f>
        <v>35965900</v>
      </c>
      <c r="C17" s="146">
        <f>'AMORT-DEPREC'!C21</f>
        <v>28772720</v>
      </c>
      <c r="D17" s="146">
        <f>'AMORT-DEPREC'!D21</f>
        <v>21579540</v>
      </c>
      <c r="E17" s="146">
        <f>'AMORT-DEPREC'!E21</f>
        <v>14386360</v>
      </c>
      <c r="F17" s="146">
        <f>'AMORT-DEPREC'!F21</f>
        <v>7193180</v>
      </c>
      <c r="G17" s="147">
        <f>'AMORT-DEPREC'!G21</f>
        <v>0</v>
      </c>
    </row>
    <row r="18" spans="1:7" x14ac:dyDescent="0.25">
      <c r="A18" s="145" t="s">
        <v>281</v>
      </c>
      <c r="B18" s="146">
        <f>'AMORT-DEPREC'!B26</f>
        <v>10065000</v>
      </c>
      <c r="C18" s="146">
        <f>'AMORT-DEPREC'!C26</f>
        <v>8052000</v>
      </c>
      <c r="D18" s="146">
        <f>'AMORT-DEPREC'!D26</f>
        <v>6039000</v>
      </c>
      <c r="E18" s="146">
        <f>'AMORT-DEPREC'!E26</f>
        <v>4026000</v>
      </c>
      <c r="F18" s="146">
        <f>'AMORT-DEPREC'!F26</f>
        <v>2013000</v>
      </c>
      <c r="G18" s="147">
        <f>'AMORT-DEPREC'!G26</f>
        <v>0</v>
      </c>
    </row>
    <row r="19" spans="1:7" x14ac:dyDescent="0.25">
      <c r="A19" s="145" t="s">
        <v>282</v>
      </c>
      <c r="B19" s="146">
        <f>'AMORT-DEPREC'!B31</f>
        <v>5411000</v>
      </c>
      <c r="C19" s="146">
        <f>'AMORT-DEPREC'!C31</f>
        <v>4869900</v>
      </c>
      <c r="D19" s="146">
        <f>'AMORT-DEPREC'!D31</f>
        <v>4328800</v>
      </c>
      <c r="E19" s="146">
        <f>'AMORT-DEPREC'!E31</f>
        <v>3787700</v>
      </c>
      <c r="F19" s="146">
        <f>'AMORT-DEPREC'!F31</f>
        <v>3246600</v>
      </c>
      <c r="G19" s="147">
        <f>'AMORT-DEPREC'!G31</f>
        <v>2705500</v>
      </c>
    </row>
    <row r="20" spans="1:7" x14ac:dyDescent="0.25">
      <c r="A20" s="145" t="s">
        <v>269</v>
      </c>
      <c r="B20" s="146">
        <f>'AMORT-DEPREC'!B36</f>
        <v>46946100</v>
      </c>
      <c r="C20" s="146">
        <f>'AMORT-DEPREC'!C36</f>
        <v>42251490</v>
      </c>
      <c r="D20" s="146">
        <f>'AMORT-DEPREC'!D36</f>
        <v>37556880</v>
      </c>
      <c r="E20" s="146">
        <f>'AMORT-DEPREC'!E36</f>
        <v>32862270</v>
      </c>
      <c r="F20" s="146">
        <f>'AMORT-DEPREC'!F36</f>
        <v>28167660</v>
      </c>
      <c r="G20" s="147">
        <f>'AMORT-DEPREC'!G36</f>
        <v>23473050</v>
      </c>
    </row>
    <row r="21" spans="1:7" x14ac:dyDescent="0.25">
      <c r="A21" s="129" t="s">
        <v>446</v>
      </c>
      <c r="B21" s="138"/>
      <c r="C21" s="146">
        <f>FC!C58</f>
        <v>59315945.515589647</v>
      </c>
      <c r="D21" s="146">
        <f>FC!D58+ESF!C21</f>
        <v>124721559.12685817</v>
      </c>
      <c r="E21" s="146">
        <f>FC!E58+ESF!D21</f>
        <v>200178157.09824446</v>
      </c>
      <c r="F21" s="146">
        <f>FC!F58+ESF!E21</f>
        <v>291387536.33486468</v>
      </c>
      <c r="G21" s="147">
        <f>FC!G58+ESF!F21</f>
        <v>459077757.84858716</v>
      </c>
    </row>
    <row r="22" spans="1:7" ht="15.75" thickBot="1" x14ac:dyDescent="0.3">
      <c r="A22" s="128"/>
      <c r="B22" s="138"/>
      <c r="C22" s="138"/>
      <c r="D22" s="138"/>
      <c r="E22" s="138"/>
      <c r="F22" s="138"/>
      <c r="G22" s="135"/>
    </row>
    <row r="23" spans="1:7" ht="15.75" thickBot="1" x14ac:dyDescent="0.3">
      <c r="A23" s="130" t="s">
        <v>447</v>
      </c>
      <c r="B23" s="131">
        <f>SUM(B12:B20)</f>
        <v>386823548.38356161</v>
      </c>
      <c r="C23" s="131">
        <f>SUM(C12:C21)</f>
        <v>421234706.00747526</v>
      </c>
      <c r="D23" s="131">
        <f>SUM(D12:D21)</f>
        <v>461825518.0301581</v>
      </c>
      <c r="E23" s="131">
        <f>SUM(E12:E21)</f>
        <v>512628435.51846743</v>
      </c>
      <c r="F23" s="131">
        <f>SUM(F12:F21)</f>
        <v>579357413.9659251</v>
      </c>
      <c r="G23" s="132">
        <f>SUM(G12:G21)</f>
        <v>665757157.84858716</v>
      </c>
    </row>
    <row r="24" spans="1:7" x14ac:dyDescent="0.25">
      <c r="A24" s="128"/>
      <c r="B24" s="138"/>
      <c r="C24" s="138"/>
      <c r="D24" s="138"/>
      <c r="E24" s="138"/>
      <c r="F24" s="138"/>
      <c r="G24" s="135"/>
    </row>
    <row r="25" spans="1:7" x14ac:dyDescent="0.25">
      <c r="A25" s="148" t="s">
        <v>295</v>
      </c>
      <c r="B25" s="138"/>
      <c r="C25" s="138"/>
      <c r="D25" s="138"/>
      <c r="E25" s="138"/>
      <c r="F25" s="138"/>
      <c r="G25" s="135"/>
    </row>
    <row r="26" spans="1:7" x14ac:dyDescent="0.25">
      <c r="A26" s="128"/>
      <c r="B26" s="146">
        <f>'SERV DEUDA'!B13</f>
        <v>154729419.353425</v>
      </c>
      <c r="C26" s="146">
        <f>'SERV DEUDA'!C13</f>
        <v>129385130.25850025</v>
      </c>
      <c r="D26" s="146">
        <f>'SERV DEUDA'!D13</f>
        <v>101506412.25408304</v>
      </c>
      <c r="E26" s="146">
        <f>'SERV DEUDA'!E13</f>
        <v>70839822.4492241</v>
      </c>
      <c r="F26" s="146">
        <f>'SERV DEUDA'!F13</f>
        <v>37106573.663879275</v>
      </c>
      <c r="G26" s="147">
        <f>'SERV DEUDA'!G13</f>
        <v>0</v>
      </c>
    </row>
    <row r="27" spans="1:7" ht="15.75" thickBot="1" x14ac:dyDescent="0.3">
      <c r="A27" s="128"/>
      <c r="B27" s="146"/>
      <c r="C27" s="146"/>
      <c r="D27" s="146"/>
      <c r="E27" s="146"/>
      <c r="F27" s="146"/>
      <c r="G27" s="147"/>
    </row>
    <row r="28" spans="1:7" ht="15.75" thickBot="1" x14ac:dyDescent="0.3">
      <c r="A28" s="130" t="s">
        <v>448</v>
      </c>
      <c r="B28" s="131">
        <f>SUM(B26:B27)</f>
        <v>154729419.353425</v>
      </c>
      <c r="C28" s="131">
        <f t="shared" ref="C28:G28" si="0">SUM(C26:C27)</f>
        <v>129385130.25850025</v>
      </c>
      <c r="D28" s="131">
        <f t="shared" si="0"/>
        <v>101506412.25408304</v>
      </c>
      <c r="E28" s="131">
        <f t="shared" si="0"/>
        <v>70839822.4492241</v>
      </c>
      <c r="F28" s="131">
        <f t="shared" si="0"/>
        <v>37106573.663879275</v>
      </c>
      <c r="G28" s="132">
        <f t="shared" si="0"/>
        <v>0</v>
      </c>
    </row>
    <row r="29" spans="1:7" x14ac:dyDescent="0.25">
      <c r="A29" s="128"/>
      <c r="B29" s="138"/>
      <c r="C29" s="138"/>
      <c r="D29" s="138"/>
      <c r="E29" s="138"/>
      <c r="F29" s="138"/>
      <c r="G29" s="135"/>
    </row>
    <row r="30" spans="1:7" x14ac:dyDescent="0.25">
      <c r="A30" s="127" t="s">
        <v>124</v>
      </c>
      <c r="B30" s="138"/>
      <c r="C30" s="138"/>
      <c r="D30" s="138"/>
      <c r="E30" s="138"/>
      <c r="F30" s="138"/>
      <c r="G30" s="135"/>
    </row>
    <row r="31" spans="1:7" x14ac:dyDescent="0.25">
      <c r="A31" s="125" t="s">
        <v>128</v>
      </c>
      <c r="B31" s="143">
        <f>'PARÁM-SENSIBILIDAD'!$B$49</f>
        <v>232094129.03013721</v>
      </c>
      <c r="C31" s="143">
        <f>'PARÁM-SENSIBILIDAD'!$B$49</f>
        <v>232094129.03013721</v>
      </c>
      <c r="D31" s="143">
        <f>'PARÁM-SENSIBILIDAD'!$B$49</f>
        <v>232094129.03013721</v>
      </c>
      <c r="E31" s="143">
        <f>'PARÁM-SENSIBILIDAD'!$B$49</f>
        <v>232094129.03013721</v>
      </c>
      <c r="F31" s="143">
        <f>'PARÁM-SENSIBILIDAD'!$B$49</f>
        <v>232094129.03013721</v>
      </c>
      <c r="G31" s="144">
        <f>'PARÁM-SENSIBILIDAD'!$B$49</f>
        <v>232094129.03013721</v>
      </c>
    </row>
    <row r="32" spans="1:7" x14ac:dyDescent="0.25">
      <c r="A32" s="128" t="s">
        <v>449</v>
      </c>
      <c r="B32" s="146">
        <f>ER!B22</f>
        <v>0</v>
      </c>
      <c r="C32" s="146">
        <f>ER!C22</f>
        <v>59755446.718838327</v>
      </c>
      <c r="D32" s="146">
        <f>ER!D22+C32</f>
        <v>128224976.74593842</v>
      </c>
      <c r="E32" s="146">
        <f>ER!E22+D32</f>
        <v>209694484.03910673</v>
      </c>
      <c r="F32" s="146">
        <f>ER!F22+E32</f>
        <v>310156711.27190912</v>
      </c>
      <c r="G32" s="147">
        <f>ER!G22+F32</f>
        <v>433663028.81845051</v>
      </c>
    </row>
    <row r="33" spans="1:7" ht="15.75" thickBot="1" x14ac:dyDescent="0.3">
      <c r="A33" s="128"/>
      <c r="B33" s="138"/>
      <c r="C33" s="138"/>
      <c r="D33" s="138"/>
      <c r="E33" s="138"/>
      <c r="F33" s="138"/>
      <c r="G33" s="135"/>
    </row>
    <row r="34" spans="1:7" ht="15.75" thickBot="1" x14ac:dyDescent="0.3">
      <c r="A34" s="130" t="s">
        <v>450</v>
      </c>
      <c r="B34" s="131">
        <f>SUM(B31:B32)</f>
        <v>232094129.03013721</v>
      </c>
      <c r="C34" s="131">
        <f t="shared" ref="C34:G34" si="1">SUM(C31:C32)</f>
        <v>291849575.74897552</v>
      </c>
      <c r="D34" s="131">
        <f t="shared" si="1"/>
        <v>360319105.7760756</v>
      </c>
      <c r="E34" s="131">
        <f t="shared" si="1"/>
        <v>441788613.06924391</v>
      </c>
      <c r="F34" s="131">
        <f t="shared" si="1"/>
        <v>542250840.3020463</v>
      </c>
      <c r="G34" s="132">
        <f t="shared" si="1"/>
        <v>665757157.84858775</v>
      </c>
    </row>
    <row r="35" spans="1:7" s="133" customFormat="1" ht="15.75" thickBot="1" x14ac:dyDescent="0.3">
      <c r="A35" s="149"/>
      <c r="B35" s="150"/>
      <c r="C35" s="150"/>
      <c r="D35" s="150"/>
      <c r="E35" s="150"/>
      <c r="F35" s="150"/>
      <c r="G35" s="151"/>
    </row>
    <row r="36" spans="1:7" ht="15.75" thickBot="1" x14ac:dyDescent="0.3">
      <c r="A36" s="130" t="s">
        <v>451</v>
      </c>
      <c r="B36" s="131">
        <f t="shared" ref="B36:G36" si="2">B28+B34</f>
        <v>386823548.38356221</v>
      </c>
      <c r="C36" s="131">
        <f t="shared" si="2"/>
        <v>421234706.00747573</v>
      </c>
      <c r="D36" s="131">
        <f t="shared" si="2"/>
        <v>461825518.03015864</v>
      </c>
      <c r="E36" s="131">
        <f t="shared" si="2"/>
        <v>512628435.51846802</v>
      </c>
      <c r="F36" s="131">
        <f t="shared" si="2"/>
        <v>579357413.96592557</v>
      </c>
      <c r="G36" s="132">
        <f t="shared" si="2"/>
        <v>665757157.84858775</v>
      </c>
    </row>
    <row r="37" spans="1:7" x14ac:dyDescent="0.25">
      <c r="A37" s="128"/>
      <c r="B37" s="138"/>
      <c r="C37" s="138"/>
      <c r="D37" s="138"/>
      <c r="E37" s="138"/>
      <c r="F37" s="138"/>
      <c r="G37" s="135"/>
    </row>
    <row r="38" spans="1:7" ht="15.75" thickBot="1" x14ac:dyDescent="0.3">
      <c r="A38" s="152" t="s">
        <v>452</v>
      </c>
      <c r="B38" s="180">
        <f>B23-B36</f>
        <v>-5.9604644775390625E-7</v>
      </c>
      <c r="C38" s="180">
        <f>C23-C36</f>
        <v>-4.76837158203125E-7</v>
      </c>
      <c r="D38" s="180">
        <f t="shared" ref="D38:F38" si="3">D23-D36</f>
        <v>-5.3644180297851563E-7</v>
      </c>
      <c r="E38" s="180">
        <f t="shared" si="3"/>
        <v>-5.9604644775390625E-7</v>
      </c>
      <c r="F38" s="180">
        <f t="shared" si="3"/>
        <v>0</v>
      </c>
      <c r="G38" s="181">
        <f>G23-G36</f>
        <v>0</v>
      </c>
    </row>
  </sheetData>
  <mergeCells count="1">
    <mergeCell ref="A8:G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59999389629810485"/>
  </sheetPr>
  <dimension ref="A5:P28"/>
  <sheetViews>
    <sheetView showGridLines="0" topLeftCell="A10" workbookViewId="0">
      <selection activeCell="D4" sqref="D4"/>
    </sheetView>
  </sheetViews>
  <sheetFormatPr baseColWidth="10" defaultRowHeight="15" x14ac:dyDescent="0.25"/>
  <cols>
    <col min="1" max="1" width="26.28515625" customWidth="1"/>
    <col min="2" max="2" width="15.5703125" customWidth="1"/>
    <col min="3" max="7" width="14" bestFit="1" customWidth="1"/>
    <col min="10" max="10" width="26.140625" customWidth="1"/>
    <col min="11" max="16" width="14" bestFit="1" customWidth="1"/>
  </cols>
  <sheetData>
    <row r="5" spans="1:16" ht="15.75" thickBot="1" x14ac:dyDescent="0.3"/>
    <row r="6" spans="1:16" ht="15.75" thickBot="1" x14ac:dyDescent="0.3">
      <c r="A6" s="373" t="s">
        <v>453</v>
      </c>
      <c r="B6" s="390"/>
      <c r="C6" s="390"/>
      <c r="D6" s="390"/>
      <c r="E6" s="390"/>
      <c r="F6" s="390"/>
      <c r="G6" s="391"/>
    </row>
    <row r="7" spans="1:16" x14ac:dyDescent="0.25">
      <c r="A7" s="134" t="s">
        <v>454</v>
      </c>
      <c r="B7" s="6"/>
      <c r="C7" s="6"/>
      <c r="D7" s="6"/>
      <c r="E7" s="137"/>
    </row>
    <row r="8" spans="1:16" x14ac:dyDescent="0.25">
      <c r="A8" s="128"/>
      <c r="E8" s="138"/>
    </row>
    <row r="9" spans="1:16" x14ac:dyDescent="0.25">
      <c r="A9" s="136"/>
      <c r="B9" s="33" t="s">
        <v>107</v>
      </c>
      <c r="C9" s="33" t="s">
        <v>455</v>
      </c>
      <c r="D9" s="33" t="s">
        <v>109</v>
      </c>
      <c r="E9" s="33" t="s">
        <v>110</v>
      </c>
      <c r="F9" s="33" t="s">
        <v>456</v>
      </c>
      <c r="G9" s="33" t="s">
        <v>112</v>
      </c>
    </row>
    <row r="11" spans="1:16" x14ac:dyDescent="0.25">
      <c r="A11" s="139" t="s">
        <v>457</v>
      </c>
    </row>
    <row r="12" spans="1:16" x14ac:dyDescent="0.25">
      <c r="A12" s="128" t="s">
        <v>128</v>
      </c>
      <c r="B12" s="1">
        <f>'PARÁM-SENSIBILIDAD'!B49</f>
        <v>232094129.03013721</v>
      </c>
    </row>
    <row r="13" spans="1:16" x14ac:dyDescent="0.25">
      <c r="A13" s="128" t="s">
        <v>125</v>
      </c>
      <c r="B13" s="2">
        <f>'PARÁM-SENSIBILIDAD'!B46</f>
        <v>154729419.353425</v>
      </c>
    </row>
    <row r="14" spans="1:16" x14ac:dyDescent="0.25">
      <c r="A14" s="128" t="s">
        <v>119</v>
      </c>
      <c r="C14" s="1">
        <f>'PARÁM-SENSIBILIDAD'!B38</f>
        <v>47767748.383561641</v>
      </c>
      <c r="D14" s="1">
        <f>'PARÁM-SENSIBILIDAD'!C38</f>
        <v>49338240.491885588</v>
      </c>
      <c r="E14" s="1">
        <f>'PARÁM-SENSIBILIDAD'!D38</f>
        <v>50998718.903299935</v>
      </c>
      <c r="F14" s="1">
        <f>'PARÁM-SENSIBILIDAD'!E38</f>
        <v>52820318.420223027</v>
      </c>
      <c r="G14" s="1">
        <f>'PARÁM-SENSIBILIDAD'!F38</f>
        <v>54815197.631060414</v>
      </c>
    </row>
    <row r="15" spans="1:16" x14ac:dyDescent="0.25">
      <c r="A15" s="128" t="s">
        <v>116</v>
      </c>
      <c r="C15" s="1">
        <f>'PARÁM-SENSIBILIDAD'!C22</f>
        <v>107613548</v>
      </c>
      <c r="D15" s="1">
        <f>'PARÁM-SENSIBILIDAD'!D22</f>
        <v>114655034.8138721</v>
      </c>
      <c r="E15" s="1">
        <f>'PARÁM-SENSIBILIDAD'!E22</f>
        <v>126152852.31680205</v>
      </c>
      <c r="F15" s="1">
        <f>'PARÁM-SENSIBILIDAD'!F22</f>
        <v>143957314.1491009</v>
      </c>
      <c r="G15" s="1">
        <f>'PARÁM-SENSIBILIDAD'!G22</f>
        <v>165907165.43951035</v>
      </c>
      <c r="K15" s="183" t="s">
        <v>107</v>
      </c>
      <c r="L15" s="183" t="s">
        <v>455</v>
      </c>
      <c r="M15" s="183" t="s">
        <v>109</v>
      </c>
      <c r="N15" s="183" t="s">
        <v>110</v>
      </c>
      <c r="O15" s="183" t="s">
        <v>456</v>
      </c>
      <c r="P15" s="183" t="s">
        <v>112</v>
      </c>
    </row>
    <row r="16" spans="1:16" x14ac:dyDescent="0.25">
      <c r="A16" s="140" t="s">
        <v>458</v>
      </c>
      <c r="B16" s="118">
        <f>SUM(B12:B15)</f>
        <v>386823548.38356221</v>
      </c>
      <c r="C16" s="118">
        <f t="shared" ref="C16:F16" si="0">SUM(C12:C15)</f>
        <v>155381296.38356164</v>
      </c>
      <c r="D16" s="118">
        <f t="shared" si="0"/>
        <v>163993275.3057577</v>
      </c>
      <c r="E16" s="118">
        <f t="shared" si="0"/>
        <v>177151571.22010198</v>
      </c>
      <c r="F16" s="118">
        <f t="shared" si="0"/>
        <v>196777632.56932393</v>
      </c>
      <c r="G16" s="119">
        <f>SUM(G12:G15)</f>
        <v>220722363.07057077</v>
      </c>
      <c r="J16" s="140" t="s">
        <v>458</v>
      </c>
      <c r="K16" s="1">
        <v>386823548.38356161</v>
      </c>
      <c r="L16" s="1">
        <v>155381296.38356164</v>
      </c>
      <c r="M16" s="1">
        <v>163993275.3057577</v>
      </c>
      <c r="N16" s="1">
        <v>177151571.22010198</v>
      </c>
      <c r="O16" s="1">
        <v>196777632.56932393</v>
      </c>
      <c r="P16" s="1">
        <v>220722363.07057077</v>
      </c>
    </row>
    <row r="17" spans="1:16" x14ac:dyDescent="0.25">
      <c r="J17" s="140" t="s">
        <v>461</v>
      </c>
      <c r="K17" s="1">
        <v>339055800</v>
      </c>
      <c r="L17" s="1">
        <v>51371789.175197132</v>
      </c>
      <c r="M17" s="1">
        <v>52315331.509177253</v>
      </c>
      <c r="N17" s="1">
        <v>53706414.883282334</v>
      </c>
      <c r="O17" s="1">
        <v>55718538.216856822</v>
      </c>
      <c r="P17" s="1">
        <v>58165204.866961405</v>
      </c>
    </row>
    <row r="18" spans="1:16" x14ac:dyDescent="0.25">
      <c r="A18" s="139" t="s">
        <v>459</v>
      </c>
      <c r="J18" s="158" t="s">
        <v>555</v>
      </c>
      <c r="K18" s="1">
        <v>0</v>
      </c>
      <c r="L18" s="1">
        <v>54671266.716478929</v>
      </c>
      <c r="M18" s="1">
        <v>60679224.893280514</v>
      </c>
      <c r="N18" s="1">
        <v>70624837.916596621</v>
      </c>
      <c r="O18" s="1">
        <v>86243896.721406698</v>
      </c>
      <c r="P18" s="1">
        <v>162557158.20360935</v>
      </c>
    </row>
    <row r="19" spans="1:16" x14ac:dyDescent="0.25">
      <c r="A19" s="128" t="s">
        <v>130</v>
      </c>
      <c r="C19" s="2">
        <f>ER!C20</f>
        <v>5909879.3458191752</v>
      </c>
      <c r="D19" s="2">
        <f>ER!D20</f>
        <v>6771711.7609219858</v>
      </c>
      <c r="E19" s="2">
        <f>ER!E20</f>
        <v>8057423.7982254373</v>
      </c>
      <c r="F19" s="2">
        <f>ER!F20</f>
        <v>9935824.6713760626</v>
      </c>
      <c r="G19" s="2">
        <f>ER!G20</f>
        <v>12214910.526581017</v>
      </c>
    </row>
    <row r="20" spans="1:16" x14ac:dyDescent="0.25">
      <c r="A20" s="128" t="s">
        <v>274</v>
      </c>
      <c r="C20" s="2">
        <f>'SERV DEUDA'!C11</f>
        <v>15472941.9353425</v>
      </c>
      <c r="D20" s="2">
        <f>'SERV DEUDA'!D11</f>
        <v>12938513.025850026</v>
      </c>
      <c r="E20" s="2">
        <f>'SERV DEUDA'!E11</f>
        <v>10150641.225408304</v>
      </c>
      <c r="F20" s="2">
        <f>'SERV DEUDA'!F11</f>
        <v>7083982.2449224107</v>
      </c>
      <c r="G20" s="2">
        <f>'SERV DEUDA'!G11</f>
        <v>3710657.3663879279</v>
      </c>
    </row>
    <row r="21" spans="1:16" x14ac:dyDescent="0.25">
      <c r="A21" s="128" t="s">
        <v>460</v>
      </c>
      <c r="C21" s="121">
        <f>'SERV DEUDA'!C10</f>
        <v>25344289.09492474</v>
      </c>
      <c r="D21" s="121">
        <f>'SERV DEUDA'!D10</f>
        <v>27878718.004417211</v>
      </c>
      <c r="E21" s="121">
        <f>'SERV DEUDA'!E10</f>
        <v>30666589.804858934</v>
      </c>
      <c r="F21" s="121">
        <f>'SERV DEUDA'!F10</f>
        <v>33733248.785344824</v>
      </c>
      <c r="G21" s="121">
        <f>'SERV DEUDA'!G10</f>
        <v>37106573.663879313</v>
      </c>
    </row>
    <row r="22" spans="1:16" x14ac:dyDescent="0.25">
      <c r="A22" s="128" t="s">
        <v>117</v>
      </c>
      <c r="B22" s="1">
        <f>'PARÁM-SENSIBILIDAD'!B24</f>
        <v>339055800</v>
      </c>
    </row>
    <row r="23" spans="1:16" x14ac:dyDescent="0.25">
      <c r="A23" s="140" t="s">
        <v>461</v>
      </c>
      <c r="B23" s="118">
        <f>SUM(B19:B22)</f>
        <v>339055800</v>
      </c>
      <c r="C23" s="118">
        <f t="shared" ref="C23:G23" si="1">SUM(C19:C22)</f>
        <v>46727110.376086414</v>
      </c>
      <c r="D23" s="118">
        <f t="shared" si="1"/>
        <v>47588942.791189224</v>
      </c>
      <c r="E23" s="118">
        <f t="shared" si="1"/>
        <v>48874654.828492671</v>
      </c>
      <c r="F23" s="118">
        <f t="shared" si="1"/>
        <v>50753055.701643296</v>
      </c>
      <c r="G23" s="119">
        <f t="shared" si="1"/>
        <v>53032141.556848258</v>
      </c>
    </row>
    <row r="25" spans="1:16" x14ac:dyDescent="0.25">
      <c r="A25" s="157" t="s">
        <v>462</v>
      </c>
      <c r="B25" s="2">
        <f>B16-B23</f>
        <v>47767748.383562207</v>
      </c>
      <c r="C25" s="2">
        <f t="shared" ref="C25:G25" si="2">C16-C23</f>
        <v>108654186.00747523</v>
      </c>
      <c r="D25" s="2">
        <f t="shared" si="2"/>
        <v>116404332.51456848</v>
      </c>
      <c r="E25" s="2">
        <f t="shared" si="2"/>
        <v>128276916.39160931</v>
      </c>
      <c r="F25" s="2">
        <f t="shared" si="2"/>
        <v>146024576.86768064</v>
      </c>
      <c r="G25" s="2">
        <f t="shared" si="2"/>
        <v>167690221.51372251</v>
      </c>
    </row>
    <row r="26" spans="1:16" x14ac:dyDescent="0.25">
      <c r="A26" s="141" t="s">
        <v>119</v>
      </c>
      <c r="B26" s="1">
        <f>'PARÁM-SENSIBILIDAD'!B38</f>
        <v>47767748.383561641</v>
      </c>
      <c r="C26" s="1">
        <f>'PARÁM-SENSIBILIDAD'!C38</f>
        <v>49338240.491885588</v>
      </c>
      <c r="D26" s="1">
        <f>'PARÁM-SENSIBILIDAD'!D38</f>
        <v>50998718.903299935</v>
      </c>
      <c r="E26" s="1">
        <f>'PARÁM-SENSIBILIDAD'!E38</f>
        <v>52820318.420223027</v>
      </c>
      <c r="F26" s="1">
        <f>'PARÁM-SENSIBILIDAD'!F38</f>
        <v>54815197.631060414</v>
      </c>
      <c r="G26" s="1">
        <f>'PARÁM-SENSIBILIDAD'!G38</f>
        <v>0</v>
      </c>
    </row>
    <row r="28" spans="1:16" x14ac:dyDescent="0.25">
      <c r="A28" s="158" t="s">
        <v>555</v>
      </c>
      <c r="B28" s="109">
        <f>B25-B26</f>
        <v>5.6624412536621094E-7</v>
      </c>
      <c r="C28" s="109">
        <f>C25-C26</f>
        <v>59315945.51558964</v>
      </c>
      <c r="D28" s="109">
        <f t="shared" ref="D28:G28" si="3">D25-D26</f>
        <v>65405613.611268543</v>
      </c>
      <c r="E28" s="109">
        <f t="shared" si="3"/>
        <v>75456597.971386284</v>
      </c>
      <c r="F28" s="109">
        <f t="shared" si="3"/>
        <v>91209379.236620218</v>
      </c>
      <c r="G28" s="110">
        <f t="shared" si="3"/>
        <v>167690221.51372251</v>
      </c>
    </row>
  </sheetData>
  <mergeCells count="1">
    <mergeCell ref="A6:G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>
    <tabColor theme="5" tint="0.59999389629810485"/>
  </sheetPr>
  <dimension ref="A6:T21"/>
  <sheetViews>
    <sheetView topLeftCell="A4" workbookViewId="0">
      <selection activeCell="A7" sqref="A7:T12"/>
    </sheetView>
  </sheetViews>
  <sheetFormatPr baseColWidth="10" defaultRowHeight="15" x14ac:dyDescent="0.25"/>
  <cols>
    <col min="1" max="1" width="11.42578125" style="133"/>
    <col min="2" max="2" width="17" style="133" hidden="1" customWidth="1"/>
    <col min="3" max="3" width="17.7109375" style="133" hidden="1" customWidth="1"/>
    <col min="4" max="4" width="18.7109375" style="133" hidden="1" customWidth="1"/>
    <col min="5" max="5" width="17.85546875" style="133" hidden="1" customWidth="1"/>
    <col min="6" max="6" width="18.140625" style="133" hidden="1" customWidth="1"/>
    <col min="7" max="7" width="19.5703125" style="133" hidden="1" customWidth="1"/>
    <col min="8" max="13" width="11.42578125" style="133"/>
    <col min="14" max="14" width="16.85546875" style="133" customWidth="1"/>
    <col min="15" max="16384" width="11.42578125" style="133"/>
  </cols>
  <sheetData>
    <row r="6" spans="1:20" x14ac:dyDescent="0.25">
      <c r="A6" s="396" t="s">
        <v>289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</row>
    <row r="7" spans="1:20" x14ac:dyDescent="0.25">
      <c r="A7" s="395" t="s">
        <v>290</v>
      </c>
      <c r="B7" s="398" t="s">
        <v>107</v>
      </c>
      <c r="C7" s="398" t="s">
        <v>108</v>
      </c>
      <c r="D7" s="398" t="s">
        <v>109</v>
      </c>
      <c r="E7" s="393" t="s">
        <v>110</v>
      </c>
      <c r="F7" s="393" t="s">
        <v>111</v>
      </c>
      <c r="G7" s="393" t="s">
        <v>112</v>
      </c>
      <c r="H7" s="399" t="s">
        <v>291</v>
      </c>
      <c r="I7" s="400"/>
      <c r="J7" s="400"/>
      <c r="K7" s="400"/>
      <c r="L7" s="400"/>
      <c r="M7" s="400"/>
      <c r="N7" s="398" t="s">
        <v>292</v>
      </c>
      <c r="O7" s="395" t="s">
        <v>293</v>
      </c>
      <c r="P7" s="395"/>
      <c r="Q7" s="395"/>
      <c r="R7" s="395"/>
      <c r="S7" s="395"/>
      <c r="T7" s="395"/>
    </row>
    <row r="8" spans="1:20" ht="33.75" customHeight="1" x14ac:dyDescent="0.25">
      <c r="A8" s="395"/>
      <c r="B8" s="398"/>
      <c r="C8" s="398"/>
      <c r="D8" s="398"/>
      <c r="E8" s="394"/>
      <c r="F8" s="394"/>
      <c r="G8" s="394"/>
      <c r="H8" s="166" t="s">
        <v>107</v>
      </c>
      <c r="I8" s="166" t="s">
        <v>108</v>
      </c>
      <c r="J8" s="166" t="s">
        <v>109</v>
      </c>
      <c r="K8" s="166" t="s">
        <v>110</v>
      </c>
      <c r="L8" s="166" t="s">
        <v>111</v>
      </c>
      <c r="M8" s="285" t="s">
        <v>112</v>
      </c>
      <c r="N8" s="398"/>
      <c r="O8" s="166" t="s">
        <v>107</v>
      </c>
      <c r="P8" s="166" t="s">
        <v>108</v>
      </c>
      <c r="Q8" s="166" t="s">
        <v>109</v>
      </c>
      <c r="R8" s="166" t="s">
        <v>110</v>
      </c>
      <c r="S8" s="166" t="s">
        <v>111</v>
      </c>
      <c r="T8" s="166" t="s">
        <v>112</v>
      </c>
    </row>
    <row r="9" spans="1:20" x14ac:dyDescent="0.25">
      <c r="A9" s="163" t="s">
        <v>294</v>
      </c>
      <c r="B9" s="286">
        <f>ESF!B23</f>
        <v>386823548.38356161</v>
      </c>
      <c r="C9" s="286">
        <f>ESF!C23</f>
        <v>421234706.00747526</v>
      </c>
      <c r="D9" s="286">
        <f>ESF!D23</f>
        <v>461825518.0301581</v>
      </c>
      <c r="E9" s="286">
        <f>ESF!E23</f>
        <v>512628435.51846743</v>
      </c>
      <c r="F9" s="286">
        <f>ESF!F23</f>
        <v>579357413.9659251</v>
      </c>
      <c r="G9" s="286">
        <f>ESF!G23</f>
        <v>665757157.84858716</v>
      </c>
      <c r="H9" s="163"/>
      <c r="I9" s="163"/>
      <c r="J9" s="163"/>
      <c r="K9" s="163"/>
      <c r="L9" s="163"/>
      <c r="M9" s="161"/>
      <c r="N9" s="163"/>
      <c r="O9" s="163"/>
      <c r="P9" s="161"/>
      <c r="Q9" s="161"/>
      <c r="R9" s="287"/>
      <c r="S9" s="161"/>
      <c r="T9" s="161"/>
    </row>
    <row r="10" spans="1:20" x14ac:dyDescent="0.25">
      <c r="A10" s="163" t="s">
        <v>295</v>
      </c>
      <c r="B10" s="286">
        <f>ESF!B28</f>
        <v>154729419.353425</v>
      </c>
      <c r="C10" s="286">
        <f>ESF!C28</f>
        <v>129385130.25850025</v>
      </c>
      <c r="D10" s="286">
        <f>ESF!D28</f>
        <v>101506412.25408304</v>
      </c>
      <c r="E10" s="286">
        <f>ESF!E28</f>
        <v>70839822.4492241</v>
      </c>
      <c r="F10" s="286">
        <f>ESF!F28</f>
        <v>37106573.663879275</v>
      </c>
      <c r="G10" s="286">
        <f>ESF!G28</f>
        <v>0</v>
      </c>
      <c r="H10" s="288">
        <f t="shared" ref="H10:M10" si="0">B10/B9</f>
        <v>0.40000000000000091</v>
      </c>
      <c r="I10" s="288">
        <f>C10/C9</f>
        <v>0.30715686151511973</v>
      </c>
      <c r="J10" s="288">
        <f t="shared" si="0"/>
        <v>0.21979385783410624</v>
      </c>
      <c r="K10" s="288">
        <f t="shared" si="0"/>
        <v>0.13818941272264265</v>
      </c>
      <c r="L10" s="288">
        <f t="shared" si="0"/>
        <v>6.4047810158966392E-2</v>
      </c>
      <c r="M10" s="288">
        <f t="shared" si="0"/>
        <v>0</v>
      </c>
      <c r="N10" s="289">
        <f>'PARÁM-SENSIBILIDAD'!B48*(1-'PARÁM-SENSIBILIDAD'!B53)</f>
        <v>9.1000000000000011E-2</v>
      </c>
      <c r="O10" s="289">
        <f>$N$10*H10</f>
        <v>3.6400000000000085E-2</v>
      </c>
      <c r="P10" s="289">
        <f t="shared" ref="P10:Q10" si="1">$N$10*I10</f>
        <v>2.7951274397875897E-2</v>
      </c>
      <c r="Q10" s="289">
        <f t="shared" si="1"/>
        <v>2.0001241062903671E-2</v>
      </c>
      <c r="R10" s="289">
        <f>$N$10*K10</f>
        <v>1.2575236557760484E-2</v>
      </c>
      <c r="S10" s="289">
        <f>$N$10*L10</f>
        <v>5.8283507244659425E-3</v>
      </c>
      <c r="T10" s="289">
        <f>$N$10*M10</f>
        <v>0</v>
      </c>
    </row>
    <row r="11" spans="1:20" ht="15.75" thickBot="1" x14ac:dyDescent="0.3">
      <c r="A11" s="163" t="s">
        <v>124</v>
      </c>
      <c r="B11" s="286">
        <f>ESF!B34</f>
        <v>232094129.03013721</v>
      </c>
      <c r="C11" s="286">
        <f>ESF!C34</f>
        <v>291849575.74897552</v>
      </c>
      <c r="D11" s="286">
        <f>ESF!D34</f>
        <v>360319105.7760756</v>
      </c>
      <c r="E11" s="286">
        <f>ESF!E34</f>
        <v>441788613.06924391</v>
      </c>
      <c r="F11" s="286">
        <f>ESF!F34</f>
        <v>542250840.3020463</v>
      </c>
      <c r="G11" s="286">
        <f>ESF!G34</f>
        <v>665757157.84858775</v>
      </c>
      <c r="H11" s="288">
        <f t="shared" ref="H11:M11" si="2">B11/B9</f>
        <v>0.60000000000000064</v>
      </c>
      <c r="I11" s="288">
        <f t="shared" si="2"/>
        <v>0.69284313848488144</v>
      </c>
      <c r="J11" s="288">
        <f t="shared" si="2"/>
        <v>0.7802061421658949</v>
      </c>
      <c r="K11" s="288">
        <f t="shared" si="2"/>
        <v>0.86181058727735849</v>
      </c>
      <c r="L11" s="288">
        <f t="shared" si="2"/>
        <v>0.93595218984103445</v>
      </c>
      <c r="M11" s="288">
        <f t="shared" si="2"/>
        <v>1.0000000000000009</v>
      </c>
      <c r="N11" s="290"/>
      <c r="O11" s="290">
        <f>$B$21*H11</f>
        <v>8.777204584109799E-2</v>
      </c>
      <c r="P11" s="290">
        <f>$B$21*I11</f>
        <v>0.10135376618630858</v>
      </c>
      <c r="Q11" s="290">
        <f>$B$21*J11</f>
        <v>0.1141338154594851</v>
      </c>
      <c r="R11" s="290">
        <f t="shared" ref="R11:T11" si="3">$B$21*K11</f>
        <v>0.12607146395475299</v>
      </c>
      <c r="S11" s="290">
        <f t="shared" si="3"/>
        <v>0.13691739751967205</v>
      </c>
      <c r="T11" s="290">
        <f t="shared" si="3"/>
        <v>0.14628674306849662</v>
      </c>
    </row>
    <row r="12" spans="1:20" ht="18.75" thickBot="1" x14ac:dyDescent="0.4">
      <c r="A12" s="291" t="s">
        <v>142</v>
      </c>
      <c r="B12" s="160">
        <f>$B$20*(1+((1-'PARÁM-SENSIBILIDAD'!B53)*(B10/B11)))</f>
        <v>0.97733645632961175</v>
      </c>
      <c r="C12" s="168"/>
      <c r="D12" s="168"/>
      <c r="E12" s="168"/>
      <c r="F12" s="168"/>
      <c r="G12" s="168"/>
      <c r="H12" s="168"/>
      <c r="I12" s="163"/>
      <c r="J12" s="163"/>
      <c r="K12" s="163"/>
      <c r="L12" s="163"/>
      <c r="M12" s="292"/>
      <c r="N12" s="293" t="s">
        <v>132</v>
      </c>
      <c r="O12" s="294">
        <f>SUM(O10:O11)</f>
        <v>0.12417204584109807</v>
      </c>
      <c r="P12" s="294">
        <f t="shared" ref="P12:S12" si="4">SUM(P10:P11)</f>
        <v>0.12930504058418446</v>
      </c>
      <c r="Q12" s="294">
        <f t="shared" si="4"/>
        <v>0.13413505652238877</v>
      </c>
      <c r="R12" s="294">
        <f t="shared" si="4"/>
        <v>0.13864670051251349</v>
      </c>
      <c r="S12" s="294">
        <f t="shared" si="4"/>
        <v>0.14274574824413799</v>
      </c>
      <c r="T12" s="295">
        <f>SUM(T10:T11)</f>
        <v>0.14628674306849662</v>
      </c>
    </row>
    <row r="16" spans="1:20" x14ac:dyDescent="0.25">
      <c r="A16" s="392" t="s">
        <v>139</v>
      </c>
      <c r="B16" s="392"/>
    </row>
    <row r="17" spans="1:3" x14ac:dyDescent="0.25">
      <c r="A17" s="161" t="s">
        <v>140</v>
      </c>
      <c r="B17" s="43">
        <f>Solución!D5</f>
        <v>2.4275493522869507E-2</v>
      </c>
      <c r="C17" s="133" t="s">
        <v>463</v>
      </c>
    </row>
    <row r="18" spans="1:3" x14ac:dyDescent="0.25">
      <c r="A18" s="161" t="s">
        <v>141</v>
      </c>
      <c r="B18" s="296">
        <f>Solución!E5</f>
        <v>8.8390978227032457E-2</v>
      </c>
      <c r="C18" s="133" t="s">
        <v>464</v>
      </c>
    </row>
    <row r="19" spans="1:3" ht="18" x14ac:dyDescent="0.35">
      <c r="A19" s="291" t="s">
        <v>142</v>
      </c>
      <c r="B19" s="160">
        <f>B20*(1+(('PARÁM-SENSIBILIDAD'!B46/'PARÁM-SENSIBILIDAD'!B49)*(1-'PARÁM-SENSIBILIDAD'!B53)))</f>
        <v>0.97733645632961175</v>
      </c>
    </row>
    <row r="20" spans="1:3" x14ac:dyDescent="0.25">
      <c r="A20" s="291" t="s">
        <v>143</v>
      </c>
      <c r="B20" s="297">
        <f>'Industry Averages'!F54</f>
        <v>0.608300698960339</v>
      </c>
    </row>
    <row r="21" spans="1:3" x14ac:dyDescent="0.25">
      <c r="A21" s="291" t="s">
        <v>442</v>
      </c>
      <c r="B21" s="296">
        <f>Solución!H10</f>
        <v>0.14628674306849648</v>
      </c>
    </row>
  </sheetData>
  <mergeCells count="12">
    <mergeCell ref="A16:B16"/>
    <mergeCell ref="F7:F8"/>
    <mergeCell ref="G7:G8"/>
    <mergeCell ref="O7:T7"/>
    <mergeCell ref="A6:R6"/>
    <mergeCell ref="A7:A8"/>
    <mergeCell ref="B7:B8"/>
    <mergeCell ref="C7:C8"/>
    <mergeCell ref="D7:D8"/>
    <mergeCell ref="E7:E8"/>
    <mergeCell ref="H7:M7"/>
    <mergeCell ref="N7:N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/>
  </sheetPr>
  <dimension ref="A7:G18"/>
  <sheetViews>
    <sheetView workbookViewId="0">
      <selection activeCell="C13" sqref="C13"/>
    </sheetView>
  </sheetViews>
  <sheetFormatPr baseColWidth="10" defaultRowHeight="15" x14ac:dyDescent="0.25"/>
  <cols>
    <col min="1" max="2" width="18.42578125" style="133" customWidth="1"/>
    <col min="3" max="3" width="14.28515625" style="133" customWidth="1"/>
    <col min="4" max="5" width="13.28515625" style="133" customWidth="1"/>
    <col min="6" max="6" width="14" style="133" customWidth="1"/>
    <col min="7" max="7" width="14.85546875" style="133" customWidth="1"/>
    <col min="8" max="16384" width="11.42578125" style="133"/>
  </cols>
  <sheetData>
    <row r="7" spans="1:7" ht="28.5" customHeight="1" x14ac:dyDescent="0.25">
      <c r="A7" s="395" t="s">
        <v>465</v>
      </c>
      <c r="B7" s="395"/>
      <c r="C7" s="395"/>
      <c r="D7" s="395"/>
      <c r="E7" s="395"/>
      <c r="F7" s="395"/>
      <c r="G7" s="395"/>
    </row>
    <row r="8" spans="1:7" x14ac:dyDescent="0.25">
      <c r="A8" s="161"/>
      <c r="B8" s="162">
        <v>0</v>
      </c>
      <c r="C8" s="162">
        <v>1</v>
      </c>
      <c r="D8" s="162">
        <v>2</v>
      </c>
      <c r="E8" s="162">
        <v>3</v>
      </c>
      <c r="F8" s="162">
        <v>4</v>
      </c>
      <c r="G8" s="162">
        <v>5</v>
      </c>
    </row>
    <row r="9" spans="1:7" x14ac:dyDescent="0.25">
      <c r="A9" s="163"/>
      <c r="B9" s="166" t="s">
        <v>107</v>
      </c>
      <c r="C9" s="166" t="s">
        <v>108</v>
      </c>
      <c r="D9" s="166" t="s">
        <v>109</v>
      </c>
      <c r="E9" s="166" t="s">
        <v>110</v>
      </c>
      <c r="F9" s="166" t="s">
        <v>111</v>
      </c>
      <c r="G9" s="166" t="s">
        <v>112</v>
      </c>
    </row>
    <row r="10" spans="1:7" x14ac:dyDescent="0.25">
      <c r="A10" s="161" t="s">
        <v>466</v>
      </c>
      <c r="B10" s="164">
        <f>FC!B27</f>
        <v>-386823548.38356161</v>
      </c>
      <c r="C10" s="164">
        <f>FC!C27</f>
        <v>98740611.771676049</v>
      </c>
      <c r="D10" s="164">
        <f>FC!D27</f>
        <v>105058378.46920925</v>
      </c>
      <c r="E10" s="164">
        <f>FC!E27</f>
        <v>115360271.29136679</v>
      </c>
      <c r="F10" s="164">
        <f>FC!F27</f>
        <v>131389051.86484444</v>
      </c>
      <c r="G10" s="164">
        <f>FC!G27</f>
        <v>208173493.38101482</v>
      </c>
    </row>
    <row r="11" spans="1:7" x14ac:dyDescent="0.25">
      <c r="A11" s="161" t="s">
        <v>132</v>
      </c>
      <c r="B11" s="161"/>
      <c r="C11" s="165">
        <f>WACC!P12</f>
        <v>0.12930504058418446</v>
      </c>
      <c r="D11" s="165">
        <f>WACC!Q12</f>
        <v>0.13413505652238877</v>
      </c>
      <c r="E11" s="165">
        <f>WACC!R12</f>
        <v>0.13864670051251349</v>
      </c>
      <c r="F11" s="165">
        <f>WACC!S12</f>
        <v>0.14274574824413799</v>
      </c>
      <c r="G11" s="165">
        <f>WACC!T12</f>
        <v>0.14628674306849662</v>
      </c>
    </row>
    <row r="12" spans="1:7" x14ac:dyDescent="0.25">
      <c r="A12" s="161" t="s">
        <v>467</v>
      </c>
      <c r="B12" s="161">
        <v>1</v>
      </c>
      <c r="C12" s="167">
        <f>B12*(1+C11)</f>
        <v>1.1293050405841845</v>
      </c>
      <c r="D12" s="167">
        <f>C12*(1+D11)</f>
        <v>1.2807844360339624</v>
      </c>
      <c r="E12" s="167">
        <f>D12*(1+E11)</f>
        <v>1.4583609721578517</v>
      </c>
      <c r="F12" s="167">
        <f>E12*(1+F11)</f>
        <v>1.6665358003385726</v>
      </c>
      <c r="G12" s="167">
        <f>F12*(1+G11)</f>
        <v>1.9103278947771529</v>
      </c>
    </row>
    <row r="13" spans="1:7" x14ac:dyDescent="0.25">
      <c r="A13" s="161" t="s">
        <v>468</v>
      </c>
      <c r="B13" s="164">
        <f>B10/B12</f>
        <v>-386823548.38356161</v>
      </c>
      <c r="C13" s="164">
        <f>C10/C12</f>
        <v>87434845.522869512</v>
      </c>
      <c r="D13" s="164">
        <f>D10/D12</f>
        <v>82026588.950854048</v>
      </c>
      <c r="E13" s="164">
        <f t="shared" ref="E13:F13" si="0">E10/E12</f>
        <v>79102686.847601876</v>
      </c>
      <c r="F13" s="164">
        <f t="shared" si="0"/>
        <v>78839621.589978144</v>
      </c>
      <c r="G13" s="164">
        <f>G10/G12</f>
        <v>108972650.16658255</v>
      </c>
    </row>
    <row r="15" spans="1:7" x14ac:dyDescent="0.25">
      <c r="A15" s="161" t="s">
        <v>306</v>
      </c>
      <c r="B15" s="164">
        <f>NPV(C11,C10:G10)+B13</f>
        <v>57205085.671744108</v>
      </c>
    </row>
    <row r="16" spans="1:7" x14ac:dyDescent="0.25">
      <c r="A16" s="161" t="s">
        <v>307</v>
      </c>
      <c r="B16" s="272">
        <f>IRR(B10:G10)</f>
        <v>0.18129452769335441</v>
      </c>
    </row>
    <row r="17" spans="2:2" x14ac:dyDescent="0.25">
      <c r="B17" s="298">
        <f>SUM(C13:G13)+B13</f>
        <v>49552844.694324493</v>
      </c>
    </row>
    <row r="18" spans="2:2" x14ac:dyDescent="0.25">
      <c r="B18" s="298">
        <f>+NPV(C11,C10:G10)+B10</f>
        <v>57205085.671744108</v>
      </c>
    </row>
  </sheetData>
  <mergeCells count="1">
    <mergeCell ref="A7:G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-0.249977111117893"/>
  </sheetPr>
  <dimension ref="A6:C14"/>
  <sheetViews>
    <sheetView topLeftCell="A10" workbookViewId="0">
      <selection activeCell="A6" sqref="A6:C14"/>
    </sheetView>
  </sheetViews>
  <sheetFormatPr baseColWidth="10" defaultRowHeight="15" x14ac:dyDescent="0.25"/>
  <cols>
    <col min="1" max="1" width="40.5703125" style="133" bestFit="1" customWidth="1"/>
    <col min="2" max="2" width="24" style="133" customWidth="1"/>
    <col min="3" max="3" width="38.85546875" style="133" customWidth="1"/>
    <col min="4" max="16384" width="11.42578125" style="133"/>
  </cols>
  <sheetData>
    <row r="6" spans="1:3" ht="30" customHeight="1" x14ac:dyDescent="0.25">
      <c r="A6" s="401" t="s">
        <v>469</v>
      </c>
      <c r="B6" s="402"/>
      <c r="C6" s="403"/>
    </row>
    <row r="7" spans="1:3" ht="15.75" x14ac:dyDescent="0.25">
      <c r="A7" s="326" t="s">
        <v>570</v>
      </c>
      <c r="B7" s="326" t="s">
        <v>470</v>
      </c>
      <c r="C7" s="326" t="s">
        <v>471</v>
      </c>
    </row>
    <row r="8" spans="1:3" ht="41.25" customHeight="1" x14ac:dyDescent="0.25">
      <c r="A8" s="168" t="s">
        <v>472</v>
      </c>
      <c r="B8" s="299">
        <f>FC!B32</f>
        <v>63557275.936547756</v>
      </c>
      <c r="C8" s="404" t="s">
        <v>534</v>
      </c>
    </row>
    <row r="9" spans="1:3" ht="30" customHeight="1" x14ac:dyDescent="0.25">
      <c r="A9" s="168" t="s">
        <v>473</v>
      </c>
      <c r="B9" s="299">
        <f>FC!B63</f>
        <v>57085758.033525527</v>
      </c>
      <c r="C9" s="405"/>
    </row>
    <row r="10" spans="1:3" ht="50.25" customHeight="1" x14ac:dyDescent="0.25">
      <c r="A10" s="168" t="s">
        <v>474</v>
      </c>
      <c r="B10" s="300">
        <f>FC!B33</f>
        <v>0.18129452769335441</v>
      </c>
      <c r="C10" s="301" t="s">
        <v>535</v>
      </c>
    </row>
    <row r="11" spans="1:3" ht="54.75" customHeight="1" x14ac:dyDescent="0.25">
      <c r="A11" s="168" t="s">
        <v>475</v>
      </c>
      <c r="B11" s="300">
        <f>FC!B64</f>
        <v>0.22883779637673296</v>
      </c>
      <c r="C11" s="302" t="s">
        <v>536</v>
      </c>
    </row>
    <row r="12" spans="1:3" ht="42.75" x14ac:dyDescent="0.25">
      <c r="A12" s="168" t="s">
        <v>476</v>
      </c>
      <c r="B12" s="303">
        <f>FC!C74</f>
        <v>3.9128454754065545</v>
      </c>
      <c r="C12" s="302" t="s">
        <v>537</v>
      </c>
    </row>
    <row r="13" spans="1:3" ht="22.5" customHeight="1" x14ac:dyDescent="0.25">
      <c r="A13" s="168" t="s">
        <v>477</v>
      </c>
      <c r="B13" s="304">
        <f>FC!B31/-FC!B29</f>
        <v>1.1643056018749054</v>
      </c>
      <c r="C13" s="404" t="s">
        <v>538</v>
      </c>
    </row>
    <row r="14" spans="1:3" ht="30" customHeight="1" x14ac:dyDescent="0.25">
      <c r="A14" s="168" t="s">
        <v>478</v>
      </c>
      <c r="B14" s="303">
        <f>FC!B61/-FC!B60</f>
        <v>1.2459595090667421</v>
      </c>
      <c r="C14" s="405"/>
    </row>
  </sheetData>
  <mergeCells count="3">
    <mergeCell ref="A6:C6"/>
    <mergeCell ref="C8:C9"/>
    <mergeCell ref="C13:C1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46" zoomScale="90" zoomScaleNormal="90" workbookViewId="0">
      <selection sqref="A1:L1"/>
    </sheetView>
  </sheetViews>
  <sheetFormatPr baseColWidth="10" defaultRowHeight="15" x14ac:dyDescent="0.25"/>
  <cols>
    <col min="1" max="1" width="13.5703125" customWidth="1"/>
    <col min="2" max="2" width="15.5703125" customWidth="1"/>
    <col min="3" max="3" width="16.140625" customWidth="1"/>
    <col min="4" max="4" width="16.85546875" customWidth="1"/>
    <col min="5" max="5" width="14.85546875" customWidth="1"/>
    <col min="6" max="6" width="17.28515625" customWidth="1"/>
    <col min="12" max="12" width="26.42578125" customWidth="1"/>
    <col min="13" max="13" width="17.42578125" customWidth="1"/>
  </cols>
  <sheetData>
    <row r="1" spans="1:12" ht="18.75" x14ac:dyDescent="0.3">
      <c r="A1" s="411" t="s">
        <v>647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</row>
    <row r="2" spans="1:12" ht="45" customHeight="1" x14ac:dyDescent="0.25">
      <c r="A2" s="340" t="s">
        <v>576</v>
      </c>
      <c r="B2" s="380" t="s">
        <v>577</v>
      </c>
      <c r="C2" s="380"/>
      <c r="D2" s="380"/>
      <c r="E2" s="380"/>
      <c r="F2" s="9"/>
      <c r="G2" s="380"/>
      <c r="H2" s="380"/>
      <c r="I2" s="380"/>
      <c r="J2" s="380"/>
      <c r="K2" s="380"/>
      <c r="L2" s="380"/>
    </row>
    <row r="3" spans="1:12" ht="45" customHeight="1" x14ac:dyDescent="0.25">
      <c r="A3" s="340" t="s">
        <v>578</v>
      </c>
      <c r="B3" s="406" t="s">
        <v>579</v>
      </c>
      <c r="C3" s="406"/>
      <c r="D3" s="406"/>
      <c r="E3" s="406"/>
      <c r="F3" s="406"/>
      <c r="G3" s="380"/>
      <c r="H3" s="380"/>
      <c r="I3" s="380"/>
      <c r="J3" s="380"/>
      <c r="K3" s="380"/>
      <c r="L3" s="380"/>
    </row>
    <row r="4" spans="1:12" ht="45" customHeight="1" x14ac:dyDescent="0.25">
      <c r="A4" s="340" t="s">
        <v>606</v>
      </c>
      <c r="B4" s="406" t="s">
        <v>607</v>
      </c>
      <c r="C4" s="406"/>
      <c r="D4" s="406"/>
      <c r="E4" s="406"/>
      <c r="F4" s="199"/>
      <c r="G4" s="380"/>
      <c r="H4" s="380"/>
      <c r="I4" s="380"/>
      <c r="J4" s="380"/>
      <c r="K4" s="380"/>
      <c r="L4" s="380"/>
    </row>
    <row r="5" spans="1:12" ht="59.25" customHeight="1" x14ac:dyDescent="0.25">
      <c r="A5" s="340" t="s">
        <v>645</v>
      </c>
      <c r="B5" s="406" t="s">
        <v>646</v>
      </c>
      <c r="C5" s="406"/>
      <c r="D5" s="406"/>
      <c r="E5" s="406"/>
      <c r="F5" s="406"/>
      <c r="G5" s="364"/>
      <c r="H5" s="364"/>
      <c r="I5" s="364"/>
      <c r="J5" s="364"/>
      <c r="K5" s="364"/>
      <c r="L5" s="359"/>
    </row>
    <row r="6" spans="1:12" ht="18.75" customHeight="1" x14ac:dyDescent="0.25">
      <c r="A6" s="408" t="s">
        <v>580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10"/>
    </row>
    <row r="7" spans="1:12" ht="26.25" customHeight="1" x14ac:dyDescent="0.25">
      <c r="A7" s="214"/>
      <c r="B7" s="380" t="s">
        <v>306</v>
      </c>
      <c r="C7" s="380"/>
      <c r="D7" s="380"/>
      <c r="E7" s="380"/>
      <c r="F7" s="380"/>
      <c r="G7" s="380"/>
      <c r="H7" s="380"/>
      <c r="I7" s="380"/>
      <c r="J7" s="380"/>
      <c r="K7" s="380"/>
      <c r="L7" s="380"/>
    </row>
    <row r="8" spans="1:12" x14ac:dyDescent="0.25">
      <c r="A8" s="214" t="s">
        <v>571</v>
      </c>
      <c r="B8" s="214" t="s">
        <v>304</v>
      </c>
      <c r="C8" s="214" t="s">
        <v>575</v>
      </c>
      <c r="D8" s="214" t="s">
        <v>573</v>
      </c>
      <c r="E8" s="214" t="s">
        <v>574</v>
      </c>
      <c r="F8" s="214" t="s">
        <v>114</v>
      </c>
      <c r="G8" s="380"/>
      <c r="H8" s="380"/>
      <c r="I8" s="380"/>
      <c r="J8" s="380"/>
      <c r="K8" s="380"/>
      <c r="L8" s="380"/>
    </row>
    <row r="9" spans="1:12" ht="18" customHeight="1" x14ac:dyDescent="0.25">
      <c r="A9" s="336">
        <v>0.4</v>
      </c>
      <c r="B9" s="22">
        <f>'PARÁM-SENSIBILIDAD'!B121</f>
        <v>22734059.892775655</v>
      </c>
      <c r="C9" s="215">
        <f>'PARÁM-SENSIBILIDAD'!D121</f>
        <v>286582539.20255768</v>
      </c>
      <c r="D9" s="215">
        <f>'PARÁM-SENSIBILIDAD'!F121</f>
        <v>-99811658.235223353</v>
      </c>
      <c r="E9" s="215">
        <f>'PARÁM-SENSIBILIDAD'!H121</f>
        <v>45893892.151814461</v>
      </c>
      <c r="F9" s="215">
        <f>'PARÁM-SENSIBILIDAD'!J121</f>
        <v>794112759.66279793</v>
      </c>
      <c r="G9" s="380"/>
      <c r="H9" s="380"/>
      <c r="I9" s="380"/>
      <c r="J9" s="380"/>
      <c r="K9" s="380"/>
      <c r="L9" s="380"/>
    </row>
    <row r="10" spans="1:12" ht="18" customHeight="1" x14ac:dyDescent="0.25">
      <c r="A10" s="42">
        <v>0.35</v>
      </c>
      <c r="B10" s="22">
        <f>'PARÁM-SENSIBILIDAD'!B122</f>
        <v>27515760.465040147</v>
      </c>
      <c r="C10" s="215">
        <f>'PARÁM-SENSIBILIDAD'!D122</f>
        <v>258704381.29430664</v>
      </c>
      <c r="D10" s="215">
        <f>'PARÁM-SENSIBILIDAD'!F122</f>
        <v>-79292610.209742963</v>
      </c>
      <c r="E10" s="215">
        <f>'PARÁM-SENSIBILIDAD'!H122</f>
        <v>48042674.648530602</v>
      </c>
      <c r="F10" s="215">
        <f>'PARÁM-SENSIBILIDAD'!J122</f>
        <v>702793324.19701719</v>
      </c>
      <c r="G10" s="380"/>
      <c r="H10" s="380"/>
      <c r="I10" s="380"/>
      <c r="J10" s="380"/>
      <c r="K10" s="380"/>
      <c r="L10" s="380"/>
    </row>
    <row r="11" spans="1:12" ht="18" customHeight="1" x14ac:dyDescent="0.25">
      <c r="A11" s="42">
        <v>0.3</v>
      </c>
      <c r="B11" s="22">
        <f>'PARÁM-SENSIBILIDAD'!B123</f>
        <v>32384961.106512368</v>
      </c>
      <c r="C11" s="215">
        <f>'PARÁM-SENSIBILIDAD'!D123</f>
        <v>230826223.38605535</v>
      </c>
      <c r="D11" s="215">
        <f>'PARÁM-SENSIBILIDAD'!F123</f>
        <v>-58800779.864033163</v>
      </c>
      <c r="E11" s="215">
        <f>'PARÁM-SENSIBILIDAD'!H123</f>
        <v>50208022.436853468</v>
      </c>
      <c r="F11" s="215">
        <f>'PARÁM-SENSIBILIDAD'!J123</f>
        <v>611473888.73123562</v>
      </c>
      <c r="G11" s="380"/>
      <c r="H11" s="380"/>
      <c r="I11" s="380"/>
      <c r="J11" s="380"/>
      <c r="K11" s="380"/>
      <c r="L11" s="380"/>
    </row>
    <row r="12" spans="1:12" ht="18" customHeight="1" x14ac:dyDescent="0.25">
      <c r="A12" s="42">
        <v>0.25</v>
      </c>
      <c r="B12" s="22">
        <f>'PARÁM-SENSIBILIDAD'!B124</f>
        <v>37343722.871240199</v>
      </c>
      <c r="C12" s="215">
        <f>'PARÁM-SENSIBILIDAD'!D124</f>
        <v>202948065.47780406</v>
      </c>
      <c r="D12" s="215">
        <f>'PARÁM-SENSIBILIDAD'!F124</f>
        <v>-38336539.812245846</v>
      </c>
      <c r="E12" s="215">
        <f>'PARÁM-SENSIBILIDAD'!H124</f>
        <v>52390099.068449914</v>
      </c>
      <c r="F12" s="215">
        <f>'PARÁM-SENSIBILIDAD'!J124</f>
        <v>520154453.26545417</v>
      </c>
      <c r="G12" s="380"/>
      <c r="H12" s="380"/>
      <c r="I12" s="380"/>
      <c r="J12" s="380"/>
      <c r="K12" s="380"/>
      <c r="L12" s="380"/>
    </row>
    <row r="13" spans="1:12" ht="18" customHeight="1" x14ac:dyDescent="0.25">
      <c r="A13" s="42">
        <v>0.2</v>
      </c>
      <c r="B13" s="22">
        <f>'PARÁM-SENSIBILIDAD'!B125</f>
        <v>42394165.119470835</v>
      </c>
      <c r="C13" s="215">
        <f>'PARÁM-SENSIBILIDAD'!D125</f>
        <v>175069907.56955278</v>
      </c>
      <c r="D13" s="215">
        <f>'PARÁM-SENSIBILIDAD'!F125</f>
        <v>-17900269.519892156</v>
      </c>
      <c r="E13" s="215">
        <f>'PARÁM-SENSIBILIDAD'!H125</f>
        <v>54589070.027328432</v>
      </c>
      <c r="F13" s="215">
        <f>'PARÁM-SENSIBILIDAD'!J125</f>
        <v>428835017.79967308</v>
      </c>
      <c r="G13" s="380"/>
      <c r="H13" s="380"/>
      <c r="I13" s="380"/>
      <c r="J13" s="380"/>
      <c r="K13" s="380"/>
      <c r="L13" s="380"/>
    </row>
    <row r="14" spans="1:12" ht="18" customHeight="1" x14ac:dyDescent="0.25">
      <c r="A14" s="42">
        <v>0.15</v>
      </c>
      <c r="B14" s="22">
        <f>'PARÁM-SENSIBILIDAD'!B126</f>
        <v>47538467.429329932</v>
      </c>
      <c r="C14" s="215">
        <f>'PARÁM-SENSIBILIDAD'!D126</f>
        <v>147191749.66130149</v>
      </c>
      <c r="D14" s="215">
        <f>'PARÁM-SENSIBILIDAD'!F126</f>
        <v>2507644.5374903679</v>
      </c>
      <c r="E14" s="215">
        <f>'PARÁM-SENSIBILIDAD'!H126</f>
        <v>56805102.756219327</v>
      </c>
      <c r="F14" s="215">
        <f>'PARÁM-SENSIBILIDAD'!J126</f>
        <v>337515582.33389127</v>
      </c>
      <c r="G14" s="380"/>
      <c r="H14" s="380"/>
      <c r="I14" s="380"/>
      <c r="J14" s="380"/>
      <c r="K14" s="380"/>
      <c r="L14" s="380"/>
    </row>
    <row r="15" spans="1:12" ht="18" customHeight="1" x14ac:dyDescent="0.25">
      <c r="A15" s="42">
        <v>0.1</v>
      </c>
      <c r="B15" s="22">
        <f>'PARÁM-SENSIBILIDAD'!B127</f>
        <v>52778871.579553366</v>
      </c>
      <c r="C15" s="215">
        <f>'PARÁM-SENSIBILIDAD'!D127</f>
        <v>119313591.75305039</v>
      </c>
      <c r="D15" s="215">
        <f>'PARÁM-SENSIBILIDAD'!F127</f>
        <v>22886808.711233795</v>
      </c>
      <c r="E15" s="215">
        <f>'PARÁM-SENSIBILIDAD'!H127</f>
        <v>59038366.68336302</v>
      </c>
      <c r="F15" s="215">
        <f>'PARÁM-SENSIBILIDAD'!J127</f>
        <v>246196146.86811078</v>
      </c>
      <c r="G15" s="380"/>
      <c r="H15" s="380"/>
      <c r="I15" s="380"/>
      <c r="J15" s="380"/>
      <c r="K15" s="380"/>
      <c r="L15" s="380"/>
    </row>
    <row r="16" spans="1:12" ht="18" customHeight="1" x14ac:dyDescent="0.25">
      <c r="A16" s="42">
        <v>0.05</v>
      </c>
      <c r="B16" s="22">
        <f>'PARÁM-SENSIBILIDAD'!B128</f>
        <v>58117683.606216788</v>
      </c>
      <c r="C16" s="215">
        <f>'PARÁM-SENSIBILIDAD'!D128</f>
        <v>91435433.844798982</v>
      </c>
      <c r="D16" s="215">
        <f>'PARÁM-SENSIBILIDAD'!F128</f>
        <v>43236822.011841595</v>
      </c>
      <c r="E16" s="215">
        <f>'PARÁM-SENSIBILIDAD'!H128</f>
        <v>61289033.249710977</v>
      </c>
      <c r="F16" s="215">
        <f>'PARÁM-SENSIBILIDAD'!J128</f>
        <v>154876711.40232909</v>
      </c>
      <c r="G16" s="380"/>
      <c r="H16" s="380"/>
      <c r="I16" s="380"/>
      <c r="J16" s="380"/>
      <c r="K16" s="380"/>
      <c r="L16" s="380"/>
    </row>
    <row r="17" spans="1:12" s="133" customFormat="1" ht="18" customHeight="1" x14ac:dyDescent="0.25">
      <c r="A17" s="337">
        <v>0</v>
      </c>
      <c r="B17" s="338">
        <f>'PARÁM-SENSIBILIDAD'!B129</f>
        <v>63557275.936547756</v>
      </c>
      <c r="C17" s="339">
        <f>'PARÁM-SENSIBILIDAD'!D129</f>
        <v>63557275.936547756</v>
      </c>
      <c r="D17" s="339">
        <f>'PARÁM-SENSIBILIDAD'!F129</f>
        <v>63557275.936547756</v>
      </c>
      <c r="E17" s="339">
        <f>'PARÁM-SENSIBILIDAD'!H129</f>
        <v>63557275.936547756</v>
      </c>
      <c r="F17" s="339">
        <f>'PARÁM-SENSIBILIDAD'!J129</f>
        <v>63557275.936547756</v>
      </c>
      <c r="G17" s="380"/>
      <c r="H17" s="380"/>
      <c r="I17" s="380"/>
      <c r="J17" s="380"/>
      <c r="K17" s="380"/>
      <c r="L17" s="380"/>
    </row>
    <row r="18" spans="1:12" ht="18" customHeight="1" x14ac:dyDescent="0.25">
      <c r="A18" s="42">
        <f>-5%</f>
        <v>-0.05</v>
      </c>
      <c r="B18" s="22">
        <f>'PARÁM-SENSIBILIDAD'!B130</f>
        <v>69100089.60304147</v>
      </c>
      <c r="C18" s="215">
        <f>'PARÁM-SENSIBILIDAD'!D130</f>
        <v>35679118.028296471</v>
      </c>
      <c r="D18" s="215">
        <f>'PARÁM-SENSIBILIDAD'!F130</f>
        <v>83847754.291980743</v>
      </c>
      <c r="E18" s="215">
        <f>'PARÁM-SENSIBILIDAD'!H130</f>
        <v>65843270.293543577</v>
      </c>
      <c r="F18" s="215">
        <f>'PARÁM-SENSIBILIDAD'!J130</f>
        <v>-27762159.529233575</v>
      </c>
      <c r="G18" s="380"/>
      <c r="H18" s="380"/>
      <c r="I18" s="380"/>
      <c r="J18" s="380"/>
      <c r="K18" s="380"/>
      <c r="L18" s="380"/>
    </row>
    <row r="19" spans="1:12" ht="18" customHeight="1" x14ac:dyDescent="0.25">
      <c r="A19" s="42">
        <v>-0.1</v>
      </c>
      <c r="B19" s="22">
        <f>'PARÁM-SENSIBILIDAD'!B131</f>
        <v>74748636.54125762</v>
      </c>
      <c r="C19" s="215">
        <f>'PARÁM-SENSIBILIDAD'!D131</f>
        <v>7800960.1200452447</v>
      </c>
      <c r="D19" s="215">
        <f>'PARÁM-SENSIBILIDAD'!F131</f>
        <v>104107833.01176077</v>
      </c>
      <c r="E19" s="215">
        <f>'PARÁM-SENSIBILIDAD'!H131</f>
        <v>68147193.967240691</v>
      </c>
      <c r="F19" s="215">
        <f>'PARÁM-SENSIBILIDAD'!J131</f>
        <v>-119081594.995015</v>
      </c>
      <c r="G19" s="380"/>
      <c r="H19" s="380"/>
      <c r="I19" s="380"/>
      <c r="J19" s="380"/>
      <c r="K19" s="380"/>
      <c r="L19" s="380"/>
    </row>
    <row r="20" spans="1:12" ht="18" customHeight="1" x14ac:dyDescent="0.25">
      <c r="A20" s="42">
        <v>-0.15</v>
      </c>
      <c r="B20" s="22">
        <f>'PARÁM-SENSIBILIDAD'!B132</f>
        <v>80505501.97482574</v>
      </c>
      <c r="C20" s="215">
        <f>'PARÁM-SENSIBILIDAD'!D132</f>
        <v>-20077197.7882061</v>
      </c>
      <c r="D20" s="215">
        <f>'PARÁM-SENSIBILIDAD'!F132</f>
        <v>124337079.96886504</v>
      </c>
      <c r="E20" s="215">
        <f>'PARÁM-SENSIBILIDAD'!H132</f>
        <v>70469226.729983807</v>
      </c>
      <c r="F20" s="215">
        <f>'PARÁM-SENSIBILIDAD'!J132</f>
        <v>-210401030.460796</v>
      </c>
      <c r="G20" s="380"/>
      <c r="H20" s="380"/>
      <c r="I20" s="380"/>
      <c r="J20" s="380"/>
      <c r="K20" s="380"/>
      <c r="L20" s="380"/>
    </row>
    <row r="21" spans="1:12" ht="18" customHeight="1" x14ac:dyDescent="0.25">
      <c r="A21" s="42">
        <v>-0.2</v>
      </c>
      <c r="B21" s="22">
        <f>'PARÁM-SENSIBILIDAD'!B133</f>
        <v>86373346.891350865</v>
      </c>
      <c r="C21" s="215">
        <f>'PARÁM-SENSIBILIDAD'!D133</f>
        <v>-47955355.696457267</v>
      </c>
      <c r="D21" s="215">
        <f>'PARÁM-SENSIBILIDAD'!F133</f>
        <v>144535054.78258151</v>
      </c>
      <c r="E21" s="215">
        <f>'PARÁM-SENSIBILIDAD'!H133</f>
        <v>72809550.509302437</v>
      </c>
      <c r="F21" s="215">
        <f>'PARÁM-SENSIBILIDAD'!J133</f>
        <v>-301720465.92657745</v>
      </c>
      <c r="G21" s="380"/>
      <c r="H21" s="380"/>
      <c r="I21" s="380"/>
      <c r="J21" s="380"/>
      <c r="K21" s="380"/>
      <c r="L21" s="380"/>
    </row>
    <row r="22" spans="1:12" ht="18" customHeight="1" x14ac:dyDescent="0.25">
      <c r="A22" s="42">
        <v>-0.25</v>
      </c>
      <c r="B22" s="22">
        <f>'PARÁM-SENSIBILIDAD'!B134</f>
        <v>92354910.613091111</v>
      </c>
      <c r="C22" s="215">
        <f>'PARÁM-SENSIBILIDAD'!D134</f>
        <v>-75833513.604708552</v>
      </c>
      <c r="D22" s="215">
        <f>'PARÁM-SENSIBILIDAD'!F134</f>
        <v>164701308.61987364</v>
      </c>
      <c r="E22" s="215">
        <f>'PARÁM-SENSIBILIDAD'!H134</f>
        <v>75168349.417751789</v>
      </c>
      <c r="F22" s="215">
        <f>'PARÁM-SENSIBILIDAD'!J134</f>
        <v>-393039901.39235878</v>
      </c>
      <c r="G22" s="406" t="s">
        <v>581</v>
      </c>
      <c r="H22" s="407"/>
      <c r="I22" s="407"/>
      <c r="J22" s="407"/>
      <c r="K22" s="407"/>
      <c r="L22" s="407"/>
    </row>
    <row r="23" spans="1:12" ht="18" customHeight="1" x14ac:dyDescent="0.25">
      <c r="A23" s="42">
        <v>-0.3</v>
      </c>
      <c r="B23" s="22">
        <f>'PARÁM-SENSIBILIDAD'!B135</f>
        <v>98453013.466449618</v>
      </c>
      <c r="C23" s="215">
        <f>'PARÁM-SENSIBILIDAD'!D135</f>
        <v>-103711671.51295978</v>
      </c>
      <c r="D23" s="215">
        <f>'PARÁM-SENSIBILIDAD'!F135</f>
        <v>184835383.99095511</v>
      </c>
      <c r="E23" s="215">
        <f>'PARÁM-SENSIBILIDAD'!H135</f>
        <v>77545809.783219934</v>
      </c>
      <c r="F23" s="215">
        <f>'PARÁM-SENSIBILIDAD'!J135</f>
        <v>-484359336.85814017</v>
      </c>
      <c r="G23" s="407"/>
      <c r="H23" s="407"/>
      <c r="I23" s="407"/>
      <c r="J23" s="407"/>
      <c r="K23" s="407"/>
      <c r="L23" s="407"/>
    </row>
    <row r="24" spans="1:12" ht="18" customHeight="1" x14ac:dyDescent="0.25">
      <c r="A24" s="42">
        <v>-0.35</v>
      </c>
      <c r="B24" s="22">
        <f>'PARÁM-SENSIBILIDAD'!B136</f>
        <v>104670559.55452484</v>
      </c>
      <c r="C24" s="215">
        <f>'PARÁM-SENSIBILIDAD'!D136</f>
        <v>-131589829.421211</v>
      </c>
      <c r="D24" s="215">
        <f>'PARÁM-SENSIBILIDAD'!F136</f>
        <v>204936814.53888786</v>
      </c>
      <c r="E24" s="215">
        <f>'PARÁM-SENSIBILIDAD'!H136</f>
        <v>79942120.179710507</v>
      </c>
      <c r="F24" s="215">
        <f>'PARÁM-SENSIBILIDAD'!J136</f>
        <v>-575678772.32392144</v>
      </c>
      <c r="G24" s="407"/>
      <c r="H24" s="407"/>
      <c r="I24" s="407"/>
      <c r="J24" s="407"/>
      <c r="K24" s="407"/>
      <c r="L24" s="407"/>
    </row>
    <row r="25" spans="1:12" ht="18" customHeight="1" x14ac:dyDescent="0.25">
      <c r="A25" s="42">
        <v>-0.4</v>
      </c>
      <c r="B25" s="22">
        <f>'PARÁM-SENSIBILIDAD'!B137</f>
        <v>111010539.6371519</v>
      </c>
      <c r="C25" s="215">
        <f>'PARÁM-SENSIBILIDAD'!D137</f>
        <v>-159467987.32946232</v>
      </c>
      <c r="D25" s="215">
        <f>'PARÁM-SENSIBILIDAD'!F137</f>
        <v>225005124.82298708</v>
      </c>
      <c r="E25" s="215">
        <f>'PARÁM-SENSIBILIDAD'!H137</f>
        <v>82357471.458610058</v>
      </c>
      <c r="F25" s="215">
        <f>'PARÁM-SENSIBILIDAD'!J137</f>
        <v>-666998207.78970265</v>
      </c>
      <c r="G25" s="407"/>
      <c r="H25" s="407"/>
      <c r="I25" s="407"/>
      <c r="J25" s="407"/>
      <c r="K25" s="407"/>
      <c r="L25" s="407"/>
    </row>
    <row r="27" spans="1:12" x14ac:dyDescent="0.25">
      <c r="A27" s="386" t="s">
        <v>585</v>
      </c>
      <c r="B27" s="386"/>
      <c r="C27" s="386"/>
      <c r="D27" s="386"/>
      <c r="E27" s="386"/>
      <c r="F27" s="386"/>
      <c r="G27" s="386"/>
      <c r="H27" s="386"/>
      <c r="I27" s="386"/>
      <c r="J27" s="386"/>
      <c r="K27" s="386"/>
      <c r="L27" s="386"/>
    </row>
    <row r="28" spans="1:12" x14ac:dyDescent="0.25">
      <c r="A28" s="9"/>
      <c r="B28" s="214" t="s">
        <v>304</v>
      </c>
      <c r="C28" s="214" t="s">
        <v>575</v>
      </c>
      <c r="D28" s="214" t="s">
        <v>573</v>
      </c>
      <c r="E28" s="214" t="s">
        <v>574</v>
      </c>
      <c r="F28" s="214" t="s">
        <v>114</v>
      </c>
      <c r="G28" s="416"/>
      <c r="H28" s="416"/>
      <c r="I28" s="416"/>
      <c r="J28" s="416"/>
      <c r="K28" s="416"/>
      <c r="L28" s="416"/>
    </row>
    <row r="29" spans="1:12" x14ac:dyDescent="0.25">
      <c r="A29" s="9" t="s">
        <v>586</v>
      </c>
      <c r="B29" s="20">
        <f>'PARÁM-SENSIBILIDAD'!B150</f>
        <v>63557275.936547756</v>
      </c>
      <c r="C29" s="20">
        <f>$B$29</f>
        <v>63557275.936547756</v>
      </c>
      <c r="D29" s="20">
        <f t="shared" ref="D29:F29" si="0">$B$29</f>
        <v>63557275.936547756</v>
      </c>
      <c r="E29" s="20">
        <f t="shared" si="0"/>
        <v>63557275.936547756</v>
      </c>
      <c r="F29" s="20">
        <f t="shared" si="0"/>
        <v>63557275.936547756</v>
      </c>
      <c r="G29" s="416"/>
      <c r="H29" s="416"/>
      <c r="I29" s="416"/>
      <c r="J29" s="416"/>
      <c r="K29" s="416"/>
      <c r="L29" s="416"/>
    </row>
    <row r="30" spans="1:12" x14ac:dyDescent="0.25">
      <c r="A30" s="9" t="s">
        <v>587</v>
      </c>
      <c r="B30" s="20">
        <f>'PARÁM-SENSIBILIDAD'!B149</f>
        <v>62461178.882820725</v>
      </c>
      <c r="C30" s="20">
        <f>'PARÁM-SENSIBILIDAD'!D149</f>
        <v>69132907.518198073</v>
      </c>
      <c r="D30" s="20">
        <f>'PARÁM-SENSIBILIDAD'!F149</f>
        <v>59495569.766759992</v>
      </c>
      <c r="E30" s="20">
        <f>'PARÁM-SENSIBILIDAD'!H149</f>
        <v>63102212.913170218</v>
      </c>
      <c r="F30" s="20">
        <f>'PARÁM-SENSIBILIDAD'!J149</f>
        <v>81821163.029703975</v>
      </c>
      <c r="G30" s="416"/>
      <c r="H30" s="416"/>
      <c r="I30" s="416"/>
      <c r="J30" s="416"/>
      <c r="K30" s="416"/>
      <c r="L30" s="416"/>
    </row>
    <row r="31" spans="1:12" x14ac:dyDescent="0.25">
      <c r="A31" s="9" t="s">
        <v>588</v>
      </c>
      <c r="B31" s="331">
        <f>(B30-B29)/B29</f>
        <v>-1.7245815488085368E-2</v>
      </c>
      <c r="C31" s="331">
        <f t="shared" ref="C31:F31" si="1">(C30-C29)/C29</f>
        <v>8.7726094290396184E-2</v>
      </c>
      <c r="D31" s="331">
        <f t="shared" si="1"/>
        <v>-6.3906234336455175E-2</v>
      </c>
      <c r="E31" s="331">
        <f t="shared" si="1"/>
        <v>-7.1598887251217115E-3</v>
      </c>
      <c r="F31" s="331">
        <f t="shared" si="1"/>
        <v>0.28736107430705377</v>
      </c>
      <c r="G31" s="416"/>
      <c r="H31" s="416"/>
      <c r="I31" s="416"/>
      <c r="J31" s="416"/>
      <c r="K31" s="416"/>
      <c r="L31" s="416"/>
    </row>
    <row r="32" spans="1:12" x14ac:dyDescent="0.25">
      <c r="A32" s="9"/>
      <c r="B32" s="9" t="s">
        <v>589</v>
      </c>
      <c r="C32" s="413" t="s">
        <v>590</v>
      </c>
      <c r="D32" s="414"/>
      <c r="E32" s="414"/>
      <c r="F32" s="414"/>
      <c r="G32" s="416"/>
      <c r="H32" s="416"/>
      <c r="I32" s="416"/>
      <c r="J32" s="416"/>
      <c r="K32" s="416"/>
      <c r="L32" s="416"/>
    </row>
    <row r="33" spans="1:12" x14ac:dyDescent="0.25">
      <c r="A33" s="9" t="str">
        <f>F28</f>
        <v>Precio de venta</v>
      </c>
      <c r="B33" s="182">
        <f>F31</f>
        <v>0.28736107430705377</v>
      </c>
      <c r="C33" s="415"/>
      <c r="D33" s="415"/>
      <c r="E33" s="415"/>
      <c r="F33" s="415"/>
      <c r="G33" s="416"/>
      <c r="H33" s="416"/>
      <c r="I33" s="416"/>
      <c r="J33" s="416"/>
      <c r="K33" s="416"/>
      <c r="L33" s="416"/>
    </row>
    <row r="34" spans="1:12" x14ac:dyDescent="0.25">
      <c r="A34" s="9" t="str">
        <f>C28</f>
        <v>Ingresos</v>
      </c>
      <c r="B34" s="182">
        <f>C31</f>
        <v>8.7726094290396184E-2</v>
      </c>
      <c r="C34" s="415"/>
      <c r="D34" s="415"/>
      <c r="E34" s="415"/>
      <c r="F34" s="415"/>
      <c r="G34" s="416"/>
      <c r="H34" s="416"/>
      <c r="I34" s="416"/>
      <c r="J34" s="416"/>
      <c r="K34" s="416"/>
      <c r="L34" s="416"/>
    </row>
    <row r="35" spans="1:12" x14ac:dyDescent="0.25">
      <c r="A35" s="9" t="str">
        <f>E28</f>
        <v>Endeudamiento</v>
      </c>
      <c r="B35" s="182">
        <f>E31</f>
        <v>-7.1598887251217115E-3</v>
      </c>
      <c r="C35" s="415"/>
      <c r="D35" s="415"/>
      <c r="E35" s="415"/>
      <c r="F35" s="415"/>
      <c r="G35" s="416"/>
      <c r="H35" s="416"/>
      <c r="I35" s="416"/>
      <c r="J35" s="416"/>
      <c r="K35" s="416"/>
      <c r="L35" s="416"/>
    </row>
    <row r="36" spans="1:12" x14ac:dyDescent="0.25">
      <c r="A36" s="9" t="str">
        <f>B28</f>
        <v>Inversión</v>
      </c>
      <c r="B36" s="182">
        <f>B31</f>
        <v>-1.7245815488085368E-2</v>
      </c>
      <c r="C36" s="415"/>
      <c r="D36" s="415"/>
      <c r="E36" s="415"/>
      <c r="F36" s="415"/>
      <c r="G36" s="416"/>
      <c r="H36" s="416"/>
      <c r="I36" s="416"/>
      <c r="J36" s="416"/>
      <c r="K36" s="416"/>
      <c r="L36" s="416"/>
    </row>
    <row r="37" spans="1:12" x14ac:dyDescent="0.25">
      <c r="A37" s="9" t="str">
        <f>D28</f>
        <v>Costos operativos</v>
      </c>
      <c r="B37" s="182">
        <f>D31</f>
        <v>-6.3906234336455175E-2</v>
      </c>
      <c r="C37" s="415"/>
      <c r="D37" s="415"/>
      <c r="E37" s="415"/>
      <c r="F37" s="415"/>
      <c r="G37" s="416"/>
      <c r="H37" s="416"/>
      <c r="I37" s="416"/>
      <c r="J37" s="416"/>
      <c r="K37" s="416"/>
      <c r="L37" s="416"/>
    </row>
    <row r="38" spans="1:12" x14ac:dyDescent="0.25">
      <c r="C38" s="415"/>
      <c r="D38" s="415"/>
      <c r="E38" s="415"/>
      <c r="F38" s="415"/>
      <c r="G38" s="416"/>
      <c r="H38" s="416"/>
      <c r="I38" s="416"/>
      <c r="J38" s="416"/>
      <c r="K38" s="416"/>
      <c r="L38" s="416"/>
    </row>
    <row r="39" spans="1:12" x14ac:dyDescent="0.25">
      <c r="C39" s="415"/>
      <c r="D39" s="415"/>
      <c r="E39" s="415"/>
      <c r="F39" s="415"/>
      <c r="G39" s="416"/>
      <c r="H39" s="416"/>
      <c r="I39" s="416"/>
      <c r="J39" s="416"/>
      <c r="K39" s="416"/>
      <c r="L39" s="416"/>
    </row>
    <row r="40" spans="1:12" x14ac:dyDescent="0.25">
      <c r="C40" s="415"/>
      <c r="D40" s="415"/>
      <c r="E40" s="415"/>
      <c r="F40" s="415"/>
      <c r="G40" s="416"/>
      <c r="H40" s="416"/>
      <c r="I40" s="416"/>
      <c r="J40" s="416"/>
      <c r="K40" s="416"/>
      <c r="L40" s="416"/>
    </row>
    <row r="41" spans="1:12" x14ac:dyDescent="0.25">
      <c r="C41" s="415"/>
      <c r="D41" s="415"/>
      <c r="E41" s="415"/>
      <c r="F41" s="415"/>
      <c r="G41" s="416"/>
      <c r="H41" s="416"/>
      <c r="I41" s="416"/>
      <c r="J41" s="416"/>
      <c r="K41" s="416"/>
      <c r="L41" s="416"/>
    </row>
    <row r="42" spans="1:12" x14ac:dyDescent="0.25">
      <c r="C42" s="415"/>
      <c r="D42" s="415"/>
      <c r="E42" s="415"/>
      <c r="F42" s="415"/>
      <c r="G42" s="416"/>
      <c r="H42" s="416"/>
      <c r="I42" s="416"/>
      <c r="J42" s="416"/>
      <c r="K42" s="416"/>
      <c r="L42" s="416"/>
    </row>
    <row r="43" spans="1:12" x14ac:dyDescent="0.25">
      <c r="A43" s="380"/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0"/>
    </row>
    <row r="44" spans="1:12" x14ac:dyDescent="0.25">
      <c r="A44" s="383" t="s">
        <v>645</v>
      </c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</row>
    <row r="45" spans="1:12" ht="59.25" customHeight="1" x14ac:dyDescent="0.25">
      <c r="A45" s="412" t="s">
        <v>648</v>
      </c>
      <c r="B45" s="412"/>
      <c r="C45" s="412"/>
      <c r="D45" s="412"/>
      <c r="E45" s="412"/>
      <c r="F45" s="412"/>
      <c r="G45" s="412"/>
      <c r="H45" s="412"/>
      <c r="I45" s="412"/>
      <c r="J45" s="412"/>
      <c r="K45" s="412"/>
      <c r="L45" s="412"/>
    </row>
  </sheetData>
  <mergeCells count="16">
    <mergeCell ref="A44:L44"/>
    <mergeCell ref="A45:L45"/>
    <mergeCell ref="A43:L43"/>
    <mergeCell ref="C32:F42"/>
    <mergeCell ref="A27:L27"/>
    <mergeCell ref="G28:L42"/>
    <mergeCell ref="G22:L25"/>
    <mergeCell ref="A6:L6"/>
    <mergeCell ref="B5:F5"/>
    <mergeCell ref="A1:L1"/>
    <mergeCell ref="G2:L4"/>
    <mergeCell ref="B4:E4"/>
    <mergeCell ref="B7:F7"/>
    <mergeCell ref="B2:E2"/>
    <mergeCell ref="B3:F3"/>
    <mergeCell ref="G7:L2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B1:G16"/>
  <sheetViews>
    <sheetView showGridLines="0" workbookViewId="0">
      <selection activeCell="B18" sqref="B18"/>
    </sheetView>
  </sheetViews>
  <sheetFormatPr baseColWidth="10" defaultRowHeight="15" outlineLevelRow="1" outlineLevelCol="1" x14ac:dyDescent="0.25"/>
  <cols>
    <col min="3" max="3" width="16.42578125" customWidth="1"/>
    <col min="4" max="7" width="16.7109375" bestFit="1" customWidth="1" outlineLevel="1"/>
  </cols>
  <sheetData>
    <row r="1" spans="2:7" ht="15.75" thickBot="1" x14ac:dyDescent="0.3"/>
    <row r="2" spans="2:7" ht="15.75" x14ac:dyDescent="0.25">
      <c r="B2" s="347" t="s">
        <v>597</v>
      </c>
      <c r="C2" s="347"/>
      <c r="D2" s="352"/>
      <c r="E2" s="352"/>
      <c r="F2" s="352"/>
      <c r="G2" s="352"/>
    </row>
    <row r="3" spans="2:7" ht="15.75" collapsed="1" x14ac:dyDescent="0.25">
      <c r="B3" s="346"/>
      <c r="C3" s="346"/>
      <c r="D3" s="353" t="s">
        <v>599</v>
      </c>
      <c r="E3" s="353" t="s">
        <v>596</v>
      </c>
      <c r="F3" s="353" t="s">
        <v>592</v>
      </c>
      <c r="G3" s="353" t="s">
        <v>593</v>
      </c>
    </row>
    <row r="4" spans="2:7" hidden="1" outlineLevel="1" x14ac:dyDescent="0.25">
      <c r="B4" s="349"/>
      <c r="C4" s="349"/>
      <c r="D4" s="341"/>
      <c r="E4" s="356"/>
      <c r="F4" s="356"/>
      <c r="G4" s="356"/>
    </row>
    <row r="5" spans="2:7" x14ac:dyDescent="0.25">
      <c r="B5" s="350" t="s">
        <v>598</v>
      </c>
      <c r="C5" s="350"/>
      <c r="D5" s="348"/>
      <c r="E5" s="348"/>
      <c r="F5" s="348"/>
      <c r="G5" s="348"/>
    </row>
    <row r="6" spans="2:7" outlineLevel="1" x14ac:dyDescent="0.25">
      <c r="B6" s="349"/>
      <c r="C6" s="349" t="s">
        <v>575</v>
      </c>
      <c r="D6" s="342">
        <v>688787820</v>
      </c>
      <c r="E6" s="354">
        <v>688787820</v>
      </c>
      <c r="F6" s="354">
        <v>792105993</v>
      </c>
      <c r="G6" s="354">
        <v>619909038</v>
      </c>
    </row>
    <row r="7" spans="2:7" outlineLevel="1" x14ac:dyDescent="0.25">
      <c r="B7" s="349"/>
      <c r="C7" s="349" t="s">
        <v>595</v>
      </c>
      <c r="D7" s="343">
        <v>516974272</v>
      </c>
      <c r="E7" s="355">
        <v>516974272</v>
      </c>
      <c r="F7" s="355">
        <v>542822985.60000002</v>
      </c>
      <c r="G7" s="355">
        <v>542822985.60000002</v>
      </c>
    </row>
    <row r="8" spans="2:7" x14ac:dyDescent="0.25">
      <c r="B8" s="350" t="s">
        <v>600</v>
      </c>
      <c r="C8" s="350"/>
      <c r="D8" s="348"/>
      <c r="E8" s="348"/>
      <c r="F8" s="348"/>
      <c r="G8" s="348"/>
    </row>
    <row r="9" spans="2:7" outlineLevel="1" x14ac:dyDescent="0.25">
      <c r="B9" s="349"/>
      <c r="C9" s="349" t="s">
        <v>306</v>
      </c>
      <c r="D9" s="344">
        <v>41645378.332761601</v>
      </c>
      <c r="E9" s="344">
        <v>41645378.332761601</v>
      </c>
      <c r="F9" s="344">
        <v>104037394.72638699</v>
      </c>
      <c r="G9" s="344">
        <v>-33226097.112328101</v>
      </c>
    </row>
    <row r="10" spans="2:7" ht="15.75" outlineLevel="1" thickBot="1" x14ac:dyDescent="0.3">
      <c r="B10" s="351"/>
      <c r="C10" s="351" t="s">
        <v>307</v>
      </c>
      <c r="D10" s="345">
        <v>0.181294527693354</v>
      </c>
      <c r="E10" s="345">
        <v>0.181294527693354</v>
      </c>
      <c r="F10" s="345">
        <v>0.245650117103827</v>
      </c>
      <c r="G10" s="345">
        <v>0.113169285576202</v>
      </c>
    </row>
    <row r="11" spans="2:7" x14ac:dyDescent="0.25">
      <c r="C11" s="349" t="s">
        <v>601</v>
      </c>
      <c r="E11">
        <v>0.4</v>
      </c>
      <c r="F11">
        <v>0.2</v>
      </c>
      <c r="G11">
        <v>0.4</v>
      </c>
    </row>
    <row r="12" spans="2:7" x14ac:dyDescent="0.25">
      <c r="C12" s="357" t="s">
        <v>602</v>
      </c>
      <c r="E12" s="1">
        <f>SUMPRODUCT(E9:G9,E11:G11)</f>
        <v>24175191.433450799</v>
      </c>
    </row>
    <row r="13" spans="2:7" x14ac:dyDescent="0.25">
      <c r="C13" s="357" t="s">
        <v>603</v>
      </c>
      <c r="E13" s="1">
        <f>+SQRT((G9-E12)^2*G11+(F9-E12)^2*F11+(E9-E12)^2*E11)</f>
        <v>52111807.162729457</v>
      </c>
    </row>
    <row r="14" spans="2:7" x14ac:dyDescent="0.25">
      <c r="C14" s="357" t="s">
        <v>604</v>
      </c>
      <c r="E14" s="358">
        <f>E13/E12</f>
        <v>2.1555902589719822</v>
      </c>
    </row>
    <row r="16" spans="2:7" x14ac:dyDescent="0.25">
      <c r="C16" s="357" t="s">
        <v>605</v>
      </c>
      <c r="D16" s="177">
        <f>1-_xlfn.NORM.DIST(0,E12,E13,TRUE)</f>
        <v>0.67864390645554351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1">
    <tabColor theme="5" tint="0.39997558519241921"/>
  </sheetPr>
  <dimension ref="A1:K107"/>
  <sheetViews>
    <sheetView topLeftCell="A42" workbookViewId="0">
      <selection activeCell="C60" sqref="C60"/>
    </sheetView>
  </sheetViews>
  <sheetFormatPr baseColWidth="10" defaultRowHeight="15" x14ac:dyDescent="0.25"/>
  <cols>
    <col min="1" max="1" width="37.5703125" customWidth="1"/>
    <col min="2" max="2" width="20.140625" customWidth="1"/>
    <col min="3" max="3" width="12.7109375" customWidth="1"/>
    <col min="4" max="4" width="15.85546875" customWidth="1"/>
    <col min="5" max="5" width="16.5703125" customWidth="1"/>
    <col min="6" max="6" width="19" customWidth="1"/>
    <col min="7" max="7" width="20.140625" customWidth="1"/>
    <col min="8" max="8" width="37.140625" customWidth="1"/>
    <col min="9" max="9" width="13.28515625" customWidth="1"/>
    <col min="10" max="10" width="31.85546875" customWidth="1"/>
    <col min="11" max="11" width="54.42578125" customWidth="1"/>
    <col min="257" max="257" width="37.5703125" customWidth="1"/>
    <col min="258" max="258" width="20.140625" customWidth="1"/>
    <col min="259" max="259" width="12.7109375" customWidth="1"/>
    <col min="260" max="260" width="15.85546875" customWidth="1"/>
    <col min="261" max="261" width="12.5703125" customWidth="1"/>
    <col min="262" max="262" width="19" customWidth="1"/>
    <col min="263" max="263" width="20.140625" customWidth="1"/>
    <col min="264" max="264" width="37.140625" customWidth="1"/>
    <col min="265" max="265" width="13.28515625" customWidth="1"/>
    <col min="266" max="266" width="31.85546875" customWidth="1"/>
    <col min="267" max="267" width="54.42578125" customWidth="1"/>
    <col min="513" max="513" width="37.5703125" customWidth="1"/>
    <col min="514" max="514" width="20.140625" customWidth="1"/>
    <col min="515" max="515" width="12.7109375" customWidth="1"/>
    <col min="516" max="516" width="15.85546875" customWidth="1"/>
    <col min="517" max="517" width="12.5703125" customWidth="1"/>
    <col min="518" max="518" width="19" customWidth="1"/>
    <col min="519" max="519" width="20.140625" customWidth="1"/>
    <col min="520" max="520" width="37.140625" customWidth="1"/>
    <col min="521" max="521" width="13.28515625" customWidth="1"/>
    <col min="522" max="522" width="31.85546875" customWidth="1"/>
    <col min="523" max="523" width="54.42578125" customWidth="1"/>
    <col min="769" max="769" width="37.5703125" customWidth="1"/>
    <col min="770" max="770" width="20.140625" customWidth="1"/>
    <col min="771" max="771" width="12.7109375" customWidth="1"/>
    <col min="772" max="772" width="15.85546875" customWidth="1"/>
    <col min="773" max="773" width="12.5703125" customWidth="1"/>
    <col min="774" max="774" width="19" customWidth="1"/>
    <col min="775" max="775" width="20.140625" customWidth="1"/>
    <col min="776" max="776" width="37.140625" customWidth="1"/>
    <col min="777" max="777" width="13.28515625" customWidth="1"/>
    <col min="778" max="778" width="31.85546875" customWidth="1"/>
    <col min="779" max="779" width="54.42578125" customWidth="1"/>
    <col min="1025" max="1025" width="37.5703125" customWidth="1"/>
    <col min="1026" max="1026" width="20.140625" customWidth="1"/>
    <col min="1027" max="1027" width="12.7109375" customWidth="1"/>
    <col min="1028" max="1028" width="15.85546875" customWidth="1"/>
    <col min="1029" max="1029" width="12.5703125" customWidth="1"/>
    <col min="1030" max="1030" width="19" customWidth="1"/>
    <col min="1031" max="1031" width="20.140625" customWidth="1"/>
    <col min="1032" max="1032" width="37.140625" customWidth="1"/>
    <col min="1033" max="1033" width="13.28515625" customWidth="1"/>
    <col min="1034" max="1034" width="31.85546875" customWidth="1"/>
    <col min="1035" max="1035" width="54.42578125" customWidth="1"/>
    <col min="1281" max="1281" width="37.5703125" customWidth="1"/>
    <col min="1282" max="1282" width="20.140625" customWidth="1"/>
    <col min="1283" max="1283" width="12.7109375" customWidth="1"/>
    <col min="1284" max="1284" width="15.85546875" customWidth="1"/>
    <col min="1285" max="1285" width="12.5703125" customWidth="1"/>
    <col min="1286" max="1286" width="19" customWidth="1"/>
    <col min="1287" max="1287" width="20.140625" customWidth="1"/>
    <col min="1288" max="1288" width="37.140625" customWidth="1"/>
    <col min="1289" max="1289" width="13.28515625" customWidth="1"/>
    <col min="1290" max="1290" width="31.85546875" customWidth="1"/>
    <col min="1291" max="1291" width="54.42578125" customWidth="1"/>
    <col min="1537" max="1537" width="37.5703125" customWidth="1"/>
    <col min="1538" max="1538" width="20.140625" customWidth="1"/>
    <col min="1539" max="1539" width="12.7109375" customWidth="1"/>
    <col min="1540" max="1540" width="15.85546875" customWidth="1"/>
    <col min="1541" max="1541" width="12.5703125" customWidth="1"/>
    <col min="1542" max="1542" width="19" customWidth="1"/>
    <col min="1543" max="1543" width="20.140625" customWidth="1"/>
    <col min="1544" max="1544" width="37.140625" customWidth="1"/>
    <col min="1545" max="1545" width="13.28515625" customWidth="1"/>
    <col min="1546" max="1546" width="31.85546875" customWidth="1"/>
    <col min="1547" max="1547" width="54.42578125" customWidth="1"/>
    <col min="1793" max="1793" width="37.5703125" customWidth="1"/>
    <col min="1794" max="1794" width="20.140625" customWidth="1"/>
    <col min="1795" max="1795" width="12.7109375" customWidth="1"/>
    <col min="1796" max="1796" width="15.85546875" customWidth="1"/>
    <col min="1797" max="1797" width="12.5703125" customWidth="1"/>
    <col min="1798" max="1798" width="19" customWidth="1"/>
    <col min="1799" max="1799" width="20.140625" customWidth="1"/>
    <col min="1800" max="1800" width="37.140625" customWidth="1"/>
    <col min="1801" max="1801" width="13.28515625" customWidth="1"/>
    <col min="1802" max="1802" width="31.85546875" customWidth="1"/>
    <col min="1803" max="1803" width="54.42578125" customWidth="1"/>
    <col min="2049" max="2049" width="37.5703125" customWidth="1"/>
    <col min="2050" max="2050" width="20.140625" customWidth="1"/>
    <col min="2051" max="2051" width="12.7109375" customWidth="1"/>
    <col min="2052" max="2052" width="15.85546875" customWidth="1"/>
    <col min="2053" max="2053" width="12.5703125" customWidth="1"/>
    <col min="2054" max="2054" width="19" customWidth="1"/>
    <col min="2055" max="2055" width="20.140625" customWidth="1"/>
    <col min="2056" max="2056" width="37.140625" customWidth="1"/>
    <col min="2057" max="2057" width="13.28515625" customWidth="1"/>
    <col min="2058" max="2058" width="31.85546875" customWidth="1"/>
    <col min="2059" max="2059" width="54.42578125" customWidth="1"/>
    <col min="2305" max="2305" width="37.5703125" customWidth="1"/>
    <col min="2306" max="2306" width="20.140625" customWidth="1"/>
    <col min="2307" max="2307" width="12.7109375" customWidth="1"/>
    <col min="2308" max="2308" width="15.85546875" customWidth="1"/>
    <col min="2309" max="2309" width="12.5703125" customWidth="1"/>
    <col min="2310" max="2310" width="19" customWidth="1"/>
    <col min="2311" max="2311" width="20.140625" customWidth="1"/>
    <col min="2312" max="2312" width="37.140625" customWidth="1"/>
    <col min="2313" max="2313" width="13.28515625" customWidth="1"/>
    <col min="2314" max="2314" width="31.85546875" customWidth="1"/>
    <col min="2315" max="2315" width="54.42578125" customWidth="1"/>
    <col min="2561" max="2561" width="37.5703125" customWidth="1"/>
    <col min="2562" max="2562" width="20.140625" customWidth="1"/>
    <col min="2563" max="2563" width="12.7109375" customWidth="1"/>
    <col min="2564" max="2564" width="15.85546875" customWidth="1"/>
    <col min="2565" max="2565" width="12.5703125" customWidth="1"/>
    <col min="2566" max="2566" width="19" customWidth="1"/>
    <col min="2567" max="2567" width="20.140625" customWidth="1"/>
    <col min="2568" max="2568" width="37.140625" customWidth="1"/>
    <col min="2569" max="2569" width="13.28515625" customWidth="1"/>
    <col min="2570" max="2570" width="31.85546875" customWidth="1"/>
    <col min="2571" max="2571" width="54.42578125" customWidth="1"/>
    <col min="2817" max="2817" width="37.5703125" customWidth="1"/>
    <col min="2818" max="2818" width="20.140625" customWidth="1"/>
    <col min="2819" max="2819" width="12.7109375" customWidth="1"/>
    <col min="2820" max="2820" width="15.85546875" customWidth="1"/>
    <col min="2821" max="2821" width="12.5703125" customWidth="1"/>
    <col min="2822" max="2822" width="19" customWidth="1"/>
    <col min="2823" max="2823" width="20.140625" customWidth="1"/>
    <col min="2824" max="2824" width="37.140625" customWidth="1"/>
    <col min="2825" max="2825" width="13.28515625" customWidth="1"/>
    <col min="2826" max="2826" width="31.85546875" customWidth="1"/>
    <col min="2827" max="2827" width="54.42578125" customWidth="1"/>
    <col min="3073" max="3073" width="37.5703125" customWidth="1"/>
    <col min="3074" max="3074" width="20.140625" customWidth="1"/>
    <col min="3075" max="3075" width="12.7109375" customWidth="1"/>
    <col min="3076" max="3076" width="15.85546875" customWidth="1"/>
    <col min="3077" max="3077" width="12.5703125" customWidth="1"/>
    <col min="3078" max="3078" width="19" customWidth="1"/>
    <col min="3079" max="3079" width="20.140625" customWidth="1"/>
    <col min="3080" max="3080" width="37.140625" customWidth="1"/>
    <col min="3081" max="3081" width="13.28515625" customWidth="1"/>
    <col min="3082" max="3082" width="31.85546875" customWidth="1"/>
    <col min="3083" max="3083" width="54.42578125" customWidth="1"/>
    <col min="3329" max="3329" width="37.5703125" customWidth="1"/>
    <col min="3330" max="3330" width="20.140625" customWidth="1"/>
    <col min="3331" max="3331" width="12.7109375" customWidth="1"/>
    <col min="3332" max="3332" width="15.85546875" customWidth="1"/>
    <col min="3333" max="3333" width="12.5703125" customWidth="1"/>
    <col min="3334" max="3334" width="19" customWidth="1"/>
    <col min="3335" max="3335" width="20.140625" customWidth="1"/>
    <col min="3336" max="3336" width="37.140625" customWidth="1"/>
    <col min="3337" max="3337" width="13.28515625" customWidth="1"/>
    <col min="3338" max="3338" width="31.85546875" customWidth="1"/>
    <col min="3339" max="3339" width="54.42578125" customWidth="1"/>
    <col min="3585" max="3585" width="37.5703125" customWidth="1"/>
    <col min="3586" max="3586" width="20.140625" customWidth="1"/>
    <col min="3587" max="3587" width="12.7109375" customWidth="1"/>
    <col min="3588" max="3588" width="15.85546875" customWidth="1"/>
    <col min="3589" max="3589" width="12.5703125" customWidth="1"/>
    <col min="3590" max="3590" width="19" customWidth="1"/>
    <col min="3591" max="3591" width="20.140625" customWidth="1"/>
    <col min="3592" max="3592" width="37.140625" customWidth="1"/>
    <col min="3593" max="3593" width="13.28515625" customWidth="1"/>
    <col min="3594" max="3594" width="31.85546875" customWidth="1"/>
    <col min="3595" max="3595" width="54.42578125" customWidth="1"/>
    <col min="3841" max="3841" width="37.5703125" customWidth="1"/>
    <col min="3842" max="3842" width="20.140625" customWidth="1"/>
    <col min="3843" max="3843" width="12.7109375" customWidth="1"/>
    <col min="3844" max="3844" width="15.85546875" customWidth="1"/>
    <col min="3845" max="3845" width="12.5703125" customWidth="1"/>
    <col min="3846" max="3846" width="19" customWidth="1"/>
    <col min="3847" max="3847" width="20.140625" customWidth="1"/>
    <col min="3848" max="3848" width="37.140625" customWidth="1"/>
    <col min="3849" max="3849" width="13.28515625" customWidth="1"/>
    <col min="3850" max="3850" width="31.85546875" customWidth="1"/>
    <col min="3851" max="3851" width="54.42578125" customWidth="1"/>
    <col min="4097" max="4097" width="37.5703125" customWidth="1"/>
    <col min="4098" max="4098" width="20.140625" customWidth="1"/>
    <col min="4099" max="4099" width="12.7109375" customWidth="1"/>
    <col min="4100" max="4100" width="15.85546875" customWidth="1"/>
    <col min="4101" max="4101" width="12.5703125" customWidth="1"/>
    <col min="4102" max="4102" width="19" customWidth="1"/>
    <col min="4103" max="4103" width="20.140625" customWidth="1"/>
    <col min="4104" max="4104" width="37.140625" customWidth="1"/>
    <col min="4105" max="4105" width="13.28515625" customWidth="1"/>
    <col min="4106" max="4106" width="31.85546875" customWidth="1"/>
    <col min="4107" max="4107" width="54.42578125" customWidth="1"/>
    <col min="4353" max="4353" width="37.5703125" customWidth="1"/>
    <col min="4354" max="4354" width="20.140625" customWidth="1"/>
    <col min="4355" max="4355" width="12.7109375" customWidth="1"/>
    <col min="4356" max="4356" width="15.85546875" customWidth="1"/>
    <col min="4357" max="4357" width="12.5703125" customWidth="1"/>
    <col min="4358" max="4358" width="19" customWidth="1"/>
    <col min="4359" max="4359" width="20.140625" customWidth="1"/>
    <col min="4360" max="4360" width="37.140625" customWidth="1"/>
    <col min="4361" max="4361" width="13.28515625" customWidth="1"/>
    <col min="4362" max="4362" width="31.85546875" customWidth="1"/>
    <col min="4363" max="4363" width="54.42578125" customWidth="1"/>
    <col min="4609" max="4609" width="37.5703125" customWidth="1"/>
    <col min="4610" max="4610" width="20.140625" customWidth="1"/>
    <col min="4611" max="4611" width="12.7109375" customWidth="1"/>
    <col min="4612" max="4612" width="15.85546875" customWidth="1"/>
    <col min="4613" max="4613" width="12.5703125" customWidth="1"/>
    <col min="4614" max="4614" width="19" customWidth="1"/>
    <col min="4615" max="4615" width="20.140625" customWidth="1"/>
    <col min="4616" max="4616" width="37.140625" customWidth="1"/>
    <col min="4617" max="4617" width="13.28515625" customWidth="1"/>
    <col min="4618" max="4618" width="31.85546875" customWidth="1"/>
    <col min="4619" max="4619" width="54.42578125" customWidth="1"/>
    <col min="4865" max="4865" width="37.5703125" customWidth="1"/>
    <col min="4866" max="4866" width="20.140625" customWidth="1"/>
    <col min="4867" max="4867" width="12.7109375" customWidth="1"/>
    <col min="4868" max="4868" width="15.85546875" customWidth="1"/>
    <col min="4869" max="4869" width="12.5703125" customWidth="1"/>
    <col min="4870" max="4870" width="19" customWidth="1"/>
    <col min="4871" max="4871" width="20.140625" customWidth="1"/>
    <col min="4872" max="4872" width="37.140625" customWidth="1"/>
    <col min="4873" max="4873" width="13.28515625" customWidth="1"/>
    <col min="4874" max="4874" width="31.85546875" customWidth="1"/>
    <col min="4875" max="4875" width="54.42578125" customWidth="1"/>
    <col min="5121" max="5121" width="37.5703125" customWidth="1"/>
    <col min="5122" max="5122" width="20.140625" customWidth="1"/>
    <col min="5123" max="5123" width="12.7109375" customWidth="1"/>
    <col min="5124" max="5124" width="15.85546875" customWidth="1"/>
    <col min="5125" max="5125" width="12.5703125" customWidth="1"/>
    <col min="5126" max="5126" width="19" customWidth="1"/>
    <col min="5127" max="5127" width="20.140625" customWidth="1"/>
    <col min="5128" max="5128" width="37.140625" customWidth="1"/>
    <col min="5129" max="5129" width="13.28515625" customWidth="1"/>
    <col min="5130" max="5130" width="31.85546875" customWidth="1"/>
    <col min="5131" max="5131" width="54.42578125" customWidth="1"/>
    <col min="5377" max="5377" width="37.5703125" customWidth="1"/>
    <col min="5378" max="5378" width="20.140625" customWidth="1"/>
    <col min="5379" max="5379" width="12.7109375" customWidth="1"/>
    <col min="5380" max="5380" width="15.85546875" customWidth="1"/>
    <col min="5381" max="5381" width="12.5703125" customWidth="1"/>
    <col min="5382" max="5382" width="19" customWidth="1"/>
    <col min="5383" max="5383" width="20.140625" customWidth="1"/>
    <col min="5384" max="5384" width="37.140625" customWidth="1"/>
    <col min="5385" max="5385" width="13.28515625" customWidth="1"/>
    <col min="5386" max="5386" width="31.85546875" customWidth="1"/>
    <col min="5387" max="5387" width="54.42578125" customWidth="1"/>
    <col min="5633" max="5633" width="37.5703125" customWidth="1"/>
    <col min="5634" max="5634" width="20.140625" customWidth="1"/>
    <col min="5635" max="5635" width="12.7109375" customWidth="1"/>
    <col min="5636" max="5636" width="15.85546875" customWidth="1"/>
    <col min="5637" max="5637" width="12.5703125" customWidth="1"/>
    <col min="5638" max="5638" width="19" customWidth="1"/>
    <col min="5639" max="5639" width="20.140625" customWidth="1"/>
    <col min="5640" max="5640" width="37.140625" customWidth="1"/>
    <col min="5641" max="5641" width="13.28515625" customWidth="1"/>
    <col min="5642" max="5642" width="31.85546875" customWidth="1"/>
    <col min="5643" max="5643" width="54.42578125" customWidth="1"/>
    <col min="5889" max="5889" width="37.5703125" customWidth="1"/>
    <col min="5890" max="5890" width="20.140625" customWidth="1"/>
    <col min="5891" max="5891" width="12.7109375" customWidth="1"/>
    <col min="5892" max="5892" width="15.85546875" customWidth="1"/>
    <col min="5893" max="5893" width="12.5703125" customWidth="1"/>
    <col min="5894" max="5894" width="19" customWidth="1"/>
    <col min="5895" max="5895" width="20.140625" customWidth="1"/>
    <col min="5896" max="5896" width="37.140625" customWidth="1"/>
    <col min="5897" max="5897" width="13.28515625" customWidth="1"/>
    <col min="5898" max="5898" width="31.85546875" customWidth="1"/>
    <col min="5899" max="5899" width="54.42578125" customWidth="1"/>
    <col min="6145" max="6145" width="37.5703125" customWidth="1"/>
    <col min="6146" max="6146" width="20.140625" customWidth="1"/>
    <col min="6147" max="6147" width="12.7109375" customWidth="1"/>
    <col min="6148" max="6148" width="15.85546875" customWidth="1"/>
    <col min="6149" max="6149" width="12.5703125" customWidth="1"/>
    <col min="6150" max="6150" width="19" customWidth="1"/>
    <col min="6151" max="6151" width="20.140625" customWidth="1"/>
    <col min="6152" max="6152" width="37.140625" customWidth="1"/>
    <col min="6153" max="6153" width="13.28515625" customWidth="1"/>
    <col min="6154" max="6154" width="31.85546875" customWidth="1"/>
    <col min="6155" max="6155" width="54.42578125" customWidth="1"/>
    <col min="6401" max="6401" width="37.5703125" customWidth="1"/>
    <col min="6402" max="6402" width="20.140625" customWidth="1"/>
    <col min="6403" max="6403" width="12.7109375" customWidth="1"/>
    <col min="6404" max="6404" width="15.85546875" customWidth="1"/>
    <col min="6405" max="6405" width="12.5703125" customWidth="1"/>
    <col min="6406" max="6406" width="19" customWidth="1"/>
    <col min="6407" max="6407" width="20.140625" customWidth="1"/>
    <col min="6408" max="6408" width="37.140625" customWidth="1"/>
    <col min="6409" max="6409" width="13.28515625" customWidth="1"/>
    <col min="6410" max="6410" width="31.85546875" customWidth="1"/>
    <col min="6411" max="6411" width="54.42578125" customWidth="1"/>
    <col min="6657" max="6657" width="37.5703125" customWidth="1"/>
    <col min="6658" max="6658" width="20.140625" customWidth="1"/>
    <col min="6659" max="6659" width="12.7109375" customWidth="1"/>
    <col min="6660" max="6660" width="15.85546875" customWidth="1"/>
    <col min="6661" max="6661" width="12.5703125" customWidth="1"/>
    <col min="6662" max="6662" width="19" customWidth="1"/>
    <col min="6663" max="6663" width="20.140625" customWidth="1"/>
    <col min="6664" max="6664" width="37.140625" customWidth="1"/>
    <col min="6665" max="6665" width="13.28515625" customWidth="1"/>
    <col min="6666" max="6666" width="31.85546875" customWidth="1"/>
    <col min="6667" max="6667" width="54.42578125" customWidth="1"/>
    <col min="6913" max="6913" width="37.5703125" customWidth="1"/>
    <col min="6914" max="6914" width="20.140625" customWidth="1"/>
    <col min="6915" max="6915" width="12.7109375" customWidth="1"/>
    <col min="6916" max="6916" width="15.85546875" customWidth="1"/>
    <col min="6917" max="6917" width="12.5703125" customWidth="1"/>
    <col min="6918" max="6918" width="19" customWidth="1"/>
    <col min="6919" max="6919" width="20.140625" customWidth="1"/>
    <col min="6920" max="6920" width="37.140625" customWidth="1"/>
    <col min="6921" max="6921" width="13.28515625" customWidth="1"/>
    <col min="6922" max="6922" width="31.85546875" customWidth="1"/>
    <col min="6923" max="6923" width="54.42578125" customWidth="1"/>
    <col min="7169" max="7169" width="37.5703125" customWidth="1"/>
    <col min="7170" max="7170" width="20.140625" customWidth="1"/>
    <col min="7171" max="7171" width="12.7109375" customWidth="1"/>
    <col min="7172" max="7172" width="15.85546875" customWidth="1"/>
    <col min="7173" max="7173" width="12.5703125" customWidth="1"/>
    <col min="7174" max="7174" width="19" customWidth="1"/>
    <col min="7175" max="7175" width="20.140625" customWidth="1"/>
    <col min="7176" max="7176" width="37.140625" customWidth="1"/>
    <col min="7177" max="7177" width="13.28515625" customWidth="1"/>
    <col min="7178" max="7178" width="31.85546875" customWidth="1"/>
    <col min="7179" max="7179" width="54.42578125" customWidth="1"/>
    <col min="7425" max="7425" width="37.5703125" customWidth="1"/>
    <col min="7426" max="7426" width="20.140625" customWidth="1"/>
    <col min="7427" max="7427" width="12.7109375" customWidth="1"/>
    <col min="7428" max="7428" width="15.85546875" customWidth="1"/>
    <col min="7429" max="7429" width="12.5703125" customWidth="1"/>
    <col min="7430" max="7430" width="19" customWidth="1"/>
    <col min="7431" max="7431" width="20.140625" customWidth="1"/>
    <col min="7432" max="7432" width="37.140625" customWidth="1"/>
    <col min="7433" max="7433" width="13.28515625" customWidth="1"/>
    <col min="7434" max="7434" width="31.85546875" customWidth="1"/>
    <col min="7435" max="7435" width="54.42578125" customWidth="1"/>
    <col min="7681" max="7681" width="37.5703125" customWidth="1"/>
    <col min="7682" max="7682" width="20.140625" customWidth="1"/>
    <col min="7683" max="7683" width="12.7109375" customWidth="1"/>
    <col min="7684" max="7684" width="15.85546875" customWidth="1"/>
    <col min="7685" max="7685" width="12.5703125" customWidth="1"/>
    <col min="7686" max="7686" width="19" customWidth="1"/>
    <col min="7687" max="7687" width="20.140625" customWidth="1"/>
    <col min="7688" max="7688" width="37.140625" customWidth="1"/>
    <col min="7689" max="7689" width="13.28515625" customWidth="1"/>
    <col min="7690" max="7690" width="31.85546875" customWidth="1"/>
    <col min="7691" max="7691" width="54.42578125" customWidth="1"/>
    <col min="7937" max="7937" width="37.5703125" customWidth="1"/>
    <col min="7938" max="7938" width="20.140625" customWidth="1"/>
    <col min="7939" max="7939" width="12.7109375" customWidth="1"/>
    <col min="7940" max="7940" width="15.85546875" customWidth="1"/>
    <col min="7941" max="7941" width="12.5703125" customWidth="1"/>
    <col min="7942" max="7942" width="19" customWidth="1"/>
    <col min="7943" max="7943" width="20.140625" customWidth="1"/>
    <col min="7944" max="7944" width="37.140625" customWidth="1"/>
    <col min="7945" max="7945" width="13.28515625" customWidth="1"/>
    <col min="7946" max="7946" width="31.85546875" customWidth="1"/>
    <col min="7947" max="7947" width="54.42578125" customWidth="1"/>
    <col min="8193" max="8193" width="37.5703125" customWidth="1"/>
    <col min="8194" max="8194" width="20.140625" customWidth="1"/>
    <col min="8195" max="8195" width="12.7109375" customWidth="1"/>
    <col min="8196" max="8196" width="15.85546875" customWidth="1"/>
    <col min="8197" max="8197" width="12.5703125" customWidth="1"/>
    <col min="8198" max="8198" width="19" customWidth="1"/>
    <col min="8199" max="8199" width="20.140625" customWidth="1"/>
    <col min="8200" max="8200" width="37.140625" customWidth="1"/>
    <col min="8201" max="8201" width="13.28515625" customWidth="1"/>
    <col min="8202" max="8202" width="31.85546875" customWidth="1"/>
    <col min="8203" max="8203" width="54.42578125" customWidth="1"/>
    <col min="8449" max="8449" width="37.5703125" customWidth="1"/>
    <col min="8450" max="8450" width="20.140625" customWidth="1"/>
    <col min="8451" max="8451" width="12.7109375" customWidth="1"/>
    <col min="8452" max="8452" width="15.85546875" customWidth="1"/>
    <col min="8453" max="8453" width="12.5703125" customWidth="1"/>
    <col min="8454" max="8454" width="19" customWidth="1"/>
    <col min="8455" max="8455" width="20.140625" customWidth="1"/>
    <col min="8456" max="8456" width="37.140625" customWidth="1"/>
    <col min="8457" max="8457" width="13.28515625" customWidth="1"/>
    <col min="8458" max="8458" width="31.85546875" customWidth="1"/>
    <col min="8459" max="8459" width="54.42578125" customWidth="1"/>
    <col min="8705" max="8705" width="37.5703125" customWidth="1"/>
    <col min="8706" max="8706" width="20.140625" customWidth="1"/>
    <col min="8707" max="8707" width="12.7109375" customWidth="1"/>
    <col min="8708" max="8708" width="15.85546875" customWidth="1"/>
    <col min="8709" max="8709" width="12.5703125" customWidth="1"/>
    <col min="8710" max="8710" width="19" customWidth="1"/>
    <col min="8711" max="8711" width="20.140625" customWidth="1"/>
    <col min="8712" max="8712" width="37.140625" customWidth="1"/>
    <col min="8713" max="8713" width="13.28515625" customWidth="1"/>
    <col min="8714" max="8714" width="31.85546875" customWidth="1"/>
    <col min="8715" max="8715" width="54.42578125" customWidth="1"/>
    <col min="8961" max="8961" width="37.5703125" customWidth="1"/>
    <col min="8962" max="8962" width="20.140625" customWidth="1"/>
    <col min="8963" max="8963" width="12.7109375" customWidth="1"/>
    <col min="8964" max="8964" width="15.85546875" customWidth="1"/>
    <col min="8965" max="8965" width="12.5703125" customWidth="1"/>
    <col min="8966" max="8966" width="19" customWidth="1"/>
    <col min="8967" max="8967" width="20.140625" customWidth="1"/>
    <col min="8968" max="8968" width="37.140625" customWidth="1"/>
    <col min="8969" max="8969" width="13.28515625" customWidth="1"/>
    <col min="8970" max="8970" width="31.85546875" customWidth="1"/>
    <col min="8971" max="8971" width="54.42578125" customWidth="1"/>
    <col min="9217" max="9217" width="37.5703125" customWidth="1"/>
    <col min="9218" max="9218" width="20.140625" customWidth="1"/>
    <col min="9219" max="9219" width="12.7109375" customWidth="1"/>
    <col min="9220" max="9220" width="15.85546875" customWidth="1"/>
    <col min="9221" max="9221" width="12.5703125" customWidth="1"/>
    <col min="9222" max="9222" width="19" customWidth="1"/>
    <col min="9223" max="9223" width="20.140625" customWidth="1"/>
    <col min="9224" max="9224" width="37.140625" customWidth="1"/>
    <col min="9225" max="9225" width="13.28515625" customWidth="1"/>
    <col min="9226" max="9226" width="31.85546875" customWidth="1"/>
    <col min="9227" max="9227" width="54.42578125" customWidth="1"/>
    <col min="9473" max="9473" width="37.5703125" customWidth="1"/>
    <col min="9474" max="9474" width="20.140625" customWidth="1"/>
    <col min="9475" max="9475" width="12.7109375" customWidth="1"/>
    <col min="9476" max="9476" width="15.85546875" customWidth="1"/>
    <col min="9477" max="9477" width="12.5703125" customWidth="1"/>
    <col min="9478" max="9478" width="19" customWidth="1"/>
    <col min="9479" max="9479" width="20.140625" customWidth="1"/>
    <col min="9480" max="9480" width="37.140625" customWidth="1"/>
    <col min="9481" max="9481" width="13.28515625" customWidth="1"/>
    <col min="9482" max="9482" width="31.85546875" customWidth="1"/>
    <col min="9483" max="9483" width="54.42578125" customWidth="1"/>
    <col min="9729" max="9729" width="37.5703125" customWidth="1"/>
    <col min="9730" max="9730" width="20.140625" customWidth="1"/>
    <col min="9731" max="9731" width="12.7109375" customWidth="1"/>
    <col min="9732" max="9732" width="15.85546875" customWidth="1"/>
    <col min="9733" max="9733" width="12.5703125" customWidth="1"/>
    <col min="9734" max="9734" width="19" customWidth="1"/>
    <col min="9735" max="9735" width="20.140625" customWidth="1"/>
    <col min="9736" max="9736" width="37.140625" customWidth="1"/>
    <col min="9737" max="9737" width="13.28515625" customWidth="1"/>
    <col min="9738" max="9738" width="31.85546875" customWidth="1"/>
    <col min="9739" max="9739" width="54.42578125" customWidth="1"/>
    <col min="9985" max="9985" width="37.5703125" customWidth="1"/>
    <col min="9986" max="9986" width="20.140625" customWidth="1"/>
    <col min="9987" max="9987" width="12.7109375" customWidth="1"/>
    <col min="9988" max="9988" width="15.85546875" customWidth="1"/>
    <col min="9989" max="9989" width="12.5703125" customWidth="1"/>
    <col min="9990" max="9990" width="19" customWidth="1"/>
    <col min="9991" max="9991" width="20.140625" customWidth="1"/>
    <col min="9992" max="9992" width="37.140625" customWidth="1"/>
    <col min="9993" max="9993" width="13.28515625" customWidth="1"/>
    <col min="9994" max="9994" width="31.85546875" customWidth="1"/>
    <col min="9995" max="9995" width="54.42578125" customWidth="1"/>
    <col min="10241" max="10241" width="37.5703125" customWidth="1"/>
    <col min="10242" max="10242" width="20.140625" customWidth="1"/>
    <col min="10243" max="10243" width="12.7109375" customWidth="1"/>
    <col min="10244" max="10244" width="15.85546875" customWidth="1"/>
    <col min="10245" max="10245" width="12.5703125" customWidth="1"/>
    <col min="10246" max="10246" width="19" customWidth="1"/>
    <col min="10247" max="10247" width="20.140625" customWidth="1"/>
    <col min="10248" max="10248" width="37.140625" customWidth="1"/>
    <col min="10249" max="10249" width="13.28515625" customWidth="1"/>
    <col min="10250" max="10250" width="31.85546875" customWidth="1"/>
    <col min="10251" max="10251" width="54.42578125" customWidth="1"/>
    <col min="10497" max="10497" width="37.5703125" customWidth="1"/>
    <col min="10498" max="10498" width="20.140625" customWidth="1"/>
    <col min="10499" max="10499" width="12.7109375" customWidth="1"/>
    <col min="10500" max="10500" width="15.85546875" customWidth="1"/>
    <col min="10501" max="10501" width="12.5703125" customWidth="1"/>
    <col min="10502" max="10502" width="19" customWidth="1"/>
    <col min="10503" max="10503" width="20.140625" customWidth="1"/>
    <col min="10504" max="10504" width="37.140625" customWidth="1"/>
    <col min="10505" max="10505" width="13.28515625" customWidth="1"/>
    <col min="10506" max="10506" width="31.85546875" customWidth="1"/>
    <col min="10507" max="10507" width="54.42578125" customWidth="1"/>
    <col min="10753" max="10753" width="37.5703125" customWidth="1"/>
    <col min="10754" max="10754" width="20.140625" customWidth="1"/>
    <col min="10755" max="10755" width="12.7109375" customWidth="1"/>
    <col min="10756" max="10756" width="15.85546875" customWidth="1"/>
    <col min="10757" max="10757" width="12.5703125" customWidth="1"/>
    <col min="10758" max="10758" width="19" customWidth="1"/>
    <col min="10759" max="10759" width="20.140625" customWidth="1"/>
    <col min="10760" max="10760" width="37.140625" customWidth="1"/>
    <col min="10761" max="10761" width="13.28515625" customWidth="1"/>
    <col min="10762" max="10762" width="31.85546875" customWidth="1"/>
    <col min="10763" max="10763" width="54.42578125" customWidth="1"/>
    <col min="11009" max="11009" width="37.5703125" customWidth="1"/>
    <col min="11010" max="11010" width="20.140625" customWidth="1"/>
    <col min="11011" max="11011" width="12.7109375" customWidth="1"/>
    <col min="11012" max="11012" width="15.85546875" customWidth="1"/>
    <col min="11013" max="11013" width="12.5703125" customWidth="1"/>
    <col min="11014" max="11014" width="19" customWidth="1"/>
    <col min="11015" max="11015" width="20.140625" customWidth="1"/>
    <col min="11016" max="11016" width="37.140625" customWidth="1"/>
    <col min="11017" max="11017" width="13.28515625" customWidth="1"/>
    <col min="11018" max="11018" width="31.85546875" customWidth="1"/>
    <col min="11019" max="11019" width="54.42578125" customWidth="1"/>
    <col min="11265" max="11265" width="37.5703125" customWidth="1"/>
    <col min="11266" max="11266" width="20.140625" customWidth="1"/>
    <col min="11267" max="11267" width="12.7109375" customWidth="1"/>
    <col min="11268" max="11268" width="15.85546875" customWidth="1"/>
    <col min="11269" max="11269" width="12.5703125" customWidth="1"/>
    <col min="11270" max="11270" width="19" customWidth="1"/>
    <col min="11271" max="11271" width="20.140625" customWidth="1"/>
    <col min="11272" max="11272" width="37.140625" customWidth="1"/>
    <col min="11273" max="11273" width="13.28515625" customWidth="1"/>
    <col min="11274" max="11274" width="31.85546875" customWidth="1"/>
    <col min="11275" max="11275" width="54.42578125" customWidth="1"/>
    <col min="11521" max="11521" width="37.5703125" customWidth="1"/>
    <col min="11522" max="11522" width="20.140625" customWidth="1"/>
    <col min="11523" max="11523" width="12.7109375" customWidth="1"/>
    <col min="11524" max="11524" width="15.85546875" customWidth="1"/>
    <col min="11525" max="11525" width="12.5703125" customWidth="1"/>
    <col min="11526" max="11526" width="19" customWidth="1"/>
    <col min="11527" max="11527" width="20.140625" customWidth="1"/>
    <col min="11528" max="11528" width="37.140625" customWidth="1"/>
    <col min="11529" max="11529" width="13.28515625" customWidth="1"/>
    <col min="11530" max="11530" width="31.85546875" customWidth="1"/>
    <col min="11531" max="11531" width="54.42578125" customWidth="1"/>
    <col min="11777" max="11777" width="37.5703125" customWidth="1"/>
    <col min="11778" max="11778" width="20.140625" customWidth="1"/>
    <col min="11779" max="11779" width="12.7109375" customWidth="1"/>
    <col min="11780" max="11780" width="15.85546875" customWidth="1"/>
    <col min="11781" max="11781" width="12.5703125" customWidth="1"/>
    <col min="11782" max="11782" width="19" customWidth="1"/>
    <col min="11783" max="11783" width="20.140625" customWidth="1"/>
    <col min="11784" max="11784" width="37.140625" customWidth="1"/>
    <col min="11785" max="11785" width="13.28515625" customWidth="1"/>
    <col min="11786" max="11786" width="31.85546875" customWidth="1"/>
    <col min="11787" max="11787" width="54.42578125" customWidth="1"/>
    <col min="12033" max="12033" width="37.5703125" customWidth="1"/>
    <col min="12034" max="12034" width="20.140625" customWidth="1"/>
    <col min="12035" max="12035" width="12.7109375" customWidth="1"/>
    <col min="12036" max="12036" width="15.85546875" customWidth="1"/>
    <col min="12037" max="12037" width="12.5703125" customWidth="1"/>
    <col min="12038" max="12038" width="19" customWidth="1"/>
    <col min="12039" max="12039" width="20.140625" customWidth="1"/>
    <col min="12040" max="12040" width="37.140625" customWidth="1"/>
    <col min="12041" max="12041" width="13.28515625" customWidth="1"/>
    <col min="12042" max="12042" width="31.85546875" customWidth="1"/>
    <col min="12043" max="12043" width="54.42578125" customWidth="1"/>
    <col min="12289" max="12289" width="37.5703125" customWidth="1"/>
    <col min="12290" max="12290" width="20.140625" customWidth="1"/>
    <col min="12291" max="12291" width="12.7109375" customWidth="1"/>
    <col min="12292" max="12292" width="15.85546875" customWidth="1"/>
    <col min="12293" max="12293" width="12.5703125" customWidth="1"/>
    <col min="12294" max="12294" width="19" customWidth="1"/>
    <col min="12295" max="12295" width="20.140625" customWidth="1"/>
    <col min="12296" max="12296" width="37.140625" customWidth="1"/>
    <col min="12297" max="12297" width="13.28515625" customWidth="1"/>
    <col min="12298" max="12298" width="31.85546875" customWidth="1"/>
    <col min="12299" max="12299" width="54.42578125" customWidth="1"/>
    <col min="12545" max="12545" width="37.5703125" customWidth="1"/>
    <col min="12546" max="12546" width="20.140625" customWidth="1"/>
    <col min="12547" max="12547" width="12.7109375" customWidth="1"/>
    <col min="12548" max="12548" width="15.85546875" customWidth="1"/>
    <col min="12549" max="12549" width="12.5703125" customWidth="1"/>
    <col min="12550" max="12550" width="19" customWidth="1"/>
    <col min="12551" max="12551" width="20.140625" customWidth="1"/>
    <col min="12552" max="12552" width="37.140625" customWidth="1"/>
    <col min="12553" max="12553" width="13.28515625" customWidth="1"/>
    <col min="12554" max="12554" width="31.85546875" customWidth="1"/>
    <col min="12555" max="12555" width="54.42578125" customWidth="1"/>
    <col min="12801" max="12801" width="37.5703125" customWidth="1"/>
    <col min="12802" max="12802" width="20.140625" customWidth="1"/>
    <col min="12803" max="12803" width="12.7109375" customWidth="1"/>
    <col min="12804" max="12804" width="15.85546875" customWidth="1"/>
    <col min="12805" max="12805" width="12.5703125" customWidth="1"/>
    <col min="12806" max="12806" width="19" customWidth="1"/>
    <col min="12807" max="12807" width="20.140625" customWidth="1"/>
    <col min="12808" max="12808" width="37.140625" customWidth="1"/>
    <col min="12809" max="12809" width="13.28515625" customWidth="1"/>
    <col min="12810" max="12810" width="31.85546875" customWidth="1"/>
    <col min="12811" max="12811" width="54.42578125" customWidth="1"/>
    <col min="13057" max="13057" width="37.5703125" customWidth="1"/>
    <col min="13058" max="13058" width="20.140625" customWidth="1"/>
    <col min="13059" max="13059" width="12.7109375" customWidth="1"/>
    <col min="13060" max="13060" width="15.85546875" customWidth="1"/>
    <col min="13061" max="13061" width="12.5703125" customWidth="1"/>
    <col min="13062" max="13062" width="19" customWidth="1"/>
    <col min="13063" max="13063" width="20.140625" customWidth="1"/>
    <col min="13064" max="13064" width="37.140625" customWidth="1"/>
    <col min="13065" max="13065" width="13.28515625" customWidth="1"/>
    <col min="13066" max="13066" width="31.85546875" customWidth="1"/>
    <col min="13067" max="13067" width="54.42578125" customWidth="1"/>
    <col min="13313" max="13313" width="37.5703125" customWidth="1"/>
    <col min="13314" max="13314" width="20.140625" customWidth="1"/>
    <col min="13315" max="13315" width="12.7109375" customWidth="1"/>
    <col min="13316" max="13316" width="15.85546875" customWidth="1"/>
    <col min="13317" max="13317" width="12.5703125" customWidth="1"/>
    <col min="13318" max="13318" width="19" customWidth="1"/>
    <col min="13319" max="13319" width="20.140625" customWidth="1"/>
    <col min="13320" max="13320" width="37.140625" customWidth="1"/>
    <col min="13321" max="13321" width="13.28515625" customWidth="1"/>
    <col min="13322" max="13322" width="31.85546875" customWidth="1"/>
    <col min="13323" max="13323" width="54.42578125" customWidth="1"/>
    <col min="13569" max="13569" width="37.5703125" customWidth="1"/>
    <col min="13570" max="13570" width="20.140625" customWidth="1"/>
    <col min="13571" max="13571" width="12.7109375" customWidth="1"/>
    <col min="13572" max="13572" width="15.85546875" customWidth="1"/>
    <col min="13573" max="13573" width="12.5703125" customWidth="1"/>
    <col min="13574" max="13574" width="19" customWidth="1"/>
    <col min="13575" max="13575" width="20.140625" customWidth="1"/>
    <col min="13576" max="13576" width="37.140625" customWidth="1"/>
    <col min="13577" max="13577" width="13.28515625" customWidth="1"/>
    <col min="13578" max="13578" width="31.85546875" customWidth="1"/>
    <col min="13579" max="13579" width="54.42578125" customWidth="1"/>
    <col min="13825" max="13825" width="37.5703125" customWidth="1"/>
    <col min="13826" max="13826" width="20.140625" customWidth="1"/>
    <col min="13827" max="13827" width="12.7109375" customWidth="1"/>
    <col min="13828" max="13828" width="15.85546875" customWidth="1"/>
    <col min="13829" max="13829" width="12.5703125" customWidth="1"/>
    <col min="13830" max="13830" width="19" customWidth="1"/>
    <col min="13831" max="13831" width="20.140625" customWidth="1"/>
    <col min="13832" max="13832" width="37.140625" customWidth="1"/>
    <col min="13833" max="13833" width="13.28515625" customWidth="1"/>
    <col min="13834" max="13834" width="31.85546875" customWidth="1"/>
    <col min="13835" max="13835" width="54.42578125" customWidth="1"/>
    <col min="14081" max="14081" width="37.5703125" customWidth="1"/>
    <col min="14082" max="14082" width="20.140625" customWidth="1"/>
    <col min="14083" max="14083" width="12.7109375" customWidth="1"/>
    <col min="14084" max="14084" width="15.85546875" customWidth="1"/>
    <col min="14085" max="14085" width="12.5703125" customWidth="1"/>
    <col min="14086" max="14086" width="19" customWidth="1"/>
    <col min="14087" max="14087" width="20.140625" customWidth="1"/>
    <col min="14088" max="14088" width="37.140625" customWidth="1"/>
    <col min="14089" max="14089" width="13.28515625" customWidth="1"/>
    <col min="14090" max="14090" width="31.85546875" customWidth="1"/>
    <col min="14091" max="14091" width="54.42578125" customWidth="1"/>
    <col min="14337" max="14337" width="37.5703125" customWidth="1"/>
    <col min="14338" max="14338" width="20.140625" customWidth="1"/>
    <col min="14339" max="14339" width="12.7109375" customWidth="1"/>
    <col min="14340" max="14340" width="15.85546875" customWidth="1"/>
    <col min="14341" max="14341" width="12.5703125" customWidth="1"/>
    <col min="14342" max="14342" width="19" customWidth="1"/>
    <col min="14343" max="14343" width="20.140625" customWidth="1"/>
    <col min="14344" max="14344" width="37.140625" customWidth="1"/>
    <col min="14345" max="14345" width="13.28515625" customWidth="1"/>
    <col min="14346" max="14346" width="31.85546875" customWidth="1"/>
    <col min="14347" max="14347" width="54.42578125" customWidth="1"/>
    <col min="14593" max="14593" width="37.5703125" customWidth="1"/>
    <col min="14594" max="14594" width="20.140625" customWidth="1"/>
    <col min="14595" max="14595" width="12.7109375" customWidth="1"/>
    <col min="14596" max="14596" width="15.85546875" customWidth="1"/>
    <col min="14597" max="14597" width="12.5703125" customWidth="1"/>
    <col min="14598" max="14598" width="19" customWidth="1"/>
    <col min="14599" max="14599" width="20.140625" customWidth="1"/>
    <col min="14600" max="14600" width="37.140625" customWidth="1"/>
    <col min="14601" max="14601" width="13.28515625" customWidth="1"/>
    <col min="14602" max="14602" width="31.85546875" customWidth="1"/>
    <col min="14603" max="14603" width="54.42578125" customWidth="1"/>
    <col min="14849" max="14849" width="37.5703125" customWidth="1"/>
    <col min="14850" max="14850" width="20.140625" customWidth="1"/>
    <col min="14851" max="14851" width="12.7109375" customWidth="1"/>
    <col min="14852" max="14852" width="15.85546875" customWidth="1"/>
    <col min="14853" max="14853" width="12.5703125" customWidth="1"/>
    <col min="14854" max="14854" width="19" customWidth="1"/>
    <col min="14855" max="14855" width="20.140625" customWidth="1"/>
    <col min="14856" max="14856" width="37.140625" customWidth="1"/>
    <col min="14857" max="14857" width="13.28515625" customWidth="1"/>
    <col min="14858" max="14858" width="31.85546875" customWidth="1"/>
    <col min="14859" max="14859" width="54.42578125" customWidth="1"/>
    <col min="15105" max="15105" width="37.5703125" customWidth="1"/>
    <col min="15106" max="15106" width="20.140625" customWidth="1"/>
    <col min="15107" max="15107" width="12.7109375" customWidth="1"/>
    <col min="15108" max="15108" width="15.85546875" customWidth="1"/>
    <col min="15109" max="15109" width="12.5703125" customWidth="1"/>
    <col min="15110" max="15110" width="19" customWidth="1"/>
    <col min="15111" max="15111" width="20.140625" customWidth="1"/>
    <col min="15112" max="15112" width="37.140625" customWidth="1"/>
    <col min="15113" max="15113" width="13.28515625" customWidth="1"/>
    <col min="15114" max="15114" width="31.85546875" customWidth="1"/>
    <col min="15115" max="15115" width="54.42578125" customWidth="1"/>
    <col min="15361" max="15361" width="37.5703125" customWidth="1"/>
    <col min="15362" max="15362" width="20.140625" customWidth="1"/>
    <col min="15363" max="15363" width="12.7109375" customWidth="1"/>
    <col min="15364" max="15364" width="15.85546875" customWidth="1"/>
    <col min="15365" max="15365" width="12.5703125" customWidth="1"/>
    <col min="15366" max="15366" width="19" customWidth="1"/>
    <col min="15367" max="15367" width="20.140625" customWidth="1"/>
    <col min="15368" max="15368" width="37.140625" customWidth="1"/>
    <col min="15369" max="15369" width="13.28515625" customWidth="1"/>
    <col min="15370" max="15370" width="31.85546875" customWidth="1"/>
    <col min="15371" max="15371" width="54.42578125" customWidth="1"/>
    <col min="15617" max="15617" width="37.5703125" customWidth="1"/>
    <col min="15618" max="15618" width="20.140625" customWidth="1"/>
    <col min="15619" max="15619" width="12.7109375" customWidth="1"/>
    <col min="15620" max="15620" width="15.85546875" customWidth="1"/>
    <col min="15621" max="15621" width="12.5703125" customWidth="1"/>
    <col min="15622" max="15622" width="19" customWidth="1"/>
    <col min="15623" max="15623" width="20.140625" customWidth="1"/>
    <col min="15624" max="15624" width="37.140625" customWidth="1"/>
    <col min="15625" max="15625" width="13.28515625" customWidth="1"/>
    <col min="15626" max="15626" width="31.85546875" customWidth="1"/>
    <col min="15627" max="15627" width="54.42578125" customWidth="1"/>
    <col min="15873" max="15873" width="37.5703125" customWidth="1"/>
    <col min="15874" max="15874" width="20.140625" customWidth="1"/>
    <col min="15875" max="15875" width="12.7109375" customWidth="1"/>
    <col min="15876" max="15876" width="15.85546875" customWidth="1"/>
    <col min="15877" max="15877" width="12.5703125" customWidth="1"/>
    <col min="15878" max="15878" width="19" customWidth="1"/>
    <col min="15879" max="15879" width="20.140625" customWidth="1"/>
    <col min="15880" max="15880" width="37.140625" customWidth="1"/>
    <col min="15881" max="15881" width="13.28515625" customWidth="1"/>
    <col min="15882" max="15882" width="31.85546875" customWidth="1"/>
    <col min="15883" max="15883" width="54.42578125" customWidth="1"/>
    <col min="16129" max="16129" width="37.5703125" customWidth="1"/>
    <col min="16130" max="16130" width="20.140625" customWidth="1"/>
    <col min="16131" max="16131" width="12.7109375" customWidth="1"/>
    <col min="16132" max="16132" width="15.85546875" customWidth="1"/>
    <col min="16133" max="16133" width="12.5703125" customWidth="1"/>
    <col min="16134" max="16134" width="19" customWidth="1"/>
    <col min="16135" max="16135" width="20.140625" customWidth="1"/>
    <col min="16136" max="16136" width="37.140625" customWidth="1"/>
    <col min="16137" max="16137" width="13.28515625" customWidth="1"/>
    <col min="16138" max="16138" width="31.85546875" customWidth="1"/>
    <col min="16139" max="16139" width="54.42578125" customWidth="1"/>
  </cols>
  <sheetData>
    <row r="1" spans="1:11" ht="15.95" customHeight="1" x14ac:dyDescent="0.25">
      <c r="A1" s="61" t="s">
        <v>309</v>
      </c>
      <c r="B1" s="417">
        <v>43835</v>
      </c>
      <c r="C1" s="418"/>
      <c r="D1" s="418"/>
      <c r="E1" s="418"/>
      <c r="F1" s="418"/>
      <c r="G1" s="419"/>
      <c r="H1" s="420" t="s">
        <v>310</v>
      </c>
      <c r="I1" s="62"/>
      <c r="J1" s="62"/>
      <c r="K1" s="62"/>
    </row>
    <row r="2" spans="1:11" ht="15.75" x14ac:dyDescent="0.25">
      <c r="A2" s="63" t="s">
        <v>311</v>
      </c>
      <c r="B2" s="423" t="s">
        <v>312</v>
      </c>
      <c r="C2" s="424"/>
      <c r="D2" s="424"/>
      <c r="E2" s="424"/>
      <c r="F2" s="424"/>
      <c r="G2" s="425"/>
      <c r="H2" s="421"/>
      <c r="I2" s="62"/>
      <c r="J2" s="62"/>
      <c r="K2" s="62"/>
    </row>
    <row r="3" spans="1:11" ht="15.75" x14ac:dyDescent="0.25">
      <c r="A3" s="63" t="s">
        <v>313</v>
      </c>
      <c r="B3" s="426" t="s">
        <v>314</v>
      </c>
      <c r="C3" s="427"/>
      <c r="D3" s="427"/>
      <c r="E3" s="428"/>
      <c r="F3" s="426" t="s">
        <v>315</v>
      </c>
      <c r="G3" s="429"/>
      <c r="H3" s="421"/>
      <c r="I3" s="64"/>
      <c r="J3" s="64"/>
      <c r="K3" s="62"/>
    </row>
    <row r="4" spans="1:11" ht="15.75" x14ac:dyDescent="0.25">
      <c r="A4" s="63" t="s">
        <v>316</v>
      </c>
      <c r="B4" s="430" t="s">
        <v>317</v>
      </c>
      <c r="C4" s="431"/>
      <c r="D4" s="431"/>
      <c r="E4" s="431"/>
      <c r="F4" s="431"/>
      <c r="G4" s="432"/>
      <c r="H4" s="421"/>
      <c r="I4" s="62"/>
      <c r="J4" s="62"/>
      <c r="K4" s="62"/>
    </row>
    <row r="5" spans="1:11" ht="15.75" x14ac:dyDescent="0.25">
      <c r="A5" s="63" t="s">
        <v>318</v>
      </c>
      <c r="B5" s="433" t="s">
        <v>319</v>
      </c>
      <c r="C5" s="434"/>
      <c r="D5" s="434"/>
      <c r="E5" s="434"/>
      <c r="F5" s="434"/>
      <c r="G5" s="435"/>
      <c r="H5" s="421"/>
      <c r="I5" s="62"/>
      <c r="J5" s="62"/>
      <c r="K5" s="62"/>
    </row>
    <row r="6" spans="1:11" s="65" customFormat="1" ht="15.75" x14ac:dyDescent="0.25">
      <c r="A6" s="63" t="s">
        <v>320</v>
      </c>
      <c r="B6" s="423" t="s">
        <v>321</v>
      </c>
      <c r="C6" s="424"/>
      <c r="D6" s="424"/>
      <c r="E6" s="424"/>
      <c r="F6" s="424"/>
      <c r="G6" s="425"/>
      <c r="H6" s="421"/>
    </row>
    <row r="7" spans="1:11" ht="15.75" x14ac:dyDescent="0.25">
      <c r="A7" s="66" t="s">
        <v>322</v>
      </c>
      <c r="B7" s="436" t="s">
        <v>323</v>
      </c>
      <c r="C7" s="437"/>
      <c r="D7" s="437"/>
      <c r="E7" s="437"/>
      <c r="F7" s="437"/>
      <c r="G7" s="438"/>
      <c r="H7" s="422"/>
      <c r="I7" s="62"/>
      <c r="J7" s="62"/>
      <c r="K7" s="62"/>
    </row>
    <row r="8" spans="1:11" ht="15.75" x14ac:dyDescent="0.25">
      <c r="A8" s="62" t="s">
        <v>324</v>
      </c>
      <c r="B8" s="67"/>
      <c r="C8" s="68"/>
      <c r="D8" s="67"/>
      <c r="E8" s="67"/>
      <c r="F8" s="69" t="s">
        <v>325</v>
      </c>
      <c r="G8" s="67"/>
      <c r="H8" s="67"/>
      <c r="I8" s="62"/>
      <c r="J8" s="62"/>
      <c r="K8" s="70"/>
    </row>
    <row r="9" spans="1:11" ht="15.75" x14ac:dyDescent="0.25">
      <c r="A9" s="62" t="s">
        <v>326</v>
      </c>
      <c r="B9" s="67"/>
      <c r="C9" s="68"/>
      <c r="D9" s="67"/>
      <c r="E9" s="67"/>
      <c r="F9" s="71">
        <v>0.2616</v>
      </c>
      <c r="G9" s="67"/>
      <c r="H9" s="67"/>
      <c r="I9" s="62"/>
      <c r="J9" s="62"/>
      <c r="K9" s="70"/>
    </row>
    <row r="10" spans="1:11" ht="26.25" x14ac:dyDescent="0.25">
      <c r="A10" s="72" t="s">
        <v>327</v>
      </c>
      <c r="B10" s="73" t="s">
        <v>328</v>
      </c>
      <c r="C10" s="74" t="s">
        <v>329</v>
      </c>
      <c r="D10" s="73" t="s">
        <v>330</v>
      </c>
      <c r="E10" s="73" t="s">
        <v>331</v>
      </c>
      <c r="F10" s="75" t="s">
        <v>332</v>
      </c>
      <c r="G10" s="73" t="s">
        <v>333</v>
      </c>
      <c r="H10" s="75" t="s">
        <v>334</v>
      </c>
      <c r="I10" s="75" t="s">
        <v>335</v>
      </c>
      <c r="J10" s="75" t="s">
        <v>336</v>
      </c>
      <c r="K10" s="76" t="s">
        <v>337</v>
      </c>
    </row>
    <row r="11" spans="1:11" ht="15.75" x14ac:dyDescent="0.25">
      <c r="A11" s="77" t="s">
        <v>338</v>
      </c>
      <c r="B11" s="78">
        <v>103</v>
      </c>
      <c r="C11" s="79">
        <v>1.4956750620905284</v>
      </c>
      <c r="D11" s="80">
        <v>0.14337300751585519</v>
      </c>
      <c r="E11" s="80">
        <v>0.15279335879415659</v>
      </c>
      <c r="F11" s="79">
        <f>IF($F$8="Effective",C11/(1+(1-E11)*D11),C11/(1+(1-$F$9)*D11))</f>
        <v>1.3524913612607501</v>
      </c>
      <c r="G11" s="80">
        <v>7.6091373567544043E-2</v>
      </c>
      <c r="H11" s="79">
        <f>F11/(1-G11)</f>
        <v>1.4638800012975379</v>
      </c>
      <c r="I11" s="81">
        <v>0.40438646722003713</v>
      </c>
      <c r="J11" s="82">
        <v>0.43409066586183687</v>
      </c>
      <c r="K11" s="83">
        <v>0.45206152205875649</v>
      </c>
    </row>
    <row r="12" spans="1:11" ht="15.75" x14ac:dyDescent="0.25">
      <c r="A12" s="77" t="s">
        <v>339</v>
      </c>
      <c r="B12" s="78">
        <v>89</v>
      </c>
      <c r="C12" s="79">
        <v>1.1754467831293338</v>
      </c>
      <c r="D12" s="80">
        <v>0.24918414480978102</v>
      </c>
      <c r="E12" s="80">
        <v>0.12542596378928042</v>
      </c>
      <c r="F12" s="79">
        <f t="shared" ref="F12:F75" si="0">IF($F$8="Effective",C12/(1+(1-E12)*D12),C12/(1+(1-$F$9)*D12))</f>
        <v>0.99277803468806558</v>
      </c>
      <c r="G12" s="80">
        <v>9.7128405641730808E-2</v>
      </c>
      <c r="H12" s="79">
        <f t="shared" ref="H12:H75" si="1">F12/(1-G12)</f>
        <v>1.0995783241953678</v>
      </c>
      <c r="I12" s="81">
        <v>0.29710998315587084</v>
      </c>
      <c r="J12" s="82">
        <v>0.3350431543068132</v>
      </c>
      <c r="K12" s="83">
        <v>0.20908478325352342</v>
      </c>
    </row>
    <row r="13" spans="1:11" ht="15.75" x14ac:dyDescent="0.25">
      <c r="A13" s="77" t="s">
        <v>340</v>
      </c>
      <c r="B13" s="78">
        <v>86</v>
      </c>
      <c r="C13" s="79">
        <v>1.1113385634193849</v>
      </c>
      <c r="D13" s="80">
        <v>1.336915733131615</v>
      </c>
      <c r="E13" s="80">
        <v>0.14033768688467832</v>
      </c>
      <c r="F13" s="79">
        <f t="shared" si="0"/>
        <v>0.55925450087357009</v>
      </c>
      <c r="G13" s="80">
        <v>5.2566179807737465E-2</v>
      </c>
      <c r="H13" s="79">
        <f t="shared" si="1"/>
        <v>0.59028344666868737</v>
      </c>
      <c r="I13" s="81">
        <v>0.27419458913312694</v>
      </c>
      <c r="J13" s="82">
        <v>0.28730703446659195</v>
      </c>
      <c r="K13" s="83">
        <v>0.39969141508080513</v>
      </c>
    </row>
    <row r="14" spans="1:11" ht="15.75" x14ac:dyDescent="0.25">
      <c r="A14" s="77" t="s">
        <v>341</v>
      </c>
      <c r="B14" s="78">
        <v>907</v>
      </c>
      <c r="C14" s="79">
        <v>0.74909622882824978</v>
      </c>
      <c r="D14" s="80">
        <v>0.39863165251689675</v>
      </c>
      <c r="E14" s="80">
        <v>0.14365124700697665</v>
      </c>
      <c r="F14" s="79">
        <f t="shared" si="0"/>
        <v>0.57874334859522325</v>
      </c>
      <c r="G14" s="80">
        <v>8.8670129578670293E-2</v>
      </c>
      <c r="H14" s="79">
        <f t="shared" si="1"/>
        <v>0.63505363686549221</v>
      </c>
      <c r="I14" s="81">
        <v>0.35089807393906008</v>
      </c>
      <c r="J14" s="82">
        <v>0.35885745588068818</v>
      </c>
      <c r="K14" s="83">
        <v>0.16302122712375422</v>
      </c>
    </row>
    <row r="15" spans="1:11" ht="15.75" x14ac:dyDescent="0.25">
      <c r="A15" s="77" t="s">
        <v>342</v>
      </c>
      <c r="B15" s="78">
        <v>83</v>
      </c>
      <c r="C15" s="79">
        <v>1.3794111323801022</v>
      </c>
      <c r="D15" s="80">
        <v>0.57423090084834583</v>
      </c>
      <c r="E15" s="80">
        <v>0.12245423146603944</v>
      </c>
      <c r="F15" s="79">
        <f t="shared" si="0"/>
        <v>0.96867936382391728</v>
      </c>
      <c r="G15" s="80">
        <v>0.14084954325600332</v>
      </c>
      <c r="H15" s="79">
        <f t="shared" si="1"/>
        <v>1.1274851293160135</v>
      </c>
      <c r="I15" s="81">
        <v>0.33517830680369093</v>
      </c>
      <c r="J15" s="82">
        <v>0.32327087305754698</v>
      </c>
      <c r="K15" s="83">
        <v>0.19299585282669598</v>
      </c>
    </row>
    <row r="16" spans="1:11" ht="15.75" x14ac:dyDescent="0.25">
      <c r="A16" s="77" t="s">
        <v>343</v>
      </c>
      <c r="B16" s="78">
        <v>459</v>
      </c>
      <c r="C16" s="79">
        <v>1.19706302400392</v>
      </c>
      <c r="D16" s="80">
        <v>0.27793605542178146</v>
      </c>
      <c r="E16" s="80">
        <v>0.15648497798143313</v>
      </c>
      <c r="F16" s="79">
        <f t="shared" si="0"/>
        <v>0.99322538189247123</v>
      </c>
      <c r="G16" s="80">
        <v>0.10573600693029082</v>
      </c>
      <c r="H16" s="79">
        <f t="shared" si="1"/>
        <v>1.1106623878291921</v>
      </c>
      <c r="I16" s="81">
        <v>0.32317293417949283</v>
      </c>
      <c r="J16" s="82">
        <v>0.33694838993144366</v>
      </c>
      <c r="K16" s="83">
        <v>0.22045902286398522</v>
      </c>
    </row>
    <row r="17" spans="1:11" ht="15.75" x14ac:dyDescent="0.25">
      <c r="A17" s="77" t="s">
        <v>344</v>
      </c>
      <c r="B17" s="78">
        <v>449</v>
      </c>
      <c r="C17" s="79">
        <v>0.65874381199167797</v>
      </c>
      <c r="D17" s="80">
        <v>1.392330028044229</v>
      </c>
      <c r="E17" s="80">
        <v>0.21191637982257441</v>
      </c>
      <c r="F17" s="79">
        <f t="shared" si="0"/>
        <v>0.32480891040452486</v>
      </c>
      <c r="G17" s="80">
        <v>0.24292405747067197</v>
      </c>
      <c r="H17" s="79">
        <f t="shared" si="1"/>
        <v>0.42903081733037929</v>
      </c>
      <c r="I17" s="81">
        <v>0.20488207857648405</v>
      </c>
      <c r="J17" s="82">
        <v>0.21093682086376292</v>
      </c>
      <c r="K17" s="83">
        <v>0.55708165839057999</v>
      </c>
    </row>
    <row r="18" spans="1:11" ht="15.75" x14ac:dyDescent="0.25">
      <c r="A18" s="77" t="s">
        <v>345</v>
      </c>
      <c r="B18" s="78">
        <v>95</v>
      </c>
      <c r="C18" s="79">
        <v>0.73013580502180875</v>
      </c>
      <c r="D18" s="80">
        <v>3.6268111771883351</v>
      </c>
      <c r="E18" s="80">
        <v>0.18177240455680094</v>
      </c>
      <c r="F18" s="79">
        <f t="shared" si="0"/>
        <v>0.19851233985136191</v>
      </c>
      <c r="G18" s="80">
        <v>0.24876474402899384</v>
      </c>
      <c r="H18" s="79">
        <f t="shared" si="1"/>
        <v>0.26424790140443499</v>
      </c>
      <c r="I18" s="81">
        <v>0.23777829270104051</v>
      </c>
      <c r="J18" s="82">
        <v>0.2470197515129833</v>
      </c>
      <c r="K18" s="83">
        <v>-4.541448202377782</v>
      </c>
    </row>
    <row r="19" spans="1:11" ht="15.75" x14ac:dyDescent="0.25">
      <c r="A19" s="77" t="s">
        <v>346</v>
      </c>
      <c r="B19" s="78">
        <v>120</v>
      </c>
      <c r="C19" s="79">
        <v>1.0178821107562503</v>
      </c>
      <c r="D19" s="80">
        <v>3.7921449700412758E-2</v>
      </c>
      <c r="E19" s="80">
        <v>0.19753116623475966</v>
      </c>
      <c r="F19" s="79">
        <f t="shared" si="0"/>
        <v>0.99015654094790428</v>
      </c>
      <c r="G19" s="80">
        <v>6.2892060674094488E-2</v>
      </c>
      <c r="H19" s="79">
        <f t="shared" si="1"/>
        <v>1.0566088487737693</v>
      </c>
      <c r="I19" s="81">
        <v>0.30034749981824871</v>
      </c>
      <c r="J19" s="82">
        <v>0.28144225963916869</v>
      </c>
      <c r="K19" s="83">
        <v>0.36546729731808902</v>
      </c>
    </row>
    <row r="20" spans="1:11" ht="15.75" x14ac:dyDescent="0.25">
      <c r="A20" s="77" t="s">
        <v>347</v>
      </c>
      <c r="B20" s="78">
        <v>31</v>
      </c>
      <c r="C20" s="79">
        <v>0.38935597957389689</v>
      </c>
      <c r="D20" s="80">
        <v>0.19605827025444189</v>
      </c>
      <c r="E20" s="80">
        <v>0.16376128549154167</v>
      </c>
      <c r="F20" s="79">
        <f t="shared" si="0"/>
        <v>0.34011738125927987</v>
      </c>
      <c r="G20" s="80">
        <v>5.9450598346866619E-2</v>
      </c>
      <c r="H20" s="79">
        <f t="shared" si="1"/>
        <v>0.36161564789843148</v>
      </c>
      <c r="I20" s="81">
        <v>0.2529416140635371</v>
      </c>
      <c r="J20" s="82">
        <v>0.23723296887330364</v>
      </c>
      <c r="K20" s="83">
        <v>0.28659225422084494</v>
      </c>
    </row>
    <row r="21" spans="1:11" ht="15.75" x14ac:dyDescent="0.25">
      <c r="A21" s="77" t="s">
        <v>348</v>
      </c>
      <c r="B21" s="78">
        <v>63</v>
      </c>
      <c r="C21" s="79">
        <v>0.77735805234447408</v>
      </c>
      <c r="D21" s="80">
        <v>0.29769189439068777</v>
      </c>
      <c r="E21" s="80">
        <v>0.14977823973240498</v>
      </c>
      <c r="F21" s="79">
        <f t="shared" si="0"/>
        <v>0.63727500445090168</v>
      </c>
      <c r="G21" s="80">
        <v>8.4746240011331062E-2</v>
      </c>
      <c r="H21" s="79">
        <f t="shared" si="1"/>
        <v>0.69628231241441851</v>
      </c>
      <c r="I21" s="81">
        <v>0.35559953913329062</v>
      </c>
      <c r="J21" s="82">
        <v>0.32566622424758807</v>
      </c>
      <c r="K21" s="83">
        <v>0.22396160382546706</v>
      </c>
    </row>
    <row r="22" spans="1:11" ht="15.75" x14ac:dyDescent="0.25">
      <c r="A22" s="77" t="s">
        <v>349</v>
      </c>
      <c r="B22" s="78">
        <v>392</v>
      </c>
      <c r="C22" s="79">
        <v>0.99116150973769834</v>
      </c>
      <c r="D22" s="80">
        <v>1.3432547828163635</v>
      </c>
      <c r="E22" s="80">
        <v>0.14255452565680118</v>
      </c>
      <c r="F22" s="79">
        <f t="shared" si="0"/>
        <v>0.4976061783066793</v>
      </c>
      <c r="G22" s="80">
        <v>7.9769829825165089E-2</v>
      </c>
      <c r="H22" s="79">
        <f t="shared" si="1"/>
        <v>0.54074099549696242</v>
      </c>
      <c r="I22" s="81">
        <v>0.33856101620826845</v>
      </c>
      <c r="J22" s="82">
        <v>0.35980624686485035</v>
      </c>
      <c r="K22" s="83">
        <v>0.49158991168074639</v>
      </c>
    </row>
    <row r="23" spans="1:11" ht="15.75" x14ac:dyDescent="0.25">
      <c r="A23" s="77" t="s">
        <v>350</v>
      </c>
      <c r="B23" s="78">
        <v>223</v>
      </c>
      <c r="C23" s="79">
        <v>0.91533993279866577</v>
      </c>
      <c r="D23" s="80">
        <v>0.34239670159979102</v>
      </c>
      <c r="E23" s="80">
        <v>0.17301519398423454</v>
      </c>
      <c r="F23" s="79">
        <f t="shared" si="0"/>
        <v>0.73062032086885942</v>
      </c>
      <c r="G23" s="80">
        <v>7.8209117970125974E-2</v>
      </c>
      <c r="H23" s="79">
        <f t="shared" si="1"/>
        <v>0.79260962015588798</v>
      </c>
      <c r="I23" s="81">
        <v>0.30494643769877339</v>
      </c>
      <c r="J23" s="82">
        <v>0.3075276073708807</v>
      </c>
      <c r="K23" s="83">
        <v>0.19943953412450099</v>
      </c>
    </row>
    <row r="24" spans="1:11" ht="15.75" x14ac:dyDescent="0.25">
      <c r="A24" s="77" t="s">
        <v>351</v>
      </c>
      <c r="B24" s="78">
        <v>254</v>
      </c>
      <c r="C24" s="79">
        <v>0.96294853271954639</v>
      </c>
      <c r="D24" s="80">
        <v>0.18141565091080653</v>
      </c>
      <c r="E24" s="80">
        <v>0.14550874022091942</v>
      </c>
      <c r="F24" s="79">
        <f t="shared" si="0"/>
        <v>0.8491929269253008</v>
      </c>
      <c r="G24" s="80">
        <v>9.7193818914396754E-2</v>
      </c>
      <c r="H24" s="79">
        <f t="shared" si="1"/>
        <v>0.94061487915841047</v>
      </c>
      <c r="I24" s="81">
        <v>0.34706288355746157</v>
      </c>
      <c r="J24" s="82">
        <v>0.42577359816890653</v>
      </c>
      <c r="K24" s="83">
        <v>0.41722505894870637</v>
      </c>
    </row>
    <row r="25" spans="1:11" ht="15.75" x14ac:dyDescent="0.25">
      <c r="A25" s="77" t="s">
        <v>352</v>
      </c>
      <c r="B25" s="78">
        <v>33</v>
      </c>
      <c r="C25" s="79">
        <v>1.2632657332125208</v>
      </c>
      <c r="D25" s="80">
        <v>0.28588451445684537</v>
      </c>
      <c r="E25" s="80">
        <v>0.11867367804355641</v>
      </c>
      <c r="F25" s="79">
        <f t="shared" si="0"/>
        <v>1.0430754946405543</v>
      </c>
      <c r="G25" s="80">
        <v>0.13573833550987041</v>
      </c>
      <c r="H25" s="79">
        <f t="shared" si="1"/>
        <v>1.2068977920661514</v>
      </c>
      <c r="I25" s="81">
        <v>0.37927681566089944</v>
      </c>
      <c r="J25" s="82">
        <v>0.34745264805412762</v>
      </c>
      <c r="K25" s="83">
        <v>0.57009719817244531</v>
      </c>
    </row>
    <row r="26" spans="1:11" ht="15.75" x14ac:dyDescent="0.25">
      <c r="A26" s="77" t="s">
        <v>353</v>
      </c>
      <c r="B26" s="78">
        <v>612</v>
      </c>
      <c r="C26" s="79">
        <v>1.0464346559738742</v>
      </c>
      <c r="D26" s="80">
        <v>0.33442922482608262</v>
      </c>
      <c r="E26" s="80">
        <v>0.16568549409593841</v>
      </c>
      <c r="F26" s="79">
        <f t="shared" si="0"/>
        <v>0.83920038232061356</v>
      </c>
      <c r="G26" s="80">
        <v>8.8017312962904659E-2</v>
      </c>
      <c r="H26" s="79">
        <f t="shared" si="1"/>
        <v>0.92019332630870299</v>
      </c>
      <c r="I26" s="81">
        <v>0.29251662519096566</v>
      </c>
      <c r="J26" s="82">
        <v>0.30477199322382859</v>
      </c>
      <c r="K26" s="83">
        <v>0.26506068371439367</v>
      </c>
    </row>
    <row r="27" spans="1:11" ht="15.75" x14ac:dyDescent="0.25">
      <c r="A27" s="77" t="s">
        <v>354</v>
      </c>
      <c r="B27" s="78">
        <v>37</v>
      </c>
      <c r="C27" s="79">
        <v>0.86222575246162392</v>
      </c>
      <c r="D27" s="80">
        <v>0.32136251071120692</v>
      </c>
      <c r="E27" s="80">
        <v>0.16236130451730199</v>
      </c>
      <c r="F27" s="79">
        <f t="shared" si="0"/>
        <v>0.6968640421512875</v>
      </c>
      <c r="G27" s="80">
        <v>5.1521398598638378E-2</v>
      </c>
      <c r="H27" s="79">
        <f t="shared" si="1"/>
        <v>0.7347177270227101</v>
      </c>
      <c r="I27" s="81">
        <v>0.3168336496451073</v>
      </c>
      <c r="J27" s="82">
        <v>0.27455961859903733</v>
      </c>
      <c r="K27" s="83">
        <v>0.20577854353225297</v>
      </c>
    </row>
    <row r="28" spans="1:11" ht="15.75" x14ac:dyDescent="0.25">
      <c r="A28" s="77" t="s">
        <v>355</v>
      </c>
      <c r="B28" s="78">
        <v>521</v>
      </c>
      <c r="C28" s="79">
        <v>1.0738153154828187</v>
      </c>
      <c r="D28" s="80">
        <v>0.314048643617866</v>
      </c>
      <c r="E28" s="80">
        <v>0.16571309612399726</v>
      </c>
      <c r="F28" s="79">
        <f t="shared" si="0"/>
        <v>0.87167867953080791</v>
      </c>
      <c r="G28" s="80">
        <v>6.7176183090643049E-2</v>
      </c>
      <c r="H28" s="79">
        <f t="shared" si="1"/>
        <v>0.93445156923508244</v>
      </c>
      <c r="I28" s="81">
        <v>0.31473409419709436</v>
      </c>
      <c r="J28" s="82">
        <v>0.33291443248896313</v>
      </c>
      <c r="K28" s="83">
        <v>0.27087924409521036</v>
      </c>
    </row>
    <row r="29" spans="1:11" ht="15.75" x14ac:dyDescent="0.25">
      <c r="A29" s="77" t="s">
        <v>356</v>
      </c>
      <c r="B29" s="78">
        <v>105</v>
      </c>
      <c r="C29" s="79">
        <v>1.5770545335135779</v>
      </c>
      <c r="D29" s="80">
        <v>0.53515900138340511</v>
      </c>
      <c r="E29" s="80">
        <v>0.18173897760779328</v>
      </c>
      <c r="F29" s="79">
        <f t="shared" si="0"/>
        <v>1.1303742534941101</v>
      </c>
      <c r="G29" s="80">
        <v>0.18857836822890417</v>
      </c>
      <c r="H29" s="79">
        <f t="shared" si="1"/>
        <v>1.3930787758601335</v>
      </c>
      <c r="I29" s="81">
        <v>0.34686717701452796</v>
      </c>
      <c r="J29" s="82">
        <v>0.37971655395212889</v>
      </c>
      <c r="K29" s="83">
        <v>0.36648950312729117</v>
      </c>
    </row>
    <row r="30" spans="1:11" ht="15.75" x14ac:dyDescent="0.25">
      <c r="A30" s="77" t="s">
        <v>357</v>
      </c>
      <c r="B30" s="78">
        <v>442</v>
      </c>
      <c r="C30" s="79">
        <v>1.0763297893301953</v>
      </c>
      <c r="D30" s="80">
        <v>0.12962574821113332</v>
      </c>
      <c r="E30" s="80">
        <v>0.13946150662966331</v>
      </c>
      <c r="F30" s="79">
        <f t="shared" si="0"/>
        <v>0.98230757851725115</v>
      </c>
      <c r="G30" s="80">
        <v>5.4475466673428931E-2</v>
      </c>
      <c r="H30" s="79">
        <f t="shared" si="1"/>
        <v>1.0389022641869152</v>
      </c>
      <c r="I30" s="81">
        <v>0.33018104258146108</v>
      </c>
      <c r="J30" s="82">
        <v>0.36911568357966917</v>
      </c>
      <c r="K30" s="83">
        <v>0.2648788223970579</v>
      </c>
    </row>
    <row r="31" spans="1:11" ht="15.75" x14ac:dyDescent="0.25">
      <c r="A31" s="77" t="s">
        <v>358</v>
      </c>
      <c r="B31" s="78">
        <v>209</v>
      </c>
      <c r="C31" s="79">
        <v>1.3866406985284867</v>
      </c>
      <c r="D31" s="80">
        <v>0.18081859569977865</v>
      </c>
      <c r="E31" s="80">
        <v>0.13439023264418196</v>
      </c>
      <c r="F31" s="79">
        <f t="shared" si="0"/>
        <v>1.223308843225001</v>
      </c>
      <c r="G31" s="80">
        <v>0.12634597379280457</v>
      </c>
      <c r="H31" s="79">
        <f t="shared" si="1"/>
        <v>1.4002211476501358</v>
      </c>
      <c r="I31" s="81">
        <v>0.31892985258972262</v>
      </c>
      <c r="J31" s="82">
        <v>0.34230183236263967</v>
      </c>
      <c r="K31" s="83">
        <v>0.43991181500183035</v>
      </c>
    </row>
    <row r="32" spans="1:11" ht="15.75" x14ac:dyDescent="0.25">
      <c r="A32" s="77" t="s">
        <v>359</v>
      </c>
      <c r="B32" s="78">
        <v>515</v>
      </c>
      <c r="C32" s="79">
        <v>1.1129345786036751</v>
      </c>
      <c r="D32" s="80">
        <v>0.46035481202814216</v>
      </c>
      <c r="E32" s="80">
        <v>0.14461206448415034</v>
      </c>
      <c r="F32" s="79">
        <f t="shared" si="0"/>
        <v>0.83059406582930873</v>
      </c>
      <c r="G32" s="80">
        <v>0.14208566432301126</v>
      </c>
      <c r="H32" s="79">
        <f t="shared" si="1"/>
        <v>0.96815501418784278</v>
      </c>
      <c r="I32" s="81">
        <v>0.30911370360337725</v>
      </c>
      <c r="J32" s="82">
        <v>0.34937100021121448</v>
      </c>
      <c r="K32" s="83">
        <v>0.24655633374360825</v>
      </c>
    </row>
    <row r="33" spans="1:11" ht="15.75" x14ac:dyDescent="0.25">
      <c r="A33" s="77" t="s">
        <v>360</v>
      </c>
      <c r="B33" s="78">
        <v>212</v>
      </c>
      <c r="C33" s="79">
        <v>0.78943012253401068</v>
      </c>
      <c r="D33" s="80">
        <v>1.5534308099019061</v>
      </c>
      <c r="E33" s="80">
        <v>0.15659613365906691</v>
      </c>
      <c r="F33" s="79">
        <f t="shared" si="0"/>
        <v>0.36768072727658729</v>
      </c>
      <c r="G33" s="80">
        <v>0.10557427357579245</v>
      </c>
      <c r="H33" s="79">
        <f t="shared" si="1"/>
        <v>0.41108022322493432</v>
      </c>
      <c r="I33" s="81">
        <v>0.24729631500843574</v>
      </c>
      <c r="J33" s="82">
        <v>0.24642830087104803</v>
      </c>
      <c r="K33" s="83">
        <v>0.33373782002877289</v>
      </c>
    </row>
    <row r="34" spans="1:11" ht="15.75" x14ac:dyDescent="0.25">
      <c r="A34" s="77" t="s">
        <v>361</v>
      </c>
      <c r="B34" s="78">
        <v>206</v>
      </c>
      <c r="C34" s="79">
        <v>1.4803167435370064</v>
      </c>
      <c r="D34" s="80">
        <v>4.6213095552736588E-2</v>
      </c>
      <c r="E34" s="80">
        <v>6.1617623235258004E-2</v>
      </c>
      <c r="F34" s="79">
        <f t="shared" si="0"/>
        <v>1.4314696320300966</v>
      </c>
      <c r="G34" s="80">
        <v>4.5140195334532361E-2</v>
      </c>
      <c r="H34" s="79">
        <f t="shared" si="1"/>
        <v>1.4991411566765112</v>
      </c>
      <c r="I34" s="81">
        <v>0.39423575977829667</v>
      </c>
      <c r="J34" s="82">
        <v>0.41102082382213168</v>
      </c>
      <c r="K34" s="83">
        <v>0.25369032526099089</v>
      </c>
    </row>
    <row r="35" spans="1:11" ht="15.75" x14ac:dyDescent="0.25">
      <c r="A35" s="77" t="s">
        <v>362</v>
      </c>
      <c r="B35" s="78">
        <v>638</v>
      </c>
      <c r="C35" s="79">
        <v>1.1601298480805751</v>
      </c>
      <c r="D35" s="80">
        <v>0.13923249012548194</v>
      </c>
      <c r="E35" s="80">
        <v>0.16060766800132495</v>
      </c>
      <c r="F35" s="79">
        <f t="shared" si="0"/>
        <v>1.0519768729683288</v>
      </c>
      <c r="G35" s="80">
        <v>6.7894593599036296E-2</v>
      </c>
      <c r="H35" s="79">
        <f t="shared" si="1"/>
        <v>1.1286029087957032</v>
      </c>
      <c r="I35" s="81">
        <v>0.32509289011955173</v>
      </c>
      <c r="J35" s="82">
        <v>0.34701061621939983</v>
      </c>
      <c r="K35" s="83">
        <v>0.33690180340270687</v>
      </c>
    </row>
    <row r="36" spans="1:11" ht="15.75" x14ac:dyDescent="0.25">
      <c r="A36" s="77" t="s">
        <v>363</v>
      </c>
      <c r="B36" s="78">
        <v>121</v>
      </c>
      <c r="C36" s="79">
        <v>1.192699873253225</v>
      </c>
      <c r="D36" s="80">
        <v>0.17919155584791233</v>
      </c>
      <c r="E36" s="80">
        <v>0.1219468820179735</v>
      </c>
      <c r="F36" s="79">
        <f t="shared" si="0"/>
        <v>1.0533286462017826</v>
      </c>
      <c r="G36" s="80">
        <v>7.3952441962916754E-2</v>
      </c>
      <c r="H36" s="79">
        <f t="shared" si="1"/>
        <v>1.1374455200060063</v>
      </c>
      <c r="I36" s="81">
        <v>0.35128777275001227</v>
      </c>
      <c r="J36" s="82">
        <v>0.39559201994194115</v>
      </c>
      <c r="K36" s="83">
        <v>0.55907599068671143</v>
      </c>
    </row>
    <row r="37" spans="1:11" ht="15.75" x14ac:dyDescent="0.25">
      <c r="A37" s="77" t="s">
        <v>364</v>
      </c>
      <c r="B37" s="78">
        <v>576</v>
      </c>
      <c r="C37" s="79">
        <v>1.2462774523536453</v>
      </c>
      <c r="D37" s="80">
        <v>0.38969995008559127</v>
      </c>
      <c r="E37" s="80">
        <v>0.13618581887919676</v>
      </c>
      <c r="F37" s="79">
        <f t="shared" si="0"/>
        <v>0.96779122680538632</v>
      </c>
      <c r="G37" s="80">
        <v>0.10559016786470841</v>
      </c>
      <c r="H37" s="79">
        <f t="shared" si="1"/>
        <v>1.0820444856860594</v>
      </c>
      <c r="I37" s="81">
        <v>0.32061014310538138</v>
      </c>
      <c r="J37" s="82">
        <v>0.34530609913630883</v>
      </c>
      <c r="K37" s="83">
        <v>0.24008967471237677</v>
      </c>
    </row>
    <row r="38" spans="1:11" ht="15.75" x14ac:dyDescent="0.25">
      <c r="A38" s="77" t="s">
        <v>365</v>
      </c>
      <c r="B38" s="78">
        <v>88</v>
      </c>
      <c r="C38" s="79">
        <v>1.5636755455910971</v>
      </c>
      <c r="D38" s="80">
        <v>0.58950590827726312</v>
      </c>
      <c r="E38" s="80">
        <v>0.10793676440750555</v>
      </c>
      <c r="F38" s="79">
        <f t="shared" si="0"/>
        <v>1.0894483197960798</v>
      </c>
      <c r="G38" s="80">
        <v>0.16616856127837942</v>
      </c>
      <c r="H38" s="79">
        <f t="shared" si="1"/>
        <v>1.3065570200451491</v>
      </c>
      <c r="I38" s="81">
        <v>0.36324859815299199</v>
      </c>
      <c r="J38" s="82">
        <v>0.36436813971005261</v>
      </c>
      <c r="K38" s="83">
        <v>0.45562058843442366</v>
      </c>
    </row>
    <row r="39" spans="1:11" ht="15.75" x14ac:dyDescent="0.25">
      <c r="A39" s="77" t="s">
        <v>366</v>
      </c>
      <c r="B39" s="78">
        <v>846</v>
      </c>
      <c r="C39" s="79">
        <v>1.4857722359929211</v>
      </c>
      <c r="D39" s="80">
        <v>0.20020351822431379</v>
      </c>
      <c r="E39" s="80">
        <v>0.13404656250736494</v>
      </c>
      <c r="F39" s="79">
        <f t="shared" si="0"/>
        <v>1.294418055225965</v>
      </c>
      <c r="G39" s="80">
        <v>0.12053495550399237</v>
      </c>
      <c r="H39" s="79">
        <f t="shared" si="1"/>
        <v>1.4718243360857546</v>
      </c>
      <c r="I39" s="81">
        <v>0.32596896945477349</v>
      </c>
      <c r="J39" s="82">
        <v>0.36420556615728111</v>
      </c>
      <c r="K39" s="83">
        <v>0.46953438957835009</v>
      </c>
    </row>
    <row r="40" spans="1:11" ht="15.75" x14ac:dyDescent="0.25">
      <c r="A40" s="77" t="s">
        <v>367</v>
      </c>
      <c r="B40" s="78">
        <v>829</v>
      </c>
      <c r="C40" s="79">
        <v>1.1068176140036572</v>
      </c>
      <c r="D40" s="80">
        <v>1.3165858340514172</v>
      </c>
      <c r="E40" s="80">
        <v>0.16026460027521341</v>
      </c>
      <c r="F40" s="79">
        <f t="shared" si="0"/>
        <v>0.56121901710382882</v>
      </c>
      <c r="G40" s="80">
        <v>0.22133535481016051</v>
      </c>
      <c r="H40" s="79">
        <f t="shared" si="1"/>
        <v>0.72074547184173599</v>
      </c>
      <c r="I40" s="81">
        <v>0.34065293508129652</v>
      </c>
      <c r="J40" s="82">
        <v>0.38186882393801802</v>
      </c>
      <c r="K40" s="83">
        <v>0.3601466985352535</v>
      </c>
    </row>
    <row r="41" spans="1:11" ht="15.75" x14ac:dyDescent="0.25">
      <c r="A41" s="77" t="s">
        <v>368</v>
      </c>
      <c r="B41" s="78">
        <v>303</v>
      </c>
      <c r="C41" s="79">
        <v>1.3016813222081041</v>
      </c>
      <c r="D41" s="80">
        <v>0.17808391838276855</v>
      </c>
      <c r="E41" s="80">
        <v>0.10665889370992258</v>
      </c>
      <c r="F41" s="79">
        <f t="shared" si="0"/>
        <v>1.1504061716531624</v>
      </c>
      <c r="G41" s="80">
        <v>8.879054842776575E-2</v>
      </c>
      <c r="H41" s="79">
        <f t="shared" si="1"/>
        <v>1.262504652106285</v>
      </c>
      <c r="I41" s="81">
        <v>0.39216467948806771</v>
      </c>
      <c r="J41" s="82">
        <v>0.41423910880997189</v>
      </c>
      <c r="K41" s="83">
        <v>0.54117492870238215</v>
      </c>
    </row>
    <row r="42" spans="1:11" s="91" customFormat="1" ht="15.75" x14ac:dyDescent="0.25">
      <c r="A42" s="84" t="s">
        <v>369</v>
      </c>
      <c r="B42" s="85">
        <v>128</v>
      </c>
      <c r="C42" s="86">
        <v>1.3737938609768632</v>
      </c>
      <c r="D42" s="87">
        <v>0.53383488117459299</v>
      </c>
      <c r="E42" s="87">
        <v>0.15890649002080703</v>
      </c>
      <c r="F42" s="86">
        <f t="shared" si="0"/>
        <v>0.9853750867768275</v>
      </c>
      <c r="G42" s="87">
        <v>0.10680084488113728</v>
      </c>
      <c r="H42" s="86">
        <f t="shared" si="1"/>
        <v>1.1031975132642153</v>
      </c>
      <c r="I42" s="88">
        <v>0.36606430511379562</v>
      </c>
      <c r="J42" s="89">
        <v>0.39370231936967587</v>
      </c>
      <c r="K42" s="90">
        <v>0.66668188737856149</v>
      </c>
    </row>
    <row r="43" spans="1:11" ht="15.75" x14ac:dyDescent="0.25">
      <c r="A43" s="77" t="s">
        <v>370</v>
      </c>
      <c r="B43" s="78">
        <v>276</v>
      </c>
      <c r="C43" s="79">
        <v>0.81123602502958392</v>
      </c>
      <c r="D43" s="80">
        <v>0.48863553541540106</v>
      </c>
      <c r="E43" s="80">
        <v>0.12706715746784267</v>
      </c>
      <c r="F43" s="79">
        <f t="shared" si="0"/>
        <v>0.59614268821769856</v>
      </c>
      <c r="G43" s="80">
        <v>6.5215779487283326E-2</v>
      </c>
      <c r="H43" s="79">
        <f t="shared" si="1"/>
        <v>0.63773293893506489</v>
      </c>
      <c r="I43" s="81">
        <v>0.3200102915090639</v>
      </c>
      <c r="J43" s="82">
        <v>0.3505698020373057</v>
      </c>
      <c r="K43" s="83">
        <v>0.1634135773758523</v>
      </c>
    </row>
    <row r="44" spans="1:11" ht="15.75" x14ac:dyDescent="0.25">
      <c r="A44" s="77" t="s">
        <v>371</v>
      </c>
      <c r="B44" s="78">
        <v>589</v>
      </c>
      <c r="C44" s="79">
        <v>0.70985078066465801</v>
      </c>
      <c r="D44" s="80">
        <v>1.6954661003072418</v>
      </c>
      <c r="E44" s="80">
        <v>0.15901789306468425</v>
      </c>
      <c r="F44" s="79">
        <f t="shared" si="0"/>
        <v>0.31521854459227777</v>
      </c>
      <c r="G44" s="80">
        <v>8.3403622980086786E-2</v>
      </c>
      <c r="H44" s="79">
        <f t="shared" si="1"/>
        <v>0.3439011461262077</v>
      </c>
      <c r="I44" s="81">
        <v>0.32101008753471749</v>
      </c>
      <c r="J44" s="82">
        <v>0.35104077702612169</v>
      </c>
      <c r="K44" s="83">
        <v>0.2447821333002223</v>
      </c>
    </row>
    <row r="45" spans="1:11" ht="15.75" x14ac:dyDescent="0.25">
      <c r="A45" s="77" t="s">
        <v>372</v>
      </c>
      <c r="B45" s="78">
        <v>858</v>
      </c>
      <c r="C45" s="79">
        <v>0.77266000101658128</v>
      </c>
      <c r="D45" s="80">
        <v>0.26830930526533692</v>
      </c>
      <c r="E45" s="80">
        <v>0.15616585011785464</v>
      </c>
      <c r="F45" s="79">
        <f t="shared" si="0"/>
        <v>0.64489388773501044</v>
      </c>
      <c r="G45" s="80">
        <v>5.8909470423326837E-2</v>
      </c>
      <c r="H45" s="79">
        <f t="shared" si="1"/>
        <v>0.68526232861476177</v>
      </c>
      <c r="I45" s="81">
        <v>0.31197666228635829</v>
      </c>
      <c r="J45" s="82">
        <v>0.32380850114367193</v>
      </c>
      <c r="K45" s="83">
        <v>0.20329878998206444</v>
      </c>
    </row>
    <row r="46" spans="1:11" ht="15.75" x14ac:dyDescent="0.25">
      <c r="A46" s="77" t="s">
        <v>373</v>
      </c>
      <c r="B46" s="78">
        <v>81</v>
      </c>
      <c r="C46" s="79">
        <v>0.80082515032439971</v>
      </c>
      <c r="D46" s="80">
        <v>0.60350010983082714</v>
      </c>
      <c r="E46" s="80">
        <v>0.13237766198562606</v>
      </c>
      <c r="F46" s="79">
        <f t="shared" si="0"/>
        <v>0.55396485103485971</v>
      </c>
      <c r="G46" s="80">
        <v>9.0010927794667656E-2</v>
      </c>
      <c r="H46" s="79">
        <f t="shared" si="1"/>
        <v>0.60875989388789231</v>
      </c>
      <c r="I46" s="81">
        <v>0.32138892089123683</v>
      </c>
      <c r="J46" s="82">
        <v>0.38523775696691703</v>
      </c>
      <c r="K46" s="83">
        <v>0.24591576092474146</v>
      </c>
    </row>
    <row r="47" spans="1:11" ht="15.75" x14ac:dyDescent="0.25">
      <c r="A47" s="77" t="s">
        <v>374</v>
      </c>
      <c r="B47" s="78">
        <v>225</v>
      </c>
      <c r="C47" s="79">
        <v>1.0199349190241445</v>
      </c>
      <c r="D47" s="80">
        <v>0.18426209203229474</v>
      </c>
      <c r="E47" s="80">
        <v>0.16374414855205346</v>
      </c>
      <c r="F47" s="79">
        <f t="shared" si="0"/>
        <v>0.89778330476548929</v>
      </c>
      <c r="G47" s="80">
        <v>0.15895032976326079</v>
      </c>
      <c r="H47" s="79">
        <f t="shared" si="1"/>
        <v>1.0674557479022384</v>
      </c>
      <c r="I47" s="81">
        <v>0.30174578604960806</v>
      </c>
      <c r="J47" s="82">
        <v>0.32706923655181491</v>
      </c>
      <c r="K47" s="83">
        <v>0.40651188314360215</v>
      </c>
    </row>
    <row r="48" spans="1:11" ht="15.75" x14ac:dyDescent="0.25">
      <c r="A48" s="77" t="s">
        <v>375</v>
      </c>
      <c r="B48" s="78">
        <v>108</v>
      </c>
      <c r="C48" s="79">
        <v>0.88739340634517827</v>
      </c>
      <c r="D48" s="80">
        <v>0.76513668963907389</v>
      </c>
      <c r="E48" s="80">
        <v>0.11681467238092708</v>
      </c>
      <c r="F48" s="79">
        <f t="shared" si="0"/>
        <v>0.56703289895858244</v>
      </c>
      <c r="G48" s="80">
        <v>3.5407398432772366E-2</v>
      </c>
      <c r="H48" s="79">
        <f t="shared" si="1"/>
        <v>0.58784703307623587</v>
      </c>
      <c r="I48" s="81">
        <v>0.307136221288827</v>
      </c>
      <c r="J48" s="82">
        <v>0.32413659949647444</v>
      </c>
      <c r="K48" s="83">
        <v>0.40385775563035048</v>
      </c>
    </row>
    <row r="49" spans="1:11" ht="15.75" x14ac:dyDescent="0.25">
      <c r="A49" s="77" t="s">
        <v>376</v>
      </c>
      <c r="B49" s="78">
        <v>224</v>
      </c>
      <c r="C49" s="79">
        <v>1.4141883057705731</v>
      </c>
      <c r="D49" s="80">
        <v>6.8418182774694594E-2</v>
      </c>
      <c r="E49" s="80">
        <v>0.11181010863584248</v>
      </c>
      <c r="F49" s="79">
        <f t="shared" si="0"/>
        <v>1.3461793439444958</v>
      </c>
      <c r="G49" s="80">
        <v>5.4700532372495288E-2</v>
      </c>
      <c r="H49" s="79">
        <f t="shared" si="1"/>
        <v>1.4240771205796954</v>
      </c>
      <c r="I49" s="81">
        <v>0.33876497752638224</v>
      </c>
      <c r="J49" s="82">
        <v>0.38353883483530699</v>
      </c>
      <c r="K49" s="83">
        <v>0.49532241897813467</v>
      </c>
    </row>
    <row r="50" spans="1:11" ht="15.75" x14ac:dyDescent="0.25">
      <c r="A50" s="77" t="s">
        <v>377</v>
      </c>
      <c r="B50" s="78">
        <v>152</v>
      </c>
      <c r="C50" s="79">
        <v>1.0027306446474793</v>
      </c>
      <c r="D50" s="80">
        <v>0.33873265140144909</v>
      </c>
      <c r="E50" s="80">
        <v>0.16113362710509041</v>
      </c>
      <c r="F50" s="79">
        <f t="shared" si="0"/>
        <v>0.80210739161971911</v>
      </c>
      <c r="G50" s="80">
        <v>0.1049503176146017</v>
      </c>
      <c r="H50" s="79">
        <f t="shared" si="1"/>
        <v>0.89615962935378235</v>
      </c>
      <c r="I50" s="81">
        <v>0.32008340636603827</v>
      </c>
      <c r="J50" s="82">
        <v>0.34210322336158649</v>
      </c>
      <c r="K50" s="83">
        <v>0.50784375733658815</v>
      </c>
    </row>
    <row r="51" spans="1:11" ht="15.75" x14ac:dyDescent="0.25">
      <c r="A51" s="77" t="s">
        <v>378</v>
      </c>
      <c r="B51" s="78">
        <v>88</v>
      </c>
      <c r="C51" s="79">
        <v>1.6278459303417692</v>
      </c>
      <c r="D51" s="80">
        <v>2.5885454277481755E-2</v>
      </c>
      <c r="E51" s="80">
        <v>9.734721818069593E-2</v>
      </c>
      <c r="F51" s="79">
        <f t="shared" si="0"/>
        <v>1.5973151372225269</v>
      </c>
      <c r="G51" s="80">
        <v>3.4708112521142205E-2</v>
      </c>
      <c r="H51" s="79">
        <f t="shared" si="1"/>
        <v>1.6547483283987632</v>
      </c>
      <c r="I51" s="81">
        <v>0.4107469933813595</v>
      </c>
      <c r="J51" s="82">
        <v>0.42831742488994939</v>
      </c>
      <c r="K51" s="83">
        <v>1.0050684282949021</v>
      </c>
    </row>
    <row r="52" spans="1:11" ht="15.75" x14ac:dyDescent="0.25">
      <c r="A52" s="77" t="s">
        <v>379</v>
      </c>
      <c r="B52" s="78">
        <v>35</v>
      </c>
      <c r="C52" s="79">
        <v>0.69754839118400547</v>
      </c>
      <c r="D52" s="80">
        <v>0.41474891161484939</v>
      </c>
      <c r="E52" s="80">
        <v>0.16158744570873015</v>
      </c>
      <c r="F52" s="79">
        <f t="shared" si="0"/>
        <v>0.53400809396022086</v>
      </c>
      <c r="G52" s="80">
        <v>6.4014459061380091E-2</v>
      </c>
      <c r="H52" s="79">
        <f t="shared" si="1"/>
        <v>0.57053028129548855</v>
      </c>
      <c r="I52" s="81">
        <v>0.36069088153214707</v>
      </c>
      <c r="J52" s="82">
        <v>0.31217078900746498</v>
      </c>
      <c r="K52" s="83">
        <v>0.88201999133099118</v>
      </c>
    </row>
    <row r="53" spans="1:11" ht="15.75" x14ac:dyDescent="0.25">
      <c r="A53" s="77" t="s">
        <v>380</v>
      </c>
      <c r="B53" s="78">
        <v>110</v>
      </c>
      <c r="C53" s="79">
        <v>0.6649159171946033</v>
      </c>
      <c r="D53" s="80">
        <v>0.26718400379154744</v>
      </c>
      <c r="E53" s="80">
        <v>0.17788218412408915</v>
      </c>
      <c r="F53" s="79">
        <f t="shared" si="0"/>
        <v>0.55535138245594862</v>
      </c>
      <c r="G53" s="80">
        <v>5.0420315176889906E-2</v>
      </c>
      <c r="H53" s="79">
        <f t="shared" si="1"/>
        <v>0.58483915708390577</v>
      </c>
      <c r="I53" s="81">
        <v>0.25855716024995884</v>
      </c>
      <c r="J53" s="82">
        <v>0.26332045832906215</v>
      </c>
      <c r="K53" s="83">
        <v>0.18642864341096335</v>
      </c>
    </row>
    <row r="54" spans="1:11" ht="15.75" x14ac:dyDescent="0.25">
      <c r="A54" s="77" t="s">
        <v>381</v>
      </c>
      <c r="B54" s="78">
        <v>400</v>
      </c>
      <c r="C54" s="79">
        <v>0.81656686792876643</v>
      </c>
      <c r="D54" s="80">
        <v>0.46366970892982212</v>
      </c>
      <c r="E54" s="80">
        <v>0.14450946034534803</v>
      </c>
      <c r="F54" s="79">
        <f t="shared" si="0"/>
        <v>0.608300698960339</v>
      </c>
      <c r="G54" s="80">
        <v>9.4163877681887498E-2</v>
      </c>
      <c r="H54" s="79">
        <f t="shared" si="1"/>
        <v>0.67153504256779384</v>
      </c>
      <c r="I54" s="81">
        <v>0.2895125374650061</v>
      </c>
      <c r="J54" s="82">
        <v>0.31678222396596356</v>
      </c>
      <c r="K54" s="83">
        <v>0.26123113906811757</v>
      </c>
    </row>
    <row r="55" spans="1:11" ht="15.75" x14ac:dyDescent="0.25">
      <c r="A55" s="77" t="s">
        <v>382</v>
      </c>
      <c r="B55" s="78">
        <v>266</v>
      </c>
      <c r="C55" s="79">
        <v>1.055000868292896</v>
      </c>
      <c r="D55" s="80">
        <v>8.1582963320847454E-2</v>
      </c>
      <c r="E55" s="80">
        <v>0.15345954634266484</v>
      </c>
      <c r="F55" s="79">
        <f t="shared" si="0"/>
        <v>0.99505773450134349</v>
      </c>
      <c r="G55" s="80">
        <v>4.5839522313255464E-2</v>
      </c>
      <c r="H55" s="79">
        <f t="shared" si="1"/>
        <v>1.0428620318814188</v>
      </c>
      <c r="I55" s="81">
        <v>0.34080978949640583</v>
      </c>
      <c r="J55" s="82">
        <v>0.35099971981437028</v>
      </c>
      <c r="K55" s="83">
        <v>0.24600468160828878</v>
      </c>
    </row>
    <row r="56" spans="1:11" ht="15.75" x14ac:dyDescent="0.25">
      <c r="A56" s="77" t="s">
        <v>383</v>
      </c>
      <c r="B56" s="78">
        <v>75</v>
      </c>
      <c r="C56" s="79">
        <v>1.1155217029867162</v>
      </c>
      <c r="D56" s="80">
        <v>0.15624844734223844</v>
      </c>
      <c r="E56" s="80">
        <v>0.17022510250954326</v>
      </c>
      <c r="F56" s="79">
        <f t="shared" si="0"/>
        <v>1.0001325559755063</v>
      </c>
      <c r="G56" s="80">
        <v>8.6986787827649029E-2</v>
      </c>
      <c r="H56" s="79">
        <f t="shared" si="1"/>
        <v>1.0954195871885255</v>
      </c>
      <c r="I56" s="81">
        <v>0.36795066192004411</v>
      </c>
      <c r="J56" s="82">
        <v>0.36359767235774887</v>
      </c>
      <c r="K56" s="83">
        <v>0.15641361922857544</v>
      </c>
    </row>
    <row r="57" spans="1:11" ht="15.75" x14ac:dyDescent="0.25">
      <c r="A57" s="77" t="s">
        <v>384</v>
      </c>
      <c r="B57" s="78">
        <v>141</v>
      </c>
      <c r="C57" s="79">
        <v>0.49472798713072219</v>
      </c>
      <c r="D57" s="80">
        <v>0.3039496474310871</v>
      </c>
      <c r="E57" s="80">
        <v>0.13469054628418936</v>
      </c>
      <c r="F57" s="79">
        <f t="shared" si="0"/>
        <v>0.40404546874458303</v>
      </c>
      <c r="G57" s="80">
        <v>0.13319476440980399</v>
      </c>
      <c r="H57" s="79">
        <f t="shared" si="1"/>
        <v>0.46613178157544688</v>
      </c>
      <c r="I57" s="81">
        <v>0.20662494033940629</v>
      </c>
      <c r="J57" s="82">
        <v>0.26534441958420679</v>
      </c>
      <c r="K57" s="83">
        <v>0.30045476135737137</v>
      </c>
    </row>
    <row r="58" spans="1:11" ht="15.75" x14ac:dyDescent="0.25">
      <c r="A58" s="77" t="s">
        <v>385</v>
      </c>
      <c r="B58" s="78">
        <v>77</v>
      </c>
      <c r="C58" s="79">
        <v>0.88569420686276201</v>
      </c>
      <c r="D58" s="80">
        <v>0.50869826169491927</v>
      </c>
      <c r="E58" s="80">
        <v>0.14279704768589466</v>
      </c>
      <c r="F58" s="79">
        <f t="shared" si="0"/>
        <v>0.64384961426762166</v>
      </c>
      <c r="G58" s="80">
        <v>0.11316673874702514</v>
      </c>
      <c r="H58" s="79">
        <f t="shared" si="1"/>
        <v>0.7260097725224578</v>
      </c>
      <c r="I58" s="81">
        <v>0.23524917722250424</v>
      </c>
      <c r="J58" s="82">
        <v>0.26688549638999975</v>
      </c>
      <c r="K58" s="83">
        <v>0.42460294631689954</v>
      </c>
    </row>
    <row r="59" spans="1:11" ht="15.75" x14ac:dyDescent="0.25">
      <c r="A59" s="77" t="s">
        <v>386</v>
      </c>
      <c r="B59" s="78">
        <v>141</v>
      </c>
      <c r="C59" s="79">
        <v>0.47277611486444238</v>
      </c>
      <c r="D59" s="80">
        <v>0.32819308738157243</v>
      </c>
      <c r="E59" s="80">
        <v>0.16635418130162899</v>
      </c>
      <c r="F59" s="79">
        <f t="shared" si="0"/>
        <v>0.38055360152714685</v>
      </c>
      <c r="G59" s="80">
        <v>0.11479494335565883</v>
      </c>
      <c r="H59" s="79">
        <f t="shared" si="1"/>
        <v>0.42990445961725476</v>
      </c>
      <c r="I59" s="81">
        <v>0.24653556462995252</v>
      </c>
      <c r="J59" s="82">
        <v>0.26492779453709692</v>
      </c>
      <c r="K59" s="83">
        <v>0.29905634762369326</v>
      </c>
    </row>
    <row r="60" spans="1:11" ht="15.75" x14ac:dyDescent="0.25">
      <c r="A60" s="77" t="s">
        <v>387</v>
      </c>
      <c r="B60" s="78">
        <v>356</v>
      </c>
      <c r="C60" s="79">
        <v>0.65606570785340124</v>
      </c>
      <c r="D60" s="80">
        <v>3.9273207919168391</v>
      </c>
      <c r="E60" s="80">
        <v>8.4937565049514691E-2</v>
      </c>
      <c r="F60" s="79">
        <f t="shared" si="0"/>
        <v>0.16822483737025928</v>
      </c>
      <c r="G60" s="80">
        <v>2.0218647359513654E-2</v>
      </c>
      <c r="H60" s="79">
        <f t="shared" si="1"/>
        <v>0.17169630440189287</v>
      </c>
      <c r="I60" s="81">
        <v>0.29776415838057513</v>
      </c>
      <c r="J60" s="82">
        <v>0.34465955759769185</v>
      </c>
      <c r="K60" s="83">
        <v>0.34440479090909104</v>
      </c>
    </row>
    <row r="61" spans="1:11" ht="15.75" x14ac:dyDescent="0.25">
      <c r="A61" s="77" t="s">
        <v>388</v>
      </c>
      <c r="B61" s="78">
        <v>741</v>
      </c>
      <c r="C61" s="79">
        <v>1.2473550812976453</v>
      </c>
      <c r="D61" s="80">
        <v>0.25733468727451148</v>
      </c>
      <c r="E61" s="80">
        <v>0.15447369749565687</v>
      </c>
      <c r="F61" s="79">
        <f t="shared" si="0"/>
        <v>1.0481835130270669</v>
      </c>
      <c r="G61" s="80">
        <v>8.4675351501403012E-2</v>
      </c>
      <c r="H61" s="79">
        <f t="shared" si="1"/>
        <v>1.145149444785954</v>
      </c>
      <c r="I61" s="81">
        <v>0.31085167763886401</v>
      </c>
      <c r="J61" s="82">
        <v>0.342449286332</v>
      </c>
      <c r="K61" s="83">
        <v>0.28722118786697032</v>
      </c>
    </row>
    <row r="62" spans="1:11" ht="15.75" x14ac:dyDescent="0.25">
      <c r="A62" s="77" t="s">
        <v>389</v>
      </c>
      <c r="B62" s="78">
        <v>294</v>
      </c>
      <c r="C62" s="79">
        <v>1.263324847877304</v>
      </c>
      <c r="D62" s="80">
        <v>0.58635413742491427</v>
      </c>
      <c r="E62" s="80">
        <v>0.12802640863747924</v>
      </c>
      <c r="F62" s="79">
        <f t="shared" si="0"/>
        <v>0.8816166633504563</v>
      </c>
      <c r="G62" s="80">
        <v>9.6808406543951189E-2</v>
      </c>
      <c r="H62" s="79">
        <f t="shared" si="1"/>
        <v>0.97611256541589764</v>
      </c>
      <c r="I62" s="81">
        <v>0.33564130913349977</v>
      </c>
      <c r="J62" s="82">
        <v>0.36631221384262186</v>
      </c>
      <c r="K62" s="83">
        <v>0.3543190379947545</v>
      </c>
    </row>
    <row r="63" spans="1:11" ht="15.75" x14ac:dyDescent="0.25">
      <c r="A63" s="77" t="s">
        <v>390</v>
      </c>
      <c r="B63" s="78">
        <v>64</v>
      </c>
      <c r="C63" s="79">
        <v>0.84724529836596429</v>
      </c>
      <c r="D63" s="80">
        <v>0.1645271380226746</v>
      </c>
      <c r="E63" s="80">
        <v>0.13597881930667371</v>
      </c>
      <c r="F63" s="79">
        <f t="shared" si="0"/>
        <v>0.75546610902364753</v>
      </c>
      <c r="G63" s="80">
        <v>0.10169101041674336</v>
      </c>
      <c r="H63" s="79">
        <f t="shared" si="1"/>
        <v>0.84098691851466745</v>
      </c>
      <c r="I63" s="81">
        <v>0.33474218347016577</v>
      </c>
      <c r="J63" s="82">
        <v>0.39972856501505172</v>
      </c>
      <c r="K63" s="83">
        <v>0.16573876174884417</v>
      </c>
    </row>
    <row r="64" spans="1:11" ht="15.75" x14ac:dyDescent="0.25">
      <c r="A64" s="77" t="s">
        <v>391</v>
      </c>
      <c r="B64" s="78">
        <v>25</v>
      </c>
      <c r="C64" s="79">
        <v>1.1979648291603424</v>
      </c>
      <c r="D64" s="80">
        <v>0.17398054420162723</v>
      </c>
      <c r="E64" s="80">
        <v>0.23855864106742225</v>
      </c>
      <c r="F64" s="79">
        <f t="shared" si="0"/>
        <v>1.0615858336315753</v>
      </c>
      <c r="G64" s="80">
        <v>4.1738212694634395E-2</v>
      </c>
      <c r="H64" s="79">
        <f t="shared" si="1"/>
        <v>1.1078244459864743</v>
      </c>
      <c r="I64" s="81">
        <v>0.23098188457362062</v>
      </c>
      <c r="J64" s="82">
        <v>0.27899320814714074</v>
      </c>
      <c r="K64" s="83">
        <v>0.54411833983421454</v>
      </c>
    </row>
    <row r="65" spans="1:11" ht="15.75" x14ac:dyDescent="0.25">
      <c r="A65" s="77" t="s">
        <v>392</v>
      </c>
      <c r="B65" s="78">
        <v>121</v>
      </c>
      <c r="C65" s="79">
        <v>1.4189635389247024</v>
      </c>
      <c r="D65" s="80">
        <v>0.42004822603542674</v>
      </c>
      <c r="E65" s="80">
        <v>0.11262262098132056</v>
      </c>
      <c r="F65" s="79">
        <f t="shared" si="0"/>
        <v>1.0830430092707737</v>
      </c>
      <c r="G65" s="80">
        <v>5.2766249818904855E-2</v>
      </c>
      <c r="H65" s="79">
        <f t="shared" si="1"/>
        <v>1.1433745989980975</v>
      </c>
      <c r="I65" s="81">
        <v>0.39864431124661859</v>
      </c>
      <c r="J65" s="82">
        <v>0.45621697845751163</v>
      </c>
      <c r="K65" s="83">
        <v>0.39935102146417939</v>
      </c>
    </row>
    <row r="66" spans="1:11" ht="15.75" x14ac:dyDescent="0.25">
      <c r="A66" s="77" t="s">
        <v>393</v>
      </c>
      <c r="B66" s="78">
        <v>95</v>
      </c>
      <c r="C66" s="79">
        <v>1.3544998616012918</v>
      </c>
      <c r="D66" s="80">
        <v>0.84602119363032424</v>
      </c>
      <c r="E66" s="80">
        <v>0.11404104149286524</v>
      </c>
      <c r="F66" s="79">
        <f t="shared" si="0"/>
        <v>0.83369123718468185</v>
      </c>
      <c r="G66" s="80">
        <v>6.7678955381841696E-2</v>
      </c>
      <c r="H66" s="79">
        <f t="shared" si="1"/>
        <v>0.89421046751779443</v>
      </c>
      <c r="I66" s="81">
        <v>0.29560559409902115</v>
      </c>
      <c r="J66" s="82">
        <v>0.3249218376033734</v>
      </c>
      <c r="K66" s="83">
        <v>0.22633011682479132</v>
      </c>
    </row>
    <row r="67" spans="1:11" ht="15.75" x14ac:dyDescent="0.25">
      <c r="A67" s="77" t="s">
        <v>394</v>
      </c>
      <c r="B67" s="78">
        <v>233</v>
      </c>
      <c r="C67" s="79">
        <v>1.2943012990426177</v>
      </c>
      <c r="D67" s="80">
        <v>0.53676844093676646</v>
      </c>
      <c r="E67" s="80">
        <v>0.12320401454553187</v>
      </c>
      <c r="F67" s="79">
        <f t="shared" si="0"/>
        <v>0.92691765593534969</v>
      </c>
      <c r="G67" s="80">
        <v>5.7704314806494315E-2</v>
      </c>
      <c r="H67" s="79">
        <f t="shared" si="1"/>
        <v>0.98368025079622645</v>
      </c>
      <c r="I67" s="81">
        <v>0.34952220168995468</v>
      </c>
      <c r="J67" s="82">
        <v>0.40600866800449181</v>
      </c>
      <c r="K67" s="83">
        <v>0.3943524740244036</v>
      </c>
    </row>
    <row r="68" spans="1:11" ht="15.75" x14ac:dyDescent="0.25">
      <c r="A68" s="77" t="s">
        <v>395</v>
      </c>
      <c r="B68" s="78">
        <v>283</v>
      </c>
      <c r="C68" s="79">
        <v>0.75255209989137939</v>
      </c>
      <c r="D68" s="80">
        <v>0.34507466607451226</v>
      </c>
      <c r="E68" s="80">
        <v>0.17140588461727915</v>
      </c>
      <c r="F68" s="79">
        <f t="shared" si="0"/>
        <v>0.59973718573257684</v>
      </c>
      <c r="G68" s="80">
        <v>7.8495395805455309E-2</v>
      </c>
      <c r="H68" s="79">
        <f t="shared" si="1"/>
        <v>0.65082386241226253</v>
      </c>
      <c r="I68" s="81">
        <v>0.33795930706890026</v>
      </c>
      <c r="J68" s="82">
        <v>0.35779913210419512</v>
      </c>
      <c r="K68" s="83">
        <v>0.15930702029566363</v>
      </c>
    </row>
    <row r="69" spans="1:11" ht="15.75" x14ac:dyDescent="0.25">
      <c r="A69" s="77" t="s">
        <v>396</v>
      </c>
      <c r="B69" s="78">
        <v>190</v>
      </c>
      <c r="C69" s="79">
        <v>0.96049507994762673</v>
      </c>
      <c r="D69" s="80">
        <v>0.89307403863231571</v>
      </c>
      <c r="E69" s="80">
        <v>0.13071689261761152</v>
      </c>
      <c r="F69" s="79">
        <f t="shared" si="0"/>
        <v>0.57880470658234751</v>
      </c>
      <c r="G69" s="80">
        <v>8.9510190051782679E-2</v>
      </c>
      <c r="H69" s="79">
        <f t="shared" si="1"/>
        <v>0.6357069571325199</v>
      </c>
      <c r="I69" s="81">
        <v>0.33704336648254291</v>
      </c>
      <c r="J69" s="82">
        <v>0.35473776167257365</v>
      </c>
      <c r="K69" s="83">
        <v>0.40336871116775691</v>
      </c>
    </row>
    <row r="70" spans="1:11" ht="15.75" x14ac:dyDescent="0.25">
      <c r="A70" s="77" t="s">
        <v>397</v>
      </c>
      <c r="B70" s="78">
        <v>368</v>
      </c>
      <c r="C70" s="79">
        <v>0.87550109863075576</v>
      </c>
      <c r="D70" s="80">
        <v>1.0463550294172148</v>
      </c>
      <c r="E70" s="80">
        <v>0.17692826920742541</v>
      </c>
      <c r="F70" s="79">
        <f t="shared" si="0"/>
        <v>0.49389991873515893</v>
      </c>
      <c r="G70" s="80">
        <v>5.4539459699909892E-2</v>
      </c>
      <c r="H70" s="79">
        <f t="shared" si="1"/>
        <v>0.52239083249142748</v>
      </c>
      <c r="I70" s="81">
        <v>0.2618015742680585</v>
      </c>
      <c r="J70" s="82">
        <v>0.27530303617194535</v>
      </c>
      <c r="K70" s="83">
        <v>0.20197284219638867</v>
      </c>
    </row>
    <row r="71" spans="1:11" ht="15.75" x14ac:dyDescent="0.25">
      <c r="A71" s="77" t="s">
        <v>398</v>
      </c>
      <c r="B71" s="78">
        <v>84</v>
      </c>
      <c r="C71" s="79">
        <v>1.0949996742002737</v>
      </c>
      <c r="D71" s="80">
        <v>0.26526125278293672</v>
      </c>
      <c r="E71" s="80">
        <v>0.12553410301143028</v>
      </c>
      <c r="F71" s="79">
        <f t="shared" si="0"/>
        <v>0.9156519296631247</v>
      </c>
      <c r="G71" s="80">
        <v>5.4020025337289404E-2</v>
      </c>
      <c r="H71" s="79">
        <f t="shared" si="1"/>
        <v>0.96794007715607366</v>
      </c>
      <c r="I71" s="81">
        <v>0.43293438032855502</v>
      </c>
      <c r="J71" s="82">
        <v>0.48206192936771664</v>
      </c>
      <c r="K71" s="83">
        <v>0.40287718567528369</v>
      </c>
    </row>
    <row r="72" spans="1:11" ht="15.75" x14ac:dyDescent="0.25">
      <c r="A72" s="77" t="s">
        <v>399</v>
      </c>
      <c r="B72" s="78">
        <v>167</v>
      </c>
      <c r="C72" s="79">
        <v>1.0345991214632162</v>
      </c>
      <c r="D72" s="80">
        <v>0.16811800551420117</v>
      </c>
      <c r="E72" s="80">
        <v>0.12488908396068191</v>
      </c>
      <c r="F72" s="79">
        <f t="shared" si="0"/>
        <v>0.920348580776022</v>
      </c>
      <c r="G72" s="80">
        <v>0.17782756514097309</v>
      </c>
      <c r="H72" s="79">
        <f t="shared" si="1"/>
        <v>1.1194106512873163</v>
      </c>
      <c r="I72" s="81">
        <v>0.31513415193507227</v>
      </c>
      <c r="J72" s="82">
        <v>0.36730104821088211</v>
      </c>
      <c r="K72" s="83">
        <v>0.14892471829900752</v>
      </c>
    </row>
    <row r="73" spans="1:11" ht="15.75" x14ac:dyDescent="0.25">
      <c r="A73" s="77" t="s">
        <v>400</v>
      </c>
      <c r="B73" s="78">
        <v>213</v>
      </c>
      <c r="C73" s="79">
        <v>0.40048534715818673</v>
      </c>
      <c r="D73" s="80">
        <v>0.46930678574169338</v>
      </c>
      <c r="E73" s="80">
        <v>4.3856102933403168E-2</v>
      </c>
      <c r="F73" s="79">
        <f t="shared" si="0"/>
        <v>0.29741893890527393</v>
      </c>
      <c r="G73" s="80">
        <v>2.5749007176302935E-2</v>
      </c>
      <c r="H73" s="79">
        <f t="shared" si="1"/>
        <v>0.30527958513365933</v>
      </c>
      <c r="I73" s="81">
        <v>0.15093742432289531</v>
      </c>
      <c r="J73" s="82">
        <v>0.14423481466023211</v>
      </c>
      <c r="K73" s="83">
        <v>0.35861391336664261</v>
      </c>
    </row>
    <row r="74" spans="1:11" ht="15.75" x14ac:dyDescent="0.25">
      <c r="A74" s="77" t="s">
        <v>401</v>
      </c>
      <c r="B74" s="78">
        <v>728</v>
      </c>
      <c r="C74" s="79">
        <v>1.1025578140231211</v>
      </c>
      <c r="D74" s="80">
        <v>1.5297032782865789</v>
      </c>
      <c r="E74" s="80">
        <v>0.18726768642230943</v>
      </c>
      <c r="F74" s="79">
        <f t="shared" si="0"/>
        <v>0.51774631594915854</v>
      </c>
      <c r="G74" s="80">
        <v>0.20355387599611471</v>
      </c>
      <c r="H74" s="79">
        <f t="shared" si="1"/>
        <v>0.65007073340548127</v>
      </c>
      <c r="I74" s="81">
        <v>0.29935992212627516</v>
      </c>
      <c r="J74" s="82">
        <v>0.32381438939880752</v>
      </c>
      <c r="K74" s="83">
        <v>0.55289992162490764</v>
      </c>
    </row>
    <row r="75" spans="1:11" ht="15.75" x14ac:dyDescent="0.25">
      <c r="A75" s="77" t="s">
        <v>402</v>
      </c>
      <c r="B75" s="78">
        <v>245</v>
      </c>
      <c r="C75" s="79">
        <v>1.0664691558336816</v>
      </c>
      <c r="D75" s="80">
        <v>0.83537247061351494</v>
      </c>
      <c r="E75" s="80">
        <v>0.13049956106070773</v>
      </c>
      <c r="F75" s="79">
        <f t="shared" si="0"/>
        <v>0.6596013174644394</v>
      </c>
      <c r="G75" s="80">
        <v>0.10594311538048667</v>
      </c>
      <c r="H75" s="79">
        <f t="shared" si="1"/>
        <v>0.73776213662864198</v>
      </c>
      <c r="I75" s="81">
        <v>0.26945501494940904</v>
      </c>
      <c r="J75" s="82">
        <v>0.28180140472865034</v>
      </c>
      <c r="K75" s="83">
        <v>0.26168416971389785</v>
      </c>
    </row>
    <row r="76" spans="1:11" ht="15.75" x14ac:dyDescent="0.25">
      <c r="A76" s="77" t="s">
        <v>403</v>
      </c>
      <c r="B76" s="78">
        <v>319</v>
      </c>
      <c r="C76" s="79">
        <v>0.78805167472575965</v>
      </c>
      <c r="D76" s="80">
        <v>0.56241524223539419</v>
      </c>
      <c r="E76" s="80">
        <v>0.14971093765715959</v>
      </c>
      <c r="F76" s="79">
        <f t="shared" ref="F76:F106" si="2">IF($F$8="Effective",C76/(1+(1-E76)*D76),C76/(1+(1-$F$9)*D76))</f>
        <v>0.5568138785435538</v>
      </c>
      <c r="G76" s="80">
        <v>5.7277926587320949E-2</v>
      </c>
      <c r="H76" s="79">
        <f t="shared" ref="H76:H106" si="3">F76/(1-G76)</f>
        <v>0.59064478731029668</v>
      </c>
      <c r="I76" s="81">
        <v>0.28950162229721332</v>
      </c>
      <c r="J76" s="82">
        <v>0.32363761769543681</v>
      </c>
      <c r="K76" s="83">
        <v>0.20953361511284441</v>
      </c>
    </row>
    <row r="77" spans="1:11" ht="15.75" x14ac:dyDescent="0.25">
      <c r="A77" s="77" t="s">
        <v>404</v>
      </c>
      <c r="B77" s="78">
        <v>129</v>
      </c>
      <c r="C77" s="79">
        <v>1.1175315484733968</v>
      </c>
      <c r="D77" s="80">
        <v>0.51478502012852168</v>
      </c>
      <c r="E77" s="80">
        <v>0.12223920457103961</v>
      </c>
      <c r="F77" s="79">
        <f t="shared" si="2"/>
        <v>0.80973666642945119</v>
      </c>
      <c r="G77" s="80">
        <v>0.12009150961609061</v>
      </c>
      <c r="H77" s="79">
        <f t="shared" si="3"/>
        <v>0.92025099800566557</v>
      </c>
      <c r="I77" s="81">
        <v>0.33776357806977031</v>
      </c>
      <c r="J77" s="82">
        <v>0.35795072341768142</v>
      </c>
      <c r="K77" s="83">
        <v>0.35748264462149149</v>
      </c>
    </row>
    <row r="78" spans="1:11" ht="15.75" x14ac:dyDescent="0.25">
      <c r="A78" s="77" t="s">
        <v>405</v>
      </c>
      <c r="B78" s="78">
        <v>28</v>
      </c>
      <c r="C78" s="79">
        <v>0.95365679135171078</v>
      </c>
      <c r="D78" s="80">
        <v>0.21117970583127205</v>
      </c>
      <c r="E78" s="80">
        <v>0.12098727659756636</v>
      </c>
      <c r="F78" s="79">
        <f t="shared" si="2"/>
        <v>0.82500894354143506</v>
      </c>
      <c r="G78" s="80">
        <v>0.14027011131582592</v>
      </c>
      <c r="H78" s="79">
        <f t="shared" si="3"/>
        <v>0.95961412345931141</v>
      </c>
      <c r="I78" s="81">
        <v>0.27343705746718328</v>
      </c>
      <c r="J78" s="82">
        <v>0.26061097501591357</v>
      </c>
      <c r="K78" s="83">
        <v>0.45239284233034793</v>
      </c>
    </row>
    <row r="79" spans="1:11" ht="15.75" x14ac:dyDescent="0.25">
      <c r="A79" s="77" t="s">
        <v>406</v>
      </c>
      <c r="B79" s="78">
        <v>130</v>
      </c>
      <c r="C79" s="79">
        <v>1.0215415783323287</v>
      </c>
      <c r="D79" s="80">
        <v>0.3010049652333246</v>
      </c>
      <c r="E79" s="80">
        <v>0.15020096652567669</v>
      </c>
      <c r="F79" s="79">
        <f t="shared" si="2"/>
        <v>0.83577949972796861</v>
      </c>
      <c r="G79" s="80">
        <v>5.1776588837140439E-2</v>
      </c>
      <c r="H79" s="79">
        <f t="shared" si="3"/>
        <v>0.88141622521532692</v>
      </c>
      <c r="I79" s="81">
        <v>0.35362848851928896</v>
      </c>
      <c r="J79" s="82">
        <v>0.37378395251739266</v>
      </c>
      <c r="K79" s="83">
        <v>0.36971387255433447</v>
      </c>
    </row>
    <row r="80" spans="1:11" ht="15.75" x14ac:dyDescent="0.25">
      <c r="A80" s="77" t="s">
        <v>407</v>
      </c>
      <c r="B80" s="78">
        <v>98</v>
      </c>
      <c r="C80" s="79">
        <v>0.99787233586431101</v>
      </c>
      <c r="D80" s="80">
        <v>0.71111351294603242</v>
      </c>
      <c r="E80" s="80">
        <v>0.1758486012395804</v>
      </c>
      <c r="F80" s="79">
        <f t="shared" si="2"/>
        <v>0.65430552326380564</v>
      </c>
      <c r="G80" s="80">
        <v>9.4097534356488252E-2</v>
      </c>
      <c r="H80" s="79">
        <f t="shared" si="3"/>
        <v>0.72226928182496652</v>
      </c>
      <c r="I80" s="81">
        <v>0.33202577514444082</v>
      </c>
      <c r="J80" s="82">
        <v>0.34238173530068933</v>
      </c>
      <c r="K80" s="83">
        <v>0.2894539047784378</v>
      </c>
    </row>
    <row r="81" spans="1:11" ht="15.75" x14ac:dyDescent="0.25">
      <c r="A81" s="77" t="s">
        <v>408</v>
      </c>
      <c r="B81" s="78">
        <v>26</v>
      </c>
      <c r="C81" s="79">
        <v>1.4506395217706123</v>
      </c>
      <c r="D81" s="80">
        <v>0.26433058849904351</v>
      </c>
      <c r="E81" s="80">
        <v>0.13811797642163423</v>
      </c>
      <c r="F81" s="79">
        <f t="shared" si="2"/>
        <v>1.2137397299702768</v>
      </c>
      <c r="G81" s="80">
        <v>3.4558437637149685E-2</v>
      </c>
      <c r="H81" s="79">
        <f t="shared" si="3"/>
        <v>1.2571861180284534</v>
      </c>
      <c r="I81" s="81">
        <v>0.3345599118644707</v>
      </c>
      <c r="J81" s="82">
        <v>0.35430156100929666</v>
      </c>
      <c r="K81" s="83">
        <v>0.401057137817659</v>
      </c>
    </row>
    <row r="82" spans="1:11" ht="15.75" x14ac:dyDescent="0.25">
      <c r="A82" s="77" t="s">
        <v>409</v>
      </c>
      <c r="B82" s="78">
        <v>594</v>
      </c>
      <c r="C82" s="79">
        <v>0.88552453271652187</v>
      </c>
      <c r="D82" s="80">
        <v>0.93594198975486242</v>
      </c>
      <c r="E82" s="80">
        <v>0.14375470773126203</v>
      </c>
      <c r="F82" s="79">
        <f t="shared" si="2"/>
        <v>0.52363831847681419</v>
      </c>
      <c r="G82" s="80">
        <v>0.12854070138008919</v>
      </c>
      <c r="H82" s="79">
        <f t="shared" si="3"/>
        <v>0.600875243750426</v>
      </c>
      <c r="I82" s="81">
        <v>0.36315189713428137</v>
      </c>
      <c r="J82" s="82">
        <v>0.37757144761197758</v>
      </c>
      <c r="K82" s="83">
        <v>0.22115013558643379</v>
      </c>
    </row>
    <row r="83" spans="1:11" ht="15.75" x14ac:dyDescent="0.25">
      <c r="A83" s="77" t="s">
        <v>410</v>
      </c>
      <c r="B83" s="78">
        <v>133</v>
      </c>
      <c r="C83" s="79">
        <v>1.2071967510311905</v>
      </c>
      <c r="D83" s="80">
        <v>0.58307004179413824</v>
      </c>
      <c r="E83" s="80">
        <v>0.2294581848113838</v>
      </c>
      <c r="F83" s="79">
        <f t="shared" si="2"/>
        <v>0.84387550392025712</v>
      </c>
      <c r="G83" s="80">
        <v>7.2075252611326301E-2</v>
      </c>
      <c r="H83" s="79">
        <f t="shared" si="3"/>
        <v>0.90942234949014522</v>
      </c>
      <c r="I83" s="81">
        <v>0.25590058315074637</v>
      </c>
      <c r="J83" s="82">
        <v>0.26097462224673273</v>
      </c>
      <c r="K83" s="83">
        <v>0.13966733930222688</v>
      </c>
    </row>
    <row r="84" spans="1:11" ht="15.75" x14ac:dyDescent="0.25">
      <c r="A84" s="77" t="s">
        <v>411</v>
      </c>
      <c r="B84" s="78">
        <v>70</v>
      </c>
      <c r="C84" s="79">
        <v>0.83880159339822424</v>
      </c>
      <c r="D84" s="80">
        <v>0.5003273854815623</v>
      </c>
      <c r="E84" s="80">
        <v>0.20651077644737087</v>
      </c>
      <c r="F84" s="79">
        <f t="shared" si="2"/>
        <v>0.6125135286999932</v>
      </c>
      <c r="G84" s="80">
        <v>5.1212613559728719E-2</v>
      </c>
      <c r="H84" s="79">
        <f t="shared" si="3"/>
        <v>0.64557511772797227</v>
      </c>
      <c r="I84" s="81">
        <v>0.26753524721456279</v>
      </c>
      <c r="J84" s="82">
        <v>0.30706058966780708</v>
      </c>
      <c r="K84" s="83">
        <v>0.18700610274294968</v>
      </c>
    </row>
    <row r="85" spans="1:11" ht="15.75" x14ac:dyDescent="0.25">
      <c r="A85" s="77" t="s">
        <v>412</v>
      </c>
      <c r="B85" s="78">
        <v>72</v>
      </c>
      <c r="C85" s="79">
        <v>1.4838596549964365</v>
      </c>
      <c r="D85" s="80">
        <v>5.9802556721592917E-2</v>
      </c>
      <c r="E85" s="80">
        <v>0.13133422306462741</v>
      </c>
      <c r="F85" s="79">
        <f t="shared" si="2"/>
        <v>1.4211061540229615</v>
      </c>
      <c r="G85" s="80">
        <v>4.833317930392611E-2</v>
      </c>
      <c r="H85" s="79">
        <f t="shared" si="3"/>
        <v>1.4932811811002589</v>
      </c>
      <c r="I85" s="81">
        <v>0.39088458319382907</v>
      </c>
      <c r="J85" s="82">
        <v>0.41776947896853489</v>
      </c>
      <c r="K85" s="83">
        <v>1.9144359445617176</v>
      </c>
    </row>
    <row r="86" spans="1:11" ht="15.75" x14ac:dyDescent="0.25">
      <c r="A86" s="77" t="s">
        <v>413</v>
      </c>
      <c r="B86" s="78">
        <v>172</v>
      </c>
      <c r="C86" s="79">
        <v>1.0520732758159235</v>
      </c>
      <c r="D86" s="80">
        <v>0.52133715119531376</v>
      </c>
      <c r="E86" s="80">
        <v>0.16472061137681895</v>
      </c>
      <c r="F86" s="79">
        <f t="shared" si="2"/>
        <v>0.75964418200225847</v>
      </c>
      <c r="G86" s="80">
        <v>8.7327534874373253E-2</v>
      </c>
      <c r="H86" s="79">
        <f t="shared" si="3"/>
        <v>0.83232946213370829</v>
      </c>
      <c r="I86" s="81">
        <v>0.32037427136664481</v>
      </c>
      <c r="J86" s="82">
        <v>0.34552792685342604</v>
      </c>
      <c r="K86" s="83">
        <v>0.20519285662448888</v>
      </c>
    </row>
    <row r="87" spans="1:11" ht="15.75" x14ac:dyDescent="0.25">
      <c r="A87" s="77" t="s">
        <v>414</v>
      </c>
      <c r="B87" s="78">
        <v>70</v>
      </c>
      <c r="C87" s="79">
        <v>0.87173315840135124</v>
      </c>
      <c r="D87" s="80">
        <v>0.50750882995825664</v>
      </c>
      <c r="E87" s="80">
        <v>0.16095123749938994</v>
      </c>
      <c r="F87" s="79">
        <f t="shared" si="2"/>
        <v>0.63410557066649798</v>
      </c>
      <c r="G87" s="80">
        <v>9.4503728765052614E-2</v>
      </c>
      <c r="H87" s="79">
        <f t="shared" si="3"/>
        <v>0.70028512630061157</v>
      </c>
      <c r="I87" s="81">
        <v>0.28764926401358304</v>
      </c>
      <c r="J87" s="82">
        <v>0.27662519395026186</v>
      </c>
      <c r="K87" s="83">
        <v>0.32296304636558215</v>
      </c>
    </row>
    <row r="88" spans="1:11" ht="15.75" x14ac:dyDescent="0.25">
      <c r="A88" s="77" t="s">
        <v>415</v>
      </c>
      <c r="B88" s="78">
        <v>411</v>
      </c>
      <c r="C88" s="79">
        <v>1.5845383412183327</v>
      </c>
      <c r="D88" s="80">
        <v>0.10852326810667758</v>
      </c>
      <c r="E88" s="80">
        <v>0.10229408701280482</v>
      </c>
      <c r="F88" s="79">
        <f t="shared" si="2"/>
        <v>1.4669836850197775</v>
      </c>
      <c r="G88" s="80">
        <v>7.2290638154122289E-2</v>
      </c>
      <c r="H88" s="79">
        <f t="shared" si="3"/>
        <v>1.5812966273196782</v>
      </c>
      <c r="I88" s="81">
        <v>0.33219073586500469</v>
      </c>
      <c r="J88" s="82">
        <v>0.36596032740560414</v>
      </c>
      <c r="K88" s="83">
        <v>0.59706243758467992</v>
      </c>
    </row>
    <row r="89" spans="1:11" ht="15.75" x14ac:dyDescent="0.25">
      <c r="A89" s="77" t="s">
        <v>416</v>
      </c>
      <c r="B89" s="78">
        <v>195</v>
      </c>
      <c r="C89" s="79">
        <v>1.9405447959371254</v>
      </c>
      <c r="D89" s="80">
        <v>0.22887822229906574</v>
      </c>
      <c r="E89" s="80">
        <v>0.14244437824681902</v>
      </c>
      <c r="F89" s="79">
        <f t="shared" si="2"/>
        <v>1.6599988778678425</v>
      </c>
      <c r="G89" s="80">
        <v>8.6752636446632961E-2</v>
      </c>
      <c r="H89" s="79">
        <f t="shared" si="3"/>
        <v>1.8176881139945804</v>
      </c>
      <c r="I89" s="81">
        <v>0.34724360243012459</v>
      </c>
      <c r="J89" s="82">
        <v>0.3738597018335289</v>
      </c>
      <c r="K89" s="83">
        <v>0.63152584725904937</v>
      </c>
    </row>
    <row r="90" spans="1:11" ht="15.75" x14ac:dyDescent="0.25">
      <c r="A90" s="77" t="s">
        <v>417</v>
      </c>
      <c r="B90" s="78">
        <v>233</v>
      </c>
      <c r="C90" s="79">
        <v>1.0425551756816258</v>
      </c>
      <c r="D90" s="80">
        <v>1.0168335580935159</v>
      </c>
      <c r="E90" s="80">
        <v>0.12423496023738788</v>
      </c>
      <c r="F90" s="79">
        <f t="shared" si="2"/>
        <v>0.59546342914333483</v>
      </c>
      <c r="G90" s="80">
        <v>0.10562578721583708</v>
      </c>
      <c r="H90" s="79">
        <f t="shared" si="3"/>
        <v>0.66578778841316666</v>
      </c>
      <c r="I90" s="81">
        <v>0.28172956427721318</v>
      </c>
      <c r="J90" s="82">
        <v>0.32652494040132646</v>
      </c>
      <c r="K90" s="83">
        <v>0.40031084776593218</v>
      </c>
    </row>
    <row r="91" spans="1:11" ht="15.75" x14ac:dyDescent="0.25">
      <c r="A91" s="77" t="s">
        <v>418</v>
      </c>
      <c r="B91" s="78">
        <v>56</v>
      </c>
      <c r="C91" s="79">
        <v>0.84063612615757122</v>
      </c>
      <c r="D91" s="80">
        <v>0.20084073777734535</v>
      </c>
      <c r="E91" s="80">
        <v>0.15962473109407568</v>
      </c>
      <c r="F91" s="79">
        <f t="shared" si="2"/>
        <v>0.73206961589713238</v>
      </c>
      <c r="G91" s="80">
        <v>5.2983207988252491E-2</v>
      </c>
      <c r="H91" s="79">
        <f t="shared" si="3"/>
        <v>0.77302706992343517</v>
      </c>
      <c r="I91" s="81">
        <v>0.34773034042152268</v>
      </c>
      <c r="J91" s="82">
        <v>0.34492961610987571</v>
      </c>
      <c r="K91" s="83">
        <v>0.12892291371533754</v>
      </c>
    </row>
    <row r="92" spans="1:11" ht="15.75" x14ac:dyDescent="0.25">
      <c r="A92" s="77" t="s">
        <v>419</v>
      </c>
      <c r="B92" s="78">
        <v>49</v>
      </c>
      <c r="C92" s="79">
        <v>1.3853929004429142</v>
      </c>
      <c r="D92" s="80">
        <v>7.3419400735774298E-2</v>
      </c>
      <c r="E92" s="80">
        <v>0.1160094458338673</v>
      </c>
      <c r="F92" s="79">
        <f t="shared" si="2"/>
        <v>1.3141490864831429</v>
      </c>
      <c r="G92" s="80">
        <v>5.108868479308936E-2</v>
      </c>
      <c r="H92" s="79">
        <f t="shared" si="3"/>
        <v>1.3849019032896577</v>
      </c>
      <c r="I92" s="81">
        <v>0.47940017412290553</v>
      </c>
      <c r="J92" s="82">
        <v>0.50907737650798268</v>
      </c>
      <c r="K92" s="83">
        <v>0.72485328758362055</v>
      </c>
    </row>
    <row r="93" spans="1:11" ht="15.75" x14ac:dyDescent="0.25">
      <c r="A93" s="77" t="s">
        <v>420</v>
      </c>
      <c r="B93" s="78">
        <v>31</v>
      </c>
      <c r="C93" s="79">
        <v>1.2477012579299418</v>
      </c>
      <c r="D93" s="80">
        <v>0.1673556434587733</v>
      </c>
      <c r="E93" s="80">
        <v>0.12658008751004357</v>
      </c>
      <c r="F93" s="79">
        <f t="shared" si="2"/>
        <v>1.1104739833324124</v>
      </c>
      <c r="G93" s="80">
        <v>5.8563813021627824E-2</v>
      </c>
      <c r="H93" s="79">
        <f t="shared" si="3"/>
        <v>1.1795531111849258</v>
      </c>
      <c r="I93" s="81">
        <v>0.33482441975822713</v>
      </c>
      <c r="J93" s="82">
        <v>0.34749200679633935</v>
      </c>
      <c r="K93" s="83">
        <v>1.1285433785668251</v>
      </c>
    </row>
    <row r="94" spans="1:11" ht="15.75" x14ac:dyDescent="0.25">
      <c r="A94" s="77" t="s">
        <v>421</v>
      </c>
      <c r="B94" s="78">
        <v>372</v>
      </c>
      <c r="C94" s="79">
        <v>1.5354425493826298</v>
      </c>
      <c r="D94" s="80">
        <v>4.2562820934958188E-2</v>
      </c>
      <c r="E94" s="80">
        <v>0.10322976599667166</v>
      </c>
      <c r="F94" s="79">
        <f t="shared" si="2"/>
        <v>1.488656477528987</v>
      </c>
      <c r="G94" s="80">
        <v>6.2121751623017252E-2</v>
      </c>
      <c r="H94" s="79">
        <f t="shared" si="3"/>
        <v>1.5872598390091006</v>
      </c>
      <c r="I94" s="81">
        <v>0.39975266970371842</v>
      </c>
      <c r="J94" s="82">
        <v>0.42288676194118752</v>
      </c>
      <c r="K94" s="83">
        <v>0.37317545852185952</v>
      </c>
    </row>
    <row r="95" spans="1:11" ht="15.75" x14ac:dyDescent="0.25">
      <c r="A95" s="77" t="s">
        <v>422</v>
      </c>
      <c r="B95" s="78">
        <v>508</v>
      </c>
      <c r="C95" s="79">
        <v>1.0501951921395218</v>
      </c>
      <c r="D95" s="80">
        <v>0.70737860372036765</v>
      </c>
      <c r="E95" s="80">
        <v>0.13970639702911727</v>
      </c>
      <c r="F95" s="79">
        <f t="shared" si="2"/>
        <v>0.68986114891700923</v>
      </c>
      <c r="G95" s="80">
        <v>0.10223858169438166</v>
      </c>
      <c r="H95" s="79">
        <f t="shared" si="3"/>
        <v>0.76842369793414844</v>
      </c>
      <c r="I95" s="81">
        <v>0.32597314946300182</v>
      </c>
      <c r="J95" s="82">
        <v>0.34346497494695388</v>
      </c>
      <c r="K95" s="83">
        <v>0.47790319889994254</v>
      </c>
    </row>
    <row r="96" spans="1:11" ht="15.75" x14ac:dyDescent="0.25">
      <c r="A96" s="77" t="s">
        <v>423</v>
      </c>
      <c r="B96" s="78">
        <v>58</v>
      </c>
      <c r="C96" s="79">
        <v>0.88964316577828739</v>
      </c>
      <c r="D96" s="80">
        <v>0.53454620108179263</v>
      </c>
      <c r="E96" s="80">
        <v>0.15946403670678871</v>
      </c>
      <c r="F96" s="79">
        <f t="shared" si="2"/>
        <v>0.63787013640448409</v>
      </c>
      <c r="G96" s="80">
        <v>2.8851231173773369E-2</v>
      </c>
      <c r="H96" s="79">
        <f t="shared" si="3"/>
        <v>0.65682020806703201</v>
      </c>
      <c r="I96" s="81">
        <v>0.27484802960774801</v>
      </c>
      <c r="J96" s="82">
        <v>0.29041202386290249</v>
      </c>
      <c r="K96" s="83">
        <v>0.18805056060902103</v>
      </c>
    </row>
    <row r="97" spans="1:11" ht="15.75" x14ac:dyDescent="0.25">
      <c r="A97" s="77" t="s">
        <v>424</v>
      </c>
      <c r="B97" s="78">
        <v>287</v>
      </c>
      <c r="C97" s="79">
        <v>1.4815843847206138</v>
      </c>
      <c r="D97" s="80">
        <v>0.14932158903711781</v>
      </c>
      <c r="E97" s="80">
        <v>9.8469276064230532E-2</v>
      </c>
      <c r="F97" s="79">
        <f t="shared" si="2"/>
        <v>1.3344492617117387</v>
      </c>
      <c r="G97" s="80">
        <v>8.9853687705095622E-2</v>
      </c>
      <c r="H97" s="79">
        <f t="shared" si="3"/>
        <v>1.4661920217497428</v>
      </c>
      <c r="I97" s="81">
        <v>0.35089082051486231</v>
      </c>
      <c r="J97" s="82">
        <v>0.38777744386480489</v>
      </c>
      <c r="K97" s="83">
        <v>0.32259641231638003</v>
      </c>
    </row>
    <row r="98" spans="1:11" ht="15.75" x14ac:dyDescent="0.25">
      <c r="A98" s="77" t="s">
        <v>425</v>
      </c>
      <c r="B98" s="78">
        <v>132</v>
      </c>
      <c r="C98" s="79">
        <v>0.82676512212315978</v>
      </c>
      <c r="D98" s="80">
        <v>0.46624847855628271</v>
      </c>
      <c r="E98" s="80">
        <v>0.15454990452088349</v>
      </c>
      <c r="F98" s="79">
        <f t="shared" si="2"/>
        <v>0.61502546202365715</v>
      </c>
      <c r="G98" s="80">
        <v>4.5446150472107268E-2</v>
      </c>
      <c r="H98" s="79">
        <f t="shared" si="3"/>
        <v>0.6443067222743265</v>
      </c>
      <c r="I98" s="81">
        <v>0.32856560773734955</v>
      </c>
      <c r="J98" s="82">
        <v>0.34145451397279014</v>
      </c>
      <c r="K98" s="83">
        <v>3.7027810656122408E-2</v>
      </c>
    </row>
    <row r="99" spans="1:11" ht="15.75" x14ac:dyDescent="0.25">
      <c r="A99" s="77" t="s">
        <v>426</v>
      </c>
      <c r="B99" s="78">
        <v>29</v>
      </c>
      <c r="C99" s="79">
        <v>0.74888243835045909</v>
      </c>
      <c r="D99" s="80">
        <v>1.7787546395905459E-2</v>
      </c>
      <c r="E99" s="80">
        <v>0.2131117271417752</v>
      </c>
      <c r="F99" s="79">
        <f t="shared" si="2"/>
        <v>0.73917388881122126</v>
      </c>
      <c r="G99" s="80">
        <v>3.8734884549404887E-2</v>
      </c>
      <c r="H99" s="79">
        <f t="shared" si="3"/>
        <v>0.76895944410167416</v>
      </c>
      <c r="I99" s="81">
        <v>0.29063887033013863</v>
      </c>
      <c r="J99" s="82">
        <v>0.28143163752008565</v>
      </c>
      <c r="K99" s="83">
        <v>9.9660930613358373E-2</v>
      </c>
    </row>
    <row r="100" spans="1:11" ht="15.75" x14ac:dyDescent="0.25">
      <c r="A100" s="77" t="s">
        <v>427</v>
      </c>
      <c r="B100" s="78">
        <v>183</v>
      </c>
      <c r="C100" s="79">
        <v>1.1175954582457064</v>
      </c>
      <c r="D100" s="80">
        <v>0.5499625871261784</v>
      </c>
      <c r="E100" s="80">
        <v>0.17747579655179238</v>
      </c>
      <c r="F100" s="79">
        <f t="shared" si="2"/>
        <v>0.79482363936087963</v>
      </c>
      <c r="G100" s="80">
        <v>9.1481800808709962E-2</v>
      </c>
      <c r="H100" s="79">
        <f t="shared" si="3"/>
        <v>0.87485714658042657</v>
      </c>
      <c r="I100" s="81">
        <v>0.29876776761575363</v>
      </c>
      <c r="J100" s="82">
        <v>0.32122764427066836</v>
      </c>
      <c r="K100" s="83">
        <v>0.22066250730464934</v>
      </c>
    </row>
    <row r="101" spans="1:11" ht="15.75" x14ac:dyDescent="0.25">
      <c r="A101" s="77" t="s">
        <v>428</v>
      </c>
      <c r="B101" s="78">
        <v>14</v>
      </c>
      <c r="C101" s="79">
        <v>1.2716527893709204</v>
      </c>
      <c r="D101" s="80">
        <v>0.22706389421214046</v>
      </c>
      <c r="E101" s="80">
        <v>0.20267627067700181</v>
      </c>
      <c r="F101" s="79">
        <f t="shared" si="2"/>
        <v>1.0890571360524708</v>
      </c>
      <c r="G101" s="80">
        <v>4.5460354982668157E-2</v>
      </c>
      <c r="H101" s="79">
        <f t="shared" si="3"/>
        <v>1.1409239435337404</v>
      </c>
      <c r="I101" s="81">
        <v>0.19335141296087782</v>
      </c>
      <c r="J101" s="82">
        <v>0.20844126210545255</v>
      </c>
      <c r="K101" s="83">
        <v>0.17738349913435184</v>
      </c>
    </row>
    <row r="102" spans="1:11" ht="15.75" x14ac:dyDescent="0.25">
      <c r="A102" s="77" t="s">
        <v>429</v>
      </c>
      <c r="B102" s="78">
        <v>100</v>
      </c>
      <c r="C102" s="79">
        <v>0.86387653034442735</v>
      </c>
      <c r="D102" s="80">
        <v>0.55805616361655852</v>
      </c>
      <c r="E102" s="80">
        <v>0.17814323271395555</v>
      </c>
      <c r="F102" s="79">
        <f t="shared" si="2"/>
        <v>0.61178082054709126</v>
      </c>
      <c r="G102" s="80">
        <v>6.4527164722938596E-2</v>
      </c>
      <c r="H102" s="79">
        <f t="shared" si="3"/>
        <v>0.65398031613167962</v>
      </c>
      <c r="I102" s="81">
        <v>0.27923081964196783</v>
      </c>
      <c r="J102" s="82">
        <v>0.31569455120360618</v>
      </c>
      <c r="K102" s="83">
        <v>0.23165663833731709</v>
      </c>
    </row>
    <row r="103" spans="1:11" ht="15.75" x14ac:dyDescent="0.25">
      <c r="A103" s="77" t="s">
        <v>430</v>
      </c>
      <c r="B103" s="78">
        <v>9</v>
      </c>
      <c r="C103" s="79">
        <v>1.3039115983791141</v>
      </c>
      <c r="D103" s="80">
        <v>3.085492758160497</v>
      </c>
      <c r="E103" s="80">
        <v>0.18874345563141048</v>
      </c>
      <c r="F103" s="79">
        <f t="shared" si="2"/>
        <v>0.39773679052104938</v>
      </c>
      <c r="G103" s="80">
        <v>8.6660481611277818E-2</v>
      </c>
      <c r="H103" s="79">
        <f t="shared" si="3"/>
        <v>0.43547528877620567</v>
      </c>
      <c r="I103" s="81">
        <v>0.24822361226172174</v>
      </c>
      <c r="J103" s="82">
        <v>0.23619789685552306</v>
      </c>
      <c r="K103" s="83">
        <v>0.23365291861419468</v>
      </c>
    </row>
    <row r="104" spans="1:11" ht="15.75" x14ac:dyDescent="0.25">
      <c r="A104" s="77" t="s">
        <v>431</v>
      </c>
      <c r="B104" s="78">
        <v>66</v>
      </c>
      <c r="C104" s="79">
        <v>1.0977037900302054</v>
      </c>
      <c r="D104" s="80">
        <v>0.64340005042891835</v>
      </c>
      <c r="E104" s="80">
        <v>0.20088164790413976</v>
      </c>
      <c r="F104" s="79">
        <f t="shared" si="2"/>
        <v>0.74416226958236831</v>
      </c>
      <c r="G104" s="80">
        <v>7.7188555416693991E-2</v>
      </c>
      <c r="H104" s="79">
        <f t="shared" si="3"/>
        <v>0.80640771627880448</v>
      </c>
      <c r="I104" s="81">
        <v>0.26082216236708478</v>
      </c>
      <c r="J104" s="82">
        <v>0.34278045185115241</v>
      </c>
      <c r="K104" s="83">
        <v>0.19924809554825185</v>
      </c>
    </row>
    <row r="105" spans="1:11" s="65" customFormat="1" ht="15.75" x14ac:dyDescent="0.25">
      <c r="A105" s="92" t="s">
        <v>432</v>
      </c>
      <c r="B105" s="93">
        <v>22402</v>
      </c>
      <c r="C105" s="94">
        <v>1.059763459268529</v>
      </c>
      <c r="D105" s="95">
        <v>0.64127287069308603</v>
      </c>
      <c r="E105" s="95">
        <v>0.146349454695922</v>
      </c>
      <c r="F105" s="79">
        <f t="shared" si="2"/>
        <v>0.71920735168216188</v>
      </c>
      <c r="G105" s="95">
        <v>0.12234686559340165</v>
      </c>
      <c r="H105" s="79">
        <f t="shared" si="3"/>
        <v>0.81946651072856325</v>
      </c>
      <c r="I105" s="96">
        <v>0.31870445401351616</v>
      </c>
      <c r="J105" s="97">
        <v>0.34278045185115241</v>
      </c>
      <c r="K105" s="98">
        <v>0.25487508181128254</v>
      </c>
    </row>
    <row r="106" spans="1:11" s="65" customFormat="1" ht="15.75" x14ac:dyDescent="0.25">
      <c r="A106" s="92" t="s">
        <v>433</v>
      </c>
      <c r="B106" s="93">
        <v>20162</v>
      </c>
      <c r="C106" s="94">
        <v>1.0976524548922741</v>
      </c>
      <c r="D106" s="95">
        <v>0.44351348497412346</v>
      </c>
      <c r="E106" s="95">
        <v>0.14546564257678832</v>
      </c>
      <c r="F106" s="79">
        <f t="shared" si="2"/>
        <v>0.82686284601024007</v>
      </c>
      <c r="G106" s="95">
        <v>9.0195005659391703E-2</v>
      </c>
      <c r="H106" s="79">
        <f t="shared" si="3"/>
        <v>0.90883524618318723</v>
      </c>
      <c r="I106" s="99">
        <v>0.3231441062187016</v>
      </c>
      <c r="J106" s="100">
        <v>0.3469380884361985</v>
      </c>
      <c r="K106" s="101">
        <v>0.25328198596849322</v>
      </c>
    </row>
    <row r="107" spans="1:11" ht="15.75" x14ac:dyDescent="0.25">
      <c r="A107" s="102"/>
      <c r="B107" s="62"/>
      <c r="C107" s="62"/>
      <c r="D107" s="62"/>
      <c r="E107" s="62"/>
      <c r="F107" s="62"/>
      <c r="G107" s="62"/>
      <c r="H107" s="62"/>
      <c r="I107" s="62"/>
      <c r="J107" s="62"/>
      <c r="K107" s="62"/>
    </row>
  </sheetData>
  <mergeCells count="9">
    <mergeCell ref="B1:G1"/>
    <mergeCell ref="H1:H7"/>
    <mergeCell ref="B2:G2"/>
    <mergeCell ref="B3:E3"/>
    <mergeCell ref="F3:G3"/>
    <mergeCell ref="B4:G4"/>
    <mergeCell ref="B5:G5"/>
    <mergeCell ref="B6:G6"/>
    <mergeCell ref="B7:G7"/>
  </mergeCells>
  <hyperlinks>
    <hyperlink ref="B2" r:id="rId1" xr:uid="{00000000-0004-0000-1600-000000000000}"/>
    <hyperlink ref="B4" r:id="rId2" xr:uid="{00000000-0004-0000-1600-000001000000}"/>
    <hyperlink ref="B5" r:id="rId3" xr:uid="{00000000-0004-0000-1600-000002000000}"/>
    <hyperlink ref="B6" r:id="rId4" xr:uid="{00000000-0004-0000-1600-000003000000}"/>
    <hyperlink ref="B7" r:id="rId5" xr:uid="{00000000-0004-0000-1600-000004000000}"/>
    <hyperlink ref="H1:H7" r:id="rId6" display="YouTube Video explaining estimation choices and process." xr:uid="{00000000-0004-0000-1600-000005000000}"/>
  </hyperlinks>
  <pageMargins left="0.75" right="0.75" top="1" bottom="1" header="0.5" footer="0.5"/>
  <pageSetup scale="60" orientation="landscape" horizontalDpi="4294967292" verticalDpi="4294967292"/>
  <headerFooter alignWithMargins="0"/>
  <tableParts count="1">
    <tablePart r:id="rId7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0.59999389629810485"/>
  </sheetPr>
  <dimension ref="A1:AD134"/>
  <sheetViews>
    <sheetView showGridLines="0" workbookViewId="0">
      <selection activeCell="K18" sqref="K18"/>
    </sheetView>
  </sheetViews>
  <sheetFormatPr baseColWidth="10" defaultColWidth="8.85546875" defaultRowHeight="15" x14ac:dyDescent="0.25"/>
  <cols>
    <col min="1" max="1" width="3.7109375" customWidth="1"/>
    <col min="2" max="2" width="10.140625" bestFit="1" customWidth="1"/>
    <col min="3" max="3" width="8.7109375" bestFit="1" customWidth="1"/>
    <col min="4" max="4" width="3.7109375" customWidth="1"/>
    <col min="5" max="5" width="10.140625" bestFit="1" customWidth="1"/>
    <col min="6" max="6" width="8.28515625" bestFit="1" customWidth="1"/>
    <col min="8" max="8" width="3.7109375" customWidth="1"/>
    <col min="9" max="9" width="10.140625" bestFit="1" customWidth="1"/>
    <col min="11" max="11" width="3.7109375" customWidth="1"/>
    <col min="12" max="12" width="10.140625" bestFit="1" customWidth="1"/>
    <col min="14" max="14" width="3.7109375" customWidth="1"/>
    <col min="15" max="15" width="10.140625" bestFit="1" customWidth="1"/>
    <col min="16" max="17" width="11.140625" bestFit="1" customWidth="1"/>
    <col min="19" max="19" width="12" bestFit="1" customWidth="1"/>
    <col min="20" max="20" width="10.140625" bestFit="1" customWidth="1"/>
    <col min="21" max="21" width="10.42578125" bestFit="1" customWidth="1"/>
    <col min="22" max="22" width="7.140625" bestFit="1" customWidth="1"/>
    <col min="24" max="24" width="12" bestFit="1" customWidth="1"/>
    <col min="25" max="25" width="3.7109375" customWidth="1"/>
    <col min="26" max="26" width="10.140625" bestFit="1" customWidth="1"/>
    <col min="27" max="27" width="9.42578125" bestFit="1" customWidth="1"/>
    <col min="28" max="28" width="7.5703125" bestFit="1" customWidth="1"/>
    <col min="30" max="30" width="12" bestFit="1" customWidth="1"/>
  </cols>
  <sheetData>
    <row r="1" spans="1:28" ht="18.75" x14ac:dyDescent="0.3">
      <c r="A1" s="186"/>
    </row>
    <row r="2" spans="1:28" ht="18.75" x14ac:dyDescent="0.3">
      <c r="A2" s="186"/>
    </row>
    <row r="3" spans="1:28" ht="18.75" x14ac:dyDescent="0.3">
      <c r="A3" s="186" t="s">
        <v>484</v>
      </c>
    </row>
    <row r="6" spans="1:28" ht="30" customHeight="1" x14ac:dyDescent="0.25">
      <c r="B6" s="439" t="s">
        <v>485</v>
      </c>
      <c r="C6" s="439"/>
      <c r="D6" s="6"/>
      <c r="E6" s="439" t="s">
        <v>486</v>
      </c>
      <c r="F6" s="439"/>
      <c r="H6" s="6"/>
      <c r="I6" s="439" t="s">
        <v>487</v>
      </c>
      <c r="J6" s="439"/>
      <c r="K6" s="6"/>
      <c r="L6" s="439" t="s">
        <v>488</v>
      </c>
      <c r="M6" s="439"/>
      <c r="O6" s="439" t="s">
        <v>489</v>
      </c>
      <c r="P6" s="439"/>
      <c r="T6" s="439"/>
      <c r="U6" s="439"/>
      <c r="Z6" s="439"/>
      <c r="AA6" s="439"/>
    </row>
    <row r="7" spans="1:28" ht="14.1" customHeight="1" x14ac:dyDescent="0.25">
      <c r="B7" s="386" t="s">
        <v>490</v>
      </c>
      <c r="C7" s="386"/>
      <c r="D7" s="6"/>
      <c r="E7" s="386" t="s">
        <v>490</v>
      </c>
      <c r="F7" s="386"/>
      <c r="H7" s="6"/>
      <c r="I7" s="386" t="s">
        <v>491</v>
      </c>
      <c r="J7" s="386"/>
      <c r="K7" s="6"/>
      <c r="L7" s="386" t="s">
        <v>491</v>
      </c>
      <c r="M7" s="386"/>
      <c r="O7" s="386" t="s">
        <v>492</v>
      </c>
      <c r="P7" s="386"/>
      <c r="T7" s="386"/>
      <c r="U7" s="386"/>
      <c r="Z7" s="386"/>
      <c r="AA7" s="386"/>
    </row>
    <row r="8" spans="1:28" ht="15.75" thickBot="1" x14ac:dyDescent="0.3">
      <c r="B8" s="440" t="s">
        <v>493</v>
      </c>
      <c r="C8" s="440"/>
      <c r="D8" s="6"/>
      <c r="E8" s="440" t="s">
        <v>493</v>
      </c>
      <c r="F8" s="440"/>
      <c r="H8" s="6"/>
      <c r="I8" s="440" t="s">
        <v>493</v>
      </c>
      <c r="J8" s="440"/>
      <c r="K8" s="6"/>
      <c r="L8" s="440" t="s">
        <v>493</v>
      </c>
      <c r="M8" s="440"/>
      <c r="O8" s="440" t="s">
        <v>494</v>
      </c>
      <c r="P8" s="440"/>
      <c r="T8" s="440"/>
      <c r="U8" s="440"/>
      <c r="Z8" s="440"/>
      <c r="AA8" s="440"/>
    </row>
    <row r="9" spans="1:28" x14ac:dyDescent="0.25">
      <c r="G9">
        <v>-1000</v>
      </c>
    </row>
    <row r="10" spans="1:28" x14ac:dyDescent="0.25">
      <c r="B10" s="187">
        <v>40663</v>
      </c>
      <c r="C10" s="103">
        <v>8.4199999999999997E-2</v>
      </c>
      <c r="E10" s="187">
        <v>40663</v>
      </c>
      <c r="F10" s="103">
        <v>3.4720000000000001E-2</v>
      </c>
      <c r="G10">
        <f>+ABS($G$9)*F10</f>
        <v>34.72</v>
      </c>
      <c r="I10" s="187">
        <v>40663</v>
      </c>
      <c r="J10" s="188">
        <v>2.8399999999999998E-2</v>
      </c>
      <c r="L10" s="187">
        <v>40663</v>
      </c>
      <c r="M10" s="188">
        <v>3.2000000000000001E-2</v>
      </c>
      <c r="O10" s="187">
        <v>40663</v>
      </c>
      <c r="P10" s="189">
        <v>1363.61</v>
      </c>
      <c r="R10">
        <v>-1000</v>
      </c>
      <c r="T10" s="187"/>
      <c r="U10" s="189"/>
      <c r="Z10" s="187"/>
      <c r="AA10" s="189"/>
    </row>
    <row r="11" spans="1:28" x14ac:dyDescent="0.25">
      <c r="B11" s="187">
        <v>40693</v>
      </c>
      <c r="C11" s="103">
        <v>8.1799999999999998E-2</v>
      </c>
      <c r="E11" s="187">
        <v>40693</v>
      </c>
      <c r="F11" s="103">
        <v>3.1939999999999996E-2</v>
      </c>
      <c r="G11">
        <f>+ABS($G$9)*F11</f>
        <v>31.939999999999998</v>
      </c>
      <c r="I11" s="187">
        <v>40693</v>
      </c>
      <c r="J11" s="188">
        <v>3.0200000000000001E-2</v>
      </c>
      <c r="L11" s="187">
        <v>40693</v>
      </c>
      <c r="M11" s="188">
        <v>3.6000000000000004E-2</v>
      </c>
      <c r="O11" s="187">
        <v>40693</v>
      </c>
      <c r="P11" s="189">
        <v>1331.1</v>
      </c>
      <c r="Q11" s="190">
        <f>+(P11-P10)/P10</f>
        <v>-2.3841127595133502E-2</v>
      </c>
      <c r="R11">
        <f>+ABS($R$10)*Q11</f>
        <v>-23.8411275951335</v>
      </c>
      <c r="T11" s="187"/>
      <c r="U11" s="189"/>
      <c r="V11" s="190"/>
      <c r="Z11" s="187"/>
      <c r="AA11" s="189"/>
      <c r="AB11" s="190"/>
    </row>
    <row r="12" spans="1:28" x14ac:dyDescent="0.25">
      <c r="B12" s="187">
        <v>40724</v>
      </c>
      <c r="C12" s="103">
        <v>7.7499999999999999E-2</v>
      </c>
      <c r="E12" s="187">
        <v>40724</v>
      </c>
      <c r="F12" s="103">
        <v>3.0510000000000002E-2</v>
      </c>
      <c r="G12">
        <f t="shared" ref="G12:G75" si="0">+ABS($G$9)*F12</f>
        <v>30.51</v>
      </c>
      <c r="I12" s="187">
        <v>40724</v>
      </c>
      <c r="J12" s="188">
        <v>3.2300000000000002E-2</v>
      </c>
      <c r="L12" s="187">
        <v>40724</v>
      </c>
      <c r="M12" s="188">
        <v>3.6000000000000004E-2</v>
      </c>
      <c r="O12" s="187">
        <v>40724</v>
      </c>
      <c r="P12" s="189">
        <v>1320.64</v>
      </c>
      <c r="Q12" s="190">
        <f t="shared" ref="Q12:Q75" si="1">+(P12-P11)/P11</f>
        <v>-7.8581624220568028E-3</v>
      </c>
      <c r="R12">
        <f t="shared" ref="R12:R75" si="2">+ABS($R$10)*Q12</f>
        <v>-7.8581624220568029</v>
      </c>
      <c r="T12" s="187"/>
      <c r="U12" s="189"/>
      <c r="V12" s="190"/>
      <c r="Z12" s="187"/>
      <c r="AA12" s="189"/>
      <c r="AB12" s="190"/>
    </row>
    <row r="13" spans="1:28" x14ac:dyDescent="0.25">
      <c r="B13" s="187">
        <v>40754</v>
      </c>
      <c r="C13" s="103">
        <v>7.6499999999999999E-2</v>
      </c>
      <c r="E13" s="187">
        <v>40754</v>
      </c>
      <c r="F13" s="103">
        <v>3.007E-2</v>
      </c>
      <c r="G13">
        <f t="shared" si="0"/>
        <v>30.07</v>
      </c>
      <c r="I13" s="187">
        <v>40754</v>
      </c>
      <c r="J13" s="188">
        <v>3.4200000000000001E-2</v>
      </c>
      <c r="L13" s="187">
        <v>40754</v>
      </c>
      <c r="M13" s="188">
        <v>3.6000000000000004E-2</v>
      </c>
      <c r="O13" s="187">
        <v>40754</v>
      </c>
      <c r="P13" s="189">
        <v>1292.28</v>
      </c>
      <c r="Q13" s="190">
        <f t="shared" si="1"/>
        <v>-2.1474436636782262E-2</v>
      </c>
      <c r="R13">
        <f t="shared" si="2"/>
        <v>-21.474436636782261</v>
      </c>
      <c r="T13" s="187"/>
      <c r="U13" s="189"/>
      <c r="V13" s="190"/>
      <c r="Z13" s="187"/>
      <c r="AA13" s="189"/>
      <c r="AB13" s="190"/>
    </row>
    <row r="14" spans="1:28" x14ac:dyDescent="0.25">
      <c r="B14" s="187">
        <v>40785</v>
      </c>
      <c r="C14" s="103">
        <v>7.3599999999999999E-2</v>
      </c>
      <c r="E14" s="187">
        <v>40785</v>
      </c>
      <c r="F14" s="103">
        <v>2.5399999999999999E-2</v>
      </c>
      <c r="G14">
        <f t="shared" si="0"/>
        <v>25.4</v>
      </c>
      <c r="I14" s="187">
        <v>40785</v>
      </c>
      <c r="J14" s="188">
        <v>3.27E-2</v>
      </c>
      <c r="L14" s="187">
        <v>40785</v>
      </c>
      <c r="M14" s="188">
        <v>3.7999999999999999E-2</v>
      </c>
      <c r="O14" s="187">
        <v>40785</v>
      </c>
      <c r="P14" s="189">
        <v>1212.92</v>
      </c>
      <c r="Q14" s="190">
        <f t="shared" si="1"/>
        <v>-6.1410839756089936E-2</v>
      </c>
      <c r="R14">
        <f t="shared" si="2"/>
        <v>-61.410839756089935</v>
      </c>
      <c r="T14" s="187"/>
      <c r="U14" s="189"/>
      <c r="V14" s="190"/>
      <c r="Z14" s="187"/>
      <c r="AA14" s="189"/>
      <c r="AB14" s="190"/>
    </row>
    <row r="15" spans="1:28" x14ac:dyDescent="0.25">
      <c r="B15" s="187">
        <v>40816</v>
      </c>
      <c r="C15" s="103">
        <v>7.5899999999999995E-2</v>
      </c>
      <c r="E15" s="187">
        <v>40816</v>
      </c>
      <c r="F15" s="103">
        <v>2.4160000000000001E-2</v>
      </c>
      <c r="G15">
        <f t="shared" si="0"/>
        <v>24.16</v>
      </c>
      <c r="I15" s="187">
        <v>40816</v>
      </c>
      <c r="J15" s="188">
        <v>3.73E-2</v>
      </c>
      <c r="L15" s="187">
        <v>40816</v>
      </c>
      <c r="M15" s="188">
        <v>3.9E-2</v>
      </c>
      <c r="O15" s="187">
        <v>40816</v>
      </c>
      <c r="P15" s="189">
        <v>1131.42</v>
      </c>
      <c r="Q15" s="190">
        <f t="shared" si="1"/>
        <v>-6.719321966823863E-2</v>
      </c>
      <c r="R15">
        <f t="shared" si="2"/>
        <v>-67.193219668238626</v>
      </c>
      <c r="T15" s="187"/>
      <c r="U15" s="189"/>
      <c r="V15" s="190"/>
      <c r="Z15" s="187"/>
      <c r="AA15" s="189"/>
      <c r="AB15" s="190"/>
    </row>
    <row r="16" spans="1:28" x14ac:dyDescent="0.25">
      <c r="B16" s="187">
        <v>40846</v>
      </c>
      <c r="C16" s="103">
        <v>7.4900000000000008E-2</v>
      </c>
      <c r="E16" s="187">
        <v>40846</v>
      </c>
      <c r="F16" s="103">
        <v>2.7650000000000001E-2</v>
      </c>
      <c r="G16">
        <f t="shared" si="0"/>
        <v>27.650000000000002</v>
      </c>
      <c r="I16" s="187">
        <v>40846</v>
      </c>
      <c r="J16" s="188">
        <v>4.0199999999999993E-2</v>
      </c>
      <c r="L16" s="187">
        <v>40846</v>
      </c>
      <c r="M16" s="188">
        <v>3.5000000000000003E-2</v>
      </c>
      <c r="O16" s="187">
        <v>40846</v>
      </c>
      <c r="P16" s="189">
        <v>1285.08</v>
      </c>
      <c r="Q16" s="190">
        <f t="shared" si="1"/>
        <v>0.13581163493662818</v>
      </c>
      <c r="R16">
        <f t="shared" si="2"/>
        <v>135.81163493662817</v>
      </c>
      <c r="T16" s="187"/>
      <c r="U16" s="189"/>
      <c r="V16" s="190"/>
      <c r="Z16" s="187"/>
      <c r="AA16" s="189"/>
      <c r="AB16" s="190"/>
    </row>
    <row r="17" spans="2:28" x14ac:dyDescent="0.25">
      <c r="B17" s="187">
        <v>40877</v>
      </c>
      <c r="C17" s="103">
        <v>7.6299999999999993E-2</v>
      </c>
      <c r="E17" s="187">
        <v>40877</v>
      </c>
      <c r="F17" s="103">
        <v>2.6419999999999999E-2</v>
      </c>
      <c r="G17">
        <f t="shared" si="0"/>
        <v>26.419999999999998</v>
      </c>
      <c r="I17" s="187">
        <v>40877</v>
      </c>
      <c r="J17" s="188">
        <v>3.9599999999999996E-2</v>
      </c>
      <c r="L17" s="187">
        <v>40877</v>
      </c>
      <c r="M17" s="188">
        <v>3.4000000000000002E-2</v>
      </c>
      <c r="O17" s="187">
        <v>40877</v>
      </c>
      <c r="P17" s="189">
        <v>1246.96</v>
      </c>
      <c r="Q17" s="190">
        <f t="shared" si="1"/>
        <v>-2.9663522893516273E-2</v>
      </c>
      <c r="R17">
        <f t="shared" si="2"/>
        <v>-29.663522893516273</v>
      </c>
      <c r="T17" s="187"/>
      <c r="U17" s="189"/>
      <c r="V17" s="190"/>
      <c r="Z17" s="187"/>
      <c r="AA17" s="189"/>
      <c r="AB17" s="190"/>
    </row>
    <row r="18" spans="2:28" x14ac:dyDescent="0.25">
      <c r="B18" s="187">
        <v>40907</v>
      </c>
      <c r="C18" s="103">
        <v>7.5999999999999998E-2</v>
      </c>
      <c r="E18" s="187">
        <v>40907</v>
      </c>
      <c r="F18" s="103">
        <v>2.4680000000000001E-2</v>
      </c>
      <c r="G18">
        <f t="shared" si="0"/>
        <v>24.68</v>
      </c>
      <c r="I18" s="187">
        <v>40907</v>
      </c>
      <c r="J18" s="188">
        <v>3.73E-2</v>
      </c>
      <c r="L18" s="187">
        <v>40907</v>
      </c>
      <c r="M18" s="188">
        <v>0.03</v>
      </c>
      <c r="O18" s="187">
        <v>40907</v>
      </c>
      <c r="P18" s="189">
        <v>1257.5999999999999</v>
      </c>
      <c r="Q18" s="190">
        <f t="shared" si="1"/>
        <v>8.5327516520176047E-3</v>
      </c>
      <c r="R18">
        <f t="shared" si="2"/>
        <v>8.5327516520176054</v>
      </c>
      <c r="T18" s="187"/>
      <c r="U18" s="189"/>
      <c r="V18" s="190"/>
      <c r="Z18" s="187"/>
      <c r="AA18" s="189"/>
      <c r="AB18" s="190"/>
    </row>
    <row r="19" spans="2:28" x14ac:dyDescent="0.25">
      <c r="B19" s="187">
        <v>40938</v>
      </c>
      <c r="C19" s="103">
        <v>7.3499999999999996E-2</v>
      </c>
      <c r="E19" s="187">
        <v>40938</v>
      </c>
      <c r="F19" s="103">
        <v>2.4109999999999999E-2</v>
      </c>
      <c r="G19">
        <f t="shared" si="0"/>
        <v>24.11</v>
      </c>
      <c r="I19" s="187">
        <v>40938</v>
      </c>
      <c r="J19" s="188">
        <v>3.5400000000000001E-2</v>
      </c>
      <c r="L19" s="187">
        <v>40938</v>
      </c>
      <c r="M19" s="188">
        <v>2.8999999999999998E-2</v>
      </c>
      <c r="O19" s="187">
        <v>40938</v>
      </c>
      <c r="P19" s="189">
        <v>1313.01</v>
      </c>
      <c r="Q19" s="190">
        <f t="shared" si="1"/>
        <v>4.4060114503816861E-2</v>
      </c>
      <c r="R19">
        <f t="shared" si="2"/>
        <v>44.060114503816862</v>
      </c>
      <c r="T19" s="187"/>
      <c r="U19" s="189"/>
      <c r="V19" s="190"/>
      <c r="Z19" s="187"/>
      <c r="AA19" s="189"/>
      <c r="AB19" s="190"/>
    </row>
    <row r="20" spans="2:28" x14ac:dyDescent="0.25">
      <c r="B20" s="187">
        <v>40967</v>
      </c>
      <c r="C20" s="103">
        <v>7.3300000000000004E-2</v>
      </c>
      <c r="E20" s="187">
        <v>40967</v>
      </c>
      <c r="F20" s="103">
        <v>2.4169999999999997E-2</v>
      </c>
      <c r="G20">
        <f t="shared" si="0"/>
        <v>24.169999999999998</v>
      </c>
      <c r="I20" s="187">
        <v>40967</v>
      </c>
      <c r="J20" s="188">
        <v>3.5499999999999997E-2</v>
      </c>
      <c r="L20" s="187">
        <v>40967</v>
      </c>
      <c r="M20" s="188">
        <v>2.8999999999999998E-2</v>
      </c>
      <c r="O20" s="187">
        <v>40967</v>
      </c>
      <c r="P20" s="189">
        <v>1372.18</v>
      </c>
      <c r="Q20" s="190">
        <f t="shared" si="1"/>
        <v>4.5064394025940452E-2</v>
      </c>
      <c r="R20">
        <f t="shared" si="2"/>
        <v>45.064394025940452</v>
      </c>
      <c r="T20" s="187"/>
      <c r="U20" s="189"/>
      <c r="V20" s="190"/>
      <c r="Z20" s="187"/>
      <c r="AA20" s="189"/>
      <c r="AB20" s="190"/>
    </row>
    <row r="21" spans="2:28" x14ac:dyDescent="0.25">
      <c r="B21" s="187">
        <v>40998</v>
      </c>
      <c r="C21" s="103">
        <v>7.2499999999999995E-2</v>
      </c>
      <c r="E21" s="187">
        <v>40998</v>
      </c>
      <c r="F21" s="103">
        <v>2.6280000000000001E-2</v>
      </c>
      <c r="G21">
        <f t="shared" si="0"/>
        <v>26.28</v>
      </c>
      <c r="I21" s="187">
        <v>40998</v>
      </c>
      <c r="J21" s="188">
        <v>3.4000000000000002E-2</v>
      </c>
      <c r="L21" s="187">
        <v>40998</v>
      </c>
      <c r="M21" s="188">
        <v>2.7000000000000003E-2</v>
      </c>
      <c r="O21" s="187">
        <v>40998</v>
      </c>
      <c r="P21" s="189">
        <v>1408.47</v>
      </c>
      <c r="Q21" s="190">
        <f t="shared" si="1"/>
        <v>2.6446967599003019E-2</v>
      </c>
      <c r="R21">
        <f t="shared" si="2"/>
        <v>26.44696759900302</v>
      </c>
      <c r="T21" s="187"/>
      <c r="U21" s="189"/>
      <c r="V21" s="190"/>
      <c r="Z21" s="187"/>
      <c r="AA21" s="189"/>
      <c r="AB21" s="190"/>
    </row>
    <row r="22" spans="2:28" x14ac:dyDescent="0.25">
      <c r="B22" s="187">
        <v>41029</v>
      </c>
      <c r="C22" s="103">
        <v>7.0999999999999994E-2</v>
      </c>
      <c r="E22" s="187">
        <v>41029</v>
      </c>
      <c r="F22" s="103">
        <v>2.358E-2</v>
      </c>
      <c r="G22">
        <f t="shared" si="0"/>
        <v>23.580000000000002</v>
      </c>
      <c r="I22" s="187">
        <v>41029</v>
      </c>
      <c r="J22" s="188">
        <v>3.4300000000000004E-2</v>
      </c>
      <c r="L22" s="187">
        <v>41029</v>
      </c>
      <c r="M22" s="188">
        <v>2.3E-2</v>
      </c>
      <c r="O22" s="187">
        <v>41029</v>
      </c>
      <c r="P22" s="189">
        <v>1397.91</v>
      </c>
      <c r="Q22" s="190">
        <f t="shared" si="1"/>
        <v>-7.4974972842871664E-3</v>
      </c>
      <c r="R22">
        <f t="shared" si="2"/>
        <v>-7.4974972842871663</v>
      </c>
      <c r="T22" s="187"/>
      <c r="U22" s="189"/>
      <c r="V22" s="190"/>
      <c r="Z22" s="187"/>
      <c r="AA22" s="189"/>
      <c r="AB22" s="190"/>
    </row>
    <row r="23" spans="2:28" x14ac:dyDescent="0.25">
      <c r="B23" s="187">
        <v>41059</v>
      </c>
      <c r="C23" s="103">
        <v>7.1500000000000008E-2</v>
      </c>
      <c r="E23" s="187">
        <v>41059</v>
      </c>
      <c r="F23" s="103">
        <v>2.1320000000000002E-2</v>
      </c>
      <c r="G23">
        <f t="shared" si="0"/>
        <v>21.320000000000004</v>
      </c>
      <c r="I23" s="187">
        <v>41059</v>
      </c>
      <c r="J23" s="188">
        <v>3.44E-2</v>
      </c>
      <c r="L23" s="187">
        <v>41059</v>
      </c>
      <c r="M23" s="188">
        <v>1.7000000000000001E-2</v>
      </c>
      <c r="O23" s="187">
        <v>41059</v>
      </c>
      <c r="P23" s="189">
        <v>1313.32</v>
      </c>
      <c r="Q23" s="190">
        <f t="shared" si="1"/>
        <v>-6.0511763990528822E-2</v>
      </c>
      <c r="R23">
        <f t="shared" si="2"/>
        <v>-60.51176399052882</v>
      </c>
      <c r="T23" s="187"/>
      <c r="U23" s="189"/>
      <c r="V23" s="190"/>
      <c r="Z23" s="187"/>
      <c r="AA23" s="189"/>
      <c r="AB23" s="190"/>
    </row>
    <row r="24" spans="2:28" x14ac:dyDescent="0.25">
      <c r="B24" s="187">
        <v>41090</v>
      </c>
      <c r="C24" s="103">
        <v>7.0099999999999996E-2</v>
      </c>
      <c r="E24" s="187">
        <v>41090</v>
      </c>
      <c r="F24" s="103">
        <v>2.2540000000000001E-2</v>
      </c>
      <c r="G24">
        <f t="shared" si="0"/>
        <v>22.540000000000003</v>
      </c>
      <c r="I24" s="187">
        <v>41090</v>
      </c>
      <c r="J24" s="188">
        <v>3.2000000000000001E-2</v>
      </c>
      <c r="L24" s="187">
        <v>41090</v>
      </c>
      <c r="M24" s="188">
        <v>1.7000000000000001E-2</v>
      </c>
      <c r="O24" s="187">
        <v>41090</v>
      </c>
      <c r="P24" s="189">
        <v>1362.16</v>
      </c>
      <c r="Q24" s="190">
        <f t="shared" si="1"/>
        <v>3.7188194804008277E-2</v>
      </c>
      <c r="R24">
        <f t="shared" si="2"/>
        <v>37.188194804008276</v>
      </c>
      <c r="T24" s="187"/>
      <c r="U24" s="189"/>
      <c r="V24" s="190"/>
      <c r="Z24" s="187"/>
      <c r="AA24" s="189"/>
      <c r="AB24" s="190"/>
    </row>
    <row r="25" spans="2:28" x14ac:dyDescent="0.25">
      <c r="B25" s="187">
        <v>41120</v>
      </c>
      <c r="C25" s="103">
        <v>6.6799999999999998E-2</v>
      </c>
      <c r="E25" s="187">
        <v>41120</v>
      </c>
      <c r="F25" s="103">
        <v>2.1409999999999998E-2</v>
      </c>
      <c r="G25">
        <f t="shared" si="0"/>
        <v>21.41</v>
      </c>
      <c r="I25" s="187">
        <v>41120</v>
      </c>
      <c r="J25" s="188">
        <v>3.0299999999999997E-2</v>
      </c>
      <c r="L25" s="187">
        <v>41120</v>
      </c>
      <c r="M25" s="188">
        <v>1.3999999999999999E-2</v>
      </c>
      <c r="O25" s="187">
        <v>41120</v>
      </c>
      <c r="P25" s="189">
        <v>1385.3</v>
      </c>
      <c r="Q25" s="190">
        <f t="shared" si="1"/>
        <v>1.6987725377341775E-2</v>
      </c>
      <c r="R25">
        <f t="shared" si="2"/>
        <v>16.987725377341775</v>
      </c>
      <c r="T25" s="187"/>
      <c r="U25" s="189"/>
      <c r="V25" s="190"/>
      <c r="Z25" s="187"/>
      <c r="AA25" s="189"/>
      <c r="AB25" s="190"/>
    </row>
    <row r="26" spans="2:28" x14ac:dyDescent="0.25">
      <c r="B26" s="187">
        <v>41151</v>
      </c>
      <c r="C26" s="103">
        <v>6.6500000000000004E-2</v>
      </c>
      <c r="E26" s="187">
        <v>41151</v>
      </c>
      <c r="F26" s="103">
        <v>2.2759999999999999E-2</v>
      </c>
      <c r="G26">
        <f t="shared" si="0"/>
        <v>22.759999999999998</v>
      </c>
      <c r="I26" s="187">
        <v>41151</v>
      </c>
      <c r="J26" s="188">
        <v>3.1099999999999999E-2</v>
      </c>
      <c r="L26" s="187">
        <v>41151</v>
      </c>
      <c r="M26" s="188">
        <v>1.7000000000000001E-2</v>
      </c>
      <c r="O26" s="187">
        <v>41151</v>
      </c>
      <c r="P26" s="189">
        <v>1399.48</v>
      </c>
      <c r="Q26" s="190">
        <f t="shared" si="1"/>
        <v>1.0236049953078802E-2</v>
      </c>
      <c r="R26">
        <f t="shared" si="2"/>
        <v>10.236049953078803</v>
      </c>
      <c r="T26" s="187"/>
      <c r="U26" s="189"/>
      <c r="V26" s="190"/>
      <c r="Z26" s="187"/>
      <c r="AA26" s="189"/>
      <c r="AB26" s="190"/>
    </row>
    <row r="27" spans="2:28" x14ac:dyDescent="0.25">
      <c r="B27" s="187">
        <v>41182</v>
      </c>
      <c r="C27" s="103">
        <v>6.3399999999999998E-2</v>
      </c>
      <c r="E27" s="187">
        <v>41182</v>
      </c>
      <c r="F27" s="103">
        <v>2.2429999999999999E-2</v>
      </c>
      <c r="G27">
        <f t="shared" si="0"/>
        <v>22.43</v>
      </c>
      <c r="I27" s="187">
        <v>41182</v>
      </c>
      <c r="J27" s="188">
        <v>3.0800000000000001E-2</v>
      </c>
      <c r="L27" s="187">
        <v>41182</v>
      </c>
      <c r="M27" s="188">
        <v>0.02</v>
      </c>
      <c r="O27" s="187">
        <v>41182</v>
      </c>
      <c r="P27" s="189">
        <v>1440.67</v>
      </c>
      <c r="Q27" s="190">
        <f t="shared" si="1"/>
        <v>2.9432360591076723E-2</v>
      </c>
      <c r="R27">
        <f t="shared" si="2"/>
        <v>29.432360591076723</v>
      </c>
      <c r="T27" s="187"/>
      <c r="U27" s="189"/>
      <c r="V27" s="190"/>
      <c r="Z27" s="187"/>
      <c r="AA27" s="189"/>
      <c r="AB27" s="190"/>
    </row>
    <row r="28" spans="2:28" x14ac:dyDescent="0.25">
      <c r="B28" s="187">
        <v>41212</v>
      </c>
      <c r="C28" s="103">
        <v>6.1600000000000002E-2</v>
      </c>
      <c r="E28" s="187">
        <v>41212</v>
      </c>
      <c r="F28" s="103">
        <v>2.3199999999999998E-2</v>
      </c>
      <c r="G28">
        <f t="shared" si="0"/>
        <v>23.2</v>
      </c>
      <c r="I28" s="187">
        <v>41212</v>
      </c>
      <c r="J28" s="188">
        <v>3.0600000000000002E-2</v>
      </c>
      <c r="L28" s="187">
        <v>41212</v>
      </c>
      <c r="M28" s="188">
        <v>2.2000000000000002E-2</v>
      </c>
      <c r="O28" s="187">
        <v>41212</v>
      </c>
      <c r="P28" s="189">
        <v>1411.94</v>
      </c>
      <c r="Q28" s="190">
        <f t="shared" si="1"/>
        <v>-1.9942110268139142E-2</v>
      </c>
      <c r="R28">
        <f t="shared" si="2"/>
        <v>-19.942110268139142</v>
      </c>
      <c r="T28" s="187"/>
      <c r="U28" s="189"/>
      <c r="V28" s="190"/>
      <c r="Z28" s="187"/>
      <c r="AA28" s="189"/>
      <c r="AB28" s="190"/>
    </row>
    <row r="29" spans="2:28" x14ac:dyDescent="0.25">
      <c r="B29" s="187">
        <v>41243</v>
      </c>
      <c r="C29" s="103">
        <v>5.9800000000000006E-2</v>
      </c>
      <c r="E29" s="187">
        <v>41243</v>
      </c>
      <c r="F29" s="103">
        <v>2.2290000000000001E-2</v>
      </c>
      <c r="G29">
        <f t="shared" si="0"/>
        <v>22.29</v>
      </c>
      <c r="I29" s="187">
        <v>41243</v>
      </c>
      <c r="J29" s="188">
        <v>2.7699999999999999E-2</v>
      </c>
      <c r="L29" s="187">
        <v>41243</v>
      </c>
      <c r="M29" s="188">
        <v>1.8000000000000002E-2</v>
      </c>
      <c r="O29" s="187">
        <v>41243</v>
      </c>
      <c r="P29" s="189">
        <v>1416.27</v>
      </c>
      <c r="Q29" s="190">
        <f t="shared" si="1"/>
        <v>3.0667025510998534E-3</v>
      </c>
      <c r="R29">
        <f t="shared" si="2"/>
        <v>3.0667025510998536</v>
      </c>
      <c r="T29" s="187"/>
      <c r="U29" s="189"/>
      <c r="V29" s="190"/>
      <c r="Z29" s="187"/>
      <c r="AA29" s="189"/>
      <c r="AB29" s="190"/>
    </row>
    <row r="30" spans="2:28" x14ac:dyDescent="0.25">
      <c r="B30" s="187">
        <v>41273</v>
      </c>
      <c r="C30" s="103">
        <v>5.6600000000000004E-2</v>
      </c>
      <c r="E30" s="187">
        <v>41273</v>
      </c>
      <c r="F30" s="103">
        <v>2.2940000000000002E-2</v>
      </c>
      <c r="G30">
        <f t="shared" si="0"/>
        <v>22.94</v>
      </c>
      <c r="I30" s="187">
        <v>41273</v>
      </c>
      <c r="J30" s="188">
        <v>2.4399999999999998E-2</v>
      </c>
      <c r="L30" s="187">
        <v>41273</v>
      </c>
      <c r="M30" s="188">
        <v>1.7000000000000001E-2</v>
      </c>
      <c r="O30" s="187">
        <v>41273</v>
      </c>
      <c r="P30" s="189">
        <v>1402.43</v>
      </c>
      <c r="Q30" s="190">
        <f t="shared" si="1"/>
        <v>-9.7721479661363429E-3</v>
      </c>
      <c r="R30">
        <f t="shared" si="2"/>
        <v>-9.7721479661363428</v>
      </c>
      <c r="T30" s="187"/>
      <c r="U30" s="189"/>
      <c r="V30" s="190"/>
      <c r="Z30" s="187"/>
      <c r="AA30" s="189"/>
      <c r="AB30" s="190"/>
    </row>
    <row r="31" spans="2:28" x14ac:dyDescent="0.25">
      <c r="B31" s="187">
        <v>41304</v>
      </c>
      <c r="C31" s="103">
        <v>5.28E-2</v>
      </c>
      <c r="E31" s="187">
        <v>41304</v>
      </c>
      <c r="F31" s="103">
        <v>2.4620000000000003E-2</v>
      </c>
      <c r="G31">
        <f t="shared" si="0"/>
        <v>24.620000000000005</v>
      </c>
      <c r="I31" s="187">
        <v>41304</v>
      </c>
      <c r="J31" s="188">
        <v>0.02</v>
      </c>
      <c r="L31" s="187">
        <v>41304</v>
      </c>
      <c r="M31" s="188">
        <v>1.6E-2</v>
      </c>
      <c r="O31" s="187">
        <v>41304</v>
      </c>
      <c r="P31" s="189">
        <v>1501.96</v>
      </c>
      <c r="Q31" s="190">
        <f t="shared" si="1"/>
        <v>7.0969674065728752E-2</v>
      </c>
      <c r="R31">
        <f t="shared" si="2"/>
        <v>70.969674065728753</v>
      </c>
      <c r="T31" s="187"/>
      <c r="U31" s="189"/>
      <c r="V31" s="190"/>
      <c r="Z31" s="187"/>
      <c r="AA31" s="189"/>
      <c r="AB31" s="190"/>
    </row>
    <row r="32" spans="2:28" x14ac:dyDescent="0.25">
      <c r="B32" s="187">
        <v>41333</v>
      </c>
      <c r="C32" s="103">
        <v>4.9699999999999994E-2</v>
      </c>
      <c r="E32" s="187">
        <v>41333</v>
      </c>
      <c r="F32" s="103">
        <v>2.4279999999999999E-2</v>
      </c>
      <c r="G32">
        <f t="shared" si="0"/>
        <v>24.28</v>
      </c>
      <c r="I32" s="187">
        <v>41333</v>
      </c>
      <c r="J32" s="188">
        <v>1.83E-2</v>
      </c>
      <c r="L32" s="187">
        <v>41333</v>
      </c>
      <c r="M32" s="188">
        <v>0.02</v>
      </c>
      <c r="O32" s="187">
        <v>41333</v>
      </c>
      <c r="P32" s="189">
        <v>1496.94</v>
      </c>
      <c r="Q32" s="190">
        <f t="shared" si="1"/>
        <v>-3.342299395456591E-3</v>
      </c>
      <c r="R32">
        <f t="shared" si="2"/>
        <v>-3.3422993954565912</v>
      </c>
      <c r="T32" s="187"/>
      <c r="U32" s="189"/>
      <c r="V32" s="190"/>
      <c r="Z32" s="187"/>
      <c r="AA32" s="189"/>
      <c r="AB32" s="190"/>
    </row>
    <row r="33" spans="2:28" x14ac:dyDescent="0.25">
      <c r="B33" s="187">
        <v>41363</v>
      </c>
      <c r="C33" s="103">
        <v>4.9000000000000002E-2</v>
      </c>
      <c r="E33" s="187">
        <v>41363</v>
      </c>
      <c r="F33" s="103">
        <v>2.3719999999999998E-2</v>
      </c>
      <c r="G33">
        <f t="shared" si="0"/>
        <v>23.72</v>
      </c>
      <c r="I33" s="187">
        <v>41363</v>
      </c>
      <c r="J33" s="188">
        <v>1.9099999999999999E-2</v>
      </c>
      <c r="L33" s="187">
        <v>41363</v>
      </c>
      <c r="M33" s="188">
        <v>1.55E-2</v>
      </c>
      <c r="O33" s="187">
        <v>41363</v>
      </c>
      <c r="P33" s="189">
        <v>1515.99</v>
      </c>
      <c r="Q33" s="190">
        <f t="shared" si="1"/>
        <v>1.2725960960359101E-2</v>
      </c>
      <c r="R33">
        <f t="shared" si="2"/>
        <v>12.725960960359101</v>
      </c>
      <c r="T33" s="187"/>
      <c r="U33" s="189"/>
      <c r="V33" s="190"/>
      <c r="Z33" s="187"/>
      <c r="AA33" s="189"/>
      <c r="AB33" s="190"/>
    </row>
    <row r="34" spans="2:28" x14ac:dyDescent="0.25">
      <c r="B34" s="187">
        <v>41394</v>
      </c>
      <c r="C34" s="103">
        <v>4.87E-2</v>
      </c>
      <c r="E34" s="187">
        <v>41394</v>
      </c>
      <c r="F34" s="191">
        <v>1.6719999999999999E-2</v>
      </c>
      <c r="G34">
        <f t="shared" si="0"/>
        <v>16.72</v>
      </c>
      <c r="I34" s="187">
        <v>41394</v>
      </c>
      <c r="J34" s="188">
        <v>2.0199999999999999E-2</v>
      </c>
      <c r="L34" s="187">
        <v>41394</v>
      </c>
      <c r="M34" s="188">
        <v>1.0630853814894481E-2</v>
      </c>
      <c r="O34" s="187">
        <v>41394</v>
      </c>
      <c r="P34" s="189">
        <v>1597.57</v>
      </c>
      <c r="Q34" s="190">
        <f t="shared" si="1"/>
        <v>5.3813019874801235E-2</v>
      </c>
      <c r="R34">
        <f t="shared" si="2"/>
        <v>53.813019874801235</v>
      </c>
      <c r="T34" s="187"/>
      <c r="U34" s="189"/>
      <c r="V34" s="190"/>
      <c r="Z34" s="187"/>
      <c r="AA34" s="189"/>
      <c r="AB34" s="190"/>
    </row>
    <row r="35" spans="2:28" x14ac:dyDescent="0.25">
      <c r="B35" s="187">
        <v>41424</v>
      </c>
      <c r="C35" s="103">
        <v>5.7699999999999994E-2</v>
      </c>
      <c r="E35" s="187">
        <v>41424</v>
      </c>
      <c r="F35" s="191">
        <v>2.1110000000000004E-2</v>
      </c>
      <c r="G35">
        <f t="shared" si="0"/>
        <v>21.110000000000003</v>
      </c>
      <c r="I35" s="187">
        <v>41424</v>
      </c>
      <c r="J35" s="188">
        <v>0.02</v>
      </c>
      <c r="L35" s="187">
        <v>41424</v>
      </c>
      <c r="M35" s="188">
        <v>1.3619650588516885E-2</v>
      </c>
      <c r="O35" s="187">
        <v>41424</v>
      </c>
      <c r="P35" s="189">
        <v>1654.41</v>
      </c>
      <c r="Q35" s="190">
        <f t="shared" si="1"/>
        <v>3.557903566040934E-2</v>
      </c>
      <c r="R35">
        <f t="shared" si="2"/>
        <v>35.579035660409339</v>
      </c>
      <c r="T35" s="187"/>
      <c r="U35" s="189"/>
      <c r="V35" s="190"/>
      <c r="Z35" s="187"/>
      <c r="AA35" s="189"/>
      <c r="AB35" s="190"/>
    </row>
    <row r="36" spans="2:28" x14ac:dyDescent="0.25">
      <c r="B36" s="187">
        <v>41455</v>
      </c>
      <c r="C36" s="103">
        <v>6.6500000000000004E-2</v>
      </c>
      <c r="E36" s="187">
        <v>41455</v>
      </c>
      <c r="F36" s="191">
        <v>2.4860000000000004E-2</v>
      </c>
      <c r="G36">
        <f t="shared" si="0"/>
        <v>24.860000000000003</v>
      </c>
      <c r="I36" s="187">
        <v>41455</v>
      </c>
      <c r="J36" s="188">
        <v>2.1600000000000001E-2</v>
      </c>
      <c r="L36" s="187">
        <v>41455</v>
      </c>
      <c r="M36" s="188">
        <v>1.7544165453768912E-2</v>
      </c>
      <c r="O36" s="187">
        <v>41455</v>
      </c>
      <c r="P36" s="189">
        <v>1606.28</v>
      </c>
      <c r="Q36" s="190">
        <f t="shared" si="1"/>
        <v>-2.9091942142516126E-2</v>
      </c>
      <c r="R36">
        <f t="shared" si="2"/>
        <v>-29.091942142516128</v>
      </c>
      <c r="T36" s="187"/>
      <c r="U36" s="189"/>
      <c r="V36" s="190"/>
      <c r="Z36" s="187"/>
      <c r="AA36" s="189"/>
      <c r="AB36" s="190"/>
    </row>
    <row r="37" spans="2:28" x14ac:dyDescent="0.25">
      <c r="B37" s="187">
        <v>41485</v>
      </c>
      <c r="C37" s="103">
        <v>6.7299999999999999E-2</v>
      </c>
      <c r="E37" s="187">
        <v>41485</v>
      </c>
      <c r="F37" s="191">
        <v>2.5760000000000002E-2</v>
      </c>
      <c r="G37">
        <f t="shared" si="0"/>
        <v>25.76</v>
      </c>
      <c r="I37" s="187">
        <v>41485</v>
      </c>
      <c r="J37" s="188">
        <v>2.2200000000000001E-2</v>
      </c>
      <c r="L37" s="187">
        <v>41485</v>
      </c>
      <c r="M37" s="188">
        <v>1.9606816118443948E-2</v>
      </c>
      <c r="O37" s="187">
        <v>41485</v>
      </c>
      <c r="P37" s="189">
        <v>1685.96</v>
      </c>
      <c r="Q37" s="190">
        <f t="shared" si="1"/>
        <v>4.960529920063754E-2</v>
      </c>
      <c r="R37">
        <f t="shared" si="2"/>
        <v>49.605299200637539</v>
      </c>
      <c r="T37" s="187"/>
      <c r="U37" s="189"/>
      <c r="V37" s="190"/>
      <c r="Z37" s="187"/>
      <c r="AA37" s="189"/>
      <c r="AB37" s="190"/>
    </row>
    <row r="38" spans="2:28" x14ac:dyDescent="0.25">
      <c r="B38" s="187">
        <v>41516</v>
      </c>
      <c r="C38" s="103">
        <v>7.0300000000000001E-2</v>
      </c>
      <c r="E38" s="187">
        <v>41516</v>
      </c>
      <c r="F38" s="191">
        <v>2.7839999999999997E-2</v>
      </c>
      <c r="G38">
        <f t="shared" si="0"/>
        <v>27.839999999999996</v>
      </c>
      <c r="I38" s="187">
        <v>41516</v>
      </c>
      <c r="J38" s="188">
        <v>2.2700000000000001E-2</v>
      </c>
      <c r="L38" s="187">
        <v>41516</v>
      </c>
      <c r="M38" s="188">
        <v>1.5183675595431989E-2</v>
      </c>
      <c r="O38" s="187">
        <v>41516</v>
      </c>
      <c r="P38" s="189">
        <v>1632.97</v>
      </c>
      <c r="Q38" s="190">
        <f t="shared" si="1"/>
        <v>-3.1430164416712147E-2</v>
      </c>
      <c r="R38">
        <f t="shared" si="2"/>
        <v>-31.430164416712149</v>
      </c>
      <c r="T38" s="187"/>
      <c r="U38" s="189"/>
      <c r="V38" s="190"/>
      <c r="Z38" s="187"/>
      <c r="AA38" s="189"/>
      <c r="AB38" s="190"/>
    </row>
    <row r="39" spans="2:28" x14ac:dyDescent="0.25">
      <c r="B39" s="187">
        <v>41547</v>
      </c>
      <c r="C39" s="103">
        <v>6.7400000000000002E-2</v>
      </c>
      <c r="E39" s="187">
        <v>41547</v>
      </c>
      <c r="F39" s="191">
        <v>2.6100000000000002E-2</v>
      </c>
      <c r="G39">
        <f t="shared" si="0"/>
        <v>26.1</v>
      </c>
      <c r="I39" s="187">
        <v>41547</v>
      </c>
      <c r="J39" s="188">
        <v>2.2700000000000001E-2</v>
      </c>
      <c r="L39" s="187">
        <v>41547</v>
      </c>
      <c r="M39" s="188">
        <v>1.184925261552161E-2</v>
      </c>
      <c r="O39" s="187">
        <v>41547</v>
      </c>
      <c r="P39" s="189">
        <v>1681.55</v>
      </c>
      <c r="Q39" s="190">
        <f t="shared" si="1"/>
        <v>2.9749474883188257E-2</v>
      </c>
      <c r="R39">
        <f t="shared" si="2"/>
        <v>29.749474883188256</v>
      </c>
      <c r="T39" s="187"/>
      <c r="U39" s="189"/>
      <c r="V39" s="190"/>
      <c r="Z39" s="187"/>
      <c r="AA39" s="189"/>
      <c r="AB39" s="190"/>
    </row>
    <row r="40" spans="2:28" x14ac:dyDescent="0.25">
      <c r="B40" s="187">
        <v>41577</v>
      </c>
      <c r="C40" s="103">
        <v>6.5500000000000003E-2</v>
      </c>
      <c r="E40" s="187">
        <v>41577</v>
      </c>
      <c r="F40" s="191">
        <v>2.538E-2</v>
      </c>
      <c r="G40">
        <f t="shared" si="0"/>
        <v>25.38</v>
      </c>
      <c r="I40" s="187">
        <v>41577</v>
      </c>
      <c r="J40" s="188">
        <v>1.84E-2</v>
      </c>
      <c r="L40" s="187">
        <v>41577</v>
      </c>
      <c r="M40" s="188">
        <v>9.6361270464340176E-3</v>
      </c>
      <c r="O40" s="187">
        <v>41577</v>
      </c>
      <c r="P40" s="189">
        <v>1763.31</v>
      </c>
      <c r="Q40" s="190">
        <f t="shared" si="1"/>
        <v>4.8621807261157855E-2</v>
      </c>
      <c r="R40">
        <f t="shared" si="2"/>
        <v>48.621807261157855</v>
      </c>
      <c r="T40" s="187"/>
      <c r="U40" s="189"/>
      <c r="V40" s="190"/>
      <c r="Z40" s="187"/>
      <c r="AA40" s="189"/>
      <c r="AB40" s="190"/>
    </row>
    <row r="41" spans="2:28" x14ac:dyDescent="0.25">
      <c r="B41" s="187">
        <v>41608</v>
      </c>
      <c r="C41" s="103">
        <v>6.7599999999999993E-2</v>
      </c>
      <c r="E41" s="187">
        <v>41608</v>
      </c>
      <c r="F41" s="191">
        <v>2.7440000000000003E-2</v>
      </c>
      <c r="G41">
        <f t="shared" si="0"/>
        <v>27.44</v>
      </c>
      <c r="I41" s="187">
        <v>41608</v>
      </c>
      <c r="J41" s="188">
        <v>1.7600000000000001E-2</v>
      </c>
      <c r="L41" s="187">
        <v>41608</v>
      </c>
      <c r="M41" s="188">
        <v>1.2370722045339066E-2</v>
      </c>
      <c r="O41" s="187">
        <v>41608</v>
      </c>
      <c r="P41" s="189">
        <v>1805.81</v>
      </c>
      <c r="Q41" s="190">
        <f t="shared" si="1"/>
        <v>2.4102398330412691E-2</v>
      </c>
      <c r="R41">
        <f t="shared" si="2"/>
        <v>24.10239833041269</v>
      </c>
      <c r="T41" s="187"/>
      <c r="U41" s="189"/>
      <c r="V41" s="190"/>
      <c r="Z41" s="187"/>
      <c r="AA41" s="189"/>
      <c r="AB41" s="190"/>
    </row>
    <row r="42" spans="2:28" x14ac:dyDescent="0.25">
      <c r="B42" s="187">
        <v>41638</v>
      </c>
      <c r="C42" s="103">
        <v>6.8000000000000005E-2</v>
      </c>
      <c r="E42" s="187">
        <v>41638</v>
      </c>
      <c r="F42" s="191">
        <v>2.9700000000000001E-2</v>
      </c>
      <c r="G42">
        <f t="shared" si="0"/>
        <v>29.7</v>
      </c>
      <c r="I42" s="187">
        <v>41638</v>
      </c>
      <c r="J42" s="188">
        <v>1.9400000000000001E-2</v>
      </c>
      <c r="L42" s="187">
        <v>41638</v>
      </c>
      <c r="M42" s="188">
        <v>1.2E-2</v>
      </c>
      <c r="O42" s="187">
        <v>41638</v>
      </c>
      <c r="P42" s="189">
        <v>1841.07</v>
      </c>
      <c r="Q42" s="190">
        <f t="shared" si="1"/>
        <v>1.9525863739817583E-2</v>
      </c>
      <c r="R42">
        <f t="shared" si="2"/>
        <v>19.525863739817584</v>
      </c>
      <c r="T42" s="187"/>
      <c r="U42" s="189"/>
      <c r="V42" s="190"/>
      <c r="Z42" s="187"/>
      <c r="AA42" s="189"/>
      <c r="AB42" s="190"/>
    </row>
    <row r="43" spans="2:28" x14ac:dyDescent="0.25">
      <c r="B43" s="187">
        <v>41669</v>
      </c>
      <c r="C43" s="103">
        <v>7.0900000000000005E-2</v>
      </c>
      <c r="E43" s="187">
        <v>41669</v>
      </c>
      <c r="F43" s="191">
        <v>2.6949999999999998E-2</v>
      </c>
      <c r="G43">
        <f t="shared" si="0"/>
        <v>26.95</v>
      </c>
      <c r="I43" s="187">
        <v>41669</v>
      </c>
      <c r="J43" s="188">
        <v>2.1299999999999999E-2</v>
      </c>
      <c r="L43" s="187">
        <v>41669</v>
      </c>
      <c r="M43" s="188">
        <v>1.4999999999999999E-2</v>
      </c>
      <c r="O43" s="187">
        <v>41669</v>
      </c>
      <c r="P43" s="189">
        <v>1794.19</v>
      </c>
      <c r="Q43" s="190">
        <f t="shared" si="1"/>
        <v>-2.5463453317907458E-2</v>
      </c>
      <c r="R43">
        <f t="shared" si="2"/>
        <v>-25.463453317907458</v>
      </c>
      <c r="T43" s="187"/>
      <c r="U43" s="189"/>
      <c r="V43" s="190"/>
      <c r="Z43" s="192"/>
      <c r="AA43" s="189"/>
      <c r="AB43" s="190"/>
    </row>
    <row r="44" spans="2:28" x14ac:dyDescent="0.25">
      <c r="B44" s="187">
        <v>41698</v>
      </c>
      <c r="C44" s="103">
        <v>7.22E-2</v>
      </c>
      <c r="E44" s="187">
        <v>41698</v>
      </c>
      <c r="F44" s="191">
        <v>2.648E-2</v>
      </c>
      <c r="G44">
        <f t="shared" si="0"/>
        <v>26.48</v>
      </c>
      <c r="I44" s="187">
        <v>41698</v>
      </c>
      <c r="J44" s="188">
        <v>2.3199999999999998E-2</v>
      </c>
      <c r="L44" s="187">
        <v>41698</v>
      </c>
      <c r="M44" s="188">
        <v>1.6E-2</v>
      </c>
      <c r="O44" s="187">
        <v>41698</v>
      </c>
      <c r="P44" s="189">
        <v>1859.45</v>
      </c>
      <c r="Q44" s="190">
        <f t="shared" si="1"/>
        <v>3.6372959385572314E-2</v>
      </c>
      <c r="R44">
        <f t="shared" si="2"/>
        <v>36.372959385572315</v>
      </c>
      <c r="T44" s="187"/>
      <c r="U44" s="189"/>
      <c r="V44" s="190"/>
      <c r="Z44" s="192"/>
      <c r="AA44" s="189"/>
      <c r="AB44" s="190"/>
    </row>
    <row r="45" spans="2:28" x14ac:dyDescent="0.25">
      <c r="B45" s="187">
        <v>41728</v>
      </c>
      <c r="C45" s="103">
        <v>6.4199999999999993E-2</v>
      </c>
      <c r="E45" s="187">
        <v>41728</v>
      </c>
      <c r="F45" s="191">
        <v>2.7210000000000002E-2</v>
      </c>
      <c r="G45">
        <f t="shared" si="0"/>
        <v>27.21</v>
      </c>
      <c r="I45" s="187">
        <v>41728</v>
      </c>
      <c r="J45" s="188">
        <v>2.5099999999999997E-2</v>
      </c>
      <c r="L45" s="187">
        <v>41728</v>
      </c>
      <c r="M45" s="188">
        <v>1.1000000000000001E-2</v>
      </c>
      <c r="O45" s="187">
        <v>41728</v>
      </c>
      <c r="P45" s="189">
        <v>1857.62</v>
      </c>
      <c r="Q45" s="190">
        <f t="shared" si="1"/>
        <v>-9.8416198338226613E-4</v>
      </c>
      <c r="R45">
        <f t="shared" si="2"/>
        <v>-0.98416198338226613</v>
      </c>
      <c r="T45" s="187"/>
      <c r="U45" s="189"/>
      <c r="V45" s="190"/>
      <c r="Z45" s="192"/>
      <c r="AA45" s="189"/>
      <c r="AB45" s="190"/>
    </row>
    <row r="46" spans="2:28" x14ac:dyDescent="0.25">
      <c r="B46" s="187">
        <v>41759</v>
      </c>
      <c r="C46" s="103">
        <v>6.4299999999999996E-2</v>
      </c>
      <c r="E46" s="187">
        <v>41759</v>
      </c>
      <c r="F46" s="191">
        <v>2.6459999999999997E-2</v>
      </c>
      <c r="G46">
        <f t="shared" si="0"/>
        <v>26.459999999999997</v>
      </c>
      <c r="I46" s="187">
        <v>41759</v>
      </c>
      <c r="J46" s="188">
        <v>2.7200000000000002E-2</v>
      </c>
      <c r="L46" s="187">
        <v>41759</v>
      </c>
      <c r="M46" s="188">
        <v>1.4999999999999999E-2</v>
      </c>
      <c r="O46" s="187">
        <v>41759</v>
      </c>
      <c r="P46" s="189">
        <v>1883.95</v>
      </c>
      <c r="Q46" s="190">
        <f t="shared" si="1"/>
        <v>1.4174050666982567E-2</v>
      </c>
      <c r="R46">
        <f t="shared" si="2"/>
        <v>14.174050666982566</v>
      </c>
      <c r="T46" s="187"/>
      <c r="U46" s="189"/>
      <c r="V46" s="190"/>
      <c r="Z46" s="192"/>
      <c r="AA46" s="189"/>
      <c r="AB46" s="190"/>
    </row>
    <row r="47" spans="2:28" x14ac:dyDescent="0.25">
      <c r="B47" s="187">
        <v>41789</v>
      </c>
      <c r="C47" s="103">
        <v>6.2800000000000009E-2</v>
      </c>
      <c r="E47" s="187">
        <v>41789</v>
      </c>
      <c r="F47" s="191">
        <v>2.4760000000000001E-2</v>
      </c>
      <c r="G47">
        <f t="shared" si="0"/>
        <v>24.76</v>
      </c>
      <c r="I47" s="187">
        <v>41789</v>
      </c>
      <c r="J47" s="188">
        <v>2.9300000000000003E-2</v>
      </c>
      <c r="L47" s="187">
        <v>41789</v>
      </c>
      <c r="M47" s="188">
        <v>0.02</v>
      </c>
      <c r="O47" s="187">
        <v>41789</v>
      </c>
      <c r="P47" s="189">
        <v>1923.57</v>
      </c>
      <c r="Q47" s="190">
        <f t="shared" si="1"/>
        <v>2.1030282120013743E-2</v>
      </c>
      <c r="R47">
        <f t="shared" si="2"/>
        <v>21.030282120013744</v>
      </c>
      <c r="T47" s="187"/>
      <c r="U47" s="189"/>
      <c r="V47" s="190"/>
      <c r="Z47" s="192"/>
      <c r="AA47" s="189"/>
      <c r="AB47" s="190"/>
    </row>
    <row r="48" spans="2:28" x14ac:dyDescent="0.25">
      <c r="B48" s="187">
        <v>41820</v>
      </c>
      <c r="C48" s="103">
        <v>6.5599999999999992E-2</v>
      </c>
      <c r="E48" s="187">
        <v>41820</v>
      </c>
      <c r="F48" s="191">
        <v>2.53E-2</v>
      </c>
      <c r="G48">
        <f t="shared" si="0"/>
        <v>25.3</v>
      </c>
      <c r="I48" s="187">
        <v>41820</v>
      </c>
      <c r="J48" s="188">
        <v>2.7900000000000001E-2</v>
      </c>
      <c r="L48" s="187">
        <v>41820</v>
      </c>
      <c r="M48" s="188">
        <v>2.1000000000000001E-2</v>
      </c>
      <c r="O48" s="187">
        <v>41820</v>
      </c>
      <c r="P48" s="189">
        <v>1960.23</v>
      </c>
      <c r="Q48" s="190">
        <f t="shared" si="1"/>
        <v>1.9058313448431865E-2</v>
      </c>
      <c r="R48">
        <f t="shared" si="2"/>
        <v>19.058313448431864</v>
      </c>
      <c r="T48" s="187"/>
      <c r="U48" s="189"/>
      <c r="V48" s="190"/>
      <c r="Z48" s="192"/>
      <c r="AA48" s="189"/>
      <c r="AB48" s="190"/>
    </row>
    <row r="49" spans="2:28" x14ac:dyDescent="0.25">
      <c r="B49" s="187">
        <v>41850</v>
      </c>
      <c r="C49" s="103">
        <v>6.6799999999999998E-2</v>
      </c>
      <c r="E49" s="187">
        <v>41850</v>
      </c>
      <c r="F49" s="191">
        <v>2.5569999999999999E-2</v>
      </c>
      <c r="G49">
        <f t="shared" si="0"/>
        <v>25.57</v>
      </c>
      <c r="I49" s="187">
        <v>41850</v>
      </c>
      <c r="J49" s="188">
        <v>2.8900000000000002E-2</v>
      </c>
      <c r="L49" s="187">
        <v>41850</v>
      </c>
      <c r="M49" s="188">
        <v>2.1000000000000001E-2</v>
      </c>
      <c r="O49" s="187">
        <v>41850</v>
      </c>
      <c r="P49" s="189">
        <v>1970.07</v>
      </c>
      <c r="Q49" s="190">
        <f t="shared" si="1"/>
        <v>5.0198191028603366E-3</v>
      </c>
      <c r="R49">
        <f t="shared" si="2"/>
        <v>5.0198191028603363</v>
      </c>
      <c r="T49" s="187"/>
      <c r="U49" s="189"/>
      <c r="V49" s="190"/>
      <c r="Z49" s="192"/>
      <c r="AA49" s="189"/>
      <c r="AB49" s="190"/>
    </row>
    <row r="50" spans="2:28" x14ac:dyDescent="0.25">
      <c r="B50" s="187">
        <v>41881</v>
      </c>
      <c r="C50" s="103">
        <v>6.4600000000000005E-2</v>
      </c>
      <c r="E50" s="187">
        <v>41881</v>
      </c>
      <c r="F50" s="191">
        <v>2.3429999999999999E-2</v>
      </c>
      <c r="G50">
        <f t="shared" si="0"/>
        <v>23.43</v>
      </c>
      <c r="I50" s="187">
        <v>41881</v>
      </c>
      <c r="J50" s="188">
        <v>3.0200000000000001E-2</v>
      </c>
      <c r="L50" s="187">
        <v>41881</v>
      </c>
      <c r="M50" s="188">
        <v>0.02</v>
      </c>
      <c r="O50" s="187">
        <v>41881</v>
      </c>
      <c r="P50" s="189">
        <v>2003.37</v>
      </c>
      <c r="Q50" s="190">
        <f t="shared" si="1"/>
        <v>1.6902952686960338E-2</v>
      </c>
      <c r="R50">
        <f t="shared" si="2"/>
        <v>16.902952686960337</v>
      </c>
      <c r="T50" s="187"/>
      <c r="U50" s="189"/>
      <c r="V50" s="190"/>
      <c r="Z50" s="192"/>
      <c r="AA50" s="189"/>
      <c r="AB50" s="190"/>
    </row>
    <row r="51" spans="2:28" x14ac:dyDescent="0.25">
      <c r="B51" s="187">
        <v>41912</v>
      </c>
      <c r="C51" s="103">
        <v>6.8400000000000002E-2</v>
      </c>
      <c r="E51" s="187">
        <v>41912</v>
      </c>
      <c r="F51" s="191">
        <v>2.4889999999999999E-2</v>
      </c>
      <c r="G51">
        <f t="shared" si="0"/>
        <v>24.89</v>
      </c>
      <c r="I51" s="187">
        <v>41912</v>
      </c>
      <c r="J51" s="188">
        <v>2.86E-2</v>
      </c>
      <c r="L51" s="187">
        <v>41912</v>
      </c>
      <c r="M51" s="188">
        <v>1.7000000000000001E-2</v>
      </c>
      <c r="O51" s="187">
        <v>41912</v>
      </c>
      <c r="P51" s="189">
        <v>1972.29</v>
      </c>
      <c r="Q51" s="190">
        <f t="shared" si="1"/>
        <v>-1.5513859147336702E-2</v>
      </c>
      <c r="R51">
        <f t="shared" si="2"/>
        <v>-15.513859147336701</v>
      </c>
      <c r="T51" s="187"/>
      <c r="U51" s="189"/>
      <c r="V51" s="190"/>
      <c r="Z51" s="192"/>
      <c r="AA51" s="189"/>
      <c r="AB51" s="190"/>
    </row>
    <row r="52" spans="2:28" x14ac:dyDescent="0.25">
      <c r="B52" s="187">
        <v>41942</v>
      </c>
      <c r="C52" s="103">
        <v>6.59E-2</v>
      </c>
      <c r="E52" s="187">
        <v>41942</v>
      </c>
      <c r="F52" s="191">
        <v>2.3060000000000001E-2</v>
      </c>
      <c r="G52">
        <f t="shared" si="0"/>
        <v>23.060000000000002</v>
      </c>
      <c r="I52" s="187">
        <v>41942</v>
      </c>
      <c r="J52" s="188">
        <v>3.2899999999999999E-2</v>
      </c>
      <c r="L52" s="187">
        <v>41942</v>
      </c>
      <c r="M52" s="188">
        <v>1.7000000000000001E-2</v>
      </c>
      <c r="O52" s="187">
        <v>41942</v>
      </c>
      <c r="P52" s="189">
        <v>1994.65</v>
      </c>
      <c r="Q52" s="190">
        <f t="shared" si="1"/>
        <v>1.1337075176571461E-2</v>
      </c>
      <c r="R52">
        <f t="shared" si="2"/>
        <v>11.33707517657146</v>
      </c>
      <c r="T52" s="187"/>
      <c r="U52" s="189"/>
      <c r="V52" s="190"/>
      <c r="Z52" s="192"/>
      <c r="AA52" s="189"/>
      <c r="AB52" s="190"/>
    </row>
    <row r="53" spans="2:28" x14ac:dyDescent="0.25">
      <c r="B53" s="187">
        <v>41973</v>
      </c>
      <c r="C53" s="103">
        <v>6.5700000000000008E-2</v>
      </c>
      <c r="E53" s="187">
        <v>41973</v>
      </c>
      <c r="F53" s="191">
        <v>2.1640000000000003E-2</v>
      </c>
      <c r="G53">
        <f t="shared" si="0"/>
        <v>21.640000000000004</v>
      </c>
      <c r="I53" s="187">
        <v>41973</v>
      </c>
      <c r="J53" s="188">
        <v>3.6499999999999998E-2</v>
      </c>
      <c r="L53" s="187">
        <v>41973</v>
      </c>
      <c r="M53" s="188">
        <v>1.7000000000000001E-2</v>
      </c>
      <c r="O53" s="187">
        <v>41973</v>
      </c>
      <c r="P53" s="189">
        <v>2067.56</v>
      </c>
      <c r="Q53" s="190">
        <f t="shared" si="1"/>
        <v>3.6552778682976891E-2</v>
      </c>
      <c r="R53">
        <f t="shared" si="2"/>
        <v>36.552778682976893</v>
      </c>
      <c r="T53" s="187"/>
      <c r="U53" s="189"/>
      <c r="V53" s="190"/>
      <c r="Z53" s="192"/>
      <c r="AA53" s="189"/>
      <c r="AB53" s="190"/>
    </row>
    <row r="54" spans="2:28" x14ac:dyDescent="0.25">
      <c r="B54" s="187">
        <v>42003</v>
      </c>
      <c r="C54" s="103">
        <v>7.0999999999999994E-2</v>
      </c>
      <c r="E54" s="187">
        <v>42003</v>
      </c>
      <c r="F54" s="191">
        <v>2.1869999999999997E-2</v>
      </c>
      <c r="G54">
        <f t="shared" si="0"/>
        <v>21.869999999999997</v>
      </c>
      <c r="I54" s="187">
        <v>42003</v>
      </c>
      <c r="J54" s="188">
        <v>3.6600000000000001E-2</v>
      </c>
      <c r="L54" s="187">
        <v>42003</v>
      </c>
      <c r="M54" s="188">
        <v>1.3000000000000001E-2</v>
      </c>
      <c r="O54" s="187">
        <v>42003</v>
      </c>
      <c r="P54" s="189">
        <v>2061.23</v>
      </c>
      <c r="Q54" s="190">
        <f t="shared" si="1"/>
        <v>-3.0615798332333413E-3</v>
      </c>
      <c r="R54">
        <f t="shared" si="2"/>
        <v>-3.0615798332333415</v>
      </c>
      <c r="T54" s="187"/>
      <c r="U54" s="189"/>
      <c r="V54" s="190"/>
      <c r="Z54" s="192"/>
      <c r="AA54" s="189"/>
      <c r="AB54" s="190"/>
    </row>
    <row r="55" spans="2:28" x14ac:dyDescent="0.25">
      <c r="B55" s="187">
        <v>42034</v>
      </c>
      <c r="C55" s="103">
        <v>6.5299999999999997E-2</v>
      </c>
      <c r="E55" s="187">
        <v>42034</v>
      </c>
      <c r="F55" s="191">
        <v>1.6400000000000001E-2</v>
      </c>
      <c r="G55">
        <f t="shared" si="0"/>
        <v>16.400000000000002</v>
      </c>
      <c r="I55" s="187">
        <v>42034</v>
      </c>
      <c r="J55" s="188">
        <v>3.8199999999999998E-2</v>
      </c>
      <c r="L55" s="187">
        <v>42034</v>
      </c>
      <c r="M55" s="188">
        <v>-8.9999999999999998E-4</v>
      </c>
      <c r="O55" s="187">
        <v>42034</v>
      </c>
      <c r="P55" s="189">
        <v>2058.1999999999998</v>
      </c>
      <c r="Q55" s="190">
        <f t="shared" si="1"/>
        <v>-1.4699960703076318E-3</v>
      </c>
      <c r="R55">
        <f t="shared" si="2"/>
        <v>-1.4699960703076318</v>
      </c>
      <c r="T55" s="187"/>
      <c r="U55" s="189"/>
      <c r="V55" s="190"/>
      <c r="Z55" s="192"/>
      <c r="AA55" s="189"/>
      <c r="AB55" s="190"/>
    </row>
    <row r="56" spans="2:28" x14ac:dyDescent="0.25">
      <c r="B56" s="187">
        <v>42063</v>
      </c>
      <c r="C56" s="103">
        <v>6.54E-2</v>
      </c>
      <c r="E56" s="187">
        <v>42063</v>
      </c>
      <c r="F56" s="191">
        <v>1.9900000000000001E-2</v>
      </c>
      <c r="G56">
        <f t="shared" si="0"/>
        <v>19.900000000000002</v>
      </c>
      <c r="I56" s="187">
        <v>42063</v>
      </c>
      <c r="J56" s="188">
        <v>4.36E-2</v>
      </c>
      <c r="L56" s="187">
        <v>42063</v>
      </c>
      <c r="M56" s="188">
        <v>-2.9999999999999997E-4</v>
      </c>
      <c r="O56" s="187">
        <v>42063</v>
      </c>
      <c r="P56" s="189">
        <v>2020.85</v>
      </c>
      <c r="Q56" s="190">
        <f t="shared" si="1"/>
        <v>-1.8146924497133374E-2</v>
      </c>
      <c r="R56">
        <f t="shared" si="2"/>
        <v>-18.146924497133373</v>
      </c>
      <c r="T56" s="187"/>
      <c r="U56" s="189"/>
      <c r="V56" s="190"/>
      <c r="Z56" s="192"/>
      <c r="AA56" s="189"/>
      <c r="AB56" s="190"/>
    </row>
    <row r="57" spans="2:28" x14ac:dyDescent="0.25">
      <c r="B57" s="187">
        <v>42093</v>
      </c>
      <c r="C57" s="103">
        <v>7.0400000000000004E-2</v>
      </c>
      <c r="E57" s="187">
        <v>42093</v>
      </c>
      <c r="F57" s="191">
        <v>1.9199999999999998E-2</v>
      </c>
      <c r="G57">
        <f t="shared" si="0"/>
        <v>19.2</v>
      </c>
      <c r="I57" s="187">
        <v>42093</v>
      </c>
      <c r="J57" s="188">
        <v>4.5600000000000002E-2</v>
      </c>
      <c r="L57" s="187">
        <v>42093</v>
      </c>
      <c r="M57" s="188">
        <v>-6.9999999999999999E-4</v>
      </c>
      <c r="O57" s="187">
        <v>42093</v>
      </c>
      <c r="P57" s="189">
        <v>2086.2399999999998</v>
      </c>
      <c r="Q57" s="190">
        <f t="shared" si="1"/>
        <v>3.2357671276937859E-2</v>
      </c>
      <c r="R57">
        <f t="shared" si="2"/>
        <v>32.357671276937857</v>
      </c>
      <c r="T57" s="187"/>
      <c r="U57" s="189"/>
      <c r="V57" s="190"/>
      <c r="Z57" s="192"/>
      <c r="AA57" s="189"/>
      <c r="AB57" s="190"/>
    </row>
    <row r="58" spans="2:28" x14ac:dyDescent="0.25">
      <c r="B58" s="187">
        <v>42124</v>
      </c>
      <c r="C58" s="103">
        <v>6.7400000000000002E-2</v>
      </c>
      <c r="E58" s="187">
        <v>42124</v>
      </c>
      <c r="F58" s="191">
        <v>2.0299999999999999E-2</v>
      </c>
      <c r="G58">
        <f t="shared" si="0"/>
        <v>20.299999999999997</v>
      </c>
      <c r="I58" s="187">
        <v>42124</v>
      </c>
      <c r="J58" s="188">
        <v>4.6399999999999997E-2</v>
      </c>
      <c r="L58" s="187">
        <v>42124</v>
      </c>
      <c r="M58" s="188">
        <v>-2E-3</v>
      </c>
      <c r="O58" s="187">
        <v>42124</v>
      </c>
      <c r="P58" s="189">
        <v>2108.29</v>
      </c>
      <c r="Q58" s="190">
        <f t="shared" si="1"/>
        <v>1.0569253777130236E-2</v>
      </c>
      <c r="R58">
        <f t="shared" si="2"/>
        <v>10.569253777130236</v>
      </c>
      <c r="T58" s="187"/>
      <c r="U58" s="189"/>
      <c r="V58" s="190"/>
      <c r="Z58" s="187"/>
      <c r="AA58" s="189"/>
      <c r="AB58" s="190"/>
    </row>
    <row r="59" spans="2:28" x14ac:dyDescent="0.25">
      <c r="B59" s="187">
        <v>42154</v>
      </c>
      <c r="C59" s="103">
        <v>6.8900000000000003E-2</v>
      </c>
      <c r="E59" s="187">
        <v>42154</v>
      </c>
      <c r="F59" s="191">
        <v>2.12E-2</v>
      </c>
      <c r="G59">
        <f t="shared" si="0"/>
        <v>21.2</v>
      </c>
      <c r="I59" s="187">
        <v>42154</v>
      </c>
      <c r="J59" s="188">
        <v>4.3999999999999997E-2</v>
      </c>
      <c r="L59" s="187">
        <v>42154</v>
      </c>
      <c r="M59" s="188">
        <v>-4.0000000000000002E-4</v>
      </c>
      <c r="O59" s="187">
        <v>42154</v>
      </c>
      <c r="P59" s="189">
        <v>2111.73</v>
      </c>
      <c r="Q59" s="190">
        <f t="shared" si="1"/>
        <v>1.6316540893330873E-3</v>
      </c>
      <c r="R59">
        <f t="shared" si="2"/>
        <v>1.6316540893330873</v>
      </c>
      <c r="T59" s="187"/>
      <c r="U59" s="189"/>
      <c r="V59" s="190"/>
      <c r="Z59" s="187"/>
      <c r="AA59" s="189"/>
      <c r="AB59" s="190"/>
    </row>
    <row r="60" spans="2:28" x14ac:dyDescent="0.25">
      <c r="B60" s="187">
        <v>42185</v>
      </c>
      <c r="C60" s="103">
        <v>7.22E-2</v>
      </c>
      <c r="E60" s="187">
        <v>42185</v>
      </c>
      <c r="F60" s="191">
        <v>2.35E-2</v>
      </c>
      <c r="G60">
        <f t="shared" si="0"/>
        <v>23.5</v>
      </c>
      <c r="I60" s="187">
        <v>42185</v>
      </c>
      <c r="J60" s="188">
        <v>4.4200000000000003E-2</v>
      </c>
      <c r="L60" s="187">
        <v>42185</v>
      </c>
      <c r="M60" s="188">
        <v>1.1999999999999999E-3</v>
      </c>
      <c r="O60" s="187">
        <v>42185</v>
      </c>
      <c r="P60" s="189">
        <v>2077.42</v>
      </c>
      <c r="Q60" s="190">
        <f t="shared" si="1"/>
        <v>-1.6247342226515676E-2</v>
      </c>
      <c r="R60">
        <f t="shared" si="2"/>
        <v>-16.247342226515677</v>
      </c>
      <c r="T60" s="187"/>
      <c r="U60" s="189"/>
      <c r="V60" s="190"/>
      <c r="Z60" s="187"/>
      <c r="AA60" s="189"/>
      <c r="AB60" s="190"/>
    </row>
    <row r="61" spans="2:28" x14ac:dyDescent="0.25">
      <c r="B61" s="187">
        <v>42215</v>
      </c>
      <c r="C61" s="103">
        <v>7.1099999999999997E-2</v>
      </c>
      <c r="E61" s="187">
        <v>42215</v>
      </c>
      <c r="F61" s="191">
        <v>2.18E-2</v>
      </c>
      <c r="G61">
        <f t="shared" si="0"/>
        <v>21.8</v>
      </c>
      <c r="I61" s="187">
        <v>42215</v>
      </c>
      <c r="J61" s="188">
        <v>4.4600000000000001E-2</v>
      </c>
      <c r="L61" s="187">
        <v>42215</v>
      </c>
      <c r="M61" s="188">
        <v>1.6999999999999999E-3</v>
      </c>
      <c r="O61" s="187">
        <v>42215</v>
      </c>
      <c r="P61" s="189">
        <v>2098.04</v>
      </c>
      <c r="Q61" s="190">
        <f t="shared" si="1"/>
        <v>9.9257733149771786E-3</v>
      </c>
      <c r="R61">
        <f t="shared" si="2"/>
        <v>9.9257733149771781</v>
      </c>
      <c r="T61" s="187"/>
      <c r="U61" s="189"/>
      <c r="V61" s="190"/>
      <c r="Z61" s="187"/>
      <c r="AA61" s="189"/>
      <c r="AB61" s="190"/>
    </row>
    <row r="62" spans="2:28" x14ac:dyDescent="0.25">
      <c r="B62" s="187">
        <v>42246</v>
      </c>
      <c r="C62" s="103">
        <v>7.6499999999999999E-2</v>
      </c>
      <c r="E62" s="187">
        <v>42246</v>
      </c>
      <c r="F62" s="191">
        <v>2.2200000000000001E-2</v>
      </c>
      <c r="G62">
        <f t="shared" si="0"/>
        <v>22.2</v>
      </c>
      <c r="I62" s="187">
        <v>42246</v>
      </c>
      <c r="J62" s="188">
        <v>4.7399999999999998E-2</v>
      </c>
      <c r="L62" s="187">
        <v>42246</v>
      </c>
      <c r="M62" s="188">
        <v>2E-3</v>
      </c>
      <c r="O62" s="187">
        <v>42246</v>
      </c>
      <c r="P62" s="189">
        <v>1913.85</v>
      </c>
      <c r="Q62" s="190">
        <f t="shared" si="1"/>
        <v>-8.7791462507864515E-2</v>
      </c>
      <c r="R62">
        <f t="shared" si="2"/>
        <v>-87.791462507864509</v>
      </c>
      <c r="T62" s="187"/>
      <c r="U62" s="189"/>
      <c r="V62" s="190"/>
      <c r="Z62" s="187"/>
      <c r="AA62" s="189"/>
      <c r="AB62" s="190"/>
    </row>
    <row r="63" spans="2:28" x14ac:dyDescent="0.25">
      <c r="B63" s="187">
        <v>42277</v>
      </c>
      <c r="C63" s="103">
        <v>8.0399999999999999E-2</v>
      </c>
      <c r="E63" s="187">
        <v>42277</v>
      </c>
      <c r="F63" s="191">
        <v>2.0400000000000001E-2</v>
      </c>
      <c r="G63">
        <f t="shared" si="0"/>
        <v>20.400000000000002</v>
      </c>
      <c r="I63" s="187">
        <v>42277</v>
      </c>
      <c r="J63" s="188">
        <v>5.3499999999999999E-2</v>
      </c>
      <c r="L63" s="187">
        <v>42277</v>
      </c>
      <c r="M63" s="188">
        <v>-3.612974780596856E-4</v>
      </c>
      <c r="O63" s="187">
        <v>42277</v>
      </c>
      <c r="P63" s="189">
        <v>1923.85</v>
      </c>
      <c r="Q63" s="190">
        <f t="shared" si="1"/>
        <v>5.2250698853097159E-3</v>
      </c>
      <c r="R63">
        <f t="shared" si="2"/>
        <v>5.2250698853097157</v>
      </c>
      <c r="T63" s="187"/>
      <c r="U63" s="189"/>
      <c r="V63" s="190"/>
      <c r="Z63" s="187"/>
      <c r="AA63" s="189"/>
      <c r="AB63" s="190"/>
    </row>
    <row r="64" spans="2:28" x14ac:dyDescent="0.25">
      <c r="B64" s="187">
        <v>42307</v>
      </c>
      <c r="C64" s="103">
        <v>7.7700000000000005E-2</v>
      </c>
      <c r="E64" s="187">
        <v>42307</v>
      </c>
      <c r="F64" s="191">
        <v>2.1600000000000001E-2</v>
      </c>
      <c r="G64">
        <f t="shared" si="0"/>
        <v>21.6</v>
      </c>
      <c r="I64" s="187">
        <v>42307</v>
      </c>
      <c r="J64" s="188">
        <v>5.8899999999999994E-2</v>
      </c>
      <c r="L64" s="187">
        <v>42307</v>
      </c>
      <c r="M64" s="188">
        <v>1.7057443573555986E-3</v>
      </c>
      <c r="O64" s="187">
        <v>42307</v>
      </c>
      <c r="P64" s="189">
        <v>2079.36</v>
      </c>
      <c r="Q64" s="190">
        <f t="shared" si="1"/>
        <v>8.0832705252488618E-2</v>
      </c>
      <c r="R64">
        <f t="shared" si="2"/>
        <v>80.832705252488623</v>
      </c>
      <c r="T64" s="187"/>
      <c r="U64" s="189"/>
      <c r="V64" s="190"/>
      <c r="Z64" s="187"/>
      <c r="AA64" s="189"/>
      <c r="AB64" s="190"/>
    </row>
    <row r="65" spans="2:28" x14ac:dyDescent="0.25">
      <c r="B65" s="187">
        <v>42338</v>
      </c>
      <c r="C65" s="103">
        <v>8.1199999999999994E-2</v>
      </c>
      <c r="E65" s="187">
        <v>42338</v>
      </c>
      <c r="F65" s="191">
        <v>2.2099999999999998E-2</v>
      </c>
      <c r="G65">
        <f t="shared" si="0"/>
        <v>22.099999999999998</v>
      </c>
      <c r="I65" s="187">
        <v>42338</v>
      </c>
      <c r="J65" s="188">
        <v>6.3899999999999998E-2</v>
      </c>
      <c r="L65" s="187">
        <v>42338</v>
      </c>
      <c r="M65" s="188">
        <v>5.017975786678841E-3</v>
      </c>
      <c r="O65" s="187">
        <v>42338</v>
      </c>
      <c r="P65" s="189">
        <v>2080.41</v>
      </c>
      <c r="Q65" s="190">
        <f t="shared" si="1"/>
        <v>5.0496306555850219E-4</v>
      </c>
      <c r="R65">
        <f t="shared" si="2"/>
        <v>0.50496306555850223</v>
      </c>
      <c r="T65" s="187"/>
      <c r="U65" s="189"/>
      <c r="V65" s="190"/>
      <c r="Z65" s="187"/>
      <c r="AA65" s="189"/>
      <c r="AB65" s="190"/>
    </row>
    <row r="66" spans="2:28" x14ac:dyDescent="0.25">
      <c r="B66" s="187">
        <v>42368</v>
      </c>
      <c r="C66" s="103">
        <v>8.2500000000000004E-2</v>
      </c>
      <c r="E66" s="187">
        <v>42368</v>
      </c>
      <c r="F66" s="191">
        <v>2.3099999999999999E-2</v>
      </c>
      <c r="G66">
        <f t="shared" si="0"/>
        <v>23.099999999999998</v>
      </c>
      <c r="I66" s="187">
        <v>42368</v>
      </c>
      <c r="J66" s="188">
        <v>6.7699999999999996E-2</v>
      </c>
      <c r="L66" s="187">
        <v>42368</v>
      </c>
      <c r="M66" s="188">
        <v>1.3730868138309926E-2</v>
      </c>
      <c r="O66" s="187">
        <v>42368</v>
      </c>
      <c r="P66" s="189">
        <v>2043.94</v>
      </c>
      <c r="Q66" s="190">
        <f t="shared" si="1"/>
        <v>-1.7530198374358805E-2</v>
      </c>
      <c r="R66">
        <f t="shared" si="2"/>
        <v>-17.530198374358804</v>
      </c>
      <c r="T66" s="187"/>
      <c r="U66" s="189"/>
      <c r="V66" s="190"/>
      <c r="Z66" s="187"/>
      <c r="AA66" s="189"/>
      <c r="AB66" s="190"/>
    </row>
    <row r="67" spans="2:28" x14ac:dyDescent="0.25">
      <c r="B67" s="187">
        <v>42399</v>
      </c>
      <c r="C67" s="103">
        <v>8.6199999999999999E-2</v>
      </c>
      <c r="E67" s="187">
        <v>42399</v>
      </c>
      <c r="F67" s="188">
        <v>1.95E-2</v>
      </c>
      <c r="G67">
        <f t="shared" si="0"/>
        <v>19.5</v>
      </c>
      <c r="I67" s="187">
        <v>42399</v>
      </c>
      <c r="J67" s="188">
        <v>7.4594230930956185E-2</v>
      </c>
      <c r="L67" s="187">
        <v>42399</v>
      </c>
      <c r="M67" s="188">
        <v>1.0177997801654737E-2</v>
      </c>
      <c r="O67" s="187">
        <v>42399</v>
      </c>
      <c r="P67" s="189">
        <v>1940.24</v>
      </c>
      <c r="Q67" s="190">
        <f t="shared" si="1"/>
        <v>-5.0735344481736278E-2</v>
      </c>
      <c r="R67">
        <f t="shared" si="2"/>
        <v>-50.735344481736277</v>
      </c>
      <c r="T67" s="187"/>
      <c r="U67" s="189"/>
      <c r="V67" s="190"/>
      <c r="Z67" s="187"/>
      <c r="AA67" s="189"/>
      <c r="AB67" s="190"/>
    </row>
    <row r="68" spans="2:28" x14ac:dyDescent="0.25">
      <c r="B68" s="187">
        <v>42429</v>
      </c>
      <c r="C68" s="103">
        <v>8.7499999999999994E-2</v>
      </c>
      <c r="E68" s="187">
        <v>42429</v>
      </c>
      <c r="F68" s="188">
        <v>1.7399999999999999E-2</v>
      </c>
      <c r="G68">
        <f t="shared" si="0"/>
        <v>17.399999999999999</v>
      </c>
      <c r="I68" s="187">
        <v>42429</v>
      </c>
      <c r="J68" s="188">
        <v>7.590621882274684E-2</v>
      </c>
      <c r="L68" s="187">
        <v>42429</v>
      </c>
      <c r="M68" s="188">
        <v>8.5253622114274119E-3</v>
      </c>
      <c r="O68" s="187">
        <v>42429</v>
      </c>
      <c r="P68" s="189">
        <v>1932.23</v>
      </c>
      <c r="Q68" s="190">
        <f t="shared" si="1"/>
        <v>-4.1283552550199932E-3</v>
      </c>
      <c r="R68">
        <f t="shared" si="2"/>
        <v>-4.1283552550199936</v>
      </c>
      <c r="T68" s="187"/>
      <c r="U68" s="189"/>
      <c r="V68" s="190"/>
      <c r="Z68" s="187"/>
      <c r="AA68" s="189"/>
      <c r="AB68" s="190"/>
    </row>
    <row r="69" spans="2:28" x14ac:dyDescent="0.25">
      <c r="B69" s="187">
        <v>42459</v>
      </c>
      <c r="C69" s="103">
        <v>8.0399999999999999E-2</v>
      </c>
      <c r="E69" s="187">
        <v>42459</v>
      </c>
      <c r="F69" s="188">
        <v>1.7999999999999999E-2</v>
      </c>
      <c r="G69">
        <f t="shared" si="0"/>
        <v>18</v>
      </c>
      <c r="I69" s="187">
        <v>42459</v>
      </c>
      <c r="J69" s="188">
        <v>7.9765250454620462E-2</v>
      </c>
      <c r="L69" s="187">
        <v>42459</v>
      </c>
      <c r="M69" s="188">
        <v>1.1251104188944261E-2</v>
      </c>
      <c r="O69" s="187">
        <v>42459</v>
      </c>
      <c r="P69" s="189">
        <v>2059.7399999999998</v>
      </c>
      <c r="Q69" s="190">
        <f t="shared" si="1"/>
        <v>6.5991108718941205E-2</v>
      </c>
      <c r="R69">
        <f t="shared" si="2"/>
        <v>65.991108718941206</v>
      </c>
      <c r="T69" s="187"/>
      <c r="U69" s="189"/>
      <c r="V69" s="190"/>
      <c r="Z69" s="187"/>
      <c r="AA69" s="189"/>
      <c r="AB69" s="190"/>
    </row>
    <row r="70" spans="2:28" x14ac:dyDescent="0.25">
      <c r="B70" s="187">
        <v>42490</v>
      </c>
      <c r="C70" s="103">
        <v>7.8100000000000003E-2</v>
      </c>
      <c r="E70" s="187">
        <v>42490</v>
      </c>
      <c r="F70" s="188">
        <v>1.83E-2</v>
      </c>
      <c r="G70">
        <f t="shared" si="0"/>
        <v>18.3</v>
      </c>
      <c r="I70" s="187">
        <v>42490</v>
      </c>
      <c r="J70" s="188">
        <v>7.9338978870344468E-2</v>
      </c>
      <c r="L70" s="187">
        <v>42490</v>
      </c>
      <c r="M70" s="188">
        <v>1.0222661424276192E-2</v>
      </c>
      <c r="O70" s="187">
        <v>42490</v>
      </c>
      <c r="P70" s="189">
        <v>2065.3000000000002</v>
      </c>
      <c r="Q70" s="190">
        <f t="shared" si="1"/>
        <v>2.6993698233759604E-3</v>
      </c>
      <c r="R70">
        <f t="shared" si="2"/>
        <v>2.6993698233759602</v>
      </c>
      <c r="T70" s="187"/>
      <c r="U70" s="189"/>
      <c r="V70" s="190"/>
      <c r="Z70" s="187"/>
      <c r="AA70" s="189"/>
      <c r="AB70" s="190"/>
    </row>
    <row r="71" spans="2:28" x14ac:dyDescent="0.25">
      <c r="B71" s="187">
        <v>42520</v>
      </c>
      <c r="C71" s="103">
        <v>7.9000000000000001E-2</v>
      </c>
      <c r="E71" s="187">
        <v>42520</v>
      </c>
      <c r="F71" s="188">
        <v>1.84E-2</v>
      </c>
      <c r="G71">
        <f t="shared" si="0"/>
        <v>18.399999999999999</v>
      </c>
      <c r="I71" s="187">
        <v>42520</v>
      </c>
      <c r="J71" s="188">
        <v>8.200082000819986E-2</v>
      </c>
      <c r="L71" s="187">
        <v>42520</v>
      </c>
      <c r="M71" s="188">
        <v>1.0057073894350399E-2</v>
      </c>
      <c r="O71" s="187">
        <v>42520</v>
      </c>
      <c r="P71" s="189">
        <v>2096.9499999999998</v>
      </c>
      <c r="Q71" s="190">
        <f t="shared" si="1"/>
        <v>1.5324650171887683E-2</v>
      </c>
      <c r="R71">
        <f t="shared" si="2"/>
        <v>15.324650171887683</v>
      </c>
      <c r="T71" s="187"/>
      <c r="U71" s="189"/>
      <c r="V71" s="190"/>
      <c r="Z71" s="187"/>
      <c r="AA71" s="189"/>
      <c r="AB71" s="190"/>
    </row>
    <row r="72" spans="2:28" x14ac:dyDescent="0.25">
      <c r="B72" s="187">
        <v>42551</v>
      </c>
      <c r="C72" s="103">
        <v>7.2400000000000006E-2</v>
      </c>
      <c r="E72" s="187">
        <v>42551</v>
      </c>
      <c r="F72" s="188">
        <v>1.47E-2</v>
      </c>
      <c r="G72">
        <f t="shared" si="0"/>
        <v>14.7</v>
      </c>
      <c r="I72" s="187">
        <v>42551</v>
      </c>
      <c r="J72" s="188">
        <v>8.6009174311926673E-2</v>
      </c>
      <c r="L72" s="187">
        <v>42551</v>
      </c>
      <c r="M72" s="188">
        <v>1.0057073894350399E-2</v>
      </c>
      <c r="O72" s="187">
        <v>42551</v>
      </c>
      <c r="P72" s="189">
        <v>2098.86</v>
      </c>
      <c r="Q72" s="190">
        <f t="shared" si="1"/>
        <v>9.1084670593018875E-4</v>
      </c>
      <c r="R72">
        <f t="shared" si="2"/>
        <v>0.91084670593018879</v>
      </c>
      <c r="T72" s="187"/>
      <c r="U72" s="189"/>
      <c r="V72" s="190"/>
      <c r="Z72" s="189"/>
      <c r="AA72" s="189"/>
      <c r="AB72" s="190"/>
    </row>
    <row r="73" spans="2:28" x14ac:dyDescent="0.25">
      <c r="B73" s="187">
        <v>42581</v>
      </c>
      <c r="C73" s="103">
        <v>7.3099999999999998E-2</v>
      </c>
      <c r="E73" s="187">
        <v>42581</v>
      </c>
      <c r="F73" s="188">
        <v>1.4500000000000001E-2</v>
      </c>
      <c r="G73">
        <f t="shared" si="0"/>
        <v>14.5</v>
      </c>
      <c r="I73" s="187">
        <v>42581</v>
      </c>
      <c r="J73" s="188">
        <v>8.9608372169078576E-2</v>
      </c>
      <c r="L73" s="187">
        <v>42581</v>
      </c>
      <c r="M73" s="188">
        <v>8.3510018688142118E-3</v>
      </c>
      <c r="O73" s="187">
        <v>42581</v>
      </c>
      <c r="P73" s="189">
        <v>2173.6</v>
      </c>
      <c r="Q73" s="190">
        <f t="shared" si="1"/>
        <v>3.5609807228685945E-2</v>
      </c>
      <c r="R73">
        <f t="shared" si="2"/>
        <v>35.609807228685945</v>
      </c>
      <c r="T73" s="187"/>
      <c r="U73" s="189"/>
      <c r="V73" s="190"/>
      <c r="Z73" s="189"/>
      <c r="AA73" s="189"/>
      <c r="AB73" s="190"/>
    </row>
    <row r="74" spans="2:28" x14ac:dyDescent="0.25">
      <c r="B74" s="187">
        <v>42612</v>
      </c>
      <c r="C74" s="103">
        <v>7.3700000000000002E-2</v>
      </c>
      <c r="E74" s="187">
        <v>42612</v>
      </c>
      <c r="F74" s="188">
        <v>1.5599999999999999E-2</v>
      </c>
      <c r="G74">
        <f t="shared" si="0"/>
        <v>15.6</v>
      </c>
      <c r="I74" s="187">
        <v>42612</v>
      </c>
      <c r="J74" s="188">
        <v>8.0960130187143875E-2</v>
      </c>
      <c r="L74" s="187">
        <v>42612</v>
      </c>
      <c r="M74" s="188">
        <v>1.0645529465080017E-2</v>
      </c>
      <c r="O74" s="187">
        <v>42612</v>
      </c>
      <c r="P74" s="189">
        <v>2176.12</v>
      </c>
      <c r="Q74" s="190">
        <f t="shared" si="1"/>
        <v>1.1593669488406248E-3</v>
      </c>
      <c r="R74">
        <f t="shared" si="2"/>
        <v>1.1593669488406249</v>
      </c>
      <c r="T74" s="187"/>
      <c r="U74" s="189"/>
      <c r="V74" s="190"/>
      <c r="Z74" s="189"/>
      <c r="AA74" s="189"/>
      <c r="AB74" s="190"/>
    </row>
    <row r="75" spans="2:28" x14ac:dyDescent="0.25">
      <c r="B75" s="187">
        <v>42643</v>
      </c>
      <c r="C75" s="103">
        <v>6.83E-2</v>
      </c>
      <c r="E75" s="187">
        <v>42643</v>
      </c>
      <c r="F75" s="188">
        <v>1.5900000000000001E-2</v>
      </c>
      <c r="G75">
        <f t="shared" si="0"/>
        <v>15.9</v>
      </c>
      <c r="I75" s="187">
        <v>42643</v>
      </c>
      <c r="J75" s="188">
        <v>7.2709646146388751E-2</v>
      </c>
      <c r="L75" s="187">
        <v>42643</v>
      </c>
      <c r="M75" s="188">
        <v>1.4637836474815646E-2</v>
      </c>
      <c r="O75" s="187">
        <v>42643</v>
      </c>
      <c r="P75" s="189">
        <v>2168.27</v>
      </c>
      <c r="Q75" s="190">
        <f t="shared" si="1"/>
        <v>-3.6073378306342983E-3</v>
      </c>
      <c r="R75">
        <f t="shared" si="2"/>
        <v>-3.6073378306342985</v>
      </c>
      <c r="T75" s="187"/>
      <c r="U75" s="189"/>
      <c r="V75" s="190"/>
      <c r="Z75" s="189"/>
      <c r="AA75" s="189"/>
      <c r="AB75" s="190"/>
    </row>
    <row r="76" spans="2:28" x14ac:dyDescent="0.25">
      <c r="B76" s="187">
        <v>42673</v>
      </c>
      <c r="C76" s="103">
        <v>7.0400000000000004E-2</v>
      </c>
      <c r="E76" s="187">
        <v>42673</v>
      </c>
      <c r="F76" s="188">
        <v>1.83E-2</v>
      </c>
      <c r="G76">
        <f t="shared" ref="G76:G117" si="3">+ABS($G$9)*F76</f>
        <v>18.3</v>
      </c>
      <c r="I76" s="187">
        <v>42673</v>
      </c>
      <c r="J76" s="188">
        <v>6.4837104798587619E-2</v>
      </c>
      <c r="L76" s="187">
        <v>42673</v>
      </c>
      <c r="M76" s="188">
        <v>1.6359875209176034E-2</v>
      </c>
      <c r="O76" s="187">
        <v>42673</v>
      </c>
      <c r="P76" s="189">
        <v>2126.15</v>
      </c>
      <c r="Q76" s="190">
        <f t="shared" ref="Q76:Q118" si="4">+(P76-P75)/P75</f>
        <v>-1.9425625037472222E-2</v>
      </c>
      <c r="R76">
        <f t="shared" ref="R76:R117" si="5">+ABS($R$10)*Q76</f>
        <v>-19.425625037472223</v>
      </c>
      <c r="T76" s="187"/>
      <c r="U76" s="189"/>
      <c r="V76" s="190"/>
      <c r="Z76" s="189"/>
      <c r="AA76" s="189"/>
      <c r="AB76" s="190"/>
    </row>
    <row r="77" spans="2:28" x14ac:dyDescent="0.25">
      <c r="B77" s="187">
        <v>42704</v>
      </c>
      <c r="C77" s="103">
        <v>7.0999999999999994E-2</v>
      </c>
      <c r="E77" s="187">
        <v>42704</v>
      </c>
      <c r="F77" s="188">
        <v>2.4E-2</v>
      </c>
      <c r="G77">
        <f t="shared" si="3"/>
        <v>24</v>
      </c>
      <c r="I77" s="187">
        <v>42704</v>
      </c>
      <c r="J77" s="188">
        <v>5.9663396346813391E-2</v>
      </c>
      <c r="L77" s="187">
        <v>42704</v>
      </c>
      <c r="M77" s="188">
        <v>1.6925371625037933E-2</v>
      </c>
      <c r="O77" s="187">
        <v>42704</v>
      </c>
      <c r="P77" s="189">
        <v>2198.81</v>
      </c>
      <c r="Q77" s="190">
        <f t="shared" si="4"/>
        <v>3.4174446769983234E-2</v>
      </c>
      <c r="R77">
        <f t="shared" si="5"/>
        <v>34.174446769983234</v>
      </c>
      <c r="T77" s="187"/>
      <c r="U77" s="189"/>
      <c r="V77" s="190"/>
      <c r="Z77" s="189"/>
      <c r="AA77" s="189"/>
      <c r="AB77" s="190"/>
    </row>
    <row r="78" spans="2:28" x14ac:dyDescent="0.25">
      <c r="B78" s="187">
        <v>42734</v>
      </c>
      <c r="C78" s="103">
        <v>6.9000000000000006E-2</v>
      </c>
      <c r="E78" s="187">
        <v>42734</v>
      </c>
      <c r="F78" s="188">
        <v>2.4799999999999999E-2</v>
      </c>
      <c r="G78">
        <f t="shared" si="3"/>
        <v>24.8</v>
      </c>
      <c r="I78" s="187">
        <v>42734</v>
      </c>
      <c r="J78" s="188">
        <v>5.7471264367816133E-2</v>
      </c>
      <c r="L78" s="187">
        <v>42734</v>
      </c>
      <c r="M78" s="188">
        <v>2.074622132966919E-2</v>
      </c>
      <c r="O78" s="187">
        <v>42734</v>
      </c>
      <c r="P78" s="189">
        <v>2238.83</v>
      </c>
      <c r="Q78" s="190">
        <f t="shared" si="4"/>
        <v>1.8200754044233009E-2</v>
      </c>
      <c r="R78">
        <f t="shared" si="5"/>
        <v>18.200754044233008</v>
      </c>
      <c r="T78" s="187"/>
      <c r="U78" s="189"/>
      <c r="V78" s="190"/>
      <c r="Z78" s="189"/>
      <c r="AA78" s="189"/>
      <c r="AB78" s="190"/>
    </row>
    <row r="79" spans="2:28" x14ac:dyDescent="0.25">
      <c r="B79" s="187">
        <v>42765</v>
      </c>
      <c r="C79" s="103">
        <v>6.6799999999999998E-2</v>
      </c>
      <c r="E79" s="187">
        <v>42765</v>
      </c>
      <c r="F79" s="188">
        <v>2.5000000000000001E-2</v>
      </c>
      <c r="G79">
        <f t="shared" si="3"/>
        <v>25</v>
      </c>
      <c r="I79" s="187">
        <v>42765</v>
      </c>
      <c r="J79" s="188">
        <v>5.4703396462670195E-2</v>
      </c>
      <c r="L79" s="187">
        <v>42765</v>
      </c>
      <c r="M79" s="188">
        <v>2.5000422090529995E-2</v>
      </c>
      <c r="O79" s="187">
        <v>42765</v>
      </c>
      <c r="P79" s="189">
        <v>2280.9</v>
      </c>
      <c r="Q79" s="190">
        <f t="shared" si="4"/>
        <v>1.8791064975902667E-2</v>
      </c>
      <c r="R79">
        <f t="shared" si="5"/>
        <v>18.791064975902668</v>
      </c>
      <c r="T79" s="187"/>
      <c r="U79" s="189"/>
      <c r="V79" s="190"/>
      <c r="Z79" s="189"/>
      <c r="AA79" s="189"/>
      <c r="AB79" s="190"/>
    </row>
    <row r="80" spans="2:28" x14ac:dyDescent="0.25">
      <c r="B80" s="187">
        <v>42794</v>
      </c>
      <c r="C80" s="103">
        <v>6.7500000000000004E-2</v>
      </c>
      <c r="E80" s="187">
        <v>42794</v>
      </c>
      <c r="F80" s="188">
        <v>2.4E-2</v>
      </c>
      <c r="G80">
        <f t="shared" si="3"/>
        <v>24</v>
      </c>
      <c r="I80" s="187">
        <v>42794</v>
      </c>
      <c r="J80" s="188">
        <v>5.1850707055096201E-2</v>
      </c>
      <c r="L80" s="187">
        <v>42794</v>
      </c>
      <c r="M80" s="188">
        <v>2.7379581714893186E-2</v>
      </c>
      <c r="O80" s="187">
        <v>42794</v>
      </c>
      <c r="P80" s="189">
        <v>2363.64</v>
      </c>
      <c r="Q80" s="190">
        <f t="shared" si="4"/>
        <v>3.6275154544258746E-2</v>
      </c>
      <c r="R80">
        <f t="shared" si="5"/>
        <v>36.275154544258747</v>
      </c>
      <c r="T80" s="187"/>
      <c r="U80" s="189"/>
      <c r="V80" s="190"/>
      <c r="Z80" s="189"/>
      <c r="AA80" s="189"/>
      <c r="AB80" s="190"/>
    </row>
    <row r="81" spans="2:28" x14ac:dyDescent="0.25">
      <c r="B81" s="187">
        <v>42824</v>
      </c>
      <c r="C81" s="103">
        <v>6.4699999999999994E-2</v>
      </c>
      <c r="E81" s="187">
        <v>42824</v>
      </c>
      <c r="F81" s="188">
        <v>2.4199999999999999E-2</v>
      </c>
      <c r="G81">
        <f t="shared" si="3"/>
        <v>24.2</v>
      </c>
      <c r="I81" s="187">
        <v>42824</v>
      </c>
      <c r="J81" s="188">
        <v>4.692643343795444E-2</v>
      </c>
      <c r="L81" s="187">
        <v>42824</v>
      </c>
      <c r="M81" s="188">
        <v>2.3806124334402767E-2</v>
      </c>
      <c r="O81" s="187">
        <v>42824</v>
      </c>
      <c r="P81" s="189">
        <v>2368.06</v>
      </c>
      <c r="Q81" s="190">
        <f t="shared" si="4"/>
        <v>1.8699971230813799E-3</v>
      </c>
      <c r="R81">
        <f t="shared" si="5"/>
        <v>1.8699971230813799</v>
      </c>
      <c r="T81" s="187"/>
      <c r="U81" s="189"/>
      <c r="V81" s="190"/>
      <c r="Z81" s="189"/>
      <c r="AA81" s="189"/>
      <c r="AB81" s="190"/>
    </row>
    <row r="82" spans="2:28" x14ac:dyDescent="0.25">
      <c r="B82" s="187">
        <v>42855</v>
      </c>
      <c r="C82" s="103">
        <v>6.0499999999999998E-2</v>
      </c>
      <c r="E82" s="187">
        <v>42855</v>
      </c>
      <c r="F82" s="188">
        <v>2.3959999999999999E-2</v>
      </c>
      <c r="G82">
        <f t="shared" si="3"/>
        <v>23.959999999999997</v>
      </c>
      <c r="I82" s="187">
        <v>42855</v>
      </c>
      <c r="J82" s="188">
        <v>4.6617915904936025E-2</v>
      </c>
      <c r="L82" s="187">
        <v>42855</v>
      </c>
      <c r="M82" s="188">
        <v>2.1996898784172991E-2</v>
      </c>
      <c r="O82" s="187">
        <v>42855</v>
      </c>
      <c r="P82" s="189">
        <v>2384.1999999999998</v>
      </c>
      <c r="Q82" s="190">
        <f t="shared" si="4"/>
        <v>6.8157056831329747E-3</v>
      </c>
      <c r="R82">
        <f t="shared" si="5"/>
        <v>6.8157056831329745</v>
      </c>
      <c r="T82" s="187"/>
      <c r="U82" s="189"/>
      <c r="V82" s="190"/>
      <c r="Z82" s="189"/>
      <c r="AA82" s="189"/>
      <c r="AB82" s="190"/>
    </row>
    <row r="83" spans="2:28" x14ac:dyDescent="0.25">
      <c r="B83" s="187">
        <v>42885</v>
      </c>
      <c r="C83" s="103">
        <v>5.9400000000000001E-2</v>
      </c>
      <c r="E83" s="187">
        <v>42885</v>
      </c>
      <c r="F83" s="188">
        <v>2.282E-2</v>
      </c>
      <c r="G83">
        <f t="shared" si="3"/>
        <v>22.82</v>
      </c>
      <c r="I83" s="187">
        <v>42885</v>
      </c>
      <c r="J83" s="188">
        <v>4.3652898825312869E-2</v>
      </c>
      <c r="L83" s="187">
        <v>42885</v>
      </c>
      <c r="M83" s="188">
        <v>1.8719092891989586E-2</v>
      </c>
      <c r="O83" s="187">
        <v>42885</v>
      </c>
      <c r="P83" s="189">
        <v>2412.91</v>
      </c>
      <c r="Q83" s="190">
        <f t="shared" si="4"/>
        <v>1.2041775018874271E-2</v>
      </c>
      <c r="R83">
        <f t="shared" si="5"/>
        <v>12.04177501887427</v>
      </c>
      <c r="T83" s="187"/>
      <c r="U83" s="189"/>
      <c r="V83" s="190"/>
      <c r="Z83" s="189"/>
      <c r="AA83" s="189"/>
      <c r="AB83" s="190"/>
    </row>
    <row r="84" spans="2:28" x14ac:dyDescent="0.25">
      <c r="B84" s="187">
        <v>42916</v>
      </c>
      <c r="C84" s="103">
        <v>6.1199999999999997E-2</v>
      </c>
      <c r="E84" s="187">
        <v>42916</v>
      </c>
      <c r="F84" s="188">
        <v>2.213E-2</v>
      </c>
      <c r="G84">
        <f t="shared" si="3"/>
        <v>22.13</v>
      </c>
      <c r="I84" s="187">
        <v>42916</v>
      </c>
      <c r="J84" s="188">
        <v>3.9900437471715122E-2</v>
      </c>
      <c r="L84" s="187">
        <v>42916</v>
      </c>
      <c r="M84" s="188">
        <v>1.6250549705855599E-2</v>
      </c>
      <c r="O84" s="187">
        <v>42916</v>
      </c>
      <c r="P84" s="189">
        <v>2423.41</v>
      </c>
      <c r="Q84" s="190">
        <f t="shared" si="4"/>
        <v>4.351592061038332E-3</v>
      </c>
      <c r="R84">
        <f t="shared" si="5"/>
        <v>4.3515920610383318</v>
      </c>
      <c r="T84" s="187"/>
      <c r="U84" s="189"/>
      <c r="V84" s="190"/>
      <c r="Z84" s="189"/>
      <c r="AA84" s="189"/>
      <c r="AB84" s="190"/>
    </row>
    <row r="85" spans="2:28" x14ac:dyDescent="0.25">
      <c r="B85" s="187">
        <v>42946</v>
      </c>
      <c r="C85" s="103">
        <v>6.4500000000000002E-2</v>
      </c>
      <c r="E85" s="187">
        <v>42946</v>
      </c>
      <c r="F85" s="188">
        <v>2.3140000000000001E-2</v>
      </c>
      <c r="G85">
        <f t="shared" si="3"/>
        <v>23.14</v>
      </c>
      <c r="I85" s="187">
        <v>42946</v>
      </c>
      <c r="J85" s="188">
        <v>3.3991145794252331E-2</v>
      </c>
      <c r="L85" s="187">
        <v>42946</v>
      </c>
      <c r="M85" s="188">
        <v>1.7199466438393207E-2</v>
      </c>
      <c r="O85" s="187">
        <v>42946</v>
      </c>
      <c r="P85" s="189">
        <v>2470.3000000000002</v>
      </c>
      <c r="Q85" s="190">
        <f t="shared" si="4"/>
        <v>1.9348768883515513E-2</v>
      </c>
      <c r="R85">
        <f t="shared" si="5"/>
        <v>19.348768883515515</v>
      </c>
      <c r="T85" s="187"/>
      <c r="U85" s="189"/>
      <c r="V85" s="190"/>
      <c r="Z85" s="189"/>
      <c r="AA85" s="189"/>
      <c r="AB85" s="190"/>
    </row>
    <row r="86" spans="2:28" x14ac:dyDescent="0.25">
      <c r="B86" s="187">
        <f>B85+31</f>
        <v>42977</v>
      </c>
      <c r="C86" s="103">
        <v>6.3600000000000004E-2</v>
      </c>
      <c r="E86" s="187">
        <f>E85+31</f>
        <v>42977</v>
      </c>
      <c r="F86" s="103">
        <v>2.1309000000000002E-2</v>
      </c>
      <c r="G86">
        <f t="shared" si="3"/>
        <v>21.309000000000001</v>
      </c>
      <c r="I86" s="187">
        <f>I85+31</f>
        <v>42977</v>
      </c>
      <c r="J86" s="188">
        <v>3.8690252164095051E-2</v>
      </c>
      <c r="L86" s="187">
        <f>L85+31</f>
        <v>42977</v>
      </c>
      <c r="M86" s="188">
        <v>1.9372812462373323E-2</v>
      </c>
      <c r="O86" s="187">
        <f>O85+31</f>
        <v>42977</v>
      </c>
      <c r="P86" s="189">
        <v>2457.59</v>
      </c>
      <c r="Q86" s="190">
        <f t="shared" si="4"/>
        <v>-5.1451240739991237E-3</v>
      </c>
      <c r="R86">
        <f t="shared" si="5"/>
        <v>-5.1451240739991233</v>
      </c>
      <c r="T86" s="187"/>
      <c r="U86" s="189"/>
      <c r="V86" s="190"/>
      <c r="Z86" s="187"/>
      <c r="AA86" s="189"/>
      <c r="AB86" s="190"/>
    </row>
    <row r="87" spans="2:28" x14ac:dyDescent="0.25">
      <c r="B87" s="187">
        <f>B86+31</f>
        <v>43008</v>
      </c>
      <c r="C87" s="103">
        <v>6.2699999999999992E-2</v>
      </c>
      <c r="E87" s="187">
        <f>E86+31</f>
        <v>43008</v>
      </c>
      <c r="F87" s="103">
        <v>2.3335999999999999E-2</v>
      </c>
      <c r="G87">
        <f t="shared" si="3"/>
        <v>23.335999999999999</v>
      </c>
      <c r="I87" s="187">
        <f>I86+31</f>
        <v>43008</v>
      </c>
      <c r="J87" s="188">
        <v>3.9689712306070213E-2</v>
      </c>
      <c r="L87" s="187">
        <f>L86+31</f>
        <v>43008</v>
      </c>
      <c r="M87" s="188">
        <v>2.2329638650032235E-2</v>
      </c>
      <c r="O87" s="187">
        <f>O86+31</f>
        <v>43008</v>
      </c>
      <c r="P87" s="189">
        <v>2519.36</v>
      </c>
      <c r="Q87" s="190">
        <f t="shared" si="4"/>
        <v>2.5134379615802463E-2</v>
      </c>
      <c r="R87">
        <f t="shared" si="5"/>
        <v>25.134379615802462</v>
      </c>
      <c r="T87" s="187"/>
      <c r="U87" s="189"/>
      <c r="V87" s="190"/>
      <c r="Z87" s="187"/>
      <c r="AA87" s="189"/>
      <c r="AB87" s="190"/>
    </row>
    <row r="88" spans="2:28" x14ac:dyDescent="0.25">
      <c r="B88" s="187">
        <f>B87+30</f>
        <v>43038</v>
      </c>
      <c r="C88" s="103">
        <v>6.2800000000000009E-2</v>
      </c>
      <c r="E88" s="187">
        <f>E87+30</f>
        <v>43038</v>
      </c>
      <c r="F88" s="103">
        <v>2.3793000000000002E-2</v>
      </c>
      <c r="G88">
        <f t="shared" si="3"/>
        <v>23.793000000000003</v>
      </c>
      <c r="I88" s="187">
        <f>I87+30</f>
        <v>43038</v>
      </c>
      <c r="J88" s="188">
        <v>4.0467219291635326E-2</v>
      </c>
      <c r="L88" s="187">
        <f>L87+30</f>
        <v>43038</v>
      </c>
      <c r="M88" s="188">
        <v>2.0411287019761692E-2</v>
      </c>
      <c r="O88" s="187">
        <f>O87+30</f>
        <v>43038</v>
      </c>
      <c r="P88" s="189">
        <v>2572.83</v>
      </c>
      <c r="Q88" s="190">
        <f t="shared" si="4"/>
        <v>2.1223644100088829E-2</v>
      </c>
      <c r="R88">
        <f t="shared" si="5"/>
        <v>21.22364410008883</v>
      </c>
      <c r="T88" s="187"/>
      <c r="U88" s="189"/>
      <c r="V88" s="190"/>
      <c r="Z88" s="187"/>
      <c r="AA88" s="189"/>
      <c r="AB88" s="190"/>
    </row>
    <row r="89" spans="2:28" x14ac:dyDescent="0.25">
      <c r="B89" s="187">
        <f>B88+31</f>
        <v>43069</v>
      </c>
      <c r="C89" s="103">
        <v>6.0599999999999994E-2</v>
      </c>
      <c r="E89" s="187">
        <f>E88+31</f>
        <v>43069</v>
      </c>
      <c r="F89" s="103">
        <v>2.4097E-2</v>
      </c>
      <c r="G89">
        <f t="shared" si="3"/>
        <v>24.097000000000001</v>
      </c>
      <c r="I89" s="187">
        <f>I88+31</f>
        <v>43069</v>
      </c>
      <c r="J89" s="188">
        <v>4.1174256680466703E-2</v>
      </c>
      <c r="L89" s="187">
        <f>L88+31</f>
        <v>43069</v>
      </c>
      <c r="M89" s="188">
        <v>2.2025829386831841E-2</v>
      </c>
      <c r="O89" s="187">
        <f>O88+31</f>
        <v>43069</v>
      </c>
      <c r="P89" s="189">
        <v>2647.58</v>
      </c>
      <c r="Q89" s="190">
        <f t="shared" si="4"/>
        <v>2.90536102268708E-2</v>
      </c>
      <c r="R89">
        <f t="shared" si="5"/>
        <v>29.053610226870802</v>
      </c>
      <c r="T89" s="187"/>
      <c r="U89" s="189"/>
      <c r="V89" s="190"/>
      <c r="Z89" s="187"/>
      <c r="AA89" s="189"/>
      <c r="AB89" s="190"/>
    </row>
    <row r="90" spans="2:28" x14ac:dyDescent="0.25">
      <c r="B90" s="187">
        <f>B89+30</f>
        <v>43099</v>
      </c>
      <c r="C90" s="103">
        <v>6.0899999999999996E-2</v>
      </c>
      <c r="E90" s="187">
        <f>E89+30</f>
        <v>43099</v>
      </c>
      <c r="F90" s="103">
        <v>2.4053999999999999E-2</v>
      </c>
      <c r="G90">
        <f t="shared" si="3"/>
        <v>24.053999999999998</v>
      </c>
      <c r="I90" s="187">
        <f>I89+30</f>
        <v>43099</v>
      </c>
      <c r="J90" s="188">
        <v>4.0854572713643122E-2</v>
      </c>
      <c r="L90" s="187">
        <f>L89+30</f>
        <v>43099</v>
      </c>
      <c r="M90" s="188">
        <v>2.1090824745684245E-2</v>
      </c>
      <c r="O90" s="187">
        <f>O89+30</f>
        <v>43099</v>
      </c>
      <c r="P90" s="189">
        <v>2673.61</v>
      </c>
      <c r="Q90" s="190">
        <f t="shared" si="4"/>
        <v>9.8316198188535195E-3</v>
      </c>
      <c r="R90">
        <f t="shared" si="5"/>
        <v>9.83161981885352</v>
      </c>
      <c r="T90" s="187"/>
      <c r="U90" s="189"/>
      <c r="V90" s="190"/>
      <c r="Z90" s="187"/>
      <c r="AA90" s="189"/>
      <c r="AB90" s="190"/>
    </row>
    <row r="91" spans="2:28" x14ac:dyDescent="0.25">
      <c r="B91" s="187">
        <f>B90+31</f>
        <v>43130</v>
      </c>
      <c r="C91" s="103">
        <v>6.0599999999999994E-2</v>
      </c>
      <c r="E91" s="187">
        <f>E90+31</f>
        <v>43130</v>
      </c>
      <c r="F91" s="103">
        <v>2.7199000000000001E-2</v>
      </c>
      <c r="G91">
        <f t="shared" si="3"/>
        <v>27.199000000000002</v>
      </c>
      <c r="I91" s="187">
        <f>I90+31</f>
        <v>43130</v>
      </c>
      <c r="J91" s="188">
        <v>3.6729242412999907E-2</v>
      </c>
      <c r="L91" s="187">
        <f>L90+31</f>
        <v>43130</v>
      </c>
      <c r="M91" s="188">
        <v>2.0705076202751638E-2</v>
      </c>
      <c r="O91" s="187">
        <f>O90+31</f>
        <v>43130</v>
      </c>
      <c r="P91" s="189">
        <v>2713.83</v>
      </c>
      <c r="Q91" s="190">
        <f t="shared" si="4"/>
        <v>1.5043330927098492E-2</v>
      </c>
      <c r="R91">
        <f t="shared" si="5"/>
        <v>15.043330927098493</v>
      </c>
      <c r="T91" s="187"/>
      <c r="U91" s="189"/>
      <c r="V91" s="190"/>
      <c r="Z91" s="187"/>
      <c r="AA91" s="189"/>
      <c r="AB91" s="190"/>
    </row>
    <row r="92" spans="2:28" x14ac:dyDescent="0.25">
      <c r="B92" s="187">
        <f>B91+29</f>
        <v>43159</v>
      </c>
      <c r="C92" s="103">
        <v>6.1699999999999998E-2</v>
      </c>
      <c r="E92" s="187">
        <f>E91+29</f>
        <v>43159</v>
      </c>
      <c r="F92" s="103">
        <v>2.8605999999999999E-2</v>
      </c>
      <c r="G92">
        <f t="shared" si="3"/>
        <v>28.605999999999998</v>
      </c>
      <c r="I92" s="187">
        <f>I91+29</f>
        <v>43159</v>
      </c>
      <c r="J92" s="188">
        <v>3.3720246841022705E-2</v>
      </c>
      <c r="L92" s="187">
        <f>L91+29</f>
        <v>43159</v>
      </c>
      <c r="M92" s="188">
        <v>2.2117954212386604E-2</v>
      </c>
      <c r="O92" s="187">
        <f>O91+29</f>
        <v>43159</v>
      </c>
      <c r="P92" s="189">
        <v>2640.87</v>
      </c>
      <c r="Q92" s="190">
        <f t="shared" si="4"/>
        <v>-2.6884513768364281E-2</v>
      </c>
      <c r="R92">
        <f t="shared" si="5"/>
        <v>-26.884513768364279</v>
      </c>
      <c r="T92" s="187"/>
      <c r="U92" s="189"/>
      <c r="V92" s="190"/>
      <c r="Z92" s="187"/>
      <c r="AA92" s="189"/>
      <c r="AB92" s="190"/>
    </row>
    <row r="93" spans="2:28" x14ac:dyDescent="0.25">
      <c r="B93" s="187">
        <f>B92+30</f>
        <v>43189</v>
      </c>
      <c r="C93" s="103">
        <v>6.0599999999999994E-2</v>
      </c>
      <c r="E93" s="187">
        <f>E92+30</f>
        <v>43189</v>
      </c>
      <c r="F93" s="103">
        <v>2.7389E-2</v>
      </c>
      <c r="G93">
        <f t="shared" si="3"/>
        <v>27.388999999999999</v>
      </c>
      <c r="I93" s="187">
        <f>I92+30</f>
        <v>43189</v>
      </c>
      <c r="J93" s="188">
        <v>3.136882129277585E-2</v>
      </c>
      <c r="L93" s="187">
        <f>L92+30</f>
        <v>43189</v>
      </c>
      <c r="M93" s="188">
        <v>2.3597114039729084E-2</v>
      </c>
      <c r="O93" s="187">
        <f>O92+30</f>
        <v>43189</v>
      </c>
      <c r="P93" s="189">
        <v>2656.3</v>
      </c>
      <c r="Q93" s="190">
        <f t="shared" si="4"/>
        <v>5.8427715109037144E-3</v>
      </c>
      <c r="R93">
        <f t="shared" si="5"/>
        <v>5.8427715109037139</v>
      </c>
      <c r="T93" s="187"/>
      <c r="U93" s="189"/>
      <c r="V93" s="190"/>
      <c r="Z93" s="187"/>
      <c r="AA93" s="189"/>
      <c r="AB93" s="190"/>
    </row>
    <row r="94" spans="2:28" x14ac:dyDescent="0.25">
      <c r="B94" s="187">
        <f>+B93+31</f>
        <v>43220</v>
      </c>
      <c r="C94" s="103">
        <v>5.8999999999999997E-2</v>
      </c>
      <c r="E94" s="187">
        <f>+E93+31</f>
        <v>43220</v>
      </c>
      <c r="F94" s="103">
        <v>2.9360000000000001E-2</v>
      </c>
      <c r="G94">
        <f t="shared" si="3"/>
        <v>29.36</v>
      </c>
      <c r="I94" s="187">
        <f>+I93+31</f>
        <v>43220</v>
      </c>
      <c r="J94" s="103">
        <v>3.1295487627365226E-2</v>
      </c>
      <c r="L94" s="187">
        <f>+L93+31</f>
        <v>43220</v>
      </c>
      <c r="M94" s="103">
        <v>2.4627439433348108E-2</v>
      </c>
      <c r="O94" s="187">
        <f>+O93+31</f>
        <v>43220</v>
      </c>
      <c r="P94" s="189">
        <v>2648.05</v>
      </c>
      <c r="Q94" s="190">
        <f t="shared" si="4"/>
        <v>-3.1058238903738282E-3</v>
      </c>
      <c r="R94">
        <f t="shared" si="5"/>
        <v>-3.1058238903738284</v>
      </c>
      <c r="T94" s="187"/>
      <c r="U94" s="189"/>
      <c r="V94" s="190"/>
      <c r="Z94" s="187"/>
      <c r="AA94" s="189"/>
      <c r="AB94" s="190"/>
    </row>
    <row r="95" spans="2:28" x14ac:dyDescent="0.25">
      <c r="B95" s="187">
        <f>+B94+30</f>
        <v>43250</v>
      </c>
      <c r="C95" s="103">
        <v>6.08E-2</v>
      </c>
      <c r="E95" s="187">
        <f>+E94+30</f>
        <v>43250</v>
      </c>
      <c r="F95" s="103">
        <v>2.844E-2</v>
      </c>
      <c r="G95">
        <f t="shared" si="3"/>
        <v>28.44</v>
      </c>
      <c r="I95" s="187">
        <f>+I94+30</f>
        <v>43250</v>
      </c>
      <c r="J95" s="103">
        <v>3.1588119962239425E-2</v>
      </c>
      <c r="L95" s="187">
        <f>+L94+30</f>
        <v>43250</v>
      </c>
      <c r="M95" s="103">
        <v>2.8010117148075553E-2</v>
      </c>
      <c r="O95" s="187">
        <f>+O94+30</f>
        <v>43250</v>
      </c>
      <c r="P95" s="189">
        <v>2724.01</v>
      </c>
      <c r="Q95" s="190">
        <f t="shared" si="4"/>
        <v>2.8685258964143437E-2</v>
      </c>
      <c r="R95">
        <f t="shared" si="5"/>
        <v>28.685258964143436</v>
      </c>
      <c r="T95" s="187"/>
      <c r="U95" s="189"/>
      <c r="V95" s="190"/>
      <c r="Z95" s="187"/>
      <c r="AA95" s="189"/>
      <c r="AB95" s="190"/>
    </row>
    <row r="96" spans="2:28" x14ac:dyDescent="0.25">
      <c r="B96" s="187">
        <f>+B95+31</f>
        <v>43281</v>
      </c>
      <c r="C96" s="103">
        <v>6.1699999999999998E-2</v>
      </c>
      <c r="E96" s="187">
        <f>+E95+31</f>
        <v>43281</v>
      </c>
      <c r="F96" s="103">
        <v>2.8510000000000001E-2</v>
      </c>
      <c r="G96">
        <f t="shared" si="3"/>
        <v>28.51</v>
      </c>
      <c r="I96" s="187">
        <f>+I95+31</f>
        <v>43281</v>
      </c>
      <c r="J96" s="103">
        <v>3.1986654094436684E-2</v>
      </c>
      <c r="L96" s="187">
        <f>+L95+31</f>
        <v>43281</v>
      </c>
      <c r="M96" s="103">
        <v>2.8715478353166901E-2</v>
      </c>
      <c r="O96" s="187">
        <f>+O95+31</f>
        <v>43281</v>
      </c>
      <c r="P96" s="189">
        <v>2718.37</v>
      </c>
      <c r="Q96" s="190">
        <f t="shared" si="4"/>
        <v>-2.0704769806279446E-3</v>
      </c>
      <c r="R96">
        <f t="shared" si="5"/>
        <v>-2.0704769806279448</v>
      </c>
      <c r="T96" s="187"/>
      <c r="U96" s="189"/>
      <c r="V96" s="190"/>
      <c r="Z96" s="187"/>
      <c r="AA96" s="189"/>
      <c r="AB96" s="190"/>
    </row>
    <row r="97" spans="2:30" x14ac:dyDescent="0.25">
      <c r="B97" s="187">
        <f>+B96+30</f>
        <v>43311</v>
      </c>
      <c r="C97" s="103">
        <v>6.1800000000000001E-2</v>
      </c>
      <c r="E97" s="187">
        <f>+E96+30</f>
        <v>43311</v>
      </c>
      <c r="F97" s="103">
        <v>2.9749999999999999E-2</v>
      </c>
      <c r="G97">
        <f t="shared" si="3"/>
        <v>29.75</v>
      </c>
      <c r="I97" s="187">
        <f>+I96+30</f>
        <v>43311</v>
      </c>
      <c r="J97" s="103">
        <v>3.1204644412191396E-2</v>
      </c>
      <c r="L97" s="187">
        <f>+L96+30</f>
        <v>43311</v>
      </c>
      <c r="M97" s="103">
        <v>2.9495150866471143E-2</v>
      </c>
      <c r="O97" s="187">
        <f>+O96+30</f>
        <v>43311</v>
      </c>
      <c r="P97" s="189">
        <v>2816.29</v>
      </c>
      <c r="Q97" s="190">
        <f t="shared" si="4"/>
        <v>3.6021586465418642E-2</v>
      </c>
      <c r="R97">
        <f t="shared" si="5"/>
        <v>36.021586465418643</v>
      </c>
      <c r="T97" s="187"/>
      <c r="U97" s="189"/>
      <c r="V97" s="190"/>
      <c r="Z97" s="187"/>
      <c r="AA97" s="189"/>
      <c r="AB97" s="190"/>
    </row>
    <row r="98" spans="2:30" x14ac:dyDescent="0.25">
      <c r="B98" s="187">
        <f>+B97+31</f>
        <v>43342</v>
      </c>
      <c r="C98" s="103">
        <v>6.2E-2</v>
      </c>
      <c r="E98" s="187">
        <f>+E97+31</f>
        <v>43342</v>
      </c>
      <c r="F98" s="103">
        <v>2.86E-2</v>
      </c>
      <c r="G98">
        <f t="shared" si="3"/>
        <v>28.6</v>
      </c>
      <c r="I98" s="187">
        <f>+I97+31</f>
        <v>43342</v>
      </c>
      <c r="J98" s="103">
        <v>3.1016740343503102E-2</v>
      </c>
      <c r="L98" s="187">
        <f>+L97+31</f>
        <v>43342</v>
      </c>
      <c r="M98" s="103">
        <v>2.6991801041874375E-2</v>
      </c>
      <c r="O98" s="187">
        <f>+O97+31</f>
        <v>43342</v>
      </c>
      <c r="P98" s="189">
        <v>2901.13</v>
      </c>
      <c r="Q98" s="190">
        <f t="shared" si="4"/>
        <v>3.0124738574507648E-2</v>
      </c>
      <c r="R98">
        <f t="shared" si="5"/>
        <v>30.124738574507649</v>
      </c>
      <c r="T98" s="187"/>
      <c r="U98" s="189"/>
      <c r="V98" s="190"/>
      <c r="Z98" s="187"/>
      <c r="AA98" s="189"/>
      <c r="AB98" s="190"/>
    </row>
    <row r="99" spans="2:30" x14ac:dyDescent="0.25">
      <c r="B99" s="187">
        <f>+B98+31</f>
        <v>43373</v>
      </c>
      <c r="C99" s="103">
        <v>6.2600000000000003E-2</v>
      </c>
      <c r="E99" s="187">
        <f>+E98+31</f>
        <v>43373</v>
      </c>
      <c r="F99" s="103">
        <v>3.056E-2</v>
      </c>
      <c r="G99">
        <f t="shared" si="3"/>
        <v>30.56</v>
      </c>
      <c r="I99" s="187">
        <f>+I98+31</f>
        <v>43373</v>
      </c>
      <c r="J99" s="103">
        <v>3.2234697573342963E-2</v>
      </c>
      <c r="L99" s="187">
        <f>+L98+31</f>
        <v>43373</v>
      </c>
      <c r="M99" s="103">
        <v>2.2769721941990007E-2</v>
      </c>
      <c r="O99" s="187">
        <f>+O98+31</f>
        <v>43373</v>
      </c>
      <c r="P99" s="189">
        <v>2913.98</v>
      </c>
      <c r="Q99" s="190">
        <f t="shared" si="4"/>
        <v>4.4293085797602692E-3</v>
      </c>
      <c r="R99">
        <f t="shared" si="5"/>
        <v>4.4293085797602689</v>
      </c>
      <c r="S99" s="189"/>
      <c r="T99" s="187"/>
      <c r="U99" s="189"/>
      <c r="V99" s="190"/>
      <c r="X99" s="189"/>
      <c r="Y99" s="189"/>
      <c r="Z99" s="187"/>
      <c r="AA99" s="189"/>
      <c r="AB99" s="190"/>
      <c r="AD99" s="189"/>
    </row>
    <row r="100" spans="2:30" x14ac:dyDescent="0.25">
      <c r="B100" s="187">
        <f>+B99+30</f>
        <v>43403</v>
      </c>
      <c r="C100" s="103">
        <v>6.4799999999999996E-2</v>
      </c>
      <c r="E100" s="187">
        <f>+E99+30</f>
        <v>43403</v>
      </c>
      <c r="F100" s="103">
        <v>3.1489999999999997E-2</v>
      </c>
      <c r="G100">
        <f t="shared" si="3"/>
        <v>31.49</v>
      </c>
      <c r="I100" s="187">
        <f>+I99+30</f>
        <v>43403</v>
      </c>
      <c r="J100" s="103">
        <v>3.3316433693054259E-2</v>
      </c>
      <c r="L100" s="187">
        <f>+L99+30</f>
        <v>43403</v>
      </c>
      <c r="M100" s="103">
        <v>2.5224699286070296E-2</v>
      </c>
      <c r="O100" s="187">
        <f>+O99+30</f>
        <v>43403</v>
      </c>
      <c r="P100" s="193">
        <v>2711.74</v>
      </c>
      <c r="Q100" s="190">
        <f t="shared" si="4"/>
        <v>-6.9403358979814631E-2</v>
      </c>
      <c r="R100">
        <f t="shared" si="5"/>
        <v>-69.403358979814627</v>
      </c>
      <c r="S100" s="189"/>
      <c r="T100" s="187"/>
      <c r="U100" s="189"/>
      <c r="V100" s="190"/>
      <c r="X100" s="189"/>
      <c r="Y100" s="189"/>
      <c r="Z100" s="187"/>
      <c r="AA100" s="189"/>
      <c r="AB100" s="190"/>
      <c r="AD100" s="189"/>
    </row>
    <row r="101" spans="2:30" x14ac:dyDescent="0.25">
      <c r="B101" s="187">
        <f>+B100+31</f>
        <v>43434</v>
      </c>
      <c r="C101" s="103">
        <v>6.3600000000000004E-2</v>
      </c>
      <c r="E101" s="187">
        <f>+E100+31</f>
        <v>43434</v>
      </c>
      <c r="F101" s="103">
        <v>2.9929999999999998E-2</v>
      </c>
      <c r="G101">
        <f t="shared" si="3"/>
        <v>29.93</v>
      </c>
      <c r="I101" s="187">
        <f>+I100+31</f>
        <v>43434</v>
      </c>
      <c r="J101" s="103">
        <v>3.2677848467322246E-2</v>
      </c>
      <c r="L101" s="187">
        <f>+L100+31</f>
        <v>43434</v>
      </c>
      <c r="M101" s="103">
        <v>2.1766010321524032E-2</v>
      </c>
      <c r="O101" s="187">
        <f>+O100+31</f>
        <v>43434</v>
      </c>
      <c r="P101" s="193">
        <v>2760.16</v>
      </c>
      <c r="Q101" s="190">
        <f t="shared" si="4"/>
        <v>1.7855694129968239E-2</v>
      </c>
      <c r="R101">
        <f t="shared" si="5"/>
        <v>17.855694129968239</v>
      </c>
      <c r="S101" s="189"/>
      <c r="T101" s="187"/>
      <c r="U101" s="189"/>
      <c r="V101" s="190"/>
      <c r="X101" s="189"/>
      <c r="Y101" s="189"/>
      <c r="Z101" s="187"/>
      <c r="AA101" s="189"/>
      <c r="AB101" s="190"/>
      <c r="AD101" s="189"/>
    </row>
    <row r="102" spans="2:30" x14ac:dyDescent="0.25">
      <c r="B102" s="187">
        <f>+B101+30</f>
        <v>43464</v>
      </c>
      <c r="C102" s="103">
        <v>6.1400000000000003E-2</v>
      </c>
      <c r="E102" s="187">
        <f>+E101+30</f>
        <v>43464</v>
      </c>
      <c r="F102" s="103">
        <v>2.6859999999999998E-2</v>
      </c>
      <c r="G102">
        <f t="shared" si="3"/>
        <v>26.86</v>
      </c>
      <c r="I102" s="187">
        <f>+I101+30</f>
        <v>43464</v>
      </c>
      <c r="J102" s="103">
        <v>3.1832913215700476E-2</v>
      </c>
      <c r="L102" s="187">
        <f>+L101+30</f>
        <v>43464</v>
      </c>
      <c r="M102" s="103">
        <v>1.9101588486313714E-2</v>
      </c>
      <c r="O102" s="187">
        <f>+O101+30</f>
        <v>43464</v>
      </c>
      <c r="P102" s="193">
        <v>2506.85</v>
      </c>
      <c r="Q102" s="190">
        <f t="shared" si="4"/>
        <v>-9.1773665294765508E-2</v>
      </c>
      <c r="R102">
        <f t="shared" si="5"/>
        <v>-91.773665294765507</v>
      </c>
      <c r="S102" s="189"/>
      <c r="T102" s="187"/>
      <c r="U102" s="189"/>
      <c r="V102" s="190"/>
      <c r="X102" s="189"/>
      <c r="Y102" s="189"/>
      <c r="Z102" s="187"/>
      <c r="AA102" s="189"/>
      <c r="AB102" s="190"/>
      <c r="AD102" s="189"/>
    </row>
    <row r="103" spans="2:30" x14ac:dyDescent="0.25">
      <c r="B103" s="187">
        <f>+B102+31</f>
        <v>43495</v>
      </c>
      <c r="C103" s="103">
        <v>6.0400000000000002E-2</v>
      </c>
      <c r="E103" s="187">
        <f>+E102+31</f>
        <v>43495</v>
      </c>
      <c r="F103" s="103">
        <v>2.6329999999999999E-2</v>
      </c>
      <c r="G103">
        <f t="shared" si="3"/>
        <v>26.33</v>
      </c>
      <c r="I103" s="187">
        <f>+I102+31</f>
        <v>43495</v>
      </c>
      <c r="J103" s="103">
        <v>3.6980825101685211E-2</v>
      </c>
      <c r="L103" s="187">
        <f>+L102+31</f>
        <v>43495</v>
      </c>
      <c r="M103" s="103">
        <v>1.5512351381991252E-2</v>
      </c>
      <c r="O103" s="187">
        <f>+O102+31</f>
        <v>43495</v>
      </c>
      <c r="P103" s="193">
        <v>2704.1</v>
      </c>
      <c r="Q103" s="190">
        <f t="shared" si="4"/>
        <v>7.8684404731036967E-2</v>
      </c>
      <c r="R103">
        <f t="shared" si="5"/>
        <v>78.684404731036963</v>
      </c>
      <c r="S103" s="189"/>
      <c r="T103" s="187"/>
      <c r="U103" s="189"/>
      <c r="V103" s="190"/>
      <c r="X103" s="189"/>
      <c r="Y103" s="189"/>
      <c r="Z103" s="187"/>
      <c r="AA103" s="189"/>
      <c r="AB103" s="190"/>
      <c r="AD103" s="189"/>
    </row>
    <row r="104" spans="2:30" x14ac:dyDescent="0.25">
      <c r="B104" s="187">
        <f>+B103+29</f>
        <v>43524</v>
      </c>
      <c r="C104" s="103">
        <v>5.9799999999999999E-2</v>
      </c>
      <c r="E104" s="187">
        <f>+E103+29</f>
        <v>43524</v>
      </c>
      <c r="F104" s="103">
        <v>2.717E-2</v>
      </c>
      <c r="G104">
        <f t="shared" si="3"/>
        <v>27.169999999999998</v>
      </c>
      <c r="I104" s="187">
        <f>+I103+29</f>
        <v>43524</v>
      </c>
      <c r="J104" s="103">
        <v>3.3352446747265674E-2</v>
      </c>
      <c r="L104" s="187">
        <f>+L103+29</f>
        <v>43524</v>
      </c>
      <c r="M104" s="103">
        <v>1.5201352659333089E-2</v>
      </c>
      <c r="O104" s="187">
        <f>+O103+29</f>
        <v>43524</v>
      </c>
      <c r="P104" s="193">
        <v>2784.49</v>
      </c>
      <c r="Q104" s="190">
        <f t="shared" si="4"/>
        <v>2.9728930143115964E-2</v>
      </c>
      <c r="R104">
        <f t="shared" si="5"/>
        <v>29.728930143115964</v>
      </c>
      <c r="S104" s="189"/>
      <c r="T104" s="187"/>
      <c r="U104" s="189"/>
      <c r="V104" s="190"/>
      <c r="X104" s="189"/>
      <c r="Y104" s="189"/>
      <c r="Z104" s="187"/>
      <c r="AA104" s="189"/>
      <c r="AB104" s="190"/>
      <c r="AD104" s="189"/>
    </row>
    <row r="105" spans="2:30" x14ac:dyDescent="0.25">
      <c r="B105" s="187">
        <f>+B104+30</f>
        <v>43554</v>
      </c>
      <c r="C105" s="103">
        <v>5.74E-2</v>
      </c>
      <c r="E105" s="187">
        <f>+E104+30</f>
        <v>43554</v>
      </c>
      <c r="F105" s="103">
        <v>2.4070000000000001E-2</v>
      </c>
      <c r="G105">
        <f t="shared" si="3"/>
        <v>24.07</v>
      </c>
      <c r="I105" s="187">
        <f>+I104+30</f>
        <v>43554</v>
      </c>
      <c r="J105" s="103">
        <v>3.4941542877646725E-2</v>
      </c>
      <c r="L105" s="187">
        <f>+L104+30</f>
        <v>43554</v>
      </c>
      <c r="M105" s="103">
        <v>1.8625227405691724E-2</v>
      </c>
      <c r="O105" s="187">
        <f>+O104+30</f>
        <v>43554</v>
      </c>
      <c r="P105" s="193">
        <v>2834.4</v>
      </c>
      <c r="Q105" s="190">
        <f t="shared" si="4"/>
        <v>1.7924287751078408E-2</v>
      </c>
      <c r="R105">
        <f t="shared" si="5"/>
        <v>17.92428775107841</v>
      </c>
      <c r="S105" s="189"/>
      <c r="T105" s="187"/>
      <c r="U105" s="189"/>
      <c r="V105" s="190"/>
      <c r="X105" s="189"/>
      <c r="Y105" s="189"/>
      <c r="Z105" s="187"/>
      <c r="AA105" s="189"/>
      <c r="AB105" s="190"/>
      <c r="AD105" s="189"/>
    </row>
    <row r="106" spans="2:30" x14ac:dyDescent="0.25">
      <c r="B106" s="187">
        <f>+B105+31</f>
        <v>43585</v>
      </c>
      <c r="C106" s="103">
        <v>5.91E-2</v>
      </c>
      <c r="E106" s="187">
        <f>+E105+31</f>
        <v>43585</v>
      </c>
      <c r="F106" s="103">
        <v>2.5099999999999997E-2</v>
      </c>
      <c r="G106">
        <f t="shared" si="3"/>
        <v>25.099999999999998</v>
      </c>
      <c r="I106" s="187">
        <f>+I105+31</f>
        <v>43585</v>
      </c>
      <c r="J106" s="103">
        <v>3.6093108378610683E-2</v>
      </c>
      <c r="L106" s="187">
        <f>+L105+31</f>
        <v>43585</v>
      </c>
      <c r="M106" s="103">
        <v>1.9964397755302565E-2</v>
      </c>
      <c r="O106" s="187">
        <f>+O105+31</f>
        <v>43585</v>
      </c>
      <c r="P106" s="193">
        <v>2945.83</v>
      </c>
      <c r="Q106" s="190">
        <f t="shared" si="4"/>
        <v>3.9313434942139368E-2</v>
      </c>
      <c r="R106">
        <f t="shared" si="5"/>
        <v>39.313434942139367</v>
      </c>
      <c r="T106" s="187"/>
      <c r="U106" s="189"/>
      <c r="V106" s="190"/>
      <c r="Z106" s="187"/>
      <c r="AA106" s="189"/>
      <c r="AB106" s="190"/>
    </row>
    <row r="107" spans="2:30" x14ac:dyDescent="0.25">
      <c r="B107" s="187">
        <f>+B106+30</f>
        <v>43615</v>
      </c>
      <c r="C107" s="103">
        <v>5.6800000000000003E-2</v>
      </c>
      <c r="E107" s="187">
        <f>+E106+30</f>
        <v>43615</v>
      </c>
      <c r="F107" s="103">
        <v>2.2200000000000001E-2</v>
      </c>
      <c r="G107">
        <f t="shared" si="3"/>
        <v>22.2</v>
      </c>
      <c r="I107" s="187">
        <f>+I106+30</f>
        <v>43615</v>
      </c>
      <c r="J107" s="103">
        <v>3.5933076813453146E-2</v>
      </c>
      <c r="L107" s="187">
        <f>+L106+30</f>
        <v>43615</v>
      </c>
      <c r="M107" s="103">
        <v>1.7902284687663972E-2</v>
      </c>
      <c r="O107" s="187">
        <f>+O106+30</f>
        <v>43615</v>
      </c>
      <c r="P107" s="193">
        <v>2752.06</v>
      </c>
      <c r="Q107" s="190">
        <f t="shared" si="4"/>
        <v>-6.5777726481161508E-2</v>
      </c>
      <c r="R107">
        <f t="shared" si="5"/>
        <v>-65.777726481161508</v>
      </c>
      <c r="T107" s="187"/>
      <c r="U107" s="189"/>
      <c r="V107" s="190"/>
      <c r="Z107" s="187"/>
      <c r="AA107" s="189"/>
      <c r="AB107" s="190"/>
    </row>
    <row r="108" spans="2:30" x14ac:dyDescent="0.25">
      <c r="B108" s="187">
        <f>+B107+31</f>
        <v>43646</v>
      </c>
      <c r="C108" s="103">
        <v>5.1499999999999997E-2</v>
      </c>
      <c r="E108" s="187">
        <f>+E107+31</f>
        <v>43646</v>
      </c>
      <c r="F108" s="103">
        <v>0.02</v>
      </c>
      <c r="G108">
        <f t="shared" si="3"/>
        <v>20</v>
      </c>
      <c r="I108" s="187">
        <f>+I107+31</f>
        <v>43646</v>
      </c>
      <c r="J108" s="103">
        <v>3.6447895335608882E-2</v>
      </c>
      <c r="L108" s="187">
        <f>+L107+31</f>
        <v>43646</v>
      </c>
      <c r="M108" s="103">
        <v>1.6484846560762545E-2</v>
      </c>
      <c r="O108" s="187">
        <f>+O107+31</f>
        <v>43646</v>
      </c>
      <c r="P108" s="193">
        <v>2941.76</v>
      </c>
      <c r="Q108" s="190">
        <f t="shared" si="4"/>
        <v>6.8930183208215035E-2</v>
      </c>
      <c r="R108">
        <f t="shared" si="5"/>
        <v>68.930183208215041</v>
      </c>
      <c r="T108" s="187"/>
      <c r="U108" s="189"/>
      <c r="V108" s="190"/>
      <c r="Z108" s="187"/>
      <c r="AA108" s="189"/>
      <c r="AB108" s="190"/>
    </row>
    <row r="109" spans="2:30" x14ac:dyDescent="0.25">
      <c r="B109" s="187">
        <f>+B108+30</f>
        <v>43676</v>
      </c>
      <c r="C109" s="103">
        <v>5.1299999999999998E-2</v>
      </c>
      <c r="E109" s="187">
        <f>+E108+30</f>
        <v>43676</v>
      </c>
      <c r="F109" s="103">
        <v>2.06E-2</v>
      </c>
      <c r="G109">
        <f t="shared" si="3"/>
        <v>20.6</v>
      </c>
      <c r="I109" s="187">
        <f>+I108+30</f>
        <v>43676</v>
      </c>
      <c r="J109" s="103">
        <v>3.8252064529884278E-2</v>
      </c>
      <c r="L109" s="187">
        <f>+L108+30</f>
        <v>43676</v>
      </c>
      <c r="M109" s="103">
        <v>1.8114648063935146E-2</v>
      </c>
      <c r="O109" s="187">
        <f>+O108+30</f>
        <v>43676</v>
      </c>
      <c r="P109" s="193">
        <v>2980.38</v>
      </c>
      <c r="Q109" s="190">
        <f t="shared" si="4"/>
        <v>1.312819536603934E-2</v>
      </c>
      <c r="R109">
        <f t="shared" si="5"/>
        <v>13.128195366039339</v>
      </c>
      <c r="T109" s="187"/>
      <c r="U109" s="189"/>
      <c r="V109" s="190"/>
      <c r="Z109" s="187"/>
      <c r="AA109" s="189"/>
      <c r="AB109" s="190"/>
    </row>
    <row r="110" spans="2:30" x14ac:dyDescent="0.25">
      <c r="B110" s="187">
        <f>+B109+31</f>
        <v>43707</v>
      </c>
      <c r="C110" s="103">
        <v>5.1999999999999998E-2</v>
      </c>
      <c r="E110" s="187">
        <f>+E109+31</f>
        <v>43707</v>
      </c>
      <c r="F110" s="103">
        <v>1.4999999999999999E-2</v>
      </c>
      <c r="G110">
        <f t="shared" si="3"/>
        <v>15</v>
      </c>
      <c r="I110" s="187">
        <f>+I109+31</f>
        <v>43707</v>
      </c>
      <c r="J110" s="103">
        <v>3.7611240420096781E-2</v>
      </c>
      <c r="L110" s="187">
        <f>+L109+31</f>
        <v>43707</v>
      </c>
      <c r="M110" s="103">
        <v>1.7497798894291483E-2</v>
      </c>
      <c r="O110" s="187">
        <f>+O109+31</f>
        <v>43707</v>
      </c>
      <c r="P110" s="193">
        <v>2926.46</v>
      </c>
      <c r="Q110" s="190">
        <f t="shared" si="4"/>
        <v>-1.8091652742267789E-2</v>
      </c>
      <c r="R110">
        <f t="shared" si="5"/>
        <v>-18.09165274226779</v>
      </c>
      <c r="T110" s="187"/>
      <c r="U110" s="189"/>
      <c r="V110" s="190"/>
      <c r="Z110" s="187"/>
      <c r="AA110" s="189"/>
      <c r="AB110" s="190"/>
    </row>
    <row r="111" spans="2:30" x14ac:dyDescent="0.25">
      <c r="B111" s="187">
        <f>+B110+31</f>
        <v>43738</v>
      </c>
      <c r="C111" s="103">
        <v>5.0599999999999999E-2</v>
      </c>
      <c r="E111" s="187">
        <f>+E110+31</f>
        <v>43738</v>
      </c>
      <c r="F111" s="103">
        <v>1.6799999999999999E-2</v>
      </c>
      <c r="G111">
        <f t="shared" si="3"/>
        <v>16.8</v>
      </c>
      <c r="I111" s="187">
        <f>+I110+31</f>
        <v>43738</v>
      </c>
      <c r="J111" s="103">
        <v>3.8748171250354346E-2</v>
      </c>
      <c r="L111" s="187">
        <f>+L110+31</f>
        <v>43738</v>
      </c>
      <c r="M111" s="103">
        <v>1.7113045131695204E-2</v>
      </c>
      <c r="O111" s="187">
        <f>+O110+31</f>
        <v>43738</v>
      </c>
      <c r="P111" s="193">
        <v>2976.74</v>
      </c>
      <c r="Q111" s="190">
        <f t="shared" si="4"/>
        <v>1.7181167690656883E-2</v>
      </c>
      <c r="R111">
        <f t="shared" si="5"/>
        <v>17.181167690656881</v>
      </c>
      <c r="T111" s="187"/>
      <c r="U111" s="189"/>
      <c r="V111" s="190"/>
      <c r="Z111" s="187"/>
      <c r="AA111" s="189"/>
      <c r="AB111" s="190"/>
    </row>
    <row r="112" spans="2:30" x14ac:dyDescent="0.25">
      <c r="B112" s="187">
        <f>+B111+30</f>
        <v>43768</v>
      </c>
      <c r="C112" s="103">
        <v>5.1999999999999998E-2</v>
      </c>
      <c r="E112" s="187">
        <f>+E111+30</f>
        <v>43768</v>
      </c>
      <c r="F112" s="103">
        <v>1.78E-2</v>
      </c>
      <c r="G112">
        <f t="shared" si="3"/>
        <v>17.8</v>
      </c>
      <c r="I112" s="187">
        <f>+I111+30</f>
        <v>43768</v>
      </c>
      <c r="J112" s="103">
        <v>3.8470859568447091E-2</v>
      </c>
      <c r="L112" s="187">
        <f>+L111+30</f>
        <v>43768</v>
      </c>
      <c r="M112" s="103">
        <v>1.7640429444213845E-2</v>
      </c>
      <c r="O112" s="187">
        <f>+O111+30</f>
        <v>43768</v>
      </c>
      <c r="P112" s="193">
        <v>3037.56</v>
      </c>
      <c r="Q112" s="190">
        <f t="shared" si="4"/>
        <v>2.0431747482144953E-2</v>
      </c>
      <c r="R112">
        <f t="shared" si="5"/>
        <v>20.431747482144953</v>
      </c>
      <c r="T112" s="187"/>
      <c r="U112" s="189"/>
      <c r="V112" s="190"/>
      <c r="Z112" s="187"/>
      <c r="AA112" s="189"/>
      <c r="AB112" s="190"/>
    </row>
    <row r="113" spans="1:30" x14ac:dyDescent="0.25">
      <c r="B113" s="187">
        <f>+B112+31</f>
        <v>43799</v>
      </c>
      <c r="C113" s="103">
        <v>5.5199999999999999E-2</v>
      </c>
      <c r="E113" s="187">
        <f>+E112+31</f>
        <v>43799</v>
      </c>
      <c r="F113" s="103">
        <v>1.78E-2</v>
      </c>
      <c r="G113">
        <f t="shared" si="3"/>
        <v>17.8</v>
      </c>
      <c r="I113" s="187">
        <f>+I112+31</f>
        <v>43799</v>
      </c>
      <c r="J113" s="103">
        <v>3.8033116699632608E-2</v>
      </c>
      <c r="L113" s="187">
        <f>+L112+31</f>
        <v>43799</v>
      </c>
      <c r="M113" s="103">
        <v>2.0512779818916194E-2</v>
      </c>
      <c r="O113" s="187">
        <f>+O112+31</f>
        <v>43799</v>
      </c>
      <c r="P113" s="193">
        <v>3140.98</v>
      </c>
      <c r="Q113" s="190">
        <f t="shared" si="4"/>
        <v>3.4047064090915104E-2</v>
      </c>
      <c r="R113">
        <f t="shared" si="5"/>
        <v>34.047064090915107</v>
      </c>
      <c r="T113" s="187"/>
      <c r="U113" s="189"/>
      <c r="V113" s="190"/>
      <c r="Z113" s="187"/>
      <c r="AA113" s="189"/>
      <c r="AB113" s="190"/>
    </row>
    <row r="114" spans="1:30" x14ac:dyDescent="0.25">
      <c r="B114" s="187">
        <f>+B113+30</f>
        <v>43829</v>
      </c>
      <c r="C114" s="103">
        <v>5.2999999999999999E-2</v>
      </c>
      <c r="E114" s="187">
        <f>+E113+30</f>
        <v>43829</v>
      </c>
      <c r="F114" s="103">
        <v>1.9199999999999998E-2</v>
      </c>
      <c r="G114">
        <f t="shared" si="3"/>
        <v>19.2</v>
      </c>
      <c r="I114" s="187">
        <f>+I113+30</f>
        <v>43829</v>
      </c>
      <c r="J114" s="103">
        <v>3.8000000000000034E-2</v>
      </c>
      <c r="L114" s="187">
        <f>+L113+30</f>
        <v>43829</v>
      </c>
      <c r="M114" s="103">
        <v>2.2851297401217163E-2</v>
      </c>
      <c r="O114" s="187">
        <f>+O113+30</f>
        <v>43829</v>
      </c>
      <c r="P114" s="193">
        <v>3230.78</v>
      </c>
      <c r="Q114" s="190">
        <f t="shared" si="4"/>
        <v>2.8589803182446302E-2</v>
      </c>
      <c r="R114">
        <f t="shared" si="5"/>
        <v>28.589803182446303</v>
      </c>
      <c r="T114" s="187"/>
      <c r="U114" s="189"/>
      <c r="V114" s="190"/>
      <c r="Z114" s="187"/>
      <c r="AA114" s="189"/>
      <c r="AB114" s="190"/>
    </row>
    <row r="115" spans="1:30" x14ac:dyDescent="0.25">
      <c r="B115" s="187">
        <f>+B114+31</f>
        <v>43860</v>
      </c>
      <c r="C115" s="103">
        <v>5.0799999999999998E-2</v>
      </c>
      <c r="E115" s="187">
        <f>+E114+31</f>
        <v>43860</v>
      </c>
      <c r="F115" s="103">
        <v>1.5100000000000001E-2</v>
      </c>
      <c r="G115">
        <f t="shared" si="3"/>
        <v>15.100000000000001</v>
      </c>
      <c r="I115" s="187">
        <f>+I114+31</f>
        <v>43860</v>
      </c>
      <c r="J115" s="103">
        <v>3.6182902584493082E-2</v>
      </c>
      <c r="L115" s="187">
        <f>+L114+31</f>
        <v>43860</v>
      </c>
      <c r="M115" s="103">
        <v>2.4865719552504606E-2</v>
      </c>
      <c r="O115" s="187">
        <f>+O114+31</f>
        <v>43860</v>
      </c>
      <c r="P115" s="193">
        <v>3225.52</v>
      </c>
      <c r="Q115" s="190">
        <f t="shared" si="4"/>
        <v>-1.6280898111292685E-3</v>
      </c>
      <c r="R115">
        <f t="shared" si="5"/>
        <v>-1.6280898111292685</v>
      </c>
      <c r="T115" s="187"/>
      <c r="U115" s="189"/>
      <c r="V115" s="190"/>
      <c r="Z115" s="187"/>
      <c r="AA115" s="189"/>
      <c r="AB115" s="190"/>
    </row>
    <row r="116" spans="1:30" x14ac:dyDescent="0.25">
      <c r="B116" s="187">
        <f>+B115+30</f>
        <v>43890</v>
      </c>
      <c r="C116" s="103">
        <v>4.87E-2</v>
      </c>
      <c r="E116" s="187">
        <f>+E115+30</f>
        <v>43890</v>
      </c>
      <c r="F116" s="103">
        <v>1.1299999999999999E-2</v>
      </c>
      <c r="G116">
        <f t="shared" si="3"/>
        <v>11.299999999999999</v>
      </c>
      <c r="I116" s="187">
        <f>+I115+30</f>
        <v>43890</v>
      </c>
      <c r="J116" s="103">
        <v>3.7161494366475534E-2</v>
      </c>
      <c r="L116" s="187">
        <f>+L115+30</f>
        <v>43890</v>
      </c>
      <c r="M116" s="103">
        <v>2.3348735639459495E-2</v>
      </c>
      <c r="O116" s="187">
        <f>+O115+30</f>
        <v>43890</v>
      </c>
      <c r="P116" s="193">
        <v>2954.22</v>
      </c>
      <c r="Q116" s="190">
        <f t="shared" si="4"/>
        <v>-8.4110469009648109E-2</v>
      </c>
      <c r="R116">
        <f t="shared" si="5"/>
        <v>-84.110469009648114</v>
      </c>
      <c r="T116" s="187"/>
      <c r="U116" s="189"/>
      <c r="V116" s="190"/>
      <c r="Z116" s="187"/>
      <c r="AA116" s="189"/>
      <c r="AB116" s="190"/>
    </row>
    <row r="117" spans="1:30" x14ac:dyDescent="0.25">
      <c r="B117" s="187">
        <f>+B116+30</f>
        <v>43920</v>
      </c>
      <c r="C117" s="103">
        <v>5.8999999999999997E-2</v>
      </c>
      <c r="E117" s="187">
        <f>+E116+30</f>
        <v>43920</v>
      </c>
      <c r="F117" s="103">
        <v>7.0000000000000001E-3</v>
      </c>
      <c r="G117">
        <f t="shared" si="3"/>
        <v>7</v>
      </c>
      <c r="I117" s="187">
        <f>+I116+30</f>
        <v>43920</v>
      </c>
      <c r="J117" s="103">
        <v>3.8476677819326843E-2</v>
      </c>
      <c r="L117" s="187">
        <f>+L116+30</f>
        <v>43920</v>
      </c>
      <c r="M117" s="103">
        <v>1.5393269919198094E-2</v>
      </c>
      <c r="O117" s="187">
        <f>+O116+30</f>
        <v>43920</v>
      </c>
      <c r="P117" s="193">
        <v>2584.59</v>
      </c>
      <c r="Q117" s="190">
        <f t="shared" si="4"/>
        <v>-0.12511932083595659</v>
      </c>
      <c r="R117">
        <f t="shared" si="5"/>
        <v>-125.11932083595659</v>
      </c>
      <c r="T117" s="187"/>
      <c r="U117" s="189"/>
      <c r="V117" s="190"/>
      <c r="Z117" s="187"/>
      <c r="AA117" s="189"/>
      <c r="AB117" s="190"/>
    </row>
    <row r="118" spans="1:30" x14ac:dyDescent="0.25">
      <c r="B118" s="187">
        <f>+B117+31</f>
        <v>43951</v>
      </c>
      <c r="C118" s="103">
        <v>5.21E-2</v>
      </c>
      <c r="E118" s="187">
        <f>+E117+31</f>
        <v>43951</v>
      </c>
      <c r="F118" s="103">
        <v>6.4000000000000003E-3</v>
      </c>
      <c r="G118">
        <f>+(ABS($G$9)*F118)-G9</f>
        <v>1006.4</v>
      </c>
      <c r="I118" s="187">
        <f>+I117+31</f>
        <v>43951</v>
      </c>
      <c r="J118" s="103">
        <v>3.5056795926361017E-2</v>
      </c>
      <c r="L118" s="187">
        <f>+L117+31</f>
        <v>43951</v>
      </c>
      <c r="M118" s="103"/>
      <c r="O118" s="187">
        <f>+O117+31</f>
        <v>43951</v>
      </c>
      <c r="P118" s="193">
        <v>2912.43</v>
      </c>
      <c r="Q118" s="190">
        <f t="shared" si="4"/>
        <v>0.12684410293315368</v>
      </c>
      <c r="R118">
        <f>+(ABS($AC$10)*Q118)+S118</f>
        <v>1000</v>
      </c>
      <c r="S118">
        <f>-R10</f>
        <v>1000</v>
      </c>
      <c r="T118" s="187"/>
      <c r="U118" s="189"/>
      <c r="V118" s="190"/>
      <c r="Z118" s="187"/>
      <c r="AA118" s="189"/>
      <c r="AB118" s="190"/>
      <c r="AD118">
        <f>-AC10</f>
        <v>0</v>
      </c>
    </row>
    <row r="119" spans="1:30" x14ac:dyDescent="0.25">
      <c r="B119" s="187"/>
      <c r="C119" s="103"/>
      <c r="E119" s="187"/>
      <c r="F119" s="103"/>
      <c r="I119" s="187"/>
      <c r="J119" s="103"/>
      <c r="L119" s="187"/>
      <c r="M119" s="103"/>
      <c r="O119" s="187"/>
      <c r="P119" s="193"/>
      <c r="T119" s="187"/>
      <c r="U119" s="189"/>
      <c r="Z119" s="187"/>
      <c r="AA119" s="189"/>
    </row>
    <row r="120" spans="1:30" x14ac:dyDescent="0.25">
      <c r="B120" s="187"/>
      <c r="C120" s="194">
        <f>+AVERAGE(C10:C118)</f>
        <v>6.5961467889908282E-2</v>
      </c>
      <c r="D120" t="s">
        <v>495</v>
      </c>
      <c r="E120" s="187"/>
      <c r="F120" s="194">
        <f>+IRR(G9:G118)</f>
        <v>2.4275493522869507E-2</v>
      </c>
      <c r="G120" s="103"/>
      <c r="J120" s="194">
        <f>+AVERAGE(J10:J118)</f>
        <v>3.9272455081447416E-2</v>
      </c>
      <c r="K120" t="s">
        <v>495</v>
      </c>
      <c r="L120" s="187"/>
      <c r="M120" s="194">
        <f>+AVERAGE(M10:M118)</f>
        <v>1.7975227105046582E-2</v>
      </c>
      <c r="N120" t="s">
        <v>495</v>
      </c>
      <c r="O120" s="187"/>
      <c r="P120" s="187"/>
      <c r="Q120" s="103">
        <f>+Q118</f>
        <v>0.12684410293315368</v>
      </c>
      <c r="R120" s="103">
        <f>+IRR(R10:R118)</f>
        <v>7.0833389108915235E-3</v>
      </c>
      <c r="S120" s="190"/>
      <c r="T120" s="187"/>
      <c r="V120" s="103"/>
      <c r="W120" s="103"/>
      <c r="X120" s="190"/>
      <c r="Z120" s="187"/>
      <c r="AB120" s="103"/>
      <c r="AC120" s="103"/>
      <c r="AD120" s="190"/>
    </row>
    <row r="121" spans="1:30" x14ac:dyDescent="0.25">
      <c r="C121" s="195">
        <f>+STDEV(C10:C118)</f>
        <v>8.7961577076548642E-3</v>
      </c>
      <c r="J121" s="195">
        <f>+STDEV(J10:J118)</f>
        <v>1.5879113020089194E-2</v>
      </c>
      <c r="M121" s="195">
        <f>+STDEV(M10:M118)</f>
        <v>8.8638316372906083E-3</v>
      </c>
      <c r="Q121" s="103">
        <f>+(P118-P10)/P10</f>
        <v>1.1358232925836567</v>
      </c>
      <c r="S121" s="196">
        <f>(1+R120)^12-1</f>
        <v>8.8390978227032457E-2</v>
      </c>
      <c r="V121" s="103"/>
      <c r="X121" s="196"/>
      <c r="AB121" s="103"/>
      <c r="AD121" s="196">
        <f>(1+AC120)^12-1</f>
        <v>0</v>
      </c>
    </row>
    <row r="122" spans="1:30" x14ac:dyDescent="0.25">
      <c r="C122" s="190">
        <f>+C121/C120</f>
        <v>0.13335297089409717</v>
      </c>
      <c r="J122" s="190">
        <f>+J121/J120</f>
        <v>0.40433206905851421</v>
      </c>
      <c r="M122" s="190">
        <f>+M121/M120</f>
        <v>0.49311374957827758</v>
      </c>
      <c r="AB122" s="194"/>
    </row>
    <row r="123" spans="1:30" x14ac:dyDescent="0.25">
      <c r="J123" s="103">
        <f>+J120-M120</f>
        <v>2.1297227976400834E-2</v>
      </c>
    </row>
    <row r="124" spans="1:30" x14ac:dyDescent="0.25">
      <c r="D124" t="s">
        <v>496</v>
      </c>
      <c r="E124" s="103">
        <f>+C120-F120</f>
        <v>4.1685974367038775E-2</v>
      </c>
    </row>
    <row r="125" spans="1:30" x14ac:dyDescent="0.25">
      <c r="A125" t="s">
        <v>497</v>
      </c>
    </row>
    <row r="126" spans="1:30" x14ac:dyDescent="0.25">
      <c r="A126" t="s">
        <v>498</v>
      </c>
    </row>
    <row r="127" spans="1:30" x14ac:dyDescent="0.25">
      <c r="A127" s="197" t="s">
        <v>499</v>
      </c>
    </row>
    <row r="128" spans="1:30" x14ac:dyDescent="0.25">
      <c r="A128" t="s">
        <v>500</v>
      </c>
    </row>
    <row r="129" spans="1:1" x14ac:dyDescent="0.25">
      <c r="A129" s="197" t="s">
        <v>501</v>
      </c>
    </row>
    <row r="130" spans="1:1" x14ac:dyDescent="0.25">
      <c r="A130" s="197" t="s">
        <v>502</v>
      </c>
    </row>
    <row r="131" spans="1:1" x14ac:dyDescent="0.25">
      <c r="A131" t="s">
        <v>503</v>
      </c>
    </row>
    <row r="132" spans="1:1" x14ac:dyDescent="0.25">
      <c r="A132" t="s">
        <v>504</v>
      </c>
    </row>
    <row r="133" spans="1:1" x14ac:dyDescent="0.25">
      <c r="A133" s="197" t="s">
        <v>505</v>
      </c>
    </row>
    <row r="134" spans="1:1" x14ac:dyDescent="0.25">
      <c r="A134" s="198" t="s">
        <v>506</v>
      </c>
    </row>
  </sheetData>
  <mergeCells count="21">
    <mergeCell ref="Z8:AA8"/>
    <mergeCell ref="B8:C8"/>
    <mergeCell ref="E8:F8"/>
    <mergeCell ref="I8:J8"/>
    <mergeCell ref="L8:M8"/>
    <mergeCell ref="O8:P8"/>
    <mergeCell ref="T8:U8"/>
    <mergeCell ref="Z6:AA6"/>
    <mergeCell ref="B7:C7"/>
    <mergeCell ref="E7:F7"/>
    <mergeCell ref="I7:J7"/>
    <mergeCell ref="L7:M7"/>
    <mergeCell ref="O7:P7"/>
    <mergeCell ref="T7:U7"/>
    <mergeCell ref="Z7:AA7"/>
    <mergeCell ref="B6:C6"/>
    <mergeCell ref="E6:F6"/>
    <mergeCell ref="I6:J6"/>
    <mergeCell ref="L6:M6"/>
    <mergeCell ref="O6:P6"/>
    <mergeCell ref="T6:U6"/>
  </mergeCells>
  <hyperlinks>
    <hyperlink ref="A127" r:id="rId1" xr:uid="{00000000-0004-0000-1700-000000000000}"/>
    <hyperlink ref="A130" r:id="rId2" location="Z7_8162H3G0K8RBE0AS52COFE0Q70" display="https://www.grupoaval.com/wps/portal/grupo-aval/aval/portal-financiero/renta-fija/tes/datos-historicos/!ut/p/a1/04_Sj9CPykssy0xPLMnMz0vMAfGjzOItDM2MPIzdDbwNPJ1NDBydDdzc_YO9vALcTfTD9aPwKbEMMsavwMPXgICCYBOoAjMDS08DY38DL393SyMDR28XD8uQUFN_bydTqAIDHMDRQL8gOzvINVBREQDl6dOA/dl5/d5/L2dBISEvZ0FBIS9nQSEh/pw/Z7_8162H3G0K8RBE0AS52COFE0Q70/act/id=0/p=javax.servlet.include.path_info=QCPpageQCPPortletTablaIndicadores.xhtml/429293821247/=/#Z7_8162H3G0K8RBE0AS52COFE0Q70" xr:uid="{00000000-0004-0000-1700-000001000000}"/>
    <hyperlink ref="A129" r:id="rId3" xr:uid="{00000000-0004-0000-1700-000002000000}"/>
    <hyperlink ref="A133" r:id="rId4" xr:uid="{00000000-0004-0000-1700-000003000000}"/>
    <hyperlink ref="A134" r:id="rId5" xr:uid="{00000000-0004-0000-1700-000004000000}"/>
  </hyperlinks>
  <pageMargins left="0.7" right="0.7" top="0.75" bottom="0.75" header="0.3" footer="0.3"/>
  <pageSetup orientation="portrait" horizontalDpi="4294967292" verticalDpi="429496729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C3:J20"/>
  <sheetViews>
    <sheetView showGridLines="0" workbookViewId="0">
      <selection activeCell="G10" sqref="G10"/>
    </sheetView>
  </sheetViews>
  <sheetFormatPr baseColWidth="10" defaultRowHeight="15" x14ac:dyDescent="0.25"/>
  <cols>
    <col min="4" max="4" width="35.85546875" customWidth="1"/>
    <col min="5" max="5" width="25.7109375" customWidth="1"/>
    <col min="7" max="7" width="26.85546875" customWidth="1"/>
    <col min="8" max="8" width="20.28515625" bestFit="1" customWidth="1"/>
  </cols>
  <sheetData>
    <row r="3" spans="3:10" ht="60.75" thickBot="1" x14ac:dyDescent="0.3">
      <c r="D3" s="199" t="s">
        <v>507</v>
      </c>
      <c r="E3" s="199" t="s">
        <v>508</v>
      </c>
      <c r="F3" s="200" t="s">
        <v>509</v>
      </c>
      <c r="G3" s="200" t="s">
        <v>510</v>
      </c>
      <c r="H3" s="9"/>
    </row>
    <row r="4" spans="3:10" x14ac:dyDescent="0.25">
      <c r="C4" s="201" t="s">
        <v>484</v>
      </c>
      <c r="D4" s="7" t="s">
        <v>511</v>
      </c>
      <c r="E4" s="32" t="s">
        <v>512</v>
      </c>
      <c r="F4" s="7" t="s">
        <v>513</v>
      </c>
      <c r="G4" s="7" t="s">
        <v>496</v>
      </c>
      <c r="H4" s="202" t="s">
        <v>514</v>
      </c>
    </row>
    <row r="5" spans="3:10" ht="15.75" thickBot="1" x14ac:dyDescent="0.3">
      <c r="C5" s="203" t="s">
        <v>484</v>
      </c>
      <c r="D5" s="204">
        <f>+[13]Desarrollo!F120</f>
        <v>2.4275493522869507E-2</v>
      </c>
      <c r="E5" s="205">
        <f>+[13]Desarrollo!S121</f>
        <v>8.8390978227032457E-2</v>
      </c>
      <c r="F5" s="206">
        <v>0.88</v>
      </c>
      <c r="G5" s="207">
        <f>+[13]Desarrollo!$E$124</f>
        <v>4.1685974367038775E-2</v>
      </c>
      <c r="H5" s="208">
        <f>+(D5+(E5-D5)*F5)+G5</f>
        <v>0.12238309442957168</v>
      </c>
      <c r="I5" t="s">
        <v>515</v>
      </c>
      <c r="J5" t="s">
        <v>516</v>
      </c>
    </row>
    <row r="8" spans="3:10" ht="15.75" thickBot="1" x14ac:dyDescent="0.3">
      <c r="D8" t="s">
        <v>517</v>
      </c>
      <c r="E8" t="s">
        <v>518</v>
      </c>
    </row>
    <row r="9" spans="3:10" x14ac:dyDescent="0.25">
      <c r="C9" s="201"/>
      <c r="D9" s="209" t="s">
        <v>519</v>
      </c>
      <c r="E9" s="209" t="s">
        <v>520</v>
      </c>
      <c r="F9" s="209" t="s">
        <v>521</v>
      </c>
      <c r="G9" s="209"/>
      <c r="H9" s="210" t="s">
        <v>514</v>
      </c>
    </row>
    <row r="10" spans="3:10" ht="15.75" thickBot="1" x14ac:dyDescent="0.3">
      <c r="C10" s="203"/>
      <c r="D10" s="207">
        <f>+H5</f>
        <v>0.12238309442957168</v>
      </c>
      <c r="E10" s="211">
        <f>+[13]Desarrollo!J123</f>
        <v>2.1297227976400834E-2</v>
      </c>
      <c r="F10" s="211">
        <f>+D10*E10</f>
        <v>2.6064206625239792E-3</v>
      </c>
      <c r="G10" s="207">
        <f>+D10+E10+(F10)</f>
        <v>0.14628674306849648</v>
      </c>
      <c r="H10" s="208">
        <f>+G10</f>
        <v>0.14628674306849648</v>
      </c>
      <c r="I10" t="s">
        <v>522</v>
      </c>
    </row>
    <row r="11" spans="3:10" x14ac:dyDescent="0.25">
      <c r="H11" t="s">
        <v>442</v>
      </c>
    </row>
    <row r="16" spans="3:10" x14ac:dyDescent="0.25">
      <c r="D16" t="s">
        <v>523</v>
      </c>
      <c r="E16" t="s">
        <v>524</v>
      </c>
    </row>
    <row r="17" spans="3:4" x14ac:dyDescent="0.25">
      <c r="C17" t="s">
        <v>525</v>
      </c>
      <c r="D17" t="s">
        <v>526</v>
      </c>
    </row>
    <row r="18" spans="3:4" x14ac:dyDescent="0.25">
      <c r="D18" t="s">
        <v>527</v>
      </c>
    </row>
    <row r="19" spans="3:4" x14ac:dyDescent="0.25">
      <c r="D19" t="s">
        <v>528</v>
      </c>
    </row>
    <row r="20" spans="3:4" x14ac:dyDescent="0.25">
      <c r="D20" t="s">
        <v>529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99FF"/>
  </sheetPr>
  <dimension ref="H3"/>
  <sheetViews>
    <sheetView workbookViewId="0">
      <selection activeCell="H23" sqref="H23"/>
    </sheetView>
  </sheetViews>
  <sheetFormatPr baseColWidth="10" defaultRowHeight="15" x14ac:dyDescent="0.25"/>
  <sheetData>
    <row r="3" spans="8:8" x14ac:dyDescent="0.25">
      <c r="H3" t="s">
        <v>483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14</vt:i4>
      </vt:variant>
    </vt:vector>
  </HeadingPairs>
  <TitlesOfParts>
    <vt:vector size="34" baseType="lpstr">
      <vt:lpstr>CONTENIDO</vt:lpstr>
      <vt:lpstr>INFORMACIÓN INICIAL </vt:lpstr>
      <vt:lpstr>OCUPACIÓN TARIFAS</vt:lpstr>
      <vt:lpstr>COSTOS Y GASTOS </vt:lpstr>
      <vt:lpstr>SERV DEUDA</vt:lpstr>
      <vt:lpstr>AMORT-DEPREC</vt:lpstr>
      <vt:lpstr>ER</vt:lpstr>
      <vt:lpstr>FC</vt:lpstr>
      <vt:lpstr>PARÁM-SENSIBILIDAD</vt:lpstr>
      <vt:lpstr>ESF</vt:lpstr>
      <vt:lpstr>FyU</vt:lpstr>
      <vt:lpstr>WACC</vt:lpstr>
      <vt:lpstr>Rolling WACC</vt:lpstr>
      <vt:lpstr>Métricas</vt:lpstr>
      <vt:lpstr>Ejercicio 3 Riesgos</vt:lpstr>
      <vt:lpstr>Ejer 3 Resumen del escenario</vt:lpstr>
      <vt:lpstr>Industry Averages</vt:lpstr>
      <vt:lpstr>Desarrollo</vt:lpstr>
      <vt:lpstr>Solución</vt:lpstr>
      <vt:lpstr>Indicadores</vt:lpstr>
      <vt:lpstr>costo</vt:lpstr>
      <vt:lpstr>costos</vt:lpstr>
      <vt:lpstr>Endeudamiento</vt:lpstr>
      <vt:lpstr>Ingresos</vt:lpstr>
      <vt:lpstr>Interes</vt:lpstr>
      <vt:lpstr>Inversion</vt:lpstr>
      <vt:lpstr>Inversión</vt:lpstr>
      <vt:lpstr>ocupac</vt:lpstr>
      <vt:lpstr>ocupacion</vt:lpstr>
      <vt:lpstr>Precio</vt:lpstr>
      <vt:lpstr>Tarifas</vt:lpstr>
      <vt:lpstr>TIR</vt:lpstr>
      <vt:lpstr>'Industry Averages'!Títulos_a_imprimir</vt:lpstr>
      <vt:lpstr>VPN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Montoya Velásquez</dc:creator>
  <cp:lastModifiedBy>Carolina Montoya Velásquez</cp:lastModifiedBy>
  <cp:lastPrinted>2020-09-23T19:11:05Z</cp:lastPrinted>
  <dcterms:created xsi:type="dcterms:W3CDTF">2020-09-23T15:26:50Z</dcterms:created>
  <dcterms:modified xsi:type="dcterms:W3CDTF">2020-11-27T22:05:49Z</dcterms:modified>
</cp:coreProperties>
</file>