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8915" windowHeight="7485" firstSheet="1" activeTab="2"/>
  </bookViews>
  <sheets>
    <sheet name="CARACTERIZACIÓN SAVIASALUD" sheetId="2" r:id="rId1"/>
    <sheet name="PROYECCIÓN SAVIASALUD" sheetId="1" r:id="rId2"/>
    <sheet name="COSTOS REALES SAVIASALUD" sheetId="5" r:id="rId3"/>
    <sheet name="ANALISIS COMPARATIVO" sheetId="6" r:id="rId4"/>
  </sheets>
  <definedNames>
    <definedName name="_xlnm._FilterDatabase" localSheetId="2" hidden="1">'COSTOS REALES SAVIASALUD'!$A$1:$BJ$27</definedName>
  </definedNames>
  <calcPr calcId="144525"/>
</workbook>
</file>

<file path=xl/calcChain.xml><?xml version="1.0" encoding="utf-8"?>
<calcChain xmlns="http://schemas.openxmlformats.org/spreadsheetml/2006/main">
  <c r="M33" i="6" l="1"/>
  <c r="L29" i="6"/>
  <c r="M4" i="6"/>
  <c r="M5" i="6"/>
  <c r="M6" i="6"/>
  <c r="M7" i="6"/>
  <c r="M9" i="6"/>
  <c r="M10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 l="1"/>
  <c r="J8" i="6"/>
  <c r="J3" i="6"/>
  <c r="C55" i="5" l="1"/>
  <c r="B89" i="5"/>
  <c r="I56" i="5" l="1"/>
  <c r="J56" i="5"/>
  <c r="K56" i="5" s="1"/>
  <c r="E56" i="5"/>
  <c r="F56" i="5"/>
  <c r="G56" i="5" l="1"/>
  <c r="H11" i="6"/>
  <c r="H30" i="6" l="1"/>
  <c r="I4" i="6"/>
  <c r="I5" i="6"/>
  <c r="I6" i="6"/>
  <c r="I7" i="6"/>
  <c r="I8" i="6"/>
  <c r="I9" i="6"/>
  <c r="I10" i="6"/>
  <c r="I13" i="6"/>
  <c r="I14" i="6"/>
  <c r="I15" i="6"/>
  <c r="I17" i="6"/>
  <c r="I18" i="6"/>
  <c r="I19" i="6"/>
  <c r="I20" i="6"/>
  <c r="I21" i="6"/>
  <c r="I22" i="6"/>
  <c r="I23" i="6"/>
  <c r="I24" i="6"/>
  <c r="I25" i="6"/>
  <c r="I3" i="6"/>
  <c r="L11" i="6"/>
  <c r="L8" i="6"/>
  <c r="M8" i="6" s="1"/>
  <c r="L3" i="6"/>
  <c r="K11" i="6"/>
  <c r="G11" i="6"/>
  <c r="G30" i="6" s="1"/>
  <c r="D3" i="6"/>
  <c r="D4" i="6"/>
  <c r="D5" i="6"/>
  <c r="D6" i="6"/>
  <c r="D7" i="6"/>
  <c r="D8" i="6"/>
  <c r="D9" i="6"/>
  <c r="D10" i="6"/>
  <c r="D12" i="6"/>
  <c r="D13" i="6"/>
  <c r="D14" i="6"/>
  <c r="D17" i="6"/>
  <c r="D19" i="6"/>
  <c r="D20" i="6"/>
  <c r="D21" i="6"/>
  <c r="D22" i="6"/>
  <c r="D23" i="6"/>
  <c r="D2" i="6"/>
  <c r="E41" i="1"/>
  <c r="E42" i="1"/>
  <c r="E43" i="1"/>
  <c r="E44" i="1"/>
  <c r="E45" i="1"/>
  <c r="E46" i="1"/>
  <c r="E47" i="1"/>
  <c r="E40" i="1"/>
  <c r="E38" i="1"/>
  <c r="E37" i="1"/>
  <c r="E33" i="1"/>
  <c r="E34" i="1"/>
  <c r="E35" i="1"/>
  <c r="E32" i="1"/>
  <c r="E39" i="1"/>
  <c r="E36" i="1"/>
  <c r="E31" i="1"/>
  <c r="C41" i="1"/>
  <c r="C42" i="1"/>
  <c r="C43" i="1"/>
  <c r="C44" i="1"/>
  <c r="C45" i="1"/>
  <c r="C46" i="1"/>
  <c r="C47" i="1"/>
  <c r="C40" i="1"/>
  <c r="C39" i="1"/>
  <c r="C38" i="1"/>
  <c r="C37" i="1"/>
  <c r="C36" i="1"/>
  <c r="C33" i="1"/>
  <c r="C34" i="1"/>
  <c r="C35" i="1"/>
  <c r="C32" i="1"/>
  <c r="B50" i="1"/>
  <c r="C31" i="1"/>
  <c r="B39" i="1"/>
  <c r="B36" i="1"/>
  <c r="B31" i="1"/>
  <c r="B26" i="1"/>
  <c r="C20" i="1" s="1"/>
  <c r="B9" i="1"/>
  <c r="C5" i="1" s="1"/>
  <c r="C24" i="1"/>
  <c r="C19" i="1"/>
  <c r="C12" i="1"/>
  <c r="C9" i="1"/>
  <c r="B20" i="1"/>
  <c r="C16" i="1"/>
  <c r="C18" i="1"/>
  <c r="C17" i="1"/>
  <c r="C15" i="1"/>
  <c r="C14" i="1"/>
  <c r="C13" i="1"/>
  <c r="C11" i="1"/>
  <c r="C10" i="1"/>
  <c r="C6" i="1"/>
  <c r="C8" i="1"/>
  <c r="C4" i="1"/>
  <c r="L31" i="6" l="1"/>
  <c r="L30" i="6"/>
  <c r="K30" i="6"/>
  <c r="K31" i="6"/>
  <c r="M11" i="6"/>
  <c r="J11" i="6"/>
  <c r="J30" i="6"/>
  <c r="M3" i="6"/>
  <c r="M30" i="6" s="1"/>
  <c r="I30" i="6"/>
  <c r="I11" i="6"/>
  <c r="M31" i="6" l="1"/>
  <c r="K34" i="6"/>
  <c r="C18" i="6"/>
  <c r="D18" i="6" s="1"/>
  <c r="C16" i="6"/>
  <c r="D16" i="6" s="1"/>
  <c r="C15" i="6"/>
  <c r="D15" i="6" s="1"/>
  <c r="C11" i="6"/>
  <c r="D11" i="6" s="1"/>
  <c r="C24" i="6" l="1"/>
  <c r="D24" i="6" s="1"/>
  <c r="K57" i="5"/>
  <c r="F57" i="5"/>
  <c r="E57" i="5"/>
  <c r="A53" i="5"/>
  <c r="A52" i="5"/>
  <c r="A51" i="5"/>
  <c r="K50" i="5"/>
  <c r="G50" i="5"/>
  <c r="D50" i="5"/>
  <c r="L50" i="5" s="1"/>
  <c r="A50" i="5"/>
  <c r="K49" i="5"/>
  <c r="H49" i="5"/>
  <c r="G49" i="5"/>
  <c r="D49" i="5"/>
  <c r="L49" i="5" s="1"/>
  <c r="A49" i="5"/>
  <c r="K48" i="5"/>
  <c r="H48" i="5"/>
  <c r="G48" i="5"/>
  <c r="D48" i="5"/>
  <c r="L48" i="5" s="1"/>
  <c r="K47" i="5"/>
  <c r="G47" i="5"/>
  <c r="D47" i="5"/>
  <c r="L47" i="5" s="1"/>
  <c r="B47" i="5"/>
  <c r="K46" i="5"/>
  <c r="G46" i="5"/>
  <c r="D46" i="5"/>
  <c r="H46" i="5" s="1"/>
  <c r="K45" i="5"/>
  <c r="G45" i="5"/>
  <c r="D45" i="5"/>
  <c r="L45" i="5" s="1"/>
  <c r="A44" i="5"/>
  <c r="K43" i="5"/>
  <c r="G43" i="5"/>
  <c r="D43" i="5"/>
  <c r="H43" i="5" s="1"/>
  <c r="A43" i="5"/>
  <c r="G42" i="5"/>
  <c r="D42" i="5"/>
  <c r="H42" i="5" s="1"/>
  <c r="G41" i="5"/>
  <c r="D41" i="5"/>
  <c r="H41" i="5" s="1"/>
  <c r="A40" i="5"/>
  <c r="K38" i="5"/>
  <c r="G38" i="5"/>
  <c r="D38" i="5"/>
  <c r="L38" i="5" s="1"/>
  <c r="A38" i="5"/>
  <c r="G37" i="5"/>
  <c r="D37" i="5"/>
  <c r="H37" i="5" s="1"/>
  <c r="A37" i="5"/>
  <c r="C35" i="5"/>
  <c r="B35" i="5"/>
  <c r="A35" i="5"/>
  <c r="A34" i="5"/>
  <c r="A33" i="5"/>
  <c r="A32" i="5"/>
  <c r="BI27" i="5"/>
  <c r="B53" i="5" s="1"/>
  <c r="BG27" i="5"/>
  <c r="C52" i="5" s="1"/>
  <c r="BF27" i="5"/>
  <c r="B52" i="5" s="1"/>
  <c r="BD27" i="5"/>
  <c r="C51" i="5" s="1"/>
  <c r="BC27" i="5"/>
  <c r="B51" i="5" s="1"/>
  <c r="AZ27" i="5"/>
  <c r="B38" i="5" s="1"/>
  <c r="AW27" i="5"/>
  <c r="B50" i="5" s="1"/>
  <c r="AT27" i="5"/>
  <c r="B49" i="5" s="1"/>
  <c r="AP27" i="5"/>
  <c r="B48" i="5" s="1"/>
  <c r="AO27" i="5"/>
  <c r="AM27" i="5"/>
  <c r="AJ27" i="5"/>
  <c r="B46" i="5" s="1"/>
  <c r="AG27" i="5"/>
  <c r="B45" i="5" s="1"/>
  <c r="AD27" i="5"/>
  <c r="B43" i="5" s="1"/>
  <c r="Z27" i="5"/>
  <c r="B41" i="5" s="1"/>
  <c r="W27" i="5"/>
  <c r="B42" i="5" s="1"/>
  <c r="T27" i="5"/>
  <c r="B37" i="5" s="1"/>
  <c r="B36" i="5" s="1"/>
  <c r="M27" i="5"/>
  <c r="B34" i="5" s="1"/>
  <c r="I27" i="5"/>
  <c r="B33" i="5" s="1"/>
  <c r="E27" i="5"/>
  <c r="B32" i="5" s="1"/>
  <c r="BJ23" i="5"/>
  <c r="BJ27" i="5" s="1"/>
  <c r="C53" i="5" s="1"/>
  <c r="G22" i="5"/>
  <c r="G21" i="5"/>
  <c r="BA19" i="5"/>
  <c r="AX19" i="5"/>
  <c r="AU19" i="5"/>
  <c r="AQ19" i="5"/>
  <c r="AN19" i="5"/>
  <c r="C47" i="5" s="1"/>
  <c r="AK19" i="5"/>
  <c r="AH19" i="5"/>
  <c r="AE19" i="5"/>
  <c r="B19" i="5"/>
  <c r="C14" i="5" s="1"/>
  <c r="O18" i="5"/>
  <c r="G18" i="5"/>
  <c r="B17" i="5"/>
  <c r="B16" i="5"/>
  <c r="O15" i="5"/>
  <c r="G15" i="5"/>
  <c r="C13" i="5"/>
  <c r="BA12" i="5"/>
  <c r="AX12" i="5"/>
  <c r="AX27" i="5" s="1"/>
  <c r="C50" i="5" s="1"/>
  <c r="AU12" i="5"/>
  <c r="AQ12" i="5"/>
  <c r="AQ27" i="5" s="1"/>
  <c r="C48" i="5" s="1"/>
  <c r="AN12" i="5"/>
  <c r="AK12" i="5"/>
  <c r="AK27" i="5" s="1"/>
  <c r="C46" i="5" s="1"/>
  <c r="AH12" i="5"/>
  <c r="AE12" i="5"/>
  <c r="AA12" i="5"/>
  <c r="X12" i="5"/>
  <c r="X27" i="5" s="1"/>
  <c r="C42" i="5" s="1"/>
  <c r="U12" i="5"/>
  <c r="U27" i="5" s="1"/>
  <c r="C37" i="5" s="1"/>
  <c r="B12" i="5"/>
  <c r="B25" i="5" s="1"/>
  <c r="O11" i="5"/>
  <c r="G11" i="5"/>
  <c r="O8" i="5"/>
  <c r="K8" i="5"/>
  <c r="K27" i="5" s="1"/>
  <c r="C33" i="5" s="1"/>
  <c r="G8" i="5"/>
  <c r="BA27" i="5" l="1"/>
  <c r="C38" i="5" s="1"/>
  <c r="H38" i="5"/>
  <c r="O27" i="5"/>
  <c r="C34" i="5" s="1"/>
  <c r="B31" i="5"/>
  <c r="AR19" i="5"/>
  <c r="AB12" i="5"/>
  <c r="AB27" i="5" s="1"/>
  <c r="AN27" i="5"/>
  <c r="B39" i="5"/>
  <c r="H47" i="5"/>
  <c r="AH27" i="5"/>
  <c r="C45" i="5" s="1"/>
  <c r="AU27" i="5"/>
  <c r="C49" i="5" s="1"/>
  <c r="AE27" i="5"/>
  <c r="C43" i="5" s="1"/>
  <c r="G27" i="5"/>
  <c r="C32" i="5" s="1"/>
  <c r="C31" i="5" s="1"/>
  <c r="H50" i="5"/>
  <c r="G57" i="5"/>
  <c r="C19" i="5"/>
  <c r="C22" i="5"/>
  <c r="C36" i="5"/>
  <c r="C5" i="5"/>
  <c r="C12" i="5"/>
  <c r="C3" i="5"/>
  <c r="C7" i="5"/>
  <c r="AA27" i="5"/>
  <c r="C41" i="5" s="1"/>
  <c r="C4" i="5"/>
  <c r="AR12" i="5"/>
  <c r="AR27" i="5" s="1"/>
  <c r="C39" i="5" s="1"/>
  <c r="H45" i="5"/>
  <c r="L43" i="5"/>
  <c r="L46" i="5"/>
  <c r="C6" i="5"/>
  <c r="F11" i="2"/>
  <c r="F19" i="2"/>
  <c r="F18" i="2"/>
  <c r="F21" i="2"/>
  <c r="D18" i="2"/>
  <c r="F13" i="2"/>
  <c r="F12" i="2"/>
  <c r="G25" i="2"/>
  <c r="D25" i="2"/>
  <c r="D23" i="2"/>
  <c r="D22" i="2"/>
  <c r="D21" i="2"/>
  <c r="D20" i="2"/>
  <c r="D17" i="2"/>
  <c r="D16" i="2"/>
  <c r="D15" i="2"/>
  <c r="F16" i="2"/>
  <c r="D13" i="2"/>
  <c r="D14" i="2"/>
  <c r="D12" i="2"/>
  <c r="D10" i="2"/>
  <c r="L56" i="5" l="1"/>
  <c r="H56" i="5"/>
  <c r="L59" i="5" s="1"/>
  <c r="L57" i="5"/>
  <c r="H57" i="5"/>
  <c r="C57" i="5"/>
  <c r="B11" i="1"/>
  <c r="B10" i="1"/>
  <c r="F3" i="2" l="1"/>
  <c r="F4" i="2"/>
  <c r="F5" i="2"/>
  <c r="F6" i="2"/>
  <c r="F2" i="2"/>
  <c r="D3" i="2"/>
  <c r="D4" i="2"/>
  <c r="D5" i="2"/>
  <c r="D6" i="2"/>
  <c r="D7" i="2"/>
  <c r="D2" i="2"/>
  <c r="Y11" i="1"/>
  <c r="Y10" i="1"/>
  <c r="I4" i="1"/>
  <c r="AC28" i="1" l="1"/>
  <c r="U28" i="1"/>
  <c r="R28" i="1"/>
  <c r="P28" i="1"/>
  <c r="M28" i="1"/>
  <c r="K28" i="1"/>
  <c r="H28" i="1"/>
  <c r="F28" i="1"/>
  <c r="L5" i="1"/>
  <c r="L4" i="1"/>
  <c r="BL24" i="1"/>
  <c r="BL28" i="1" s="1"/>
  <c r="B47" i="1" s="1"/>
  <c r="BI15" i="1"/>
  <c r="BI17" i="1"/>
  <c r="BI18" i="1"/>
  <c r="BI21" i="1"/>
  <c r="BI22" i="1"/>
  <c r="BI14" i="1"/>
  <c r="BE5" i="1"/>
  <c r="BE6" i="1"/>
  <c r="BE7" i="1"/>
  <c r="BE10" i="1"/>
  <c r="BE11" i="1"/>
  <c r="BE14" i="1"/>
  <c r="BE15" i="1"/>
  <c r="BE17" i="1"/>
  <c r="BE18" i="1"/>
  <c r="BE21" i="1"/>
  <c r="BE22" i="1"/>
  <c r="BE4" i="1"/>
  <c r="BA5" i="1"/>
  <c r="BA6" i="1"/>
  <c r="BA7" i="1"/>
  <c r="BA10" i="1"/>
  <c r="BA11" i="1"/>
  <c r="BA14" i="1"/>
  <c r="BA15" i="1"/>
  <c r="BA17" i="1"/>
  <c r="BA18" i="1"/>
  <c r="BA21" i="1"/>
  <c r="BA22" i="1"/>
  <c r="BA4" i="1"/>
  <c r="AW5" i="1"/>
  <c r="AW6" i="1"/>
  <c r="AW7" i="1"/>
  <c r="AW10" i="1"/>
  <c r="AW11" i="1"/>
  <c r="AW14" i="1"/>
  <c r="AW15" i="1"/>
  <c r="AW17" i="1"/>
  <c r="AW18" i="1"/>
  <c r="AW21" i="1"/>
  <c r="AW22" i="1"/>
  <c r="AW4" i="1"/>
  <c r="AS5" i="1"/>
  <c r="AS6" i="1"/>
  <c r="AS7" i="1"/>
  <c r="AS10" i="1"/>
  <c r="AS11" i="1"/>
  <c r="AS14" i="1"/>
  <c r="AS15" i="1"/>
  <c r="AS17" i="1"/>
  <c r="AS18" i="1"/>
  <c r="AS21" i="1"/>
  <c r="AS22" i="1"/>
  <c r="AS4" i="1"/>
  <c r="AO5" i="1"/>
  <c r="AO6" i="1"/>
  <c r="AO7" i="1"/>
  <c r="AO10" i="1"/>
  <c r="AO11" i="1"/>
  <c r="AO14" i="1"/>
  <c r="AO15" i="1"/>
  <c r="AO17" i="1"/>
  <c r="AO18" i="1"/>
  <c r="AO21" i="1"/>
  <c r="AO22" i="1"/>
  <c r="AO4" i="1"/>
  <c r="AH5" i="1"/>
  <c r="AH6" i="1"/>
  <c r="AH7" i="1"/>
  <c r="AH10" i="1"/>
  <c r="AH11" i="1"/>
  <c r="AH14" i="1"/>
  <c r="AH15" i="1"/>
  <c r="AH17" i="1"/>
  <c r="AH18" i="1"/>
  <c r="AH21" i="1"/>
  <c r="AH22" i="1"/>
  <c r="AH4" i="1"/>
  <c r="AD21" i="1"/>
  <c r="AD22" i="1"/>
  <c r="AD15" i="1"/>
  <c r="AD17" i="1"/>
  <c r="AD18" i="1"/>
  <c r="AD11" i="1"/>
  <c r="AD14" i="1"/>
  <c r="AD10" i="1"/>
  <c r="AD5" i="1"/>
  <c r="AD6" i="1"/>
  <c r="AD7" i="1"/>
  <c r="AD4" i="1"/>
  <c r="Y22" i="1"/>
  <c r="AH28" i="1" l="1"/>
  <c r="B41" i="1" s="1"/>
  <c r="L28" i="1"/>
  <c r="B33" i="1" s="1"/>
  <c r="BI28" i="1"/>
  <c r="B46" i="1" s="1"/>
  <c r="BE28" i="1"/>
  <c r="B45" i="1" s="1"/>
  <c r="BA28" i="1"/>
  <c r="B38" i="1" s="1"/>
  <c r="AW28" i="1"/>
  <c r="B44" i="1" s="1"/>
  <c r="AS28" i="1"/>
  <c r="B43" i="1" s="1"/>
  <c r="AO28" i="1"/>
  <c r="B42" i="1" s="1"/>
  <c r="AD28" i="1"/>
  <c r="B40" i="1" s="1"/>
  <c r="Y28" i="1"/>
  <c r="B37" i="1" s="1"/>
  <c r="V15" i="1"/>
  <c r="V17" i="1"/>
  <c r="V18" i="1"/>
  <c r="V22" i="1"/>
  <c r="V14" i="1"/>
  <c r="Q24" i="1"/>
  <c r="Q22" i="1"/>
  <c r="Q17" i="1"/>
  <c r="Q18" i="1"/>
  <c r="Q15" i="1"/>
  <c r="Q1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4" i="1"/>
  <c r="V28" i="1" l="1"/>
  <c r="B35" i="1" s="1"/>
  <c r="A33" i="1"/>
  <c r="A47" i="1"/>
  <c r="A46" i="1"/>
  <c r="A45" i="1"/>
  <c r="A38" i="1"/>
  <c r="A44" i="1"/>
  <c r="A43" i="1"/>
  <c r="A42" i="1"/>
  <c r="A41" i="1"/>
  <c r="A40" i="1"/>
  <c r="A37" i="1"/>
  <c r="A35" i="1"/>
  <c r="A34" i="1"/>
  <c r="A32" i="1"/>
  <c r="J28" i="1"/>
  <c r="O28" i="1"/>
  <c r="T28" i="1"/>
  <c r="X28" i="1"/>
  <c r="AA28" i="1"/>
  <c r="AB28" i="1"/>
  <c r="AF28" i="1"/>
  <c r="AG28" i="1"/>
  <c r="AJ28" i="1"/>
  <c r="AK28" i="1"/>
  <c r="AL28" i="1"/>
  <c r="AM28" i="1"/>
  <c r="AN28" i="1"/>
  <c r="AQ28" i="1"/>
  <c r="AR28" i="1"/>
  <c r="AU28" i="1"/>
  <c r="AV28" i="1"/>
  <c r="AY28" i="1"/>
  <c r="AZ28" i="1"/>
  <c r="BC28" i="1"/>
  <c r="BD28" i="1"/>
  <c r="BG28" i="1"/>
  <c r="BH28" i="1"/>
  <c r="BK28" i="1"/>
  <c r="W22" i="1"/>
  <c r="W18" i="1"/>
  <c r="W17" i="1"/>
  <c r="W15" i="1"/>
  <c r="W14" i="1"/>
  <c r="S15" i="1"/>
  <c r="S17" i="1"/>
  <c r="S18" i="1"/>
  <c r="S22" i="1"/>
  <c r="S24" i="1"/>
  <c r="S14" i="1"/>
  <c r="N5" i="1"/>
  <c r="N4" i="1"/>
  <c r="I22" i="1"/>
  <c r="I14" i="1"/>
  <c r="I15" i="1"/>
  <c r="I17" i="1"/>
  <c r="I18" i="1"/>
  <c r="I10" i="1"/>
  <c r="I11" i="1"/>
  <c r="I5" i="1"/>
  <c r="I6" i="1"/>
  <c r="B25" i="1"/>
  <c r="B35" i="2"/>
  <c r="Q25" i="1" l="1"/>
  <c r="Q28" i="1" s="1"/>
  <c r="B34" i="1" s="1"/>
  <c r="C25" i="1"/>
  <c r="S25" i="1"/>
  <c r="S28" i="1" s="1"/>
  <c r="D34" i="1" s="1"/>
  <c r="G25" i="1"/>
  <c r="G28" i="1" s="1"/>
  <c r="B32" i="1" s="1"/>
  <c r="N28" i="1"/>
  <c r="D33" i="1" s="1"/>
  <c r="W28" i="1"/>
  <c r="D35" i="1" s="1"/>
  <c r="I28" i="1"/>
  <c r="D32" i="1" s="1"/>
  <c r="Z22" i="1"/>
  <c r="BJ22" i="1"/>
  <c r="BF22" i="1"/>
  <c r="BB22" i="1"/>
  <c r="AX22" i="1"/>
  <c r="AT22" i="1"/>
  <c r="AP22" i="1"/>
  <c r="AI22" i="1"/>
  <c r="AE22" i="1"/>
  <c r="BJ21" i="1"/>
  <c r="BF21" i="1"/>
  <c r="BB21" i="1"/>
  <c r="AX21" i="1"/>
  <c r="AT21" i="1"/>
  <c r="AP21" i="1"/>
  <c r="AI21" i="1"/>
  <c r="AE21" i="1"/>
  <c r="G21" i="2"/>
  <c r="E21" i="2"/>
  <c r="E25" i="2" s="1"/>
  <c r="C21" i="2"/>
  <c r="B21" i="2"/>
  <c r="B18" i="2"/>
  <c r="C11" i="2"/>
  <c r="C9" i="2"/>
  <c r="D9" i="2" s="1"/>
  <c r="C8" i="2"/>
  <c r="D8" i="2" s="1"/>
  <c r="B7" i="2"/>
  <c r="E28" i="1"/>
  <c r="AP20" i="1"/>
  <c r="AP19" i="1"/>
  <c r="AP18" i="1"/>
  <c r="AP17" i="1"/>
  <c r="AP11" i="1"/>
  <c r="AP16" i="1"/>
  <c r="AP10" i="1"/>
  <c r="AP6" i="1"/>
  <c r="AP15" i="1"/>
  <c r="AP14" i="1"/>
  <c r="AP5" i="1"/>
  <c r="AP7" i="1"/>
  <c r="AE10" i="1"/>
  <c r="BB10" i="1"/>
  <c r="B11" i="2" l="1"/>
  <c r="B25" i="2" s="1"/>
  <c r="D31" i="1"/>
  <c r="AX10" i="1"/>
  <c r="Z10" i="1"/>
  <c r="AP8" i="1"/>
  <c r="AP4" i="1"/>
  <c r="AP9" i="1"/>
  <c r="AP13" i="1"/>
  <c r="AP12" i="1"/>
  <c r="AT10" i="1"/>
  <c r="BF10" i="1"/>
  <c r="AI10" i="1"/>
  <c r="BM24" i="1"/>
  <c r="BM28" i="1" s="1"/>
  <c r="BJ14" i="1"/>
  <c r="BJ15" i="1"/>
  <c r="BJ17" i="1"/>
  <c r="BJ18" i="1"/>
  <c r="BF5" i="1"/>
  <c r="BF6" i="1"/>
  <c r="BF7" i="1"/>
  <c r="BF14" i="1"/>
  <c r="BF15" i="1"/>
  <c r="BF11" i="1"/>
  <c r="BF17" i="1"/>
  <c r="BF18" i="1"/>
  <c r="BF4" i="1"/>
  <c r="AX5" i="1"/>
  <c r="AX6" i="1"/>
  <c r="AX7" i="1"/>
  <c r="AX14" i="1"/>
  <c r="AX15" i="1"/>
  <c r="AX11" i="1"/>
  <c r="AX17" i="1"/>
  <c r="AX18" i="1"/>
  <c r="AX24" i="1"/>
  <c r="AX4" i="1"/>
  <c r="Z11" i="1"/>
  <c r="D47" i="1" l="1"/>
  <c r="AX28" i="1"/>
  <c r="D44" i="1" s="1"/>
  <c r="Z28" i="1"/>
  <c r="BF28" i="1"/>
  <c r="D45" i="1" s="1"/>
  <c r="BJ28" i="1"/>
  <c r="D46" i="1" s="1"/>
  <c r="AP28" i="1"/>
  <c r="D42" i="1" s="1"/>
  <c r="BB5" i="1"/>
  <c r="BB6" i="1"/>
  <c r="BB7" i="1"/>
  <c r="BB14" i="1"/>
  <c r="BB15" i="1"/>
  <c r="BB11" i="1"/>
  <c r="BB17" i="1"/>
  <c r="BB18" i="1"/>
  <c r="BB4" i="1"/>
  <c r="AE5" i="1"/>
  <c r="AE6" i="1"/>
  <c r="AE7" i="1"/>
  <c r="AE14" i="1"/>
  <c r="AE15" i="1"/>
  <c r="AE11" i="1"/>
  <c r="AE17" i="1"/>
  <c r="AE18" i="1"/>
  <c r="AE4" i="1"/>
  <c r="AI5" i="1"/>
  <c r="AI6" i="1"/>
  <c r="AI7" i="1"/>
  <c r="AI14" i="1"/>
  <c r="AI15" i="1"/>
  <c r="AI11" i="1"/>
  <c r="AI17" i="1"/>
  <c r="AI18" i="1"/>
  <c r="AI4" i="1"/>
  <c r="AT5" i="1"/>
  <c r="AT6" i="1"/>
  <c r="AT7" i="1"/>
  <c r="AT14" i="1"/>
  <c r="AT15" i="1"/>
  <c r="AT11" i="1"/>
  <c r="AT17" i="1"/>
  <c r="AT18" i="1"/>
  <c r="AT4" i="1"/>
  <c r="D37" i="1" l="1"/>
  <c r="AT28" i="1"/>
  <c r="D43" i="1" s="1"/>
  <c r="AI28" i="1"/>
  <c r="D41" i="1" s="1"/>
  <c r="AE28" i="1"/>
  <c r="D40" i="1" s="1"/>
  <c r="BB28" i="1"/>
  <c r="D38" i="1" s="1"/>
  <c r="D36" i="1" s="1"/>
  <c r="D39" i="1" l="1"/>
  <c r="C18" i="2" l="1"/>
  <c r="C25" i="2" s="1"/>
  <c r="C15" i="2"/>
  <c r="C34" i="2" l="1"/>
  <c r="C29" i="2"/>
  <c r="D19" i="2"/>
  <c r="C31" i="2"/>
  <c r="C33" i="2"/>
  <c r="C32" i="2"/>
  <c r="C35" i="2"/>
  <c r="C30" i="2"/>
  <c r="D11" i="2"/>
</calcChain>
</file>

<file path=xl/sharedStrings.xml><?xml version="1.0" encoding="utf-8"?>
<sst xmlns="http://schemas.openxmlformats.org/spreadsheetml/2006/main" count="444" uniqueCount="237">
  <si>
    <t>HIPERTENSOS BAJO RIESGO</t>
  </si>
  <si>
    <t>HIPERTENSOS RIESGO MODERADO</t>
  </si>
  <si>
    <t>HIPERTENSOS RIESGO ALTO</t>
  </si>
  <si>
    <t>HIPERTENSOS RIESGO MUY ALTO</t>
  </si>
  <si>
    <t>CLASIFICACIÓN CRÓNICOS</t>
  </si>
  <si>
    <t>DIABETICOS SIN COMPLICACIONES</t>
  </si>
  <si>
    <t>DIABETICOS CON COMPLICACIONES</t>
  </si>
  <si>
    <t>GLICEMIA BASAL</t>
  </si>
  <si>
    <t>PERFIL LIPIDICO</t>
  </si>
  <si>
    <t>PARCIAL ORINA</t>
  </si>
  <si>
    <t>CREATININA</t>
  </si>
  <si>
    <t>EKG</t>
  </si>
  <si>
    <t>MICROALBUMINURIA</t>
  </si>
  <si>
    <t>HEMOGLOBINA GLICOSILADA</t>
  </si>
  <si>
    <t>DIRECTRIZ DE PROMOCIÓN Y PREVENCIÓN</t>
  </si>
  <si>
    <t>INGRESOS NO CONTROLADOS HTA</t>
  </si>
  <si>
    <t>INGRESOS NO CONTROLADOS DM</t>
  </si>
  <si>
    <t>GLICEMIA BASAL VALOR ANUAL</t>
  </si>
  <si>
    <t>PERFIL LIPIDICO VALOR ANUAL</t>
  </si>
  <si>
    <t>PARCIAL ORINA VALOR UNIDAD</t>
  </si>
  <si>
    <t>PARCIAL ORINA VALOR ANUAL</t>
  </si>
  <si>
    <t>CREATININA VALOR UNIDAD</t>
  </si>
  <si>
    <t>EKG VALOR UNIDAD</t>
  </si>
  <si>
    <t>EKG VALOR ANUAL</t>
  </si>
  <si>
    <t>VALOR INDIVIDUAL HDL</t>
  </si>
  <si>
    <t>VALOR INDIVIDUAL LDL</t>
  </si>
  <si>
    <t xml:space="preserve">VALOR INDIVIDUAL COLESTEROL TOTAL </t>
  </si>
  <si>
    <t>VALOR INDIVIDUAL TRIGLICERIDOS</t>
  </si>
  <si>
    <t>MICROALBUMINURIA INDIVIDUAL</t>
  </si>
  <si>
    <t>PACIENTES HIPERTENSOS Y/O DIABETICOS CON DLP</t>
  </si>
  <si>
    <t>TSH VALOR UNIDAD (Pacientes con DLP)</t>
  </si>
  <si>
    <t>TSH VALOR 2016 (Pacientes con DLP)</t>
  </si>
  <si>
    <t>CONTROLES ANUALES MÉDICOS PROYECTADOS 2016</t>
  </si>
  <si>
    <t>VALOR PROYECTADO HORAS MEDICAS ANUALES 2016</t>
  </si>
  <si>
    <t>CONTROLES ANUALES PROYECTADOS POR ENFERMERÍA 2016</t>
  </si>
  <si>
    <t>VALOR PROYECTADO HORAS ENFERMERÍA ANUALES 2016</t>
  </si>
  <si>
    <t>VALOR  MONITOREO PRESIÓN ARTEIRAL 2016</t>
  </si>
  <si>
    <t>VALOR TOTAL PROYECTADO MONITORIO PA (3) 2016</t>
  </si>
  <si>
    <t>CONTROL HEMOGRAMA Y ERITROSEDIMENTACIÓN ANUAL POR USUARIO  2016</t>
  </si>
  <si>
    <t>VALOR UNIDAD HEMOGRAMA 2016</t>
  </si>
  <si>
    <t>VALOR UNIDAD ERITROSEDIMENTACIÓN 2016</t>
  </si>
  <si>
    <t>GLICEMIA BASAL VALOR UNIDAD 2016</t>
  </si>
  <si>
    <t>INGRESOS CONTROLADOS HTA</t>
  </si>
  <si>
    <t>INGRESOS CONTROLADOS DM</t>
  </si>
  <si>
    <t>VALOR PROYECTADO MICROALBUMINURIA ANUAL</t>
  </si>
  <si>
    <t>* Promedio pacientes controlados 2015: 67%</t>
  </si>
  <si>
    <t>PROYECCIÓN PACIENTES 2016</t>
  </si>
  <si>
    <t>PACIENTES SEGÚN PROYECCIÓN SAVIA SALUD EAPB</t>
  </si>
  <si>
    <t>TOTAL HIPERTENSOS ACTIVOS</t>
  </si>
  <si>
    <t>HIPERTENSOS SIN CLASIFICACIÓN RIESGO</t>
  </si>
  <si>
    <t>TOTAL INGRESOS HIPERTENSIÓN</t>
  </si>
  <si>
    <t>TOTAL INGRESOS DIABETICOS</t>
  </si>
  <si>
    <t xml:space="preserve">TOTAL DIABETICOS ACTIVOS </t>
  </si>
  <si>
    <t>PACIENTES SEGÚN BASES DE DATOS 2015</t>
  </si>
  <si>
    <t>TOTAL DE HIPERTENSOS PROYECTADOS 2016</t>
  </si>
  <si>
    <t>PORCENTAJE PACIENTES SEGÚN BASES DE DATOS 2015</t>
  </si>
  <si>
    <t>TOTAL DIABETICOS PROYECTADOS 2016</t>
  </si>
  <si>
    <t>TOTAL PACIENTES CRÓNICOS</t>
  </si>
  <si>
    <t>HIPERTENSOS Y DIABETICOS ACTIVOS</t>
  </si>
  <si>
    <t>HIPERTENSOS Y DIABETICOS INGRESOS</t>
  </si>
  <si>
    <t>PACIENTES SEGÚN FACTURACIÓN 2015 SOTFWARE DINÁMICA</t>
  </si>
  <si>
    <t>CLASIFICACIÓN PACIENTES INFORMES CRÓNICOS DINAMICA 2016</t>
  </si>
  <si>
    <t>% CLASIFICACIÓN PACIENTES INFORMES CRÓNICOS DINAMICA 2016</t>
  </si>
  <si>
    <t>SIN DATO DE DIAGNOSTICO HTA O DM</t>
  </si>
  <si>
    <t>TOTAL HIPERTESOS Y DIABETICOS</t>
  </si>
  <si>
    <t>FUENTE DE INFORMACIÓN</t>
  </si>
  <si>
    <t>Número pacientes: Facturación Dinámica 2015 - porcentajes: Meta institucional &gt; 80%</t>
  </si>
  <si>
    <t>Porcentajes Informe Crónicos/Total usuarios facturación dinámica 2015 (Superior Meta SaviaSalud EAPB)</t>
  </si>
  <si>
    <t>Porcentajes Informe Crónicos/Total usuarios Meta SaviaSalud EAPB/Ingresos Facturación Dinámica 2015)</t>
  </si>
  <si>
    <t>Información facturación dinámica 2015</t>
  </si>
  <si>
    <t>Bases de datos como única fuente de información para esta variable</t>
  </si>
  <si>
    <t>COSTO TOTAL</t>
  </si>
  <si>
    <t xml:space="preserve"> - Total de usuarios activos e ingresos: Facturación Dinámica 2015. 
- Clasificación Riesgo: Porcentaje informe Crónicos Dinámica.
 - Porcentaje pacientes Controlados: Meta institucional (&gt;80%).</t>
  </si>
  <si>
    <t xml:space="preserve"> - Clasificación según complicaciones: Informe Crónicos Dinámica  
- Total usuarios:Meta SaviaSalud EAPB 
-Ingresos: Facturación Dinámica 2015)</t>
  </si>
  <si>
    <t xml:space="preserve"> - Facturación Dinámica 2015</t>
  </si>
  <si>
    <t>Bases de datos sedes: única fuente de información para esta variable</t>
  </si>
  <si>
    <t>* Promedio hipertensos controlados 2015: 67%</t>
  </si>
  <si>
    <t>RECURSO HUMANO</t>
  </si>
  <si>
    <t>CREATININA VALOR ANUAL</t>
  </si>
  <si>
    <t>CONTROLES ANUALES PROYECTADOS POR NUTRICIÓN 2016</t>
  </si>
  <si>
    <t>VALOR HORA MÉDICO 2016</t>
  </si>
  <si>
    <t>VALOR HORA ENFERMERÍA 2016</t>
  </si>
  <si>
    <t>VALOR HORA NUTRICIÓN 2016</t>
  </si>
  <si>
    <t>VALOR PROYECTADO HORAS NUTRICIÓN ANUALES 2016</t>
  </si>
  <si>
    <t>CONTROLES ANUALES PROYECTADOS POR PSICOLOGÍA 2016</t>
  </si>
  <si>
    <t>VALOR PROYECTADO HORAS PSICOLOGÍA ANUALES 2016</t>
  </si>
  <si>
    <t>TOTAL HIPERTENSOS Y DIABETICOS</t>
  </si>
  <si>
    <t>IMC Y PA MUJERES</t>
  </si>
  <si>
    <t>IMC Y PA HOMBRES</t>
  </si>
  <si>
    <t>PA HOMBRES</t>
  </si>
  <si>
    <t>SOLO IMC &gt; 25 MUJERES</t>
  </si>
  <si>
    <t>SOLO PA &gt;88 MUJERES</t>
  </si>
  <si>
    <t>IMC &gt; 25 HOMBRES</t>
  </si>
  <si>
    <t>TOTAL PACIENTES QUE REQUIEREN INTERVENCIÓN POR NUTRICIÓN</t>
  </si>
  <si>
    <t>PACIENTES SUSCEPTIBLES A INTERVENCIÓN NURICIONAL (IMC &gt; 25 Y/O PA HOMBRES &gt;101 Y MUJERES &gt; 88</t>
  </si>
  <si>
    <t xml:space="preserve"> - Porcentaje de pacientes con alteraciones nutricionales: Base de datos sedes (66%)   
   - Total usuarios facturación Dinámica 2015 (HTA) y meta SaviaSalud EAPB (DM)</t>
  </si>
  <si>
    <t xml:space="preserve"> - Pacientes activos e ingresos HTA: Facturación Dinámica 2015.
- Total Diabeticos: Meta SaviaSalud EAPB 2016</t>
  </si>
  <si>
    <t>VALOR CONSULTA PSICOLOGÍA 2016</t>
  </si>
  <si>
    <t>CONSULTAS MÉDICAS POR HORA 2016</t>
  </si>
  <si>
    <t>CONSULTAS ENFERMERÍA POR HORA 2016</t>
  </si>
  <si>
    <t>CONSULTAS NUTRICIÓN POR HORA 2016</t>
  </si>
  <si>
    <t>FUENTE INFORMACIÓN</t>
  </si>
  <si>
    <t>LABORATORIO</t>
  </si>
  <si>
    <t>PROCEDIMIENTOS ENFERMERÍA</t>
  </si>
  <si>
    <t>URGENCIAS</t>
  </si>
  <si>
    <t>Personal planta de cargos 2016</t>
  </si>
  <si>
    <t>Resolución 0412</t>
  </si>
  <si>
    <t>Procedimiento atención al usuario en p y p agosto 2014</t>
  </si>
  <si>
    <t>Información Coporación Balboa</t>
  </si>
  <si>
    <t>Manual Tarifario SOAT actualización 2016</t>
  </si>
  <si>
    <t>Resolución 4003 de 2008</t>
  </si>
  <si>
    <t>Resolución 4003 de 2008 - GPC HTA 2013</t>
  </si>
  <si>
    <t>MÉDICAMENTOS</t>
  </si>
  <si>
    <t>TOTAL CONTROLES MÉDICOS PROYECTADOS 2016</t>
  </si>
  <si>
    <t>TOTAL CONTROLES POR ENFERMERÍA PROYECTADOS 2016</t>
  </si>
  <si>
    <t>TOTAL CONSULTAS POR NUTRICIÓN PROYECTADOS 2016</t>
  </si>
  <si>
    <t>TOTAL CONSULTAS POR PSICOLOGÍA PROYECTADOS 2016</t>
  </si>
  <si>
    <t>TOTAL MONITORESOS PROYECTADOS 2016</t>
  </si>
  <si>
    <t>TOTAL HEMOGRAMA Y ERITROSEDIMENTACIÓN PROYECTADOS 2016</t>
  </si>
  <si>
    <t>TOTAL GLICEMIAS PROYECTADAS 2016</t>
  </si>
  <si>
    <t>TOTAL PERFIL LIPIDICO ANUAL</t>
  </si>
  <si>
    <t>TOTAL PARCIAL ORINA ANUAL</t>
  </si>
  <si>
    <t>TOTAL CREATININA ANUAL</t>
  </si>
  <si>
    <t>TOTAL EKG ANUAL</t>
  </si>
  <si>
    <t>TOTAL HEMOGLOBINA GLICOSILADA ANUAL</t>
  </si>
  <si>
    <t>HEMOGLOBINA GLICOSILADA VALOR UNIDAD</t>
  </si>
  <si>
    <t>HEMOGLOBINA GLICOSILADA VALOR ANUAL</t>
  </si>
  <si>
    <t>TOTAL TSH ANUAL</t>
  </si>
  <si>
    <t>CENTRO DE COSTO</t>
  </si>
  <si>
    <t>TOTAL VALOR ANUAL</t>
  </si>
  <si>
    <t>TOTAL UNIDADES ANUAL</t>
  </si>
  <si>
    <t>VALOR ANUAL PROYECTADO HEMOGRAMA Y ERITROSEDIMENTACIÓN 2016</t>
  </si>
  <si>
    <t>FUENTE DE INFORMACIÓN SELECCIONADA</t>
  </si>
  <si>
    <t>PACIENTES CON ALTERACIONES NUTRIONALES</t>
  </si>
  <si>
    <t>TOTAL PACIENTES ATENDIDOS 2016</t>
  </si>
  <si>
    <t>PORCENTAJES</t>
  </si>
  <si>
    <t>CONTROLES MÉDICOS REALIZADOS 2016</t>
  </si>
  <si>
    <t>VALOR HORAS MEDICAS ANUALES 2016</t>
  </si>
  <si>
    <t>CONTROLES REALIZADOS POR ENFERMERÍA 2016</t>
  </si>
  <si>
    <t>VALOR HORAS ENFERMERÍA ANUALES 2016</t>
  </si>
  <si>
    <t>CONTROLES ANUALES REALIZADOS POR NUTRICIÓN 2016</t>
  </si>
  <si>
    <t>VALOR HORAS NUTRICIÓN ANUALES 2016</t>
  </si>
  <si>
    <t>CONTROLES ANUALES REALIZADOS POR PSICOLOGÍA 2016</t>
  </si>
  <si>
    <t>VALOR HORAS PSICOLOGÍA ANUALES 2016</t>
  </si>
  <si>
    <t>MONITOREOS REALIZADOS 2016</t>
  </si>
  <si>
    <t>VALOR TOTAL MONITORIO PA (3) 2016</t>
  </si>
  <si>
    <t>ERITROSEDIMENTACIONES REALIZADAS 2016</t>
  </si>
  <si>
    <t>VALOR TOTAL ERITROSEDIMENTACIONES REALIZADAS 2016</t>
  </si>
  <si>
    <t>HEMOGRAMAS REALIZADOS 2016</t>
  </si>
  <si>
    <t>VALOR  HEMOGRAMAS ANUAL  2016</t>
  </si>
  <si>
    <t>CONTROL HEMOGRAMA Y ERITROSEDIMENTACIÓN ANUAL   2016</t>
  </si>
  <si>
    <t>GLICEMIAS BASALES REALIZADAS 2016</t>
  </si>
  <si>
    <t>HDL REALIZADOS 2016</t>
  </si>
  <si>
    <t>VALOR HDL 2016</t>
  </si>
  <si>
    <t>LDL REALIZADOS 2016</t>
  </si>
  <si>
    <t>VALOR LDL 2016</t>
  </si>
  <si>
    <t>COLESTEROL TOTAL REALIZADOS 2016</t>
  </si>
  <si>
    <t>VALOR COLESTEROL TOTAL  2016</t>
  </si>
  <si>
    <t>TRIGLICERIDOS TOTAL REALIZADOS 2016</t>
  </si>
  <si>
    <t>VALOR TRIGLICERIDOS  2016</t>
  </si>
  <si>
    <t>PARCIALES  ORINA REALIZADOS 2016</t>
  </si>
  <si>
    <t>CREATININAS REALIZADAS 2016</t>
  </si>
  <si>
    <t>EKG REALZADOS 2016</t>
  </si>
  <si>
    <t>VALOR MICROALBUMINURIA INDIVIDUAL</t>
  </si>
  <si>
    <t>MICROALBUMINURIAS REALIZADAS 2016</t>
  </si>
  <si>
    <t>HEMOGLOBINA GLICADA VALOR UNIDAD</t>
  </si>
  <si>
    <t>HEMOGLOBINAS  GLICOSILADAS REALIZADA 2016</t>
  </si>
  <si>
    <t>HEMOGLOBINA GLICADA VALOR ANUAL</t>
  </si>
  <si>
    <t>TSH REALIZADOS 2016</t>
  </si>
  <si>
    <t>INFORME CRÓNICOS 2016</t>
  </si>
  <si>
    <t>Facturación Dinámica 2016 -  Informes Producción 2016</t>
  </si>
  <si>
    <t>Procedimiento Interno</t>
  </si>
  <si>
    <t>TOTAL DE HIPERTENSOS 2016</t>
  </si>
  <si>
    <t>TOTAL DIABETICOS  2016</t>
  </si>
  <si>
    <t>PROCESO/ACTIVIDAD</t>
  </si>
  <si>
    <t>CANTIDAD ANUAL</t>
  </si>
  <si>
    <t>COSTO ANUAL</t>
  </si>
  <si>
    <t>VALOR INDIVIDUAL</t>
  </si>
  <si>
    <t>HIPERTENSOS</t>
  </si>
  <si>
    <t>DIABETICOS</t>
  </si>
  <si>
    <t>UNICOS</t>
  </si>
  <si>
    <t>REPETIDOS</t>
  </si>
  <si>
    <t>% REPETIDOS</t>
  </si>
  <si>
    <t>VALOR REPETIDOS</t>
  </si>
  <si>
    <t>HEMOLECOGRAMA</t>
  </si>
  <si>
    <t>ERITROSEDIMENTACIÓN</t>
  </si>
  <si>
    <t>HDL</t>
  </si>
  <si>
    <t>LDL</t>
  </si>
  <si>
    <t>COLESTEROL TOTAL</t>
  </si>
  <si>
    <t>TRIGLICERIDOS</t>
  </si>
  <si>
    <t>TOTAL</t>
  </si>
  <si>
    <t>PACIENTES ATENDIDOS 2016</t>
  </si>
  <si>
    <t>PORCENTAJE USUARIOS</t>
  </si>
  <si>
    <t>PORCENTAJE</t>
  </si>
  <si>
    <t>DIFERENCIAS</t>
  </si>
  <si>
    <t>CANTIDAD PROYECTADA 2016</t>
  </si>
  <si>
    <t>CANTIDAD REAL 2016</t>
  </si>
  <si>
    <t>COSTO REAL 2016</t>
  </si>
  <si>
    <t>TOTAL LABORATORIOS REPETIDOS</t>
  </si>
  <si>
    <t>Etiquetas de fila</t>
  </si>
  <si>
    <t>Suma de TotalFactura</t>
  </si>
  <si>
    <t>AMLODIPINO 5 mg TABLETA</t>
  </si>
  <si>
    <t>CAPTOPRIL 25 mg  TABLETA</t>
  </si>
  <si>
    <t>CAPTOPRIL 50 mg  TABLETA</t>
  </si>
  <si>
    <t>CLONIDINA 150 mcg TABLETA</t>
  </si>
  <si>
    <t>ENALAPRIL 20 mg  TABLETA</t>
  </si>
  <si>
    <t>ENALAPRIL 5mg TABLETA</t>
  </si>
  <si>
    <t>ESPIRONOLACTONA 100mg TABLETA</t>
  </si>
  <si>
    <t>ESPIRONOLACTONA 25mg TABLETA</t>
  </si>
  <si>
    <t>GLIBENCLAMIDA 5 mg  TABLETA</t>
  </si>
  <si>
    <t>HIDROCLOROTIAZIDA 25 mg TABLETA</t>
  </si>
  <si>
    <t>INSULINA NPH 100 ui/ml AMPOLLA</t>
  </si>
  <si>
    <t>INSULINA R (CRISTALINA) 100 ui/ml AMPOLLA</t>
  </si>
  <si>
    <t>LOSARTAN 100 mg TABLETA</t>
  </si>
  <si>
    <t>LOSARTAN 50 mg TABLETA</t>
  </si>
  <si>
    <t>METFORMINA 850 mg TABLETA</t>
  </si>
  <si>
    <t>METOPROLOL 100 mg TABLETA</t>
  </si>
  <si>
    <t>METOPROLOL 1mg/ml AMPOLLA</t>
  </si>
  <si>
    <t>METOPROLOL 50 mg TABLETA</t>
  </si>
  <si>
    <t>METOPROLOL 5mg/5ml AMPOLLA</t>
  </si>
  <si>
    <t>NIFEDIPINA 10 mg CAPSULA</t>
  </si>
  <si>
    <t>NIFEDIPINA 30 mg  TABLETA</t>
  </si>
  <si>
    <t>NIMODIPINO 30 mg TABLETA</t>
  </si>
  <si>
    <t>PRAZOSINA 1 mg TABLETA</t>
  </si>
  <si>
    <t>PROPANOLOL 40 mg TABLETA</t>
  </si>
  <si>
    <t>PROPANOLOL 80 mg  TABLETA</t>
  </si>
  <si>
    <t>UM INSULINA HUMANA NPH 100 UI INY.</t>
  </si>
  <si>
    <t>UM INSULINA R HUMANA 100 U.I INY. (CRISTALINA)</t>
  </si>
  <si>
    <t>VERAPAMILO 120 mg TABLETA</t>
  </si>
  <si>
    <t>VERAPAMILO 80 mg TABLETA</t>
  </si>
  <si>
    <t>Total general</t>
  </si>
  <si>
    <t>% CUMPLIMIENTO</t>
  </si>
  <si>
    <t>HOSPITALIZACIÓN</t>
  </si>
  <si>
    <t>COSTO PROYECTADOS 2016</t>
  </si>
  <si>
    <t>DIFERENCIA</t>
  </si>
  <si>
    <t>TOTAL URGENCIAS Y HOSPITALIZACIÓN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</si>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</sst>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_-* #,##0.00\ &quot;€&quot;_-;\-* #,##0.00\ &quot;€&quot;_-;_-* &quot;-&quot;??\ &quot;€&quot;_-;_-@_-"/>
    <numFmt numFmtId="167" formatCode="_-* #,##0.00\ [$€]_-;\-* #,##0.00\ [$€]_-;_-* &quot;-&quot;??\ [$€]_-;_-@_-"/>
    <numFmt numFmtId="168" formatCode="_(&quot;$&quot;* #,##0.00_);_(&quot;$&quot;* \(#,##0.00\);_(&quot;$&quot;* &quot;-&quot;??_);_(@_)"/>
    <numFmt numFmtId="169" formatCode="_ * #,##0.0_ ;_ * \-#,##0.0_ ;_ * &quot;-&quot;??_ ;_ @_ "/>
    <numFmt numFmtId="170" formatCode="[$-C0A]dddd\,\ dd&quot; de &quot;mmmm&quot; de &quot;yyyy"/>
    <numFmt numFmtId="171" formatCode="_(&quot;$&quot;\ * #,##0_);_(&quot;$&quot;\ * \(#,##0\);_(&quot;$&quot;\ 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indexed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2">
    <xf numFmtId="0" fontId="0" fillId="0" borderId="0"/>
    <xf numFmtId="0" fontId="18" fillId="0" borderId="0"/>
    <xf numFmtId="164" fontId="19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9" fillId="0" borderId="0"/>
    <xf numFmtId="0" fontId="2" fillId="0" borderId="0"/>
    <xf numFmtId="0" fontId="2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0" fillId="33" borderId="0" applyNumberFormat="0" applyBorder="0" applyAlignment="0" applyProtection="0"/>
    <xf numFmtId="0" fontId="2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" fillId="15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" fillId="19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" fillId="2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" fillId="3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1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17" fillId="16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17" fillId="2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2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32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35" borderId="0" applyNumberFormat="0" applyBorder="0" applyAlignment="0" applyProtection="0"/>
    <xf numFmtId="0" fontId="7" fillId="2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47" borderId="12" applyNumberFormat="0" applyAlignment="0" applyProtection="0"/>
    <xf numFmtId="0" fontId="12" fillId="6" borderId="6" applyNumberFormat="0" applyAlignment="0" applyProtection="0"/>
    <xf numFmtId="0" fontId="23" fillId="47" borderId="12" applyNumberFormat="0" applyAlignment="0" applyProtection="0"/>
    <xf numFmtId="0" fontId="23" fillId="47" borderId="12" applyNumberFormat="0" applyAlignment="0" applyProtection="0"/>
    <xf numFmtId="0" fontId="24" fillId="48" borderId="13" applyNumberFormat="0" applyAlignment="0" applyProtection="0"/>
    <xf numFmtId="0" fontId="14" fillId="7" borderId="9" applyNumberFormat="0" applyAlignment="0" applyProtection="0"/>
    <xf numFmtId="0" fontId="24" fillId="48" borderId="13" applyNumberFormat="0" applyAlignment="0" applyProtection="0"/>
    <xf numFmtId="0" fontId="24" fillId="48" borderId="13" applyNumberFormat="0" applyAlignment="0" applyProtection="0"/>
    <xf numFmtId="0" fontId="25" fillId="0" borderId="14" applyNumberFormat="0" applyFill="0" applyAlignment="0" applyProtection="0"/>
    <xf numFmtId="0" fontId="13" fillId="0" borderId="8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49" borderId="0" applyNumberFormat="0" applyBorder="0" applyAlignment="0" applyProtection="0"/>
    <xf numFmtId="0" fontId="17" fillId="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17" fillId="13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17" fillId="17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4" borderId="0" applyNumberFormat="0" applyBorder="0" applyAlignment="0" applyProtection="0"/>
    <xf numFmtId="0" fontId="17" fillId="2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2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52" borderId="0" applyNumberFormat="0" applyBorder="0" applyAlignment="0" applyProtection="0"/>
    <xf numFmtId="0" fontId="17" fillId="29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7" fillId="38" borderId="12" applyNumberFormat="0" applyAlignment="0" applyProtection="0"/>
    <xf numFmtId="0" fontId="10" fillId="5" borderId="6" applyNumberFormat="0" applyAlignment="0" applyProtection="0"/>
    <xf numFmtId="0" fontId="27" fillId="38" borderId="12" applyNumberFormat="0" applyAlignment="0" applyProtection="0"/>
    <xf numFmtId="0" fontId="27" fillId="38" borderId="12" applyNumberFormat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/>
    <xf numFmtId="0" fontId="28" fillId="34" borderId="0" applyNumberFormat="0" applyBorder="0" applyAlignment="0" applyProtection="0"/>
    <xf numFmtId="0" fontId="8" fillId="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quotePrefix="1" applyFont="0" applyFill="0" applyBorder="0" applyAlignment="0">
      <protection locked="0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29" fillId="0" borderId="0" applyFont="0" applyFill="0" applyBorder="0" applyAlignment="0" applyProtection="0">
      <alignment vertical="top"/>
    </xf>
    <xf numFmtId="44" fontId="29" fillId="0" borderId="0" applyFont="0" applyFill="0" applyBorder="0" applyAlignment="0" applyProtection="0">
      <alignment vertical="top"/>
    </xf>
    <xf numFmtId="0" fontId="30" fillId="53" borderId="0" applyNumberFormat="0" applyBorder="0" applyAlignment="0" applyProtection="0"/>
    <xf numFmtId="0" fontId="9" fillId="4" borderId="0" applyNumberFormat="0" applyBorder="0" applyAlignment="0" applyProtection="0"/>
    <xf numFmtId="0" fontId="30" fillId="53" borderId="0" applyNumberFormat="0" applyBorder="0" applyAlignment="0" applyProtection="0"/>
    <xf numFmtId="0" fontId="30" fillId="53" borderId="0" applyNumberFormat="0" applyBorder="0" applyAlignment="0" applyProtection="0"/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0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3" fontId="19" fillId="0" borderId="0"/>
    <xf numFmtId="3" fontId="19" fillId="0" borderId="0"/>
    <xf numFmtId="3" fontId="19" fillId="0" borderId="0"/>
    <xf numFmtId="0" fontId="2" fillId="0" borderId="0"/>
    <xf numFmtId="0" fontId="19" fillId="0" borderId="0"/>
    <xf numFmtId="0" fontId="19" fillId="0" borderId="0"/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3" fontId="19" fillId="0" borderId="0"/>
    <xf numFmtId="3" fontId="19" fillId="0" borderId="0"/>
    <xf numFmtId="0" fontId="29" fillId="0" borderId="0">
      <alignment vertical="top"/>
    </xf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3" fontId="19" fillId="0" borderId="0"/>
    <xf numFmtId="0" fontId="29" fillId="0" borderId="0">
      <alignment vertical="top"/>
    </xf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19" fillId="0" borderId="0"/>
    <xf numFmtId="3" fontId="19" fillId="0" borderId="0"/>
    <xf numFmtId="3" fontId="19" fillId="0" borderId="0"/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0" fillId="54" borderId="15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0" fillId="54" borderId="15" applyNumberFormat="0" applyFont="0" applyAlignment="0" applyProtection="0"/>
    <xf numFmtId="0" fontId="20" fillId="54" borderId="15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top"/>
    </xf>
    <xf numFmtId="9" fontId="19" fillId="0" borderId="0" applyFont="0" applyFill="0" applyBorder="0" applyAlignment="0" applyProtection="0"/>
    <xf numFmtId="0" fontId="31" fillId="47" borderId="16" applyNumberFormat="0" applyAlignment="0" applyProtection="0"/>
    <xf numFmtId="0" fontId="11" fillId="6" borderId="7" applyNumberFormat="0" applyAlignment="0" applyProtection="0"/>
    <xf numFmtId="0" fontId="31" fillId="47" borderId="16" applyNumberFormat="0" applyAlignment="0" applyProtection="0"/>
    <xf numFmtId="0" fontId="31" fillId="47" borderId="16" applyNumberFormat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4" fillId="0" borderId="3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5" fillId="0" borderId="4" applyNumberFormat="0" applyFill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26" fillId="0" borderId="19" applyNumberFormat="0" applyFill="0" applyAlignment="0" applyProtection="0"/>
    <xf numFmtId="0" fontId="6" fillId="0" borderId="5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1" fillId="0" borderId="11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38" fillId="0" borderId="0" applyFill="0" applyProtection="0"/>
    <xf numFmtId="43" fontId="2" fillId="0" borderId="0" applyFont="0" applyFill="0" applyBorder="0" applyAlignment="0" applyProtection="0"/>
  </cellStyleXfs>
  <cellXfs count="20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9" fontId="0" fillId="0" borderId="1" xfId="428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9" fontId="0" fillId="0" borderId="1" xfId="428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4" fontId="0" fillId="0" borderId="1" xfId="427" applyFont="1" applyBorder="1" applyAlignment="1">
      <alignment horizontal="center" vertical="center"/>
    </xf>
    <xf numFmtId="44" fontId="0" fillId="0" borderId="0" xfId="427" applyFont="1"/>
    <xf numFmtId="44" fontId="1" fillId="0" borderId="1" xfId="427" applyFont="1" applyBorder="1" applyAlignment="1">
      <alignment horizontal="center" vertical="center" wrapText="1"/>
    </xf>
    <xf numFmtId="44" fontId="1" fillId="0" borderId="1" xfId="427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44" fontId="0" fillId="0" borderId="1" xfId="427" applyFont="1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0" fillId="0" borderId="0" xfId="427" applyNumberFormat="1" applyFont="1"/>
    <xf numFmtId="2" fontId="0" fillId="0" borderId="1" xfId="427" applyNumberFormat="1" applyFont="1" applyBorder="1" applyAlignment="1">
      <alignment horizontal="center" vertical="center"/>
    </xf>
    <xf numFmtId="1" fontId="0" fillId="0" borderId="1" xfId="427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0" fillId="0" borderId="0" xfId="427" applyNumberFormat="1" applyFont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4" fontId="2" fillId="0" borderId="1" xfId="427" applyFont="1" applyBorder="1" applyAlignment="1">
      <alignment horizontal="center" vertical="center" wrapText="1"/>
    </xf>
    <xf numFmtId="1" fontId="0" fillId="0" borderId="1" xfId="427" applyNumberFormat="1" applyFont="1" applyBorder="1" applyAlignment="1">
      <alignment horizontal="center"/>
    </xf>
    <xf numFmtId="0" fontId="0" fillId="0" borderId="1" xfId="427" applyNumberFormat="1" applyFont="1" applyBorder="1" applyAlignment="1">
      <alignment horizontal="center" vertical="center"/>
    </xf>
    <xf numFmtId="0" fontId="0" fillId="0" borderId="1" xfId="427" applyNumberFormat="1" applyFont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1" fillId="0" borderId="0" xfId="0" applyFont="1" applyBorder="1" applyAlignment="1">
      <alignment horizontal="center"/>
    </xf>
    <xf numFmtId="1" fontId="1" fillId="0" borderId="1" xfId="427" applyNumberFormat="1" applyFont="1" applyFill="1" applyBorder="1" applyAlignment="1">
      <alignment horizontal="center" vertical="center" wrapText="1"/>
    </xf>
    <xf numFmtId="1" fontId="2" fillId="0" borderId="1" xfId="427" applyNumberFormat="1" applyFont="1" applyBorder="1" applyAlignment="1">
      <alignment horizontal="center" vertical="center" wrapText="1"/>
    </xf>
    <xf numFmtId="0" fontId="0" fillId="0" borderId="21" xfId="0" applyBorder="1" applyAlignment="1"/>
    <xf numFmtId="44" fontId="0" fillId="0" borderId="0" xfId="427" applyFont="1" applyBorder="1" applyAlignment="1"/>
    <xf numFmtId="1" fontId="0" fillId="0" borderId="0" xfId="427" applyNumberFormat="1" applyFont="1" applyBorder="1" applyAlignment="1"/>
    <xf numFmtId="0" fontId="0" fillId="0" borderId="0" xfId="427" applyNumberFormat="1" applyFont="1" applyBorder="1" applyAlignment="1"/>
    <xf numFmtId="1" fontId="0" fillId="0" borderId="0" xfId="427" applyNumberFormat="1" applyFon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 applyBorder="1"/>
    <xf numFmtId="0" fontId="0" fillId="0" borderId="22" xfId="0" applyBorder="1"/>
    <xf numFmtId="0" fontId="0" fillId="0" borderId="26" xfId="0" applyFill="1" applyBorder="1"/>
    <xf numFmtId="9" fontId="0" fillId="0" borderId="27" xfId="428" applyFont="1" applyBorder="1"/>
    <xf numFmtId="0" fontId="0" fillId="0" borderId="28" xfId="0" applyFill="1" applyBorder="1"/>
    <xf numFmtId="9" fontId="0" fillId="0" borderId="29" xfId="428" applyFont="1" applyBorder="1"/>
    <xf numFmtId="0" fontId="0" fillId="0" borderId="30" xfId="0" applyFill="1" applyBorder="1" applyAlignment="1">
      <alignment horizontal="left" wrapText="1"/>
    </xf>
    <xf numFmtId="0" fontId="0" fillId="0" borderId="31" xfId="0" applyBorder="1"/>
    <xf numFmtId="9" fontId="0" fillId="0" borderId="32" xfId="428" applyFont="1" applyBorder="1"/>
    <xf numFmtId="0" fontId="1" fillId="0" borderId="33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8" xfId="0" applyFill="1" applyBorder="1" applyAlignment="1">
      <alignment vertical="center" wrapText="1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1" fontId="0" fillId="0" borderId="31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9" fontId="0" fillId="0" borderId="1" xfId="428" applyFont="1" applyFill="1" applyBorder="1" applyAlignment="1">
      <alignment horizontal="center" vertical="center"/>
    </xf>
    <xf numFmtId="1" fontId="0" fillId="0" borderId="1" xfId="428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1" xfId="428" applyNumberFormat="1" applyFont="1" applyFill="1" applyBorder="1" applyAlignment="1">
      <alignment horizontal="center" vertical="center"/>
    </xf>
    <xf numFmtId="44" fontId="0" fillId="0" borderId="1" xfId="427" applyFont="1" applyFill="1" applyBorder="1" applyAlignment="1">
      <alignment horizontal="center" vertical="center"/>
    </xf>
    <xf numFmtId="171" fontId="0" fillId="0" borderId="1" xfId="427" applyNumberFormat="1" applyFont="1" applyFill="1" applyBorder="1" applyAlignment="1">
      <alignment horizontal="center" vertical="center"/>
    </xf>
    <xf numFmtId="2" fontId="0" fillId="0" borderId="1" xfId="427" applyNumberFormat="1" applyFont="1" applyFill="1" applyBorder="1" applyAlignment="1">
      <alignment horizontal="center" vertical="center"/>
    </xf>
    <xf numFmtId="1" fontId="0" fillId="0" borderId="1" xfId="427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44" fontId="0" fillId="0" borderId="0" xfId="0" applyNumberFormat="1" applyFill="1" applyAlignment="1">
      <alignment horizontal="center"/>
    </xf>
    <xf numFmtId="1" fontId="0" fillId="0" borderId="39" xfId="0" applyNumberForma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" fontId="0" fillId="0" borderId="1" xfId="427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0" fillId="0" borderId="1" xfId="428" applyFont="1" applyFill="1" applyBorder="1" applyAlignment="1">
      <alignment horizontal="center"/>
    </xf>
    <xf numFmtId="1" fontId="0" fillId="0" borderId="39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427" applyFont="1" applyFill="1" applyBorder="1" applyAlignment="1">
      <alignment horizontal="center"/>
    </xf>
    <xf numFmtId="44" fontId="0" fillId="0" borderId="1" xfId="427" applyFont="1" applyFill="1" applyBorder="1" applyAlignment="1"/>
    <xf numFmtId="171" fontId="0" fillId="0" borderId="1" xfId="427" applyNumberFormat="1" applyFont="1" applyFill="1" applyBorder="1" applyAlignment="1"/>
    <xf numFmtId="0" fontId="0" fillId="0" borderId="0" xfId="0" applyFill="1" applyAlignment="1">
      <alignment horizontal="center"/>
    </xf>
    <xf numFmtId="1" fontId="0" fillId="0" borderId="1" xfId="427" applyNumberFormat="1" applyFont="1" applyFill="1" applyBorder="1" applyAlignment="1"/>
    <xf numFmtId="1" fontId="0" fillId="0" borderId="1" xfId="471" applyNumberFormat="1" applyFont="1" applyFill="1" applyBorder="1" applyAlignment="1">
      <alignment horizontal="center"/>
    </xf>
    <xf numFmtId="171" fontId="0" fillId="0" borderId="1" xfId="427" applyNumberFormat="1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44" fontId="0" fillId="0" borderId="0" xfId="427" applyFont="1" applyFill="1"/>
    <xf numFmtId="171" fontId="0" fillId="0" borderId="0" xfId="427" applyNumberFormat="1" applyFont="1" applyFill="1"/>
    <xf numFmtId="2" fontId="0" fillId="0" borderId="0" xfId="427" applyNumberFormat="1" applyFont="1" applyFill="1"/>
    <xf numFmtId="1" fontId="0" fillId="0" borderId="0" xfId="427" applyNumberFormat="1" applyFont="1" applyFill="1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71" fontId="1" fillId="0" borderId="1" xfId="427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71" fontId="0" fillId="0" borderId="1" xfId="0" applyNumberFormat="1" applyFont="1" applyFill="1" applyBorder="1" applyAlignment="1">
      <alignment horizontal="center" vertical="center" wrapText="1"/>
    </xf>
    <xf numFmtId="44" fontId="2" fillId="0" borderId="1" xfId="427" applyFont="1" applyFill="1" applyBorder="1" applyAlignment="1">
      <alignment horizontal="center" vertical="center" wrapText="1"/>
    </xf>
    <xf numFmtId="44" fontId="0" fillId="0" borderId="0" xfId="427" applyFont="1" applyFill="1" applyBorder="1" applyAlignment="1">
      <alignment horizontal="center" vertical="center"/>
    </xf>
    <xf numFmtId="0" fontId="1" fillId="0" borderId="26" xfId="0" applyFont="1" applyFill="1" applyBorder="1"/>
    <xf numFmtId="44" fontId="0" fillId="0" borderId="40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0" borderId="1" xfId="427" applyNumberFormat="1" applyFont="1" applyFill="1" applyBorder="1" applyAlignment="1">
      <alignment horizontal="right"/>
    </xf>
    <xf numFmtId="9" fontId="0" fillId="0" borderId="1" xfId="428" applyFont="1" applyFill="1" applyBorder="1" applyAlignment="1">
      <alignment horizontal="right"/>
    </xf>
    <xf numFmtId="44" fontId="0" fillId="0" borderId="1" xfId="427" applyFont="1" applyFill="1" applyBorder="1" applyAlignment="1">
      <alignment horizontal="right"/>
    </xf>
    <xf numFmtId="1" fontId="0" fillId="0" borderId="39" xfId="427" applyNumberFormat="1" applyFont="1" applyFill="1" applyBorder="1" applyAlignment="1">
      <alignment horizontal="right"/>
    </xf>
    <xf numFmtId="171" fontId="0" fillId="0" borderId="1" xfId="427" applyNumberFormat="1" applyFont="1" applyFill="1" applyBorder="1" applyAlignment="1">
      <alignment horizontal="right"/>
    </xf>
    <xf numFmtId="0" fontId="0" fillId="0" borderId="28" xfId="0" applyFill="1" applyBorder="1" applyAlignment="1">
      <alignment horizontal="left"/>
    </xf>
    <xf numFmtId="1" fontId="0" fillId="0" borderId="1" xfId="0" applyNumberFormat="1" applyFill="1" applyBorder="1" applyAlignment="1">
      <alignment horizontal="right"/>
    </xf>
    <xf numFmtId="44" fontId="0" fillId="0" borderId="39" xfId="0" applyNumberFormat="1" applyFill="1" applyBorder="1" applyAlignment="1">
      <alignment horizontal="right"/>
    </xf>
    <xf numFmtId="1" fontId="0" fillId="0" borderId="39" xfId="0" applyNumberFormat="1" applyFill="1" applyBorder="1" applyAlignment="1">
      <alignment horizontal="right"/>
    </xf>
    <xf numFmtId="44" fontId="0" fillId="0" borderId="28" xfId="0" applyNumberFormat="1" applyFill="1" applyBorder="1" applyAlignment="1">
      <alignment horizontal="left"/>
    </xf>
    <xf numFmtId="44" fontId="0" fillId="0" borderId="30" xfId="0" applyNumberForma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171" fontId="0" fillId="0" borderId="1" xfId="428" applyNumberFormat="1" applyFont="1" applyFill="1" applyBorder="1" applyAlignment="1">
      <alignment horizontal="right"/>
    </xf>
    <xf numFmtId="44" fontId="0" fillId="0" borderId="1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44" fontId="0" fillId="0" borderId="39" xfId="427" applyFont="1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1" fillId="0" borderId="1" xfId="0" applyFont="1" applyFill="1" applyBorder="1"/>
    <xf numFmtId="0" fontId="0" fillId="0" borderId="40" xfId="0" applyFill="1" applyBorder="1" applyAlignment="1">
      <alignment horizontal="right"/>
    </xf>
    <xf numFmtId="0" fontId="0" fillId="0" borderId="39" xfId="0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9" fontId="0" fillId="0" borderId="1" xfId="428" applyFont="1" applyBorder="1" applyAlignment="1">
      <alignment horizontal="center" vertical="center" wrapText="1"/>
    </xf>
    <xf numFmtId="9" fontId="0" fillId="0" borderId="1" xfId="428" applyFont="1" applyBorder="1" applyAlignment="1">
      <alignment horizontal="center"/>
    </xf>
    <xf numFmtId="44" fontId="0" fillId="0" borderId="1" xfId="427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22" xfId="0" applyNumberForma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44" fontId="0" fillId="0" borderId="28" xfId="0" applyNumberFormat="1" applyFill="1" applyBorder="1" applyAlignment="1">
      <alignment horizontal="left" wrapText="1"/>
    </xf>
    <xf numFmtId="44" fontId="0" fillId="0" borderId="41" xfId="0" applyNumberForma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 wrapText="1"/>
    </xf>
    <xf numFmtId="44" fontId="1" fillId="0" borderId="1" xfId="427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44" fontId="1" fillId="0" borderId="1" xfId="427" applyFont="1" applyFill="1" applyBorder="1" applyAlignment="1">
      <alignment wrapText="1"/>
    </xf>
    <xf numFmtId="44" fontId="1" fillId="0" borderId="39" xfId="427" applyFont="1" applyFill="1" applyBorder="1" applyAlignment="1">
      <alignment horizontal="center" wrapText="1"/>
    </xf>
    <xf numFmtId="171" fontId="1" fillId="0" borderId="1" xfId="427" applyNumberFormat="1" applyFont="1" applyFill="1" applyBorder="1" applyAlignment="1">
      <alignment wrapText="1"/>
    </xf>
    <xf numFmtId="0" fontId="39" fillId="0" borderId="1" xfId="0" applyFont="1" applyFill="1" applyBorder="1"/>
    <xf numFmtId="0" fontId="40" fillId="0" borderId="1" xfId="0" applyFont="1" applyFill="1" applyBorder="1" applyAlignment="1">
      <alignment horizontal="left"/>
    </xf>
    <xf numFmtId="44" fontId="40" fillId="0" borderId="1" xfId="427" applyFont="1" applyFill="1" applyBorder="1"/>
    <xf numFmtId="0" fontId="39" fillId="0" borderId="1" xfId="0" applyFont="1" applyFill="1" applyBorder="1" applyAlignment="1">
      <alignment horizontal="left"/>
    </xf>
    <xf numFmtId="44" fontId="39" fillId="0" borderId="1" xfId="427" applyFont="1" applyFill="1" applyBorder="1"/>
    <xf numFmtId="4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4" fontId="0" fillId="0" borderId="1" xfId="0" applyNumberFormat="1" applyFill="1" applyBorder="1" applyAlignment="1">
      <alignment horizontal="center" wrapText="1"/>
    </xf>
    <xf numFmtId="9" fontId="0" fillId="0" borderId="0" xfId="428" applyFont="1"/>
    <xf numFmtId="44" fontId="0" fillId="0" borderId="0" xfId="0" applyNumberFormat="1"/>
    <xf numFmtId="8" fontId="0" fillId="0" borderId="1" xfId="0" applyNumberFormat="1" applyBorder="1" applyAlignment="1">
      <alignment horizontal="center"/>
    </xf>
    <xf numFmtId="8" fontId="0" fillId="0" borderId="1" xfId="0" applyNumberFormat="1" applyFill="1" applyBorder="1" applyAlignment="1">
      <alignment horizontal="right"/>
    </xf>
    <xf numFmtId="44" fontId="1" fillId="0" borderId="1" xfId="0" applyNumberFormat="1" applyFont="1" applyFill="1" applyBorder="1" applyAlignment="1">
      <alignment horizontal="center" wrapText="1"/>
    </xf>
    <xf numFmtId="9" fontId="0" fillId="0" borderId="1" xfId="428" applyFont="1" applyBorder="1"/>
    <xf numFmtId="8" fontId="0" fillId="0" borderId="1" xfId="0" applyNumberFormat="1" applyBorder="1"/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9" fontId="0" fillId="0" borderId="36" xfId="428" applyFont="1" applyFill="1" applyBorder="1" applyAlignment="1">
      <alignment horizontal="center" vertical="center" wrapText="1"/>
    </xf>
    <xf numFmtId="9" fontId="0" fillId="0" borderId="37" xfId="428" applyFont="1" applyFill="1" applyBorder="1" applyAlignment="1">
      <alignment horizontal="center" vertical="center" wrapText="1"/>
    </xf>
    <xf numFmtId="9" fontId="0" fillId="0" borderId="27" xfId="428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1" fontId="1" fillId="0" borderId="39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4" fontId="1" fillId="0" borderId="1" xfId="427" applyFont="1" applyFill="1" applyBorder="1" applyAlignment="1">
      <alignment horizontal="center"/>
    </xf>
    <xf numFmtId="9" fontId="1" fillId="0" borderId="1" xfId="428" applyFont="1" applyFill="1" applyBorder="1" applyAlignment="1">
      <alignment horizontal="center" vertical="center" wrapText="1"/>
    </xf>
  </cellXfs>
  <cellStyles count="472">
    <cellStyle name="20% - Énfasis1" xfId="447" builtinId="30" customBuiltin="1"/>
    <cellStyle name="20% - Énfasis1 2" xfId="14"/>
    <cellStyle name="20% - Énfasis1 3" xfId="15"/>
    <cellStyle name="20% - Énfasis1 4" xfId="16"/>
    <cellStyle name="20% - Énfasis1 5" xfId="17"/>
    <cellStyle name="20% - Énfasis2" xfId="451" builtinId="34" customBuiltin="1"/>
    <cellStyle name="20% - Énfasis2 2" xfId="18"/>
    <cellStyle name="20% - Énfasis2 3" xfId="19"/>
    <cellStyle name="20% - Énfasis2 4" xfId="20"/>
    <cellStyle name="20% - Énfasis2 5" xfId="21"/>
    <cellStyle name="20% - Énfasis3" xfId="455" builtinId="38" customBuiltin="1"/>
    <cellStyle name="20% - Énfasis3 2" xfId="22"/>
    <cellStyle name="20% - Énfasis3 3" xfId="23"/>
    <cellStyle name="20% - Énfasis3 4" xfId="24"/>
    <cellStyle name="20% - Énfasis3 5" xfId="25"/>
    <cellStyle name="20% - Énfasis4" xfId="459" builtinId="42" customBuiltin="1"/>
    <cellStyle name="20% - Énfasis4 2" xfId="26"/>
    <cellStyle name="20% - Énfasis4 3" xfId="27"/>
    <cellStyle name="20% - Énfasis4 4" xfId="28"/>
    <cellStyle name="20% - Énfasis4 5" xfId="29"/>
    <cellStyle name="20% - Énfasis5" xfId="463" builtinId="46" customBuiltin="1"/>
    <cellStyle name="20% - Énfasis5 2" xfId="30"/>
    <cellStyle name="20% - Énfasis5 3" xfId="31"/>
    <cellStyle name="20% - Énfasis5 4" xfId="32"/>
    <cellStyle name="20% - Énfasis5 5" xfId="33"/>
    <cellStyle name="20% - Énfasis6" xfId="467" builtinId="50" customBuiltin="1"/>
    <cellStyle name="20% - Énfasis6 2" xfId="34"/>
    <cellStyle name="20% - Énfasis6 3" xfId="35"/>
    <cellStyle name="20% - Énfasis6 4" xfId="36"/>
    <cellStyle name="20% - Énfasis6 5" xfId="37"/>
    <cellStyle name="40% - Énfasis1" xfId="448" builtinId="31" customBuiltin="1"/>
    <cellStyle name="40% - Énfasis1 2" xfId="38"/>
    <cellStyle name="40% - Énfasis1 3" xfId="39"/>
    <cellStyle name="40% - Énfasis1 4" xfId="40"/>
    <cellStyle name="40% - Énfasis1 5" xfId="41"/>
    <cellStyle name="40% - Énfasis2" xfId="452" builtinId="35" customBuiltin="1"/>
    <cellStyle name="40% - Énfasis2 2" xfId="42"/>
    <cellStyle name="40% - Énfasis2 3" xfId="43"/>
    <cellStyle name="40% - Énfasis2 4" xfId="44"/>
    <cellStyle name="40% - Énfasis2 5" xfId="45"/>
    <cellStyle name="40% - Énfasis3" xfId="456" builtinId="39" customBuiltin="1"/>
    <cellStyle name="40% - Énfasis3 2" xfId="46"/>
    <cellStyle name="40% - Énfasis3 3" xfId="47"/>
    <cellStyle name="40% - Énfasis3 4" xfId="48"/>
    <cellStyle name="40% - Énfasis3 5" xfId="49"/>
    <cellStyle name="40% - Énfasis4" xfId="460" builtinId="43" customBuiltin="1"/>
    <cellStyle name="40% - Énfasis4 2" xfId="50"/>
    <cellStyle name="40% - Énfasis4 3" xfId="51"/>
    <cellStyle name="40% - Énfasis4 4" xfId="52"/>
    <cellStyle name="40% - Énfasis4 5" xfId="53"/>
    <cellStyle name="40% - Énfasis5" xfId="464" builtinId="47" customBuiltin="1"/>
    <cellStyle name="40% - Énfasis5 2" xfId="54"/>
    <cellStyle name="40% - Énfasis5 3" xfId="55"/>
    <cellStyle name="40% - Énfasis5 4" xfId="56"/>
    <cellStyle name="40% - Énfasis5 5" xfId="57"/>
    <cellStyle name="40% - Énfasis6" xfId="468" builtinId="51" customBuiltin="1"/>
    <cellStyle name="40% - Énfasis6 2" xfId="58"/>
    <cellStyle name="40% - Énfasis6 3" xfId="59"/>
    <cellStyle name="40% - Énfasis6 4" xfId="60"/>
    <cellStyle name="40% - Énfasis6 5" xfId="61"/>
    <cellStyle name="60% - Énfasis1" xfId="449" builtinId="32" customBuiltin="1"/>
    <cellStyle name="60% - Énfasis1 2" xfId="62"/>
    <cellStyle name="60% - Énfasis1 3" xfId="63"/>
    <cellStyle name="60% - Énfasis1 4" xfId="64"/>
    <cellStyle name="60% - Énfasis1 5" xfId="65"/>
    <cellStyle name="60% - Énfasis2" xfId="453" builtinId="36" customBuiltin="1"/>
    <cellStyle name="60% - Énfasis2 2" xfId="66"/>
    <cellStyle name="60% - Énfasis2 3" xfId="67"/>
    <cellStyle name="60% - Énfasis2 4" xfId="68"/>
    <cellStyle name="60% - Énfasis2 5" xfId="69"/>
    <cellStyle name="60% - Énfasis3" xfId="457" builtinId="40" customBuiltin="1"/>
    <cellStyle name="60% - Énfasis3 2" xfId="70"/>
    <cellStyle name="60% - Énfasis3 3" xfId="71"/>
    <cellStyle name="60% - Énfasis3 4" xfId="72"/>
    <cellStyle name="60% - Énfasis3 5" xfId="73"/>
    <cellStyle name="60% - Énfasis4" xfId="461" builtinId="44" customBuiltin="1"/>
    <cellStyle name="60% - Énfasis4 2" xfId="74"/>
    <cellStyle name="60% - Énfasis4 3" xfId="75"/>
    <cellStyle name="60% - Énfasis4 4" xfId="76"/>
    <cellStyle name="60% - Énfasis4 5" xfId="77"/>
    <cellStyle name="60% - Énfasis5" xfId="465" builtinId="48" customBuiltin="1"/>
    <cellStyle name="60% - Énfasis5 2" xfId="78"/>
    <cellStyle name="60% - Énfasis5 3" xfId="79"/>
    <cellStyle name="60% - Énfasis5 4" xfId="80"/>
    <cellStyle name="60% - Énfasis5 5" xfId="81"/>
    <cellStyle name="60% - Énfasis6" xfId="469" builtinId="52" customBuiltin="1"/>
    <cellStyle name="60% - Énfasis6 2" xfId="82"/>
    <cellStyle name="60% - Énfasis6 3" xfId="83"/>
    <cellStyle name="60% - Énfasis6 4" xfId="84"/>
    <cellStyle name="60% - Énfasis6 5" xfId="85"/>
    <cellStyle name="Buena" xfId="434" builtinId="26" customBuiltin="1"/>
    <cellStyle name="Buena 2" xfId="86"/>
    <cellStyle name="Buena 3" xfId="87"/>
    <cellStyle name="Buena 4" xfId="88"/>
    <cellStyle name="Buena 5" xfId="89"/>
    <cellStyle name="Cálculo" xfId="439" builtinId="22" customBuiltin="1"/>
    <cellStyle name="Cálculo 2" xfId="90"/>
    <cellStyle name="Cálculo 3" xfId="91"/>
    <cellStyle name="Cálculo 4" xfId="92"/>
    <cellStyle name="Cálculo 5" xfId="93"/>
    <cellStyle name="Celda de comprobación" xfId="441" builtinId="23" customBuiltin="1"/>
    <cellStyle name="Celda de comprobación 2" xfId="94"/>
    <cellStyle name="Celda de comprobación 3" xfId="95"/>
    <cellStyle name="Celda de comprobación 4" xfId="96"/>
    <cellStyle name="Celda de comprobación 5" xfId="97"/>
    <cellStyle name="Celda vinculada" xfId="440" builtinId="24" customBuiltin="1"/>
    <cellStyle name="Celda vinculada 2" xfId="98"/>
    <cellStyle name="Celda vinculada 3" xfId="99"/>
    <cellStyle name="Celda vinculada 4" xfId="100"/>
    <cellStyle name="Celda vinculada 5" xfId="101"/>
    <cellStyle name="Encabezado 4" xfId="433" builtinId="19" customBuiltin="1"/>
    <cellStyle name="Encabezado 4 2" xfId="102"/>
    <cellStyle name="Encabezado 4 3" xfId="103"/>
    <cellStyle name="Encabezado 4 4" xfId="104"/>
    <cellStyle name="Encabezado 4 5" xfId="105"/>
    <cellStyle name="Énfasis1" xfId="446" builtinId="29" customBuiltin="1"/>
    <cellStyle name="Énfasis1 2" xfId="106"/>
    <cellStyle name="Énfasis1 3" xfId="107"/>
    <cellStyle name="Énfasis1 4" xfId="108"/>
    <cellStyle name="Énfasis1 5" xfId="109"/>
    <cellStyle name="Énfasis2" xfId="450" builtinId="33" customBuiltin="1"/>
    <cellStyle name="Énfasis2 2" xfId="110"/>
    <cellStyle name="Énfasis2 3" xfId="111"/>
    <cellStyle name="Énfasis2 4" xfId="112"/>
    <cellStyle name="Énfasis2 5" xfId="113"/>
    <cellStyle name="Énfasis3" xfId="454" builtinId="37" customBuiltin="1"/>
    <cellStyle name="Énfasis3 2" xfId="114"/>
    <cellStyle name="Énfasis3 3" xfId="115"/>
    <cellStyle name="Énfasis3 4" xfId="116"/>
    <cellStyle name="Énfasis3 5" xfId="117"/>
    <cellStyle name="Énfasis4" xfId="458" builtinId="41" customBuiltin="1"/>
    <cellStyle name="Énfasis4 2" xfId="118"/>
    <cellStyle name="Énfasis4 3" xfId="119"/>
    <cellStyle name="Énfasis4 4" xfId="120"/>
    <cellStyle name="Énfasis4 5" xfId="121"/>
    <cellStyle name="Énfasis5" xfId="462" builtinId="45" customBuiltin="1"/>
    <cellStyle name="Énfasis5 2" xfId="122"/>
    <cellStyle name="Énfasis5 3" xfId="123"/>
    <cellStyle name="Énfasis5 4" xfId="124"/>
    <cellStyle name="Énfasis5 5" xfId="125"/>
    <cellStyle name="Énfasis6" xfId="466" builtinId="49" customBuiltin="1"/>
    <cellStyle name="Énfasis6 2" xfId="126"/>
    <cellStyle name="Énfasis6 3" xfId="127"/>
    <cellStyle name="Énfasis6 4" xfId="128"/>
    <cellStyle name="Énfasis6 5" xfId="129"/>
    <cellStyle name="Entrada" xfId="437" builtinId="20" customBuiltin="1"/>
    <cellStyle name="Entrada 2" xfId="130"/>
    <cellStyle name="Entrada 3" xfId="131"/>
    <cellStyle name="Entrada 4" xfId="132"/>
    <cellStyle name="Entrada 5" xfId="133"/>
    <cellStyle name="Estilo 1" xfId="4"/>
    <cellStyle name="Estilo 1 10" xfId="134"/>
    <cellStyle name="Estilo 1 10 2" xfId="10"/>
    <cellStyle name="Estilo 1 11" xfId="135"/>
    <cellStyle name="Estilo 1 11 2" xfId="136"/>
    <cellStyle name="Estilo 1 12" xfId="137"/>
    <cellStyle name="Estilo 1 12 2" xfId="138"/>
    <cellStyle name="Estilo 1 13" xfId="139"/>
    <cellStyle name="Estilo 1 13 2" xfId="140"/>
    <cellStyle name="Estilo 1 14" xfId="141"/>
    <cellStyle name="Estilo 1 14 2" xfId="142"/>
    <cellStyle name="Estilo 1 15" xfId="143"/>
    <cellStyle name="Estilo 1 15 2" xfId="144"/>
    <cellStyle name="Estilo 1 16" xfId="145"/>
    <cellStyle name="Estilo 1 17" xfId="146"/>
    <cellStyle name="Estilo 1 2" xfId="147"/>
    <cellStyle name="Estilo 1 2 2" xfId="148"/>
    <cellStyle name="Estilo 1 3" xfId="149"/>
    <cellStyle name="Estilo 1 3 2" xfId="150"/>
    <cellStyle name="Estilo 1 4" xfId="151"/>
    <cellStyle name="Estilo 1 4 2" xfId="152"/>
    <cellStyle name="Estilo 1 5" xfId="153"/>
    <cellStyle name="Estilo 1 5 2" xfId="154"/>
    <cellStyle name="Estilo 1 6" xfId="155"/>
    <cellStyle name="Estilo 1 6 2" xfId="156"/>
    <cellStyle name="Estilo 1 7" xfId="157"/>
    <cellStyle name="Estilo 1 7 2" xfId="158"/>
    <cellStyle name="Estilo 1 8" xfId="159"/>
    <cellStyle name="Estilo 1 8 2" xfId="160"/>
    <cellStyle name="Estilo 1 9" xfId="161"/>
    <cellStyle name="Estilo 1 9 2" xfId="162"/>
    <cellStyle name="Euro" xfId="163"/>
    <cellStyle name="Euro 10" xfId="164"/>
    <cellStyle name="Euro 11" xfId="165"/>
    <cellStyle name="Euro 2" xfId="166"/>
    <cellStyle name="Euro 2 2" xfId="167"/>
    <cellStyle name="Euro 3" xfId="168"/>
    <cellStyle name="Euro 3 2" xfId="169"/>
    <cellStyle name="Euro 4" xfId="170"/>
    <cellStyle name="Euro 4 2" xfId="171"/>
    <cellStyle name="Euro 5" xfId="172"/>
    <cellStyle name="Euro 5 2" xfId="173"/>
    <cellStyle name="Euro 6" xfId="174"/>
    <cellStyle name="Euro 6 2" xfId="175"/>
    <cellStyle name="Euro 7" xfId="176"/>
    <cellStyle name="Euro 7 2" xfId="177"/>
    <cellStyle name="Euro 8" xfId="178"/>
    <cellStyle name="Euro 9" xfId="179"/>
    <cellStyle name="Excel Built-in Normal" xfId="180"/>
    <cellStyle name="Incorrecto" xfId="435" builtinId="27" customBuiltin="1"/>
    <cellStyle name="Incorrecto 2" xfId="181"/>
    <cellStyle name="Incorrecto 3" xfId="182"/>
    <cellStyle name="Incorrecto 4" xfId="183"/>
    <cellStyle name="Incorrecto 5" xfId="184"/>
    <cellStyle name="Millares" xfId="471" builtinId="3"/>
    <cellStyle name="Millares 10" xfId="185"/>
    <cellStyle name="Millares 11" xfId="186"/>
    <cellStyle name="Millares 12" xfId="187"/>
    <cellStyle name="Millares 12 2" xfId="188"/>
    <cellStyle name="Millares 13" xfId="2"/>
    <cellStyle name="Millares 2" xfId="189"/>
    <cellStyle name="Millares 2 10" xfId="190"/>
    <cellStyle name="Millares 2 2" xfId="191"/>
    <cellStyle name="Millares 2 2 2" xfId="192"/>
    <cellStyle name="Millares 2 3" xfId="193"/>
    <cellStyle name="Millares 2 3 2" xfId="194"/>
    <cellStyle name="Millares 2 4" xfId="195"/>
    <cellStyle name="Millares 2 4 2" xfId="196"/>
    <cellStyle name="Millares 2 5" xfId="197"/>
    <cellStyle name="Millares 2 5 2" xfId="198"/>
    <cellStyle name="Millares 2 6" xfId="199"/>
    <cellStyle name="Millares 2 6 2" xfId="200"/>
    <cellStyle name="Millares 2 7" xfId="201"/>
    <cellStyle name="Millares 2 7 2" xfId="202"/>
    <cellStyle name="Millares 2 8" xfId="203"/>
    <cellStyle name="Millares 2 8 2" xfId="204"/>
    <cellStyle name="Millares 2 9" xfId="205"/>
    <cellStyle name="Millares 2 9 2" xfId="206"/>
    <cellStyle name="Millares 2_Hoja2" xfId="207"/>
    <cellStyle name="Millares 3" xfId="208"/>
    <cellStyle name="Millares 3 2" xfId="6"/>
    <cellStyle name="Millares 3 2 2" xfId="209"/>
    <cellStyle name="Millares 3 2 3" xfId="210"/>
    <cellStyle name="Millares 3 2 3 2" xfId="211"/>
    <cellStyle name="Millares 3 3" xfId="212"/>
    <cellStyle name="Millares 4" xfId="213"/>
    <cellStyle name="Millares 5" xfId="214"/>
    <cellStyle name="Millares 5 2" xfId="215"/>
    <cellStyle name="Millares 6" xfId="216"/>
    <cellStyle name="Millares 7" xfId="217"/>
    <cellStyle name="Millares 8" xfId="218"/>
    <cellStyle name="Millares 8 2" xfId="219"/>
    <cellStyle name="Millares 9" xfId="220"/>
    <cellStyle name="Moneda" xfId="427" builtinId="4"/>
    <cellStyle name="Moneda 2" xfId="221"/>
    <cellStyle name="Moneda 3" xfId="222"/>
    <cellStyle name="Neutral" xfId="436" builtinId="28" customBuiltin="1"/>
    <cellStyle name="Neutral 2" xfId="223"/>
    <cellStyle name="Neutral 3" xfId="224"/>
    <cellStyle name="Neutral 4" xfId="225"/>
    <cellStyle name="Neutral 5" xfId="226"/>
    <cellStyle name="Normal" xfId="0" builtinId="0"/>
    <cellStyle name="Normal 10" xfId="227"/>
    <cellStyle name="Normal 10 2" xfId="228"/>
    <cellStyle name="Normal 10 2 2" xfId="229"/>
    <cellStyle name="Normal 10 3" xfId="230"/>
    <cellStyle name="Normal 10 3 2" xfId="231"/>
    <cellStyle name="Normal 10 3 2 2" xfId="232"/>
    <cellStyle name="Normal 10 3 3" xfId="233"/>
    <cellStyle name="Normal 10 4" xfId="234"/>
    <cellStyle name="Normal 10 5" xfId="235"/>
    <cellStyle name="Normal 10 6" xfId="236"/>
    <cellStyle name="Normal 11" xfId="11"/>
    <cellStyle name="Normal 11 2" xfId="237"/>
    <cellStyle name="Normal 11 2 2" xfId="238"/>
    <cellStyle name="Normal 11 3" xfId="239"/>
    <cellStyle name="Normal 11 3 2" xfId="240"/>
    <cellStyle name="Normal 11 4" xfId="241"/>
    <cellStyle name="Normal 11 5" xfId="12"/>
    <cellStyle name="Normal 12" xfId="8"/>
    <cellStyle name="Normal 12 2" xfId="242"/>
    <cellStyle name="Normal 12 2 2" xfId="243"/>
    <cellStyle name="Normal 12 3" xfId="244"/>
    <cellStyle name="Normal 12 4" xfId="245"/>
    <cellStyle name="Normal 13" xfId="246"/>
    <cellStyle name="Normal 13 2" xfId="247"/>
    <cellStyle name="Normal 13 2 2" xfId="248"/>
    <cellStyle name="Normal 13 3" xfId="249"/>
    <cellStyle name="Normal 13 4" xfId="250"/>
    <cellStyle name="Normal 14" xfId="251"/>
    <cellStyle name="Normal 14 2" xfId="252"/>
    <cellStyle name="Normal 14 2 2" xfId="253"/>
    <cellStyle name="Normal 14 3" xfId="254"/>
    <cellStyle name="Normal 15" xfId="255"/>
    <cellStyle name="Normal 15 2" xfId="256"/>
    <cellStyle name="Normal 16" xfId="257"/>
    <cellStyle name="Normal 16 2" xfId="258"/>
    <cellStyle name="Normal 16 2 2" xfId="259"/>
    <cellStyle name="Normal 16 2 2 2" xfId="260"/>
    <cellStyle name="Normal 16 2 3" xfId="261"/>
    <cellStyle name="Normal 16 3" xfId="262"/>
    <cellStyle name="Normal 17" xfId="263"/>
    <cellStyle name="Normal 18" xfId="264"/>
    <cellStyle name="Normal 18 2" xfId="265"/>
    <cellStyle name="Normal 19" xfId="266"/>
    <cellStyle name="Normal 19 2" xfId="267"/>
    <cellStyle name="Normal 19 2 2" xfId="268"/>
    <cellStyle name="Normal 19 3" xfId="269"/>
    <cellStyle name="Normal 2" xfId="270"/>
    <cellStyle name="Normal 2 2" xfId="3"/>
    <cellStyle name="Normal 2 2 2" xfId="271"/>
    <cellStyle name="Normal 2 2 2 2" xfId="13"/>
    <cellStyle name="Normal 2 2 3" xfId="272"/>
    <cellStyle name="Normal 2 2 4" xfId="273"/>
    <cellStyle name="Normal 2 2 5" xfId="7"/>
    <cellStyle name="Normal 2 2 6" xfId="274"/>
    <cellStyle name="Normal 2 21" xfId="275"/>
    <cellStyle name="Normal 2 21 2" xfId="276"/>
    <cellStyle name="Normal 2 3" xfId="277"/>
    <cellStyle name="Normal 2 3 2" xfId="278"/>
    <cellStyle name="Normal 2 3 3" xfId="279"/>
    <cellStyle name="Normal 2 3 4" xfId="280"/>
    <cellStyle name="Normal 2 4" xfId="281"/>
    <cellStyle name="Normal 2 4 2" xfId="282"/>
    <cellStyle name="Normal 2 4 3" xfId="283"/>
    <cellStyle name="Normal 2 5" xfId="284"/>
    <cellStyle name="Normal 2 5 2" xfId="285"/>
    <cellStyle name="Normal 2 6" xfId="286"/>
    <cellStyle name="Normal 2 6 2" xfId="287"/>
    <cellStyle name="Normal 2 7" xfId="288"/>
    <cellStyle name="Normal 2 7 2" xfId="289"/>
    <cellStyle name="Normal 2 8" xfId="290"/>
    <cellStyle name="Normal 2 9" xfId="470"/>
    <cellStyle name="Normal 2_Formulario AP-4" xfId="291"/>
    <cellStyle name="Normal 20" xfId="292"/>
    <cellStyle name="Normal 20 2" xfId="293"/>
    <cellStyle name="Normal 20 2 2" xfId="294"/>
    <cellStyle name="Normal 20 3" xfId="295"/>
    <cellStyle name="Normal 21" xfId="296"/>
    <cellStyle name="Normal 21 2" xfId="297"/>
    <cellStyle name="Normal 21 2 2" xfId="298"/>
    <cellStyle name="Normal 21 3" xfId="299"/>
    <cellStyle name="Normal 22" xfId="300"/>
    <cellStyle name="Normal 22 2" xfId="301"/>
    <cellStyle name="Normal 22 2 2" xfId="302"/>
    <cellStyle name="Normal 22 3" xfId="303"/>
    <cellStyle name="Normal 23" xfId="304"/>
    <cellStyle name="Normal 23 2" xfId="305"/>
    <cellStyle name="Normal 23 2 2" xfId="306"/>
    <cellStyle name="Normal 23 3" xfId="307"/>
    <cellStyle name="Normal 24" xfId="308"/>
    <cellStyle name="Normal 24 2" xfId="309"/>
    <cellStyle name="Normal 25" xfId="310"/>
    <cellStyle name="Normal 25 2" xfId="311"/>
    <cellStyle name="Normal 26" xfId="312"/>
    <cellStyle name="Normal 27" xfId="313"/>
    <cellStyle name="Normal 27 2" xfId="314"/>
    <cellStyle name="Normal 28" xfId="315"/>
    <cellStyle name="Normal 29" xfId="316"/>
    <cellStyle name="Normal 29 2" xfId="317"/>
    <cellStyle name="Normal 3" xfId="318"/>
    <cellStyle name="Normal 3 2" xfId="319"/>
    <cellStyle name="Normal 3 2 2" xfId="320"/>
    <cellStyle name="Normal 3 2 3" xfId="321"/>
    <cellStyle name="Normal 3 3" xfId="322"/>
    <cellStyle name="Normal 3 4" xfId="323"/>
    <cellStyle name="Normal 3 5" xfId="324"/>
    <cellStyle name="Normal 3 6" xfId="5"/>
    <cellStyle name="Normal 30" xfId="325"/>
    <cellStyle name="Normal 30 2" xfId="326"/>
    <cellStyle name="Normal 31" xfId="327"/>
    <cellStyle name="Normal 31 2" xfId="328"/>
    <cellStyle name="Normal 32" xfId="329"/>
    <cellStyle name="Normal 32 2" xfId="330"/>
    <cellStyle name="Normal 33" xfId="331"/>
    <cellStyle name="Normal 33 2" xfId="332"/>
    <cellStyle name="Normal 34" xfId="333"/>
    <cellStyle name="Normal 34 2" xfId="334"/>
    <cellStyle name="Normal 35" xfId="335"/>
    <cellStyle name="Normal 36" xfId="1"/>
    <cellStyle name="Normal 4" xfId="336"/>
    <cellStyle name="Normal 4 2" xfId="337"/>
    <cellStyle name="Normal 4 2 2" xfId="338"/>
    <cellStyle name="Normal 4 3" xfId="339"/>
    <cellStyle name="Normal 4 3 2" xfId="340"/>
    <cellStyle name="Normal 4 4" xfId="341"/>
    <cellStyle name="Normal 4 5" xfId="342"/>
    <cellStyle name="Normal 4 6" xfId="343"/>
    <cellStyle name="Normal 5" xfId="344"/>
    <cellStyle name="Normal 5 2" xfId="345"/>
    <cellStyle name="Normal 5 2 2" xfId="346"/>
    <cellStyle name="Normal 5 3" xfId="347"/>
    <cellStyle name="Normal 5 3 2" xfId="348"/>
    <cellStyle name="Normal 6" xfId="349"/>
    <cellStyle name="Normal 6 2" xfId="350"/>
    <cellStyle name="Normal 6 2 2" xfId="351"/>
    <cellStyle name="Normal 6 3" xfId="352"/>
    <cellStyle name="Normal 6 4" xfId="353"/>
    <cellStyle name="Normal 7" xfId="354"/>
    <cellStyle name="Normal 7 2" xfId="355"/>
    <cellStyle name="Normal 7 2 2" xfId="356"/>
    <cellStyle name="Normal 7 3" xfId="357"/>
    <cellStyle name="Normal 7 4" xfId="358"/>
    <cellStyle name="Normal 8" xfId="359"/>
    <cellStyle name="Normal 8 2" xfId="360"/>
    <cellStyle name="Normal 8 2 2" xfId="361"/>
    <cellStyle name="Normal 8 3" xfId="362"/>
    <cellStyle name="Normal 8 4" xfId="363"/>
    <cellStyle name="Normal 9" xfId="9"/>
    <cellStyle name="Normal 9 2" xfId="364"/>
    <cellStyle name="Normal 9 2 2" xfId="365"/>
    <cellStyle name="Normal 9 3" xfId="366"/>
    <cellStyle name="Normal 9 4" xfId="367"/>
    <cellStyle name="Notas" xfId="443" builtinId="10" customBuiltin="1"/>
    <cellStyle name="Notas 2" xfId="368"/>
    <cellStyle name="Notas 2 2" xfId="369"/>
    <cellStyle name="Notas 3" xfId="370"/>
    <cellStyle name="Notas 4" xfId="371"/>
    <cellStyle name="Notas 5" xfId="372"/>
    <cellStyle name="Porcentaje" xfId="428" builtinId="5"/>
    <cellStyle name="Porcentaje 2" xfId="373"/>
    <cellStyle name="Porcentual 2" xfId="374"/>
    <cellStyle name="Porcentual 2 2" xfId="375"/>
    <cellStyle name="Porcentual 2 2 2" xfId="376"/>
    <cellStyle name="Porcentual 2 2 3" xfId="377"/>
    <cellStyle name="Porcentual 2 3" xfId="378"/>
    <cellStyle name="Porcentual 2 3 2" xfId="379"/>
    <cellStyle name="Porcentual 2 4" xfId="380"/>
    <cellStyle name="Porcentual 2 4 2" xfId="381"/>
    <cellStyle name="Porcentual 2 5" xfId="382"/>
    <cellStyle name="Porcentual 2 5 2" xfId="383"/>
    <cellStyle name="Porcentual 2 6" xfId="384"/>
    <cellStyle name="Porcentual 2 6 2" xfId="385"/>
    <cellStyle name="Porcentual 2 7" xfId="386"/>
    <cellStyle name="Porcentual 2 7 2" xfId="387"/>
    <cellStyle name="Porcentual 2 8" xfId="388"/>
    <cellStyle name="Porcentual 2 9" xfId="389"/>
    <cellStyle name="Porcentual 3" xfId="390"/>
    <cellStyle name="Porcentual 3 2" xfId="391"/>
    <cellStyle name="Porcentual 4" xfId="392"/>
    <cellStyle name="Porcentual 4 2" xfId="393"/>
    <cellStyle name="Porcentual 4 3" xfId="394"/>
    <cellStyle name="Salida" xfId="438" builtinId="21" customBuiltin="1"/>
    <cellStyle name="Salida 2" xfId="395"/>
    <cellStyle name="Salida 3" xfId="396"/>
    <cellStyle name="Salida 4" xfId="397"/>
    <cellStyle name="Salida 5" xfId="398"/>
    <cellStyle name="Texto de advertencia" xfId="442" builtinId="11" customBuiltin="1"/>
    <cellStyle name="Texto de advertencia 2" xfId="399"/>
    <cellStyle name="Texto de advertencia 3" xfId="400"/>
    <cellStyle name="Texto de advertencia 4" xfId="401"/>
    <cellStyle name="Texto de advertencia 5" xfId="402"/>
    <cellStyle name="Texto explicativo" xfId="444" builtinId="53" customBuiltin="1"/>
    <cellStyle name="Texto explicativo 2" xfId="403"/>
    <cellStyle name="Texto explicativo 3" xfId="404"/>
    <cellStyle name="Texto explicativo 4" xfId="405"/>
    <cellStyle name="Texto explicativo 5" xfId="406"/>
    <cellStyle name="Título" xfId="429" builtinId="15" customBuiltin="1"/>
    <cellStyle name="Título 1" xfId="430" builtinId="16" customBuiltin="1"/>
    <cellStyle name="Título 1 2" xfId="407"/>
    <cellStyle name="Título 1 3" xfId="408"/>
    <cellStyle name="Título 1 4" xfId="409"/>
    <cellStyle name="Título 1 5" xfId="410"/>
    <cellStyle name="Título 2" xfId="431" builtinId="17" customBuiltin="1"/>
    <cellStyle name="Título 2 2" xfId="411"/>
    <cellStyle name="Título 2 3" xfId="412"/>
    <cellStyle name="Título 2 4" xfId="413"/>
    <cellStyle name="Título 2 5" xfId="414"/>
    <cellStyle name="Título 3" xfId="432" builtinId="18" customBuiltin="1"/>
    <cellStyle name="Título 3 2" xfId="415"/>
    <cellStyle name="Título 3 3" xfId="416"/>
    <cellStyle name="Título 3 4" xfId="417"/>
    <cellStyle name="Título 3 5" xfId="418"/>
    <cellStyle name="Título 4" xfId="419"/>
    <cellStyle name="Título 5" xfId="420"/>
    <cellStyle name="Título 6" xfId="421"/>
    <cellStyle name="Título 7" xfId="422"/>
    <cellStyle name="Total" xfId="445" builtinId="25" customBuiltin="1"/>
    <cellStyle name="Total 2" xfId="423"/>
    <cellStyle name="Total 3" xfId="424"/>
    <cellStyle name="Total 4" xfId="425"/>
    <cellStyle name="Total 5" xfId="4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75" zoomScaleNormal="75"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A24" sqref="A24"/>
    </sheetView>
  </sheetViews>
  <sheetFormatPr baseColWidth="10" defaultRowHeight="15" x14ac:dyDescent="0.25"/>
  <cols>
    <col min="1" max="1" width="50.28515625" customWidth="1"/>
    <col min="2" max="2" width="16.140625" customWidth="1"/>
    <col min="3" max="3" width="12.7109375" customWidth="1"/>
    <col min="4" max="4" width="12.85546875" customWidth="1"/>
    <col min="5" max="6" width="16" customWidth="1"/>
    <col min="7" max="7" width="18" customWidth="1"/>
    <col min="8" max="8" width="18.7109375" customWidth="1"/>
    <col min="9" max="9" width="36" customWidth="1"/>
  </cols>
  <sheetData>
    <row r="1" spans="1:9" ht="141.6" customHeight="1" x14ac:dyDescent="0.25">
      <c r="A1" s="61" t="s">
        <v>4</v>
      </c>
      <c r="B1" s="71" t="s">
        <v>60</v>
      </c>
      <c r="C1" s="71" t="s">
        <v>53</v>
      </c>
      <c r="D1" s="71" t="s">
        <v>55</v>
      </c>
      <c r="E1" s="72" t="s">
        <v>61</v>
      </c>
      <c r="F1" s="71" t="s">
        <v>62</v>
      </c>
      <c r="G1" s="71" t="s">
        <v>47</v>
      </c>
      <c r="H1" s="71" t="s">
        <v>46</v>
      </c>
      <c r="I1" s="73" t="s">
        <v>132</v>
      </c>
    </row>
    <row r="2" spans="1:9" ht="15" customHeight="1" x14ac:dyDescent="0.25">
      <c r="A2" s="62" t="s">
        <v>0</v>
      </c>
      <c r="B2" s="74"/>
      <c r="C2" s="75">
        <v>49</v>
      </c>
      <c r="D2" s="76">
        <f>C2/$C$7</f>
        <v>6.6848567530695777E-2</v>
      </c>
      <c r="E2" s="75">
        <v>1988</v>
      </c>
      <c r="F2" s="76">
        <f>E2/$E$11</f>
        <v>0.25615255766009537</v>
      </c>
      <c r="G2" s="74"/>
      <c r="H2" s="22">
        <v>2722.1332302538335</v>
      </c>
      <c r="I2" s="184" t="s">
        <v>67</v>
      </c>
    </row>
    <row r="3" spans="1:9" x14ac:dyDescent="0.25">
      <c r="A3" s="62" t="s">
        <v>1</v>
      </c>
      <c r="B3" s="74"/>
      <c r="C3" s="75">
        <v>44</v>
      </c>
      <c r="D3" s="76">
        <f t="shared" ref="D3:D7" si="0">C3/$C$7</f>
        <v>6.0027285129604369E-2</v>
      </c>
      <c r="E3" s="75">
        <v>3713</v>
      </c>
      <c r="F3" s="76">
        <f t="shared" ref="F3:F6" si="1">E3/$E$11</f>
        <v>0.47841772967401108</v>
      </c>
      <c r="G3" s="74"/>
      <c r="H3" s="22">
        <v>5084.1452132457161</v>
      </c>
      <c r="I3" s="185"/>
    </row>
    <row r="4" spans="1:9" x14ac:dyDescent="0.25">
      <c r="A4" s="62" t="s">
        <v>2</v>
      </c>
      <c r="B4" s="74"/>
      <c r="C4" s="75">
        <v>638</v>
      </c>
      <c r="D4" s="76">
        <f t="shared" si="0"/>
        <v>0.87039563437926326</v>
      </c>
      <c r="E4" s="74">
        <v>1508</v>
      </c>
      <c r="F4" s="76">
        <f t="shared" si="1"/>
        <v>0.19430485762144054</v>
      </c>
      <c r="G4" s="74"/>
      <c r="H4" s="22">
        <v>2064.8777219430485</v>
      </c>
      <c r="I4" s="185"/>
    </row>
    <row r="5" spans="1:9" x14ac:dyDescent="0.25">
      <c r="A5" s="62" t="s">
        <v>3</v>
      </c>
      <c r="B5" s="74"/>
      <c r="C5" s="74">
        <v>0</v>
      </c>
      <c r="D5" s="76">
        <f t="shared" si="0"/>
        <v>0</v>
      </c>
      <c r="E5" s="74">
        <v>402</v>
      </c>
      <c r="F5" s="76">
        <f t="shared" si="1"/>
        <v>5.1797448782373405E-2</v>
      </c>
      <c r="G5" s="74"/>
      <c r="H5" s="22">
        <v>550.45148821028215</v>
      </c>
      <c r="I5" s="185"/>
    </row>
    <row r="6" spans="1:9" x14ac:dyDescent="0.25">
      <c r="A6" s="62" t="s">
        <v>49</v>
      </c>
      <c r="B6" s="74"/>
      <c r="C6" s="75">
        <v>2</v>
      </c>
      <c r="D6" s="76">
        <f t="shared" si="0"/>
        <v>2.7285129604365621E-3</v>
      </c>
      <c r="E6" s="74">
        <v>150</v>
      </c>
      <c r="F6" s="76">
        <f t="shared" si="1"/>
        <v>1.9327406262079627E-2</v>
      </c>
      <c r="G6" s="74"/>
      <c r="H6" s="22">
        <v>205.3923463471202</v>
      </c>
      <c r="I6" s="186"/>
    </row>
    <row r="7" spans="1:9" ht="15" customHeight="1" x14ac:dyDescent="0.25">
      <c r="A7" s="62" t="s">
        <v>48</v>
      </c>
      <c r="B7" s="74">
        <f>10627-B10</f>
        <v>9427</v>
      </c>
      <c r="C7" s="74">
        <v>733</v>
      </c>
      <c r="D7" s="76">
        <f t="shared" si="0"/>
        <v>1</v>
      </c>
      <c r="E7" s="77"/>
      <c r="F7" s="76"/>
      <c r="G7" s="78"/>
      <c r="H7" s="22">
        <v>10627.000000000002</v>
      </c>
      <c r="I7" s="187" t="s">
        <v>66</v>
      </c>
    </row>
    <row r="8" spans="1:9" x14ac:dyDescent="0.25">
      <c r="A8" s="62" t="s">
        <v>42</v>
      </c>
      <c r="B8" s="74"/>
      <c r="C8" s="22">
        <f>80%*C10/100%</f>
        <v>61.6</v>
      </c>
      <c r="D8" s="76">
        <f>C8/C10</f>
        <v>0.8</v>
      </c>
      <c r="E8" s="77"/>
      <c r="F8" s="76"/>
      <c r="G8" s="74"/>
      <c r="H8" s="74">
        <v>960</v>
      </c>
      <c r="I8" s="188"/>
    </row>
    <row r="9" spans="1:9" x14ac:dyDescent="0.25">
      <c r="A9" s="62" t="s">
        <v>15</v>
      </c>
      <c r="B9" s="74"/>
      <c r="C9" s="22">
        <f>20%*C10/100%</f>
        <v>15.4</v>
      </c>
      <c r="D9" s="79">
        <f>C9/C10</f>
        <v>0.2</v>
      </c>
      <c r="E9" s="77"/>
      <c r="F9" s="79"/>
      <c r="G9" s="74"/>
      <c r="H9" s="74">
        <v>240</v>
      </c>
      <c r="I9" s="188"/>
    </row>
    <row r="10" spans="1:9" x14ac:dyDescent="0.25">
      <c r="A10" s="62" t="s">
        <v>50</v>
      </c>
      <c r="B10" s="74">
        <v>1200</v>
      </c>
      <c r="C10" s="74">
        <v>77</v>
      </c>
      <c r="D10" s="76">
        <f>C10/C10</f>
        <v>1</v>
      </c>
      <c r="E10" s="78"/>
      <c r="F10" s="76"/>
      <c r="G10" s="74"/>
      <c r="H10" s="74">
        <v>1200</v>
      </c>
      <c r="I10" s="188"/>
    </row>
    <row r="11" spans="1:9" x14ac:dyDescent="0.25">
      <c r="A11" s="62" t="s">
        <v>54</v>
      </c>
      <c r="B11" s="74">
        <f>SUM(B7+B10)</f>
        <v>10627</v>
      </c>
      <c r="C11" s="74">
        <f>C7+C10</f>
        <v>810</v>
      </c>
      <c r="D11" s="76">
        <f>C11/C25</f>
        <v>0.73038773669972945</v>
      </c>
      <c r="E11" s="77">
        <v>7761</v>
      </c>
      <c r="F11" s="76">
        <f>E11/$E$25</f>
        <v>0.70484061393152297</v>
      </c>
      <c r="G11" s="74">
        <v>8660</v>
      </c>
      <c r="H11" s="74">
        <v>11827</v>
      </c>
      <c r="I11" s="189"/>
    </row>
    <row r="12" spans="1:9" ht="15" customHeight="1" x14ac:dyDescent="0.25">
      <c r="A12" s="62" t="s">
        <v>5</v>
      </c>
      <c r="B12" s="74"/>
      <c r="C12" s="74">
        <v>3</v>
      </c>
      <c r="D12" s="76">
        <f>C12/$C$14</f>
        <v>7.4999999999999997E-2</v>
      </c>
      <c r="E12" s="77">
        <v>16</v>
      </c>
      <c r="F12" s="76">
        <f>E12/$E$18</f>
        <v>2.735042735042735E-2</v>
      </c>
      <c r="G12" s="74"/>
      <c r="H12" s="22">
        <v>41.381196581196583</v>
      </c>
      <c r="I12" s="184" t="s">
        <v>68</v>
      </c>
    </row>
    <row r="13" spans="1:9" x14ac:dyDescent="0.25">
      <c r="A13" s="62" t="s">
        <v>6</v>
      </c>
      <c r="B13" s="74"/>
      <c r="C13" s="74">
        <v>37</v>
      </c>
      <c r="D13" s="76">
        <f t="shared" ref="D13:D14" si="2">C13/$C$14</f>
        <v>0.92500000000000004</v>
      </c>
      <c r="E13" s="77">
        <v>569</v>
      </c>
      <c r="F13" s="76">
        <f>E13/$E$18</f>
        <v>0.97264957264957264</v>
      </c>
      <c r="G13" s="74"/>
      <c r="H13" s="22">
        <v>1471.6188034188035</v>
      </c>
      <c r="I13" s="185"/>
    </row>
    <row r="14" spans="1:9" x14ac:dyDescent="0.25">
      <c r="A14" s="62" t="s">
        <v>52</v>
      </c>
      <c r="B14" s="74">
        <v>868</v>
      </c>
      <c r="C14" s="74">
        <v>40</v>
      </c>
      <c r="D14" s="76">
        <f t="shared" si="2"/>
        <v>1</v>
      </c>
      <c r="E14" s="143"/>
      <c r="F14" s="76"/>
      <c r="G14" s="78"/>
      <c r="H14" s="74">
        <v>1513</v>
      </c>
      <c r="I14" s="185"/>
    </row>
    <row r="15" spans="1:9" x14ac:dyDescent="0.25">
      <c r="A15" s="62" t="s">
        <v>43</v>
      </c>
      <c r="B15" s="74"/>
      <c r="C15" s="22">
        <f>80%*C17/100%</f>
        <v>7.2</v>
      </c>
      <c r="D15" s="76">
        <f>C15/$C$17</f>
        <v>0.8</v>
      </c>
      <c r="E15" s="77"/>
      <c r="F15" s="76"/>
      <c r="G15" s="74"/>
      <c r="H15" s="22">
        <v>455.20000000000005</v>
      </c>
      <c r="I15" s="185"/>
    </row>
    <row r="16" spans="1:9" x14ac:dyDescent="0.25">
      <c r="A16" s="62" t="s">
        <v>16</v>
      </c>
      <c r="B16" s="74"/>
      <c r="C16" s="22">
        <v>2</v>
      </c>
      <c r="D16" s="76">
        <f>C16/$C$17</f>
        <v>0.22222222222222221</v>
      </c>
      <c r="E16" s="77"/>
      <c r="F16" s="22">
        <f>20%*F17/100%</f>
        <v>0</v>
      </c>
      <c r="G16" s="74"/>
      <c r="H16" s="22">
        <v>113.80000000000001</v>
      </c>
      <c r="I16" s="185"/>
    </row>
    <row r="17" spans="1:9" x14ac:dyDescent="0.25">
      <c r="A17" s="62" t="s">
        <v>51</v>
      </c>
      <c r="B17" s="74">
        <v>569</v>
      </c>
      <c r="C17" s="22">
        <v>9</v>
      </c>
      <c r="D17" s="76">
        <f>C17/$C$17</f>
        <v>1</v>
      </c>
      <c r="E17" s="77"/>
      <c r="F17" s="76"/>
      <c r="G17" s="74"/>
      <c r="H17" s="74">
        <v>569</v>
      </c>
      <c r="I17" s="185"/>
    </row>
    <row r="18" spans="1:9" x14ac:dyDescent="0.25">
      <c r="A18" s="62" t="s">
        <v>56</v>
      </c>
      <c r="B18" s="74">
        <f>SUM(B14+B17)</f>
        <v>1437</v>
      </c>
      <c r="C18" s="74">
        <f>C14+C17</f>
        <v>49</v>
      </c>
      <c r="D18" s="76">
        <f>C18/$C$25</f>
        <v>4.4183949504057712E-2</v>
      </c>
      <c r="E18" s="77">
        <v>585</v>
      </c>
      <c r="F18" s="76">
        <f>E18/$E$25</f>
        <v>5.3128689492325853E-2</v>
      </c>
      <c r="G18" s="74">
        <v>1513</v>
      </c>
      <c r="H18" s="74">
        <v>2082</v>
      </c>
      <c r="I18" s="186"/>
    </row>
    <row r="19" spans="1:9" ht="15" customHeight="1" x14ac:dyDescent="0.25">
      <c r="A19" s="62" t="s">
        <v>58</v>
      </c>
      <c r="B19" s="74">
        <v>1288</v>
      </c>
      <c r="C19" s="74">
        <v>236</v>
      </c>
      <c r="D19" s="76">
        <f>C19/C25</f>
        <v>0.21280432822362488</v>
      </c>
      <c r="E19" s="77">
        <v>2573</v>
      </c>
      <c r="F19" s="76">
        <f>E19/$E$25</f>
        <v>0.2336754154935973</v>
      </c>
      <c r="G19" s="74">
        <v>0</v>
      </c>
      <c r="H19" s="22">
        <v>1288</v>
      </c>
      <c r="I19" s="184" t="s">
        <v>69</v>
      </c>
    </row>
    <row r="20" spans="1:9" x14ac:dyDescent="0.25">
      <c r="A20" s="62" t="s">
        <v>59</v>
      </c>
      <c r="B20" s="74">
        <v>351</v>
      </c>
      <c r="C20" s="74">
        <v>12</v>
      </c>
      <c r="D20" s="76">
        <f>C20/(C10+C17)</f>
        <v>0.13953488372093023</v>
      </c>
      <c r="E20" s="77"/>
      <c r="F20" s="76"/>
      <c r="G20" s="74"/>
      <c r="H20" s="74">
        <v>351</v>
      </c>
      <c r="I20" s="185"/>
    </row>
    <row r="21" spans="1:9" x14ac:dyDescent="0.25">
      <c r="A21" s="62" t="s">
        <v>64</v>
      </c>
      <c r="B21" s="74">
        <f>SUM(B19+B20)</f>
        <v>1639</v>
      </c>
      <c r="C21" s="74">
        <f t="shared" ref="C21:G21" si="3">SUM(C19+C20)</f>
        <v>248</v>
      </c>
      <c r="D21" s="76">
        <f>C21/C25</f>
        <v>0.22362488728584309</v>
      </c>
      <c r="E21" s="74">
        <f t="shared" si="3"/>
        <v>2573</v>
      </c>
      <c r="F21" s="76">
        <f>E21/$E$25</f>
        <v>0.2336754154935973</v>
      </c>
      <c r="G21" s="74">
        <f t="shared" si="3"/>
        <v>0</v>
      </c>
      <c r="H21" s="22">
        <v>1639</v>
      </c>
      <c r="I21" s="186"/>
    </row>
    <row r="22" spans="1:9" ht="38.25" customHeight="1" x14ac:dyDescent="0.25">
      <c r="A22" s="63" t="s">
        <v>29</v>
      </c>
      <c r="B22" s="6"/>
      <c r="C22" s="6">
        <v>31</v>
      </c>
      <c r="D22" s="15">
        <f>C22/$C$25</f>
        <v>2.7953110910730387E-2</v>
      </c>
      <c r="E22" s="14"/>
      <c r="F22" s="6"/>
      <c r="G22" s="6"/>
      <c r="H22" s="14">
        <v>330.33</v>
      </c>
      <c r="I22" s="144" t="s">
        <v>70</v>
      </c>
    </row>
    <row r="23" spans="1:9" ht="29.25" customHeight="1" x14ac:dyDescent="0.25">
      <c r="A23" s="63" t="s">
        <v>63</v>
      </c>
      <c r="B23" s="6"/>
      <c r="C23" s="6">
        <v>2</v>
      </c>
      <c r="D23" s="15">
        <f>C23/$C$25</f>
        <v>1.8034265103697023E-3</v>
      </c>
      <c r="E23" s="14">
        <v>92</v>
      </c>
      <c r="F23" s="6"/>
      <c r="G23" s="6"/>
      <c r="I23" s="145"/>
    </row>
    <row r="24" spans="1:9" s="32" customFormat="1" ht="29.25" customHeight="1" x14ac:dyDescent="0.25">
      <c r="A24" s="63" t="s">
        <v>94</v>
      </c>
      <c r="B24" s="6"/>
      <c r="C24" s="6"/>
      <c r="D24" s="15"/>
      <c r="E24" s="14"/>
      <c r="F24" s="6"/>
      <c r="G24" s="6"/>
      <c r="H24" s="74">
        <v>8804.4</v>
      </c>
      <c r="I24" s="69"/>
    </row>
    <row r="25" spans="1:9" ht="23.25" customHeight="1" x14ac:dyDescent="0.25">
      <c r="A25" s="63" t="s">
        <v>57</v>
      </c>
      <c r="B25" s="6">
        <f>SUM(B11+B18+B21+B23)</f>
        <v>13703</v>
      </c>
      <c r="C25" s="6">
        <f>SUM(C11+C18+C21+C23)</f>
        <v>1109</v>
      </c>
      <c r="D25" s="15">
        <f>C25/C25</f>
        <v>1</v>
      </c>
      <c r="E25" s="14">
        <f>SUM(E11+E18+E21+E23)</f>
        <v>11011</v>
      </c>
      <c r="F25" s="6"/>
      <c r="G25" s="6">
        <f>SUM(G2:G23)</f>
        <v>10173</v>
      </c>
      <c r="H25" s="74">
        <v>13340</v>
      </c>
      <c r="I25" s="69"/>
    </row>
    <row r="26" spans="1:9" ht="21" customHeight="1" thickBot="1" x14ac:dyDescent="0.35">
      <c r="A26" s="64" t="s">
        <v>45</v>
      </c>
      <c r="B26" s="65"/>
      <c r="C26" s="65"/>
      <c r="D26" s="65"/>
      <c r="E26" s="66"/>
      <c r="F26" s="65"/>
      <c r="G26" s="65"/>
      <c r="H26" s="67"/>
      <c r="I26" s="68"/>
    </row>
    <row r="27" spans="1:9" thickBot="1" x14ac:dyDescent="0.35"/>
    <row r="28" spans="1:9" s="32" customFormat="1" thickBot="1" x14ac:dyDescent="0.35">
      <c r="A28" s="190" t="s">
        <v>133</v>
      </c>
      <c r="B28" s="191"/>
      <c r="C28" s="192"/>
    </row>
    <row r="29" spans="1:9" ht="14.45" x14ac:dyDescent="0.3">
      <c r="A29" s="54" t="s">
        <v>90</v>
      </c>
      <c r="B29" s="53">
        <v>476</v>
      </c>
      <c r="C29" s="55">
        <f>B29/$C$25</f>
        <v>0.4292155094679892</v>
      </c>
    </row>
    <row r="30" spans="1:9" ht="14.45" x14ac:dyDescent="0.3">
      <c r="A30" s="56" t="s">
        <v>87</v>
      </c>
      <c r="B30" s="33">
        <v>89</v>
      </c>
      <c r="C30" s="57">
        <f t="shared" ref="C30:C34" si="4">B30/$C$25</f>
        <v>8.025247971145176E-2</v>
      </c>
    </row>
    <row r="31" spans="1:9" ht="14.45" x14ac:dyDescent="0.3">
      <c r="A31" s="56" t="s">
        <v>91</v>
      </c>
      <c r="B31" s="33">
        <v>10</v>
      </c>
      <c r="C31" s="57">
        <f t="shared" si="4"/>
        <v>9.017132551848512E-3</v>
      </c>
    </row>
    <row r="32" spans="1:9" ht="14.45" x14ac:dyDescent="0.3">
      <c r="A32" s="56" t="s">
        <v>92</v>
      </c>
      <c r="B32" s="33">
        <v>118</v>
      </c>
      <c r="C32" s="57">
        <f t="shared" si="4"/>
        <v>0.10640216411181244</v>
      </c>
    </row>
    <row r="33" spans="1:3" ht="14.45" x14ac:dyDescent="0.3">
      <c r="A33" s="56" t="s">
        <v>88</v>
      </c>
      <c r="B33" s="33">
        <v>17</v>
      </c>
      <c r="C33" s="57">
        <f t="shared" si="4"/>
        <v>1.5329125338142471E-2</v>
      </c>
    </row>
    <row r="34" spans="1:3" ht="14.45" x14ac:dyDescent="0.3">
      <c r="A34" s="56" t="s">
        <v>89</v>
      </c>
      <c r="B34" s="33">
        <v>17</v>
      </c>
      <c r="C34" s="57">
        <f t="shared" si="4"/>
        <v>1.5329125338142471E-2</v>
      </c>
    </row>
    <row r="35" spans="1:3" ht="30.75" thickBot="1" x14ac:dyDescent="0.3">
      <c r="A35" s="58" t="s">
        <v>93</v>
      </c>
      <c r="B35" s="59">
        <f>SUM(B29:B34)</f>
        <v>727</v>
      </c>
      <c r="C35" s="60">
        <f>B35/$C$25</f>
        <v>0.65554553651938685</v>
      </c>
    </row>
  </sheetData>
  <mergeCells count="5">
    <mergeCell ref="I2:I6"/>
    <mergeCell ref="I7:I11"/>
    <mergeCell ref="I12:I18"/>
    <mergeCell ref="I19:I21"/>
    <mergeCell ref="A28:C2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zoomScale="82" zoomScaleNormal="82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F1" sqref="F1"/>
    </sheetView>
  </sheetViews>
  <sheetFormatPr baseColWidth="10" defaultRowHeight="15" x14ac:dyDescent="0.25"/>
  <cols>
    <col min="1" max="1" width="37.7109375" customWidth="1"/>
    <col min="2" max="2" width="12" style="12" customWidth="1"/>
    <col min="3" max="3" width="12.85546875" style="12" customWidth="1"/>
    <col min="4" max="4" width="27.7109375" style="9" customWidth="1"/>
    <col min="5" max="5" width="23.7109375" style="18" customWidth="1"/>
    <col min="6" max="6" width="12.42578125" style="12" customWidth="1"/>
    <col min="7" max="7" width="14.7109375" style="12" customWidth="1"/>
    <col min="8" max="8" width="18.7109375" style="12" customWidth="1"/>
    <col min="9" max="9" width="18.28515625" customWidth="1"/>
    <col min="10" max="10" width="13.7109375" style="18" customWidth="1"/>
    <col min="11" max="13" width="14.7109375" style="12" customWidth="1"/>
    <col min="14" max="14" width="19" style="18" customWidth="1"/>
    <col min="15" max="15" width="14.7109375" style="18" customWidth="1"/>
    <col min="16" max="18" width="14.7109375" style="26" customWidth="1"/>
    <col min="19" max="19" width="22.140625" style="18" customWidth="1"/>
    <col min="20" max="20" width="14.7109375" style="18" customWidth="1"/>
    <col min="21" max="22" width="14.7109375" style="30" customWidth="1"/>
    <col min="23" max="23" width="18.42578125" style="18" customWidth="1"/>
    <col min="24" max="25" width="14.7109375" style="18" customWidth="1"/>
    <col min="26" max="26" width="22" style="18" customWidth="1"/>
    <col min="27" max="27" width="23.7109375" style="18" customWidth="1"/>
    <col min="28" max="28" width="14.7109375" style="18" customWidth="1"/>
    <col min="29" max="29" width="23.42578125" style="12" customWidth="1"/>
    <col min="30" max="30" width="22.42578125" style="12" customWidth="1"/>
    <col min="31" max="31" width="24" style="18" customWidth="1"/>
    <col min="32" max="32" width="17.140625" style="18" customWidth="1"/>
    <col min="33" max="33" width="11.42578125" style="12" customWidth="1"/>
    <col min="34" max="34" width="16.85546875" style="12" customWidth="1"/>
    <col min="35" max="35" width="16.7109375" style="18" customWidth="1"/>
    <col min="36" max="36" width="17.42578125" style="18" customWidth="1"/>
    <col min="37" max="37" width="16.5703125" style="18" customWidth="1"/>
    <col min="38" max="39" width="15.7109375" style="18" customWidth="1"/>
    <col min="40" max="41" width="11.42578125" style="12" customWidth="1"/>
    <col min="42" max="42" width="20" style="18" customWidth="1"/>
    <col min="43" max="43" width="16.7109375" style="18" customWidth="1"/>
    <col min="44" max="45" width="11.42578125" style="12" customWidth="1"/>
    <col min="46" max="46" width="19" style="18" customWidth="1"/>
    <col min="47" max="47" width="15.28515625" style="18" customWidth="1"/>
    <col min="48" max="49" width="15.28515625" style="12" customWidth="1"/>
    <col min="50" max="51" width="19" style="18" customWidth="1"/>
    <col min="52" max="53" width="11.42578125" style="12" customWidth="1"/>
    <col min="54" max="55" width="19" style="18" customWidth="1"/>
    <col min="56" max="57" width="21.140625" style="12" customWidth="1"/>
    <col min="58" max="58" width="21.140625" style="18" customWidth="1"/>
    <col min="59" max="59" width="14.42578125" style="18" customWidth="1"/>
    <col min="60" max="61" width="14.5703125" style="12" customWidth="1"/>
    <col min="62" max="62" width="19" style="18" customWidth="1"/>
    <col min="63" max="63" width="16.28515625" style="18" customWidth="1"/>
    <col min="64" max="64" width="16.28515625" style="30" customWidth="1"/>
    <col min="65" max="65" width="15.85546875" style="18" customWidth="1"/>
  </cols>
  <sheetData>
    <row r="1" spans="1:65" x14ac:dyDescent="0.25">
      <c r="E1"/>
      <c r="AC1" s="193" t="s">
        <v>14</v>
      </c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43"/>
    </row>
    <row r="2" spans="1:65" ht="90" x14ac:dyDescent="0.25">
      <c r="A2" s="34" t="s">
        <v>4</v>
      </c>
      <c r="B2" s="13" t="s">
        <v>46</v>
      </c>
      <c r="C2" s="13" t="s">
        <v>192</v>
      </c>
      <c r="D2" s="1" t="s">
        <v>65</v>
      </c>
      <c r="E2" s="1" t="s">
        <v>80</v>
      </c>
      <c r="F2" s="13" t="s">
        <v>32</v>
      </c>
      <c r="G2" s="13" t="s">
        <v>113</v>
      </c>
      <c r="H2" s="13" t="s">
        <v>98</v>
      </c>
      <c r="I2" s="1" t="s">
        <v>33</v>
      </c>
      <c r="J2" s="19" t="s">
        <v>81</v>
      </c>
      <c r="K2" s="13" t="s">
        <v>34</v>
      </c>
      <c r="L2" s="13" t="s">
        <v>114</v>
      </c>
      <c r="M2" s="13" t="s">
        <v>99</v>
      </c>
      <c r="N2" s="19" t="s">
        <v>35</v>
      </c>
      <c r="O2" s="19" t="s">
        <v>82</v>
      </c>
      <c r="P2" s="11" t="s">
        <v>79</v>
      </c>
      <c r="Q2" s="13" t="s">
        <v>115</v>
      </c>
      <c r="R2" s="13" t="s">
        <v>100</v>
      </c>
      <c r="S2" s="19" t="s">
        <v>83</v>
      </c>
      <c r="T2" s="19" t="s">
        <v>97</v>
      </c>
      <c r="U2" s="13" t="s">
        <v>84</v>
      </c>
      <c r="V2" s="13" t="s">
        <v>116</v>
      </c>
      <c r="W2" s="19" t="s">
        <v>85</v>
      </c>
      <c r="X2" s="19" t="s">
        <v>36</v>
      </c>
      <c r="Y2" s="19" t="s">
        <v>117</v>
      </c>
      <c r="Z2" s="19" t="s">
        <v>37</v>
      </c>
      <c r="AA2" s="19" t="s">
        <v>40</v>
      </c>
      <c r="AB2" s="19" t="s">
        <v>39</v>
      </c>
      <c r="AC2" s="13" t="s">
        <v>38</v>
      </c>
      <c r="AD2" s="19" t="s">
        <v>118</v>
      </c>
      <c r="AE2" s="19" t="s">
        <v>131</v>
      </c>
      <c r="AF2" s="19" t="s">
        <v>41</v>
      </c>
      <c r="AG2" s="13" t="s">
        <v>7</v>
      </c>
      <c r="AH2" s="19" t="s">
        <v>119</v>
      </c>
      <c r="AI2" s="19" t="s">
        <v>17</v>
      </c>
      <c r="AJ2" s="19" t="s">
        <v>24</v>
      </c>
      <c r="AK2" s="19" t="s">
        <v>25</v>
      </c>
      <c r="AL2" s="19" t="s">
        <v>26</v>
      </c>
      <c r="AM2" s="19" t="s">
        <v>27</v>
      </c>
      <c r="AN2" s="13" t="s">
        <v>8</v>
      </c>
      <c r="AO2" s="13" t="s">
        <v>120</v>
      </c>
      <c r="AP2" s="19" t="s">
        <v>18</v>
      </c>
      <c r="AQ2" s="19" t="s">
        <v>19</v>
      </c>
      <c r="AR2" s="13" t="s">
        <v>9</v>
      </c>
      <c r="AS2" s="13" t="s">
        <v>121</v>
      </c>
      <c r="AT2" s="19" t="s">
        <v>20</v>
      </c>
      <c r="AU2" s="19" t="s">
        <v>21</v>
      </c>
      <c r="AV2" s="13" t="s">
        <v>10</v>
      </c>
      <c r="AW2" s="13" t="s">
        <v>122</v>
      </c>
      <c r="AX2" s="19" t="s">
        <v>78</v>
      </c>
      <c r="AY2" s="19" t="s">
        <v>22</v>
      </c>
      <c r="AZ2" s="13" t="s">
        <v>11</v>
      </c>
      <c r="BA2" s="13" t="s">
        <v>123</v>
      </c>
      <c r="BB2" s="19" t="s">
        <v>23</v>
      </c>
      <c r="BC2" s="19" t="s">
        <v>28</v>
      </c>
      <c r="BD2" s="13" t="s">
        <v>12</v>
      </c>
      <c r="BE2" s="13" t="s">
        <v>122</v>
      </c>
      <c r="BF2" s="19" t="s">
        <v>44</v>
      </c>
      <c r="BG2" s="19" t="s">
        <v>125</v>
      </c>
      <c r="BH2" s="13" t="s">
        <v>13</v>
      </c>
      <c r="BI2" s="13" t="s">
        <v>124</v>
      </c>
      <c r="BJ2" s="20" t="s">
        <v>126</v>
      </c>
      <c r="BK2" s="20" t="s">
        <v>30</v>
      </c>
      <c r="BL2" s="44" t="s">
        <v>127</v>
      </c>
      <c r="BM2" s="20" t="s">
        <v>31</v>
      </c>
    </row>
    <row r="3" spans="1:65" s="32" customFormat="1" ht="72.75" hidden="1" customHeight="1" x14ac:dyDescent="0.25">
      <c r="A3" s="29" t="s">
        <v>101</v>
      </c>
      <c r="B3" s="13"/>
      <c r="C3" s="13"/>
      <c r="D3" s="147"/>
      <c r="E3" s="35" t="s">
        <v>105</v>
      </c>
      <c r="F3" s="36" t="s">
        <v>106</v>
      </c>
      <c r="G3" s="36"/>
      <c r="H3" s="36" t="s">
        <v>107</v>
      </c>
      <c r="I3" s="1"/>
      <c r="J3" s="35" t="s">
        <v>105</v>
      </c>
      <c r="K3" s="36" t="s">
        <v>110</v>
      </c>
      <c r="L3" s="36"/>
      <c r="M3" s="36" t="s">
        <v>107</v>
      </c>
      <c r="N3" s="19"/>
      <c r="O3" s="35" t="s">
        <v>108</v>
      </c>
      <c r="P3" s="36" t="s">
        <v>110</v>
      </c>
      <c r="Q3" s="36"/>
      <c r="R3" s="36" t="s">
        <v>107</v>
      </c>
      <c r="S3" s="19"/>
      <c r="T3" s="37" t="s">
        <v>109</v>
      </c>
      <c r="U3" s="36" t="s">
        <v>110</v>
      </c>
      <c r="V3" s="36"/>
      <c r="W3" s="36"/>
      <c r="X3" s="37" t="s">
        <v>109</v>
      </c>
      <c r="Y3" s="37"/>
      <c r="Z3" s="37"/>
      <c r="AA3" s="37" t="s">
        <v>109</v>
      </c>
      <c r="AB3" s="37" t="s">
        <v>109</v>
      </c>
      <c r="AC3" s="36" t="s">
        <v>110</v>
      </c>
      <c r="AD3" s="36"/>
      <c r="AE3" s="19"/>
      <c r="AF3" s="37" t="s">
        <v>109</v>
      </c>
      <c r="AG3" s="36" t="s">
        <v>110</v>
      </c>
      <c r="AH3" s="36"/>
      <c r="AI3" s="19"/>
      <c r="AJ3" s="37" t="s">
        <v>109</v>
      </c>
      <c r="AK3" s="37" t="s">
        <v>109</v>
      </c>
      <c r="AL3" s="37" t="s">
        <v>109</v>
      </c>
      <c r="AM3" s="37" t="s">
        <v>109</v>
      </c>
      <c r="AN3" s="36" t="s">
        <v>110</v>
      </c>
      <c r="AO3" s="36"/>
      <c r="AP3" s="19"/>
      <c r="AQ3" s="37" t="s">
        <v>109</v>
      </c>
      <c r="AR3" s="36" t="s">
        <v>110</v>
      </c>
      <c r="AS3" s="36"/>
      <c r="AT3" s="19"/>
      <c r="AU3" s="37" t="s">
        <v>109</v>
      </c>
      <c r="AV3" s="36" t="s">
        <v>110</v>
      </c>
      <c r="AW3" s="36"/>
      <c r="AX3" s="19"/>
      <c r="AY3" s="37" t="s">
        <v>109</v>
      </c>
      <c r="AZ3" s="36" t="s">
        <v>110</v>
      </c>
      <c r="BA3" s="36"/>
      <c r="BB3" s="19"/>
      <c r="BC3" s="37" t="s">
        <v>109</v>
      </c>
      <c r="BD3" s="36" t="s">
        <v>110</v>
      </c>
      <c r="BE3" s="36"/>
      <c r="BF3" s="19"/>
      <c r="BG3" s="37" t="s">
        <v>109</v>
      </c>
      <c r="BH3" s="36" t="s">
        <v>110</v>
      </c>
      <c r="BI3" s="36"/>
      <c r="BJ3" s="20"/>
      <c r="BK3" s="37" t="s">
        <v>109</v>
      </c>
      <c r="BL3" s="45"/>
      <c r="BM3" s="36" t="s">
        <v>111</v>
      </c>
    </row>
    <row r="4" spans="1:65" ht="19.5" customHeight="1" x14ac:dyDescent="0.25">
      <c r="A4" s="2" t="s">
        <v>0</v>
      </c>
      <c r="B4" s="7">
        <v>2722.1332302538335</v>
      </c>
      <c r="C4" s="10">
        <f>B4/$B$9</f>
        <v>0.27014540019024325</v>
      </c>
      <c r="D4" s="194" t="s">
        <v>72</v>
      </c>
      <c r="E4" s="17">
        <v>16038</v>
      </c>
      <c r="F4" s="7">
        <v>2</v>
      </c>
      <c r="G4" s="7">
        <f>F4*B4</f>
        <v>5444.266460507667</v>
      </c>
      <c r="H4" s="7">
        <v>3</v>
      </c>
      <c r="I4" s="17">
        <f>B4*(E4/H4)*F4</f>
        <v>29105048.497873988</v>
      </c>
      <c r="J4" s="17">
        <v>11955</v>
      </c>
      <c r="K4" s="7">
        <v>2</v>
      </c>
      <c r="L4" s="7">
        <f>K4*(B4*80%/100%)</f>
        <v>4355.413168406134</v>
      </c>
      <c r="M4" s="7">
        <v>3</v>
      </c>
      <c r="N4" s="17">
        <f>B4*K4*(J4/3)</f>
        <v>21695401.845123053</v>
      </c>
      <c r="O4" s="17"/>
      <c r="P4" s="27"/>
      <c r="Q4" s="27"/>
      <c r="R4" s="27"/>
      <c r="S4" s="17"/>
      <c r="T4" s="17"/>
      <c r="U4" s="28"/>
      <c r="V4" s="28"/>
      <c r="W4" s="17"/>
      <c r="X4" s="17"/>
      <c r="Y4" s="17"/>
      <c r="Z4" s="17"/>
      <c r="AA4" s="17">
        <v>4367</v>
      </c>
      <c r="AB4" s="17">
        <v>19075</v>
      </c>
      <c r="AC4" s="7">
        <v>1</v>
      </c>
      <c r="AD4" s="7">
        <f>AC4*B4</f>
        <v>2722.1332302538335</v>
      </c>
      <c r="AE4" s="17">
        <f>(SUM(AB4+AA4)*AC4)*B4</f>
        <v>63812247.183610365</v>
      </c>
      <c r="AF4" s="17">
        <v>11491</v>
      </c>
      <c r="AG4" s="7">
        <v>1</v>
      </c>
      <c r="AH4" s="7">
        <f>AG4*B4</f>
        <v>2722.1332302538335</v>
      </c>
      <c r="AI4" s="17">
        <f>(AF4*AG4)*B4</f>
        <v>31280032.948846802</v>
      </c>
      <c r="AJ4" s="17">
        <v>19305</v>
      </c>
      <c r="AK4" s="17">
        <v>22752</v>
      </c>
      <c r="AL4" s="17">
        <v>23441</v>
      </c>
      <c r="AM4" s="17">
        <v>12869.808000000001</v>
      </c>
      <c r="AN4" s="7">
        <v>1</v>
      </c>
      <c r="AO4" s="7">
        <f>AN4*B4</f>
        <v>2722.1332302538335</v>
      </c>
      <c r="AP4" s="17">
        <f t="shared" ref="AP4:AP22" si="0">(SUM(AJ4+AK4+AL4+AM4)*AN4)*B4</f>
        <v>213327614.33895224</v>
      </c>
      <c r="AQ4" s="17">
        <v>12180</v>
      </c>
      <c r="AR4" s="7">
        <v>1</v>
      </c>
      <c r="AS4" s="7">
        <f>AR4*B4</f>
        <v>2722.1332302538335</v>
      </c>
      <c r="AT4" s="17">
        <f>(AQ4*AR4)*B4</f>
        <v>33155582.744491693</v>
      </c>
      <c r="AU4" s="17">
        <v>11031</v>
      </c>
      <c r="AV4" s="7">
        <v>1</v>
      </c>
      <c r="AW4" s="7">
        <f>AV4*B4</f>
        <v>2722.1332302538335</v>
      </c>
      <c r="AX4" s="17">
        <f>B4*AU4*AV4</f>
        <v>30027851.662930038</v>
      </c>
      <c r="AY4" s="17">
        <v>37690</v>
      </c>
      <c r="AZ4" s="7">
        <v>1</v>
      </c>
      <c r="BA4" s="7">
        <f>AZ4*B4</f>
        <v>2722.1332302538335</v>
      </c>
      <c r="BB4" s="17">
        <f>(AY4*AZ4)*B4</f>
        <v>102597201.44826698</v>
      </c>
      <c r="BC4" s="17">
        <v>19722</v>
      </c>
      <c r="BD4" s="7">
        <v>1</v>
      </c>
      <c r="BE4" s="7">
        <f>BD4*B4</f>
        <v>2722.1332302538335</v>
      </c>
      <c r="BF4" s="17">
        <f>B4*BC4*BD4</f>
        <v>53685911.567066103</v>
      </c>
      <c r="BG4" s="17">
        <v>19522</v>
      </c>
      <c r="BH4" s="7"/>
      <c r="BI4" s="7"/>
      <c r="BJ4" s="17"/>
      <c r="BK4" s="17"/>
      <c r="BL4" s="28"/>
      <c r="BM4" s="17"/>
    </row>
    <row r="5" spans="1:65" x14ac:dyDescent="0.25">
      <c r="A5" s="2" t="s">
        <v>1</v>
      </c>
      <c r="B5" s="7">
        <v>5084.1452132457161</v>
      </c>
      <c r="C5" s="10">
        <f t="shared" ref="C5:C8" si="1">B5/$B$9</f>
        <v>0.50455224894686779</v>
      </c>
      <c r="D5" s="195"/>
      <c r="E5" s="17">
        <v>16038</v>
      </c>
      <c r="F5" s="7">
        <v>2</v>
      </c>
      <c r="G5" s="7">
        <f t="shared" ref="G5:G27" si="2">F5*B5</f>
        <v>10168.290426491432</v>
      </c>
      <c r="H5" s="7">
        <v>3</v>
      </c>
      <c r="I5" s="17">
        <f>B5*(E5/H5)*F5</f>
        <v>54359680.620023198</v>
      </c>
      <c r="J5" s="17">
        <v>11955</v>
      </c>
      <c r="K5" s="7">
        <v>2</v>
      </c>
      <c r="L5" s="7">
        <f>K5*(B5*80%/100%)</f>
        <v>8134.6323411931462</v>
      </c>
      <c r="M5" s="7">
        <v>3</v>
      </c>
      <c r="N5" s="17">
        <f>B5*K5*(J5/3)</f>
        <v>40520637.34956836</v>
      </c>
      <c r="O5" s="17"/>
      <c r="P5" s="27"/>
      <c r="Q5" s="27"/>
      <c r="R5" s="27"/>
      <c r="S5" s="17"/>
      <c r="T5" s="17"/>
      <c r="U5" s="28"/>
      <c r="V5" s="28"/>
      <c r="W5" s="17"/>
      <c r="X5" s="17"/>
      <c r="Y5" s="17"/>
      <c r="Z5" s="17"/>
      <c r="AA5" s="17">
        <v>4367</v>
      </c>
      <c r="AB5" s="17">
        <v>19075</v>
      </c>
      <c r="AC5" s="7">
        <v>1</v>
      </c>
      <c r="AD5" s="7">
        <f t="shared" ref="AD5:AD7" si="3">AC5*B5</f>
        <v>5084.1452132457161</v>
      </c>
      <c r="AE5" s="17">
        <f>(SUM(AB5+AA5)*AC5)*B5</f>
        <v>119182532.08890608</v>
      </c>
      <c r="AF5" s="17">
        <v>11491</v>
      </c>
      <c r="AG5" s="7">
        <v>1</v>
      </c>
      <c r="AH5" s="7">
        <f t="shared" ref="AH5:AH22" si="4">AG5*B5</f>
        <v>5084.1452132457161</v>
      </c>
      <c r="AI5" s="17">
        <f>(AF5*AG5)*B5</f>
        <v>58421912.645406522</v>
      </c>
      <c r="AJ5" s="17">
        <v>19305</v>
      </c>
      <c r="AK5" s="17">
        <v>22752</v>
      </c>
      <c r="AL5" s="17">
        <v>23441</v>
      </c>
      <c r="AM5" s="17">
        <v>12869.808000000001</v>
      </c>
      <c r="AN5" s="7">
        <v>1</v>
      </c>
      <c r="AO5" s="7">
        <f t="shared" ref="AO5:AO22" si="5">AN5*B5</f>
        <v>5084.1452132457161</v>
      </c>
      <c r="AP5" s="17">
        <f t="shared" si="0"/>
        <v>398433315.91575938</v>
      </c>
      <c r="AQ5" s="17">
        <v>12180</v>
      </c>
      <c r="AR5" s="7">
        <v>1</v>
      </c>
      <c r="AS5" s="7">
        <f t="shared" ref="AS5:AS22" si="6">AR5*B5</f>
        <v>5084.1452132457161</v>
      </c>
      <c r="AT5" s="17">
        <f>(AQ5*AR5)*B5</f>
        <v>61924888.697332822</v>
      </c>
      <c r="AU5" s="17">
        <v>11031</v>
      </c>
      <c r="AV5" s="7">
        <v>1</v>
      </c>
      <c r="AW5" s="7">
        <f t="shared" ref="AW5:AW22" si="7">AV5*B5</f>
        <v>5084.1452132457161</v>
      </c>
      <c r="AX5" s="17">
        <f>B5*AU5*AV5</f>
        <v>56083205.847313493</v>
      </c>
      <c r="AY5" s="17">
        <v>37690</v>
      </c>
      <c r="AZ5" s="7">
        <v>1</v>
      </c>
      <c r="BA5" s="7">
        <f t="shared" ref="BA5:BA22" si="8">AZ5*B5</f>
        <v>5084.1452132457161</v>
      </c>
      <c r="BB5" s="17">
        <f>(AY5*AZ5)*B5</f>
        <v>191621433.08723104</v>
      </c>
      <c r="BC5" s="17">
        <v>19722</v>
      </c>
      <c r="BD5" s="7">
        <v>1</v>
      </c>
      <c r="BE5" s="7">
        <f t="shared" ref="BE5:BE22" si="9">BD5*B5</f>
        <v>5084.1452132457161</v>
      </c>
      <c r="BF5" s="17">
        <f>B5*BC5*BD5</f>
        <v>100269511.89563201</v>
      </c>
      <c r="BG5" s="17">
        <v>19522</v>
      </c>
      <c r="BH5" s="7"/>
      <c r="BI5" s="7"/>
      <c r="BJ5" s="17"/>
      <c r="BK5" s="17"/>
      <c r="BL5" s="28"/>
      <c r="BM5" s="17"/>
    </row>
    <row r="6" spans="1:65" x14ac:dyDescent="0.25">
      <c r="A6" s="2" t="s">
        <v>2</v>
      </c>
      <c r="B6" s="7">
        <v>2064.8777219430485</v>
      </c>
      <c r="C6" s="10">
        <f t="shared" si="1"/>
        <v>0.20491914662318247</v>
      </c>
      <c r="D6" s="195"/>
      <c r="E6" s="17">
        <v>16038</v>
      </c>
      <c r="F6" s="7">
        <v>6</v>
      </c>
      <c r="G6" s="7">
        <f t="shared" si="2"/>
        <v>12389.266331658291</v>
      </c>
      <c r="H6" s="7">
        <v>3</v>
      </c>
      <c r="I6" s="17">
        <f>B6*(E6/H6)*F6</f>
        <v>66233017.809045225</v>
      </c>
      <c r="J6" s="17">
        <v>11955</v>
      </c>
      <c r="K6" s="7"/>
      <c r="L6" s="7"/>
      <c r="M6" s="7"/>
      <c r="N6" s="17"/>
      <c r="O6" s="17"/>
      <c r="P6" s="27"/>
      <c r="Q6" s="27"/>
      <c r="R6" s="27"/>
      <c r="S6" s="17"/>
      <c r="T6" s="17"/>
      <c r="U6" s="28"/>
      <c r="V6" s="28"/>
      <c r="W6" s="17"/>
      <c r="X6" s="17"/>
      <c r="Y6" s="17"/>
      <c r="Z6" s="17"/>
      <c r="AA6" s="17">
        <v>4367</v>
      </c>
      <c r="AB6" s="17">
        <v>19075</v>
      </c>
      <c r="AC6" s="7">
        <v>1</v>
      </c>
      <c r="AD6" s="7">
        <f t="shared" si="3"/>
        <v>2064.8777219430485</v>
      </c>
      <c r="AE6" s="17">
        <f>(SUM(AB6+AA6)*AC6)*B6</f>
        <v>48404863.557788946</v>
      </c>
      <c r="AF6" s="17">
        <v>11491</v>
      </c>
      <c r="AG6" s="7">
        <v>1</v>
      </c>
      <c r="AH6" s="7">
        <f t="shared" si="4"/>
        <v>2064.8777219430485</v>
      </c>
      <c r="AI6" s="17">
        <f>(AF6*AG6)*B6</f>
        <v>23727509.902847569</v>
      </c>
      <c r="AJ6" s="17">
        <v>19305</v>
      </c>
      <c r="AK6" s="17">
        <v>22752</v>
      </c>
      <c r="AL6" s="17">
        <v>23441</v>
      </c>
      <c r="AM6" s="17">
        <v>12869.808000000001</v>
      </c>
      <c r="AN6" s="7">
        <v>1</v>
      </c>
      <c r="AO6" s="7">
        <f t="shared" si="5"/>
        <v>2064.8777219430485</v>
      </c>
      <c r="AP6" s="17">
        <f t="shared" si="0"/>
        <v>161819940.85671023</v>
      </c>
      <c r="AQ6" s="17">
        <v>12180</v>
      </c>
      <c r="AR6" s="7">
        <v>1</v>
      </c>
      <c r="AS6" s="7">
        <f t="shared" si="6"/>
        <v>2064.8777219430485</v>
      </c>
      <c r="AT6" s="17">
        <f>(AQ6*AR6)*B6</f>
        <v>25150210.653266329</v>
      </c>
      <c r="AU6" s="17">
        <v>11031</v>
      </c>
      <c r="AV6" s="7">
        <v>1</v>
      </c>
      <c r="AW6" s="7">
        <f t="shared" si="7"/>
        <v>2064.8777219430485</v>
      </c>
      <c r="AX6" s="17">
        <f>B6*AU6*AV6</f>
        <v>22777666.15075377</v>
      </c>
      <c r="AY6" s="17">
        <v>37690</v>
      </c>
      <c r="AZ6" s="7">
        <v>1</v>
      </c>
      <c r="BA6" s="7">
        <f t="shared" si="8"/>
        <v>2064.8777219430485</v>
      </c>
      <c r="BB6" s="17">
        <f>(AY6*AZ6)*B6</f>
        <v>77825241.340033501</v>
      </c>
      <c r="BC6" s="17">
        <v>19722</v>
      </c>
      <c r="BD6" s="7">
        <v>1</v>
      </c>
      <c r="BE6" s="7">
        <f t="shared" si="9"/>
        <v>2064.8777219430485</v>
      </c>
      <c r="BF6" s="17">
        <f>B6*BC6*BD6</f>
        <v>40723518.432160802</v>
      </c>
      <c r="BG6" s="17">
        <v>19522</v>
      </c>
      <c r="BH6" s="7"/>
      <c r="BI6" s="7"/>
      <c r="BJ6" s="17"/>
      <c r="BK6" s="17"/>
      <c r="BL6" s="28"/>
      <c r="BM6" s="17"/>
    </row>
    <row r="7" spans="1:65" s="3" customFormat="1" x14ac:dyDescent="0.25">
      <c r="A7" s="16" t="s">
        <v>3</v>
      </c>
      <c r="B7" s="22"/>
      <c r="C7" s="76"/>
      <c r="D7" s="195"/>
      <c r="E7" s="17"/>
      <c r="F7" s="7"/>
      <c r="G7" s="7">
        <f t="shared" si="2"/>
        <v>0</v>
      </c>
      <c r="H7" s="7"/>
      <c r="I7" s="17"/>
      <c r="J7" s="17"/>
      <c r="K7" s="7"/>
      <c r="L7" s="7"/>
      <c r="M7" s="7"/>
      <c r="N7" s="17"/>
      <c r="O7" s="17"/>
      <c r="P7" s="27"/>
      <c r="Q7" s="27"/>
      <c r="R7" s="27"/>
      <c r="S7" s="17"/>
      <c r="T7" s="17"/>
      <c r="U7" s="28"/>
      <c r="V7" s="28"/>
      <c r="W7" s="17"/>
      <c r="X7" s="17"/>
      <c r="Y7" s="17"/>
      <c r="Z7" s="17"/>
      <c r="AA7" s="17">
        <v>4367</v>
      </c>
      <c r="AB7" s="17">
        <v>19075</v>
      </c>
      <c r="AC7" s="7">
        <v>1</v>
      </c>
      <c r="AD7" s="7">
        <f t="shared" si="3"/>
        <v>0</v>
      </c>
      <c r="AE7" s="17">
        <f>(SUM(AB7+AA7)*AC7)*B7</f>
        <v>0</v>
      </c>
      <c r="AF7" s="17">
        <v>11491</v>
      </c>
      <c r="AG7" s="7">
        <v>1</v>
      </c>
      <c r="AH7" s="7">
        <f t="shared" si="4"/>
        <v>0</v>
      </c>
      <c r="AI7" s="17">
        <f>(AF7*AG7)*B7</f>
        <v>0</v>
      </c>
      <c r="AJ7" s="17">
        <v>19305</v>
      </c>
      <c r="AK7" s="17">
        <v>22752</v>
      </c>
      <c r="AL7" s="17">
        <v>23441</v>
      </c>
      <c r="AM7" s="17">
        <v>12869.808000000001</v>
      </c>
      <c r="AN7" s="7">
        <v>1</v>
      </c>
      <c r="AO7" s="7">
        <f t="shared" si="5"/>
        <v>0</v>
      </c>
      <c r="AP7" s="17">
        <f t="shared" si="0"/>
        <v>0</v>
      </c>
      <c r="AQ7" s="17">
        <v>12180</v>
      </c>
      <c r="AR7" s="7">
        <v>1</v>
      </c>
      <c r="AS7" s="7">
        <f t="shared" si="6"/>
        <v>0</v>
      </c>
      <c r="AT7" s="17">
        <f>(AQ7*AR7)*B7</f>
        <v>0</v>
      </c>
      <c r="AU7" s="17">
        <v>11031</v>
      </c>
      <c r="AV7" s="7">
        <v>1</v>
      </c>
      <c r="AW7" s="7">
        <f t="shared" si="7"/>
        <v>0</v>
      </c>
      <c r="AX7" s="17">
        <f>B7*AU7*AV7</f>
        <v>0</v>
      </c>
      <c r="AY7" s="17">
        <v>37690</v>
      </c>
      <c r="AZ7" s="7">
        <v>1</v>
      </c>
      <c r="BA7" s="7">
        <f t="shared" si="8"/>
        <v>0</v>
      </c>
      <c r="BB7" s="17">
        <f>(AY7*AZ7)*B7</f>
        <v>0</v>
      </c>
      <c r="BC7" s="17">
        <v>19722</v>
      </c>
      <c r="BD7" s="7">
        <v>1</v>
      </c>
      <c r="BE7" s="7">
        <f t="shared" si="9"/>
        <v>0</v>
      </c>
      <c r="BF7" s="17">
        <f>B7*BC7*BD7</f>
        <v>0</v>
      </c>
      <c r="BG7" s="17">
        <v>19522</v>
      </c>
      <c r="BH7" s="7"/>
      <c r="BI7" s="7"/>
      <c r="BJ7" s="17"/>
      <c r="BK7" s="17"/>
      <c r="BL7" s="28"/>
      <c r="BM7" s="17"/>
    </row>
    <row r="8" spans="1:65" s="8" customFormat="1" x14ac:dyDescent="0.25">
      <c r="A8" s="2" t="s">
        <v>49</v>
      </c>
      <c r="B8" s="7">
        <v>205.3923463471202</v>
      </c>
      <c r="C8" s="10">
        <f t="shared" si="1"/>
        <v>2.0383204239706479E-2</v>
      </c>
      <c r="D8" s="195"/>
      <c r="E8" s="17"/>
      <c r="F8" s="7"/>
      <c r="G8" s="7">
        <f t="shared" si="2"/>
        <v>0</v>
      </c>
      <c r="H8" s="7"/>
      <c r="I8" s="17"/>
      <c r="J8" s="17"/>
      <c r="K8" s="7"/>
      <c r="L8" s="7"/>
      <c r="M8" s="7"/>
      <c r="N8" s="17"/>
      <c r="O8" s="17"/>
      <c r="P8" s="27"/>
      <c r="Q8" s="27"/>
      <c r="R8" s="27"/>
      <c r="S8" s="17"/>
      <c r="T8" s="17"/>
      <c r="U8" s="28"/>
      <c r="V8" s="28"/>
      <c r="W8" s="17"/>
      <c r="X8" s="17"/>
      <c r="Y8" s="17"/>
      <c r="Z8" s="17"/>
      <c r="AA8" s="17"/>
      <c r="AB8" s="17"/>
      <c r="AC8" s="7"/>
      <c r="AD8" s="7"/>
      <c r="AE8" s="17"/>
      <c r="AF8" s="17"/>
      <c r="AG8" s="7"/>
      <c r="AH8" s="7"/>
      <c r="AI8" s="17"/>
      <c r="AJ8" s="17"/>
      <c r="AK8" s="17"/>
      <c r="AL8" s="17"/>
      <c r="AM8" s="17"/>
      <c r="AN8" s="7"/>
      <c r="AO8" s="7"/>
      <c r="AP8" s="17">
        <f t="shared" si="0"/>
        <v>0</v>
      </c>
      <c r="AQ8" s="17"/>
      <c r="AR8" s="7"/>
      <c r="AS8" s="7"/>
      <c r="AT8" s="17"/>
      <c r="AU8" s="17"/>
      <c r="AV8" s="7"/>
      <c r="AW8" s="7"/>
      <c r="AX8" s="17"/>
      <c r="AY8" s="17"/>
      <c r="AZ8" s="7"/>
      <c r="BA8" s="7"/>
      <c r="BB8" s="17"/>
      <c r="BC8" s="17"/>
      <c r="BD8" s="7"/>
      <c r="BE8" s="7"/>
      <c r="BF8" s="17"/>
      <c r="BG8" s="17"/>
      <c r="BH8" s="7"/>
      <c r="BI8" s="7"/>
      <c r="BJ8" s="17"/>
      <c r="BK8" s="17"/>
      <c r="BL8" s="28"/>
      <c r="BM8" s="17"/>
    </row>
    <row r="9" spans="1:65" ht="15" customHeight="1" x14ac:dyDescent="0.25">
      <c r="A9" s="2" t="s">
        <v>48</v>
      </c>
      <c r="B9" s="7">
        <f>SUM(B4:B8)</f>
        <v>10076.548511789719</v>
      </c>
      <c r="C9" s="10">
        <f>B9/B13</f>
        <v>0.85199530834444226</v>
      </c>
      <c r="D9" s="195"/>
      <c r="E9" s="17"/>
      <c r="F9" s="7"/>
      <c r="G9" s="7">
        <f t="shared" si="2"/>
        <v>0</v>
      </c>
      <c r="H9" s="7"/>
      <c r="I9" s="17"/>
      <c r="J9" s="17"/>
      <c r="K9" s="7"/>
      <c r="L9" s="7"/>
      <c r="M9" s="7"/>
      <c r="N9" s="17"/>
      <c r="O9" s="17"/>
      <c r="P9" s="27"/>
      <c r="Q9" s="27"/>
      <c r="R9" s="27"/>
      <c r="S9" s="17"/>
      <c r="T9" s="17"/>
      <c r="U9" s="28"/>
      <c r="V9" s="28"/>
      <c r="W9" s="17"/>
      <c r="X9" s="17"/>
      <c r="Y9" s="17"/>
      <c r="Z9" s="17"/>
      <c r="AA9" s="17"/>
      <c r="AB9" s="17"/>
      <c r="AC9" s="7"/>
      <c r="AD9" s="7"/>
      <c r="AE9" s="17"/>
      <c r="AF9" s="17"/>
      <c r="AG9" s="7"/>
      <c r="AH9" s="7"/>
      <c r="AI9" s="17"/>
      <c r="AJ9" s="17"/>
      <c r="AK9" s="17"/>
      <c r="AL9" s="17"/>
      <c r="AM9" s="17"/>
      <c r="AN9" s="7"/>
      <c r="AO9" s="7"/>
      <c r="AP9" s="17">
        <f t="shared" si="0"/>
        <v>0</v>
      </c>
      <c r="AQ9" s="17"/>
      <c r="AR9" s="7"/>
      <c r="AS9" s="7"/>
      <c r="AT9" s="17"/>
      <c r="AU9" s="17"/>
      <c r="AV9" s="7"/>
      <c r="AW9" s="7"/>
      <c r="AX9" s="17"/>
      <c r="AY9" s="17"/>
      <c r="AZ9" s="7"/>
      <c r="BA9" s="7"/>
      <c r="BB9" s="17"/>
      <c r="BC9" s="17"/>
      <c r="BD9" s="7"/>
      <c r="BE9" s="7"/>
      <c r="BF9" s="17"/>
      <c r="BG9" s="17"/>
      <c r="BH9" s="7"/>
      <c r="BI9" s="7"/>
      <c r="BJ9" s="17"/>
      <c r="BK9" s="17"/>
      <c r="BL9" s="28"/>
      <c r="BM9" s="17"/>
    </row>
    <row r="10" spans="1:65" x14ac:dyDescent="0.25">
      <c r="A10" s="2" t="s">
        <v>42</v>
      </c>
      <c r="B10" s="7">
        <f>$B$12*80%/100%</f>
        <v>960</v>
      </c>
      <c r="C10" s="10">
        <f>B10/$B$12</f>
        <v>0.8</v>
      </c>
      <c r="D10" s="195"/>
      <c r="E10" s="17">
        <v>16038</v>
      </c>
      <c r="F10" s="7">
        <v>8</v>
      </c>
      <c r="G10" s="7">
        <f t="shared" si="2"/>
        <v>7680</v>
      </c>
      <c r="H10" s="7">
        <v>2</v>
      </c>
      <c r="I10" s="17">
        <f>B10*(E10/H10)*F10</f>
        <v>61585920</v>
      </c>
      <c r="J10" s="17">
        <v>11955</v>
      </c>
      <c r="K10" s="7"/>
      <c r="L10" s="7"/>
      <c r="M10" s="7"/>
      <c r="N10" s="17"/>
      <c r="O10" s="17"/>
      <c r="P10" s="27"/>
      <c r="Q10" s="27"/>
      <c r="R10" s="27"/>
      <c r="S10" s="17"/>
      <c r="T10" s="17"/>
      <c r="U10" s="28"/>
      <c r="V10" s="28"/>
      <c r="W10" s="17"/>
      <c r="X10" s="17">
        <v>3651</v>
      </c>
      <c r="Y10" s="39">
        <f>3*B10</f>
        <v>2880</v>
      </c>
      <c r="Z10" s="17">
        <f>(X10*3)*B10</f>
        <v>10514880</v>
      </c>
      <c r="AA10" s="17">
        <v>4367</v>
      </c>
      <c r="AB10" s="17">
        <v>19075</v>
      </c>
      <c r="AC10" s="7">
        <v>1</v>
      </c>
      <c r="AD10" s="7">
        <f t="shared" ref="AD10:AD22" si="10">AC10*B10</f>
        <v>960</v>
      </c>
      <c r="AE10" s="17">
        <f>(SUM(AB10+AA10)*AC10)*B10</f>
        <v>22504320</v>
      </c>
      <c r="AF10" s="17">
        <v>11491</v>
      </c>
      <c r="AG10" s="7">
        <v>1</v>
      </c>
      <c r="AH10" s="7">
        <f t="shared" si="4"/>
        <v>960</v>
      </c>
      <c r="AI10" s="17">
        <f>(AF10*AG10)*B10</f>
        <v>11031360</v>
      </c>
      <c r="AJ10" s="17">
        <v>19305</v>
      </c>
      <c r="AK10" s="17">
        <v>22752</v>
      </c>
      <c r="AL10" s="17">
        <v>23441</v>
      </c>
      <c r="AM10" s="17">
        <v>12869.808000000001</v>
      </c>
      <c r="AN10" s="7">
        <v>1</v>
      </c>
      <c r="AO10" s="7">
        <f t="shared" si="5"/>
        <v>960</v>
      </c>
      <c r="AP10" s="17">
        <f t="shared" si="0"/>
        <v>75233095.680000007</v>
      </c>
      <c r="AQ10" s="17">
        <v>12180</v>
      </c>
      <c r="AR10" s="7">
        <v>1</v>
      </c>
      <c r="AS10" s="7">
        <f t="shared" si="6"/>
        <v>960</v>
      </c>
      <c r="AT10" s="17">
        <f>(AQ10*AR10)*B10</f>
        <v>11692800</v>
      </c>
      <c r="AU10" s="17">
        <v>11031</v>
      </c>
      <c r="AV10" s="7">
        <v>1</v>
      </c>
      <c r="AW10" s="7">
        <f t="shared" si="7"/>
        <v>960</v>
      </c>
      <c r="AX10" s="17">
        <f>B10*AU10*AV10</f>
        <v>10589760</v>
      </c>
      <c r="AY10" s="17">
        <v>37690</v>
      </c>
      <c r="AZ10" s="7">
        <v>1</v>
      </c>
      <c r="BA10" s="7">
        <f t="shared" si="8"/>
        <v>960</v>
      </c>
      <c r="BB10" s="17">
        <f>(AY10*AZ10)*B10</f>
        <v>36182400</v>
      </c>
      <c r="BC10" s="17">
        <v>19722</v>
      </c>
      <c r="BD10" s="7">
        <v>1</v>
      </c>
      <c r="BE10" s="7">
        <f t="shared" si="9"/>
        <v>960</v>
      </c>
      <c r="BF10" s="17">
        <f>B10*BC10*BD10</f>
        <v>18933120</v>
      </c>
      <c r="BG10" s="17">
        <v>19522</v>
      </c>
      <c r="BH10" s="7"/>
      <c r="BI10" s="7"/>
      <c r="BJ10" s="17"/>
      <c r="BK10" s="17"/>
      <c r="BL10" s="28"/>
      <c r="BM10" s="17"/>
    </row>
    <row r="11" spans="1:65" x14ac:dyDescent="0.25">
      <c r="A11" s="2" t="s">
        <v>15</v>
      </c>
      <c r="B11" s="7">
        <f>$B$12*20%/100%</f>
        <v>240</v>
      </c>
      <c r="C11" s="10">
        <f t="shared" ref="C11" si="11">B11/$B$12</f>
        <v>0.2</v>
      </c>
      <c r="D11" s="195"/>
      <c r="E11" s="17">
        <v>16038</v>
      </c>
      <c r="F11" s="7">
        <v>12</v>
      </c>
      <c r="G11" s="7">
        <f t="shared" si="2"/>
        <v>2880</v>
      </c>
      <c r="H11" s="7">
        <v>2</v>
      </c>
      <c r="I11" s="17">
        <f>B11*(E11/H11)*F11</f>
        <v>23094720</v>
      </c>
      <c r="J11" s="17">
        <v>11955</v>
      </c>
      <c r="K11" s="7"/>
      <c r="L11" s="7"/>
      <c r="M11" s="7"/>
      <c r="N11" s="17"/>
      <c r="O11" s="17"/>
      <c r="P11" s="27"/>
      <c r="Q11" s="27"/>
      <c r="R11" s="27"/>
      <c r="S11" s="17"/>
      <c r="T11" s="17"/>
      <c r="U11" s="28"/>
      <c r="V11" s="28"/>
      <c r="W11" s="17"/>
      <c r="X11" s="17">
        <v>3651</v>
      </c>
      <c r="Y11" s="39">
        <f>3*B11</f>
        <v>720</v>
      </c>
      <c r="Z11" s="17">
        <f>(X11*3)*B11</f>
        <v>2628720</v>
      </c>
      <c r="AA11" s="17">
        <v>4367</v>
      </c>
      <c r="AB11" s="17">
        <v>19075</v>
      </c>
      <c r="AC11" s="7">
        <v>1</v>
      </c>
      <c r="AD11" s="7">
        <f t="shared" si="10"/>
        <v>240</v>
      </c>
      <c r="AE11" s="17">
        <f>(SUM(AB11+AA11)*AC11)*B11</f>
        <v>5626080</v>
      </c>
      <c r="AF11" s="17">
        <v>11491</v>
      </c>
      <c r="AG11" s="7">
        <v>1</v>
      </c>
      <c r="AH11" s="7">
        <f t="shared" si="4"/>
        <v>240</v>
      </c>
      <c r="AI11" s="17">
        <f>(AF11*AG11)*B11</f>
        <v>2757840</v>
      </c>
      <c r="AJ11" s="17">
        <v>19305</v>
      </c>
      <c r="AK11" s="17">
        <v>22752</v>
      </c>
      <c r="AL11" s="17">
        <v>23441</v>
      </c>
      <c r="AM11" s="17">
        <v>12869.808000000001</v>
      </c>
      <c r="AN11" s="7">
        <v>1</v>
      </c>
      <c r="AO11" s="7">
        <f t="shared" si="5"/>
        <v>240</v>
      </c>
      <c r="AP11" s="17">
        <f t="shared" si="0"/>
        <v>18808273.920000002</v>
      </c>
      <c r="AQ11" s="17">
        <v>12180</v>
      </c>
      <c r="AR11" s="7">
        <v>1</v>
      </c>
      <c r="AS11" s="7">
        <f t="shared" si="6"/>
        <v>240</v>
      </c>
      <c r="AT11" s="17">
        <f>(AQ11*AR11)*B11</f>
        <v>2923200</v>
      </c>
      <c r="AU11" s="17">
        <v>11031</v>
      </c>
      <c r="AV11" s="7">
        <v>1</v>
      </c>
      <c r="AW11" s="7">
        <f t="shared" si="7"/>
        <v>240</v>
      </c>
      <c r="AX11" s="17">
        <f>B11*AU11*AV11</f>
        <v>2647440</v>
      </c>
      <c r="AY11" s="17">
        <v>37690</v>
      </c>
      <c r="AZ11" s="7">
        <v>1</v>
      </c>
      <c r="BA11" s="7">
        <f t="shared" si="8"/>
        <v>240</v>
      </c>
      <c r="BB11" s="17">
        <f>(AY11*AZ11)*B11</f>
        <v>9045600</v>
      </c>
      <c r="BC11" s="17">
        <v>19722</v>
      </c>
      <c r="BD11" s="7">
        <v>1</v>
      </c>
      <c r="BE11" s="7">
        <f t="shared" si="9"/>
        <v>240</v>
      </c>
      <c r="BF11" s="17">
        <f>B11*BC11*BD11</f>
        <v>4733280</v>
      </c>
      <c r="BG11" s="17">
        <v>19522</v>
      </c>
      <c r="BH11" s="7"/>
      <c r="BI11" s="7"/>
      <c r="BJ11" s="17"/>
      <c r="BK11" s="17"/>
      <c r="BL11" s="28"/>
      <c r="BM11" s="17"/>
    </row>
    <row r="12" spans="1:65" s="9" customFormat="1" x14ac:dyDescent="0.25">
      <c r="A12" s="2" t="s">
        <v>50</v>
      </c>
      <c r="B12" s="7">
        <v>1200</v>
      </c>
      <c r="C12" s="10">
        <f>B12/B13</f>
        <v>0.10146275471379047</v>
      </c>
      <c r="D12" s="195"/>
      <c r="E12" s="17"/>
      <c r="F12" s="7"/>
      <c r="G12" s="7">
        <f t="shared" si="2"/>
        <v>0</v>
      </c>
      <c r="H12" s="7"/>
      <c r="I12" s="17"/>
      <c r="J12" s="17"/>
      <c r="K12" s="7"/>
      <c r="L12" s="7"/>
      <c r="M12" s="7"/>
      <c r="N12" s="17"/>
      <c r="O12" s="17"/>
      <c r="P12" s="27"/>
      <c r="Q12" s="27"/>
      <c r="R12" s="27"/>
      <c r="S12" s="17"/>
      <c r="T12" s="17"/>
      <c r="U12" s="28"/>
      <c r="V12" s="28"/>
      <c r="W12" s="17"/>
      <c r="X12" s="17"/>
      <c r="Y12" s="17"/>
      <c r="Z12" s="17"/>
      <c r="AA12" s="17"/>
      <c r="AB12" s="17"/>
      <c r="AC12" s="7"/>
      <c r="AD12" s="7"/>
      <c r="AE12" s="17"/>
      <c r="AF12" s="17"/>
      <c r="AG12" s="7"/>
      <c r="AH12" s="7"/>
      <c r="AI12" s="17"/>
      <c r="AJ12" s="17"/>
      <c r="AK12" s="17"/>
      <c r="AL12" s="17"/>
      <c r="AM12" s="17"/>
      <c r="AN12" s="7"/>
      <c r="AO12" s="7"/>
      <c r="AP12" s="17">
        <f t="shared" si="0"/>
        <v>0</v>
      </c>
      <c r="AQ12" s="17"/>
      <c r="AR12" s="7"/>
      <c r="AS12" s="7"/>
      <c r="AT12" s="17"/>
      <c r="AU12" s="17"/>
      <c r="AV12" s="7"/>
      <c r="AW12" s="7"/>
      <c r="AX12" s="17"/>
      <c r="AY12" s="17"/>
      <c r="AZ12" s="7"/>
      <c r="BA12" s="7"/>
      <c r="BB12" s="17"/>
      <c r="BC12" s="17"/>
      <c r="BD12" s="7"/>
      <c r="BE12" s="7"/>
      <c r="BF12" s="17"/>
      <c r="BG12" s="17"/>
      <c r="BH12" s="7"/>
      <c r="BI12" s="7"/>
      <c r="BJ12" s="17"/>
      <c r="BK12" s="17"/>
      <c r="BL12" s="28"/>
      <c r="BM12" s="17"/>
    </row>
    <row r="13" spans="1:65" s="9" customFormat="1" ht="18" customHeight="1" x14ac:dyDescent="0.25">
      <c r="A13" s="2" t="s">
        <v>54</v>
      </c>
      <c r="B13" s="7">
        <v>11827</v>
      </c>
      <c r="C13" s="10">
        <f>B13/B26</f>
        <v>0.85031274714213823</v>
      </c>
      <c r="D13" s="196"/>
      <c r="E13" s="17"/>
      <c r="F13" s="7"/>
      <c r="G13" s="7">
        <f t="shared" si="2"/>
        <v>0</v>
      </c>
      <c r="H13" s="7"/>
      <c r="I13" s="17"/>
      <c r="J13" s="17"/>
      <c r="K13" s="7"/>
      <c r="L13" s="7"/>
      <c r="M13" s="7"/>
      <c r="N13" s="17"/>
      <c r="O13" s="17"/>
      <c r="P13" s="27"/>
      <c r="Q13" s="27"/>
      <c r="R13" s="27"/>
      <c r="S13" s="17"/>
      <c r="T13" s="17"/>
      <c r="U13" s="28"/>
      <c r="V13" s="28"/>
      <c r="W13" s="17"/>
      <c r="X13" s="17"/>
      <c r="Y13" s="17"/>
      <c r="Z13" s="17"/>
      <c r="AA13" s="17"/>
      <c r="AB13" s="17"/>
      <c r="AC13" s="7"/>
      <c r="AD13" s="7"/>
      <c r="AE13" s="17"/>
      <c r="AF13" s="17"/>
      <c r="AG13" s="7"/>
      <c r="AH13" s="7"/>
      <c r="AI13" s="17"/>
      <c r="AJ13" s="17"/>
      <c r="AK13" s="17"/>
      <c r="AL13" s="17"/>
      <c r="AM13" s="17"/>
      <c r="AN13" s="7"/>
      <c r="AO13" s="7"/>
      <c r="AP13" s="17">
        <f t="shared" si="0"/>
        <v>0</v>
      </c>
      <c r="AQ13" s="17"/>
      <c r="AR13" s="7"/>
      <c r="AS13" s="7"/>
      <c r="AT13" s="17"/>
      <c r="AU13" s="17"/>
      <c r="AV13" s="7"/>
      <c r="AW13" s="7"/>
      <c r="AX13" s="17"/>
      <c r="AY13" s="17"/>
      <c r="AZ13" s="7"/>
      <c r="BA13" s="7"/>
      <c r="BB13" s="17"/>
      <c r="BC13" s="17"/>
      <c r="BD13" s="7"/>
      <c r="BE13" s="7"/>
      <c r="BF13" s="17"/>
      <c r="BG13" s="17"/>
      <c r="BH13" s="7"/>
      <c r="BI13" s="7"/>
      <c r="BJ13" s="17"/>
      <c r="BK13" s="17"/>
      <c r="BL13" s="28"/>
      <c r="BM13" s="17"/>
    </row>
    <row r="14" spans="1:65" s="3" customFormat="1" x14ac:dyDescent="0.25">
      <c r="A14" s="2" t="s">
        <v>5</v>
      </c>
      <c r="B14" s="7">
        <v>41.381196581196583</v>
      </c>
      <c r="C14" s="10">
        <f>B14/$B$16</f>
        <v>2.735042735042735E-2</v>
      </c>
      <c r="D14" s="194" t="s">
        <v>73</v>
      </c>
      <c r="E14" s="17">
        <v>16038</v>
      </c>
      <c r="F14" s="7">
        <v>4</v>
      </c>
      <c r="G14" s="7">
        <f t="shared" si="2"/>
        <v>165.52478632478633</v>
      </c>
      <c r="H14" s="7">
        <v>3</v>
      </c>
      <c r="I14" s="17">
        <f>B14*(E14/H14)*F14</f>
        <v>884895.5076923077</v>
      </c>
      <c r="J14" s="17">
        <v>11955</v>
      </c>
      <c r="K14" s="7"/>
      <c r="L14" s="7"/>
      <c r="M14" s="7"/>
      <c r="N14" s="17"/>
      <c r="O14" s="17">
        <v>9013</v>
      </c>
      <c r="P14" s="28">
        <v>1</v>
      </c>
      <c r="Q14" s="28">
        <f>P14*B14</f>
        <v>41.381196581196583</v>
      </c>
      <c r="R14" s="28">
        <v>3</v>
      </c>
      <c r="S14" s="17">
        <f>(P14/R14)*O14*B14</f>
        <v>124322.90826210825</v>
      </c>
      <c r="T14" s="17">
        <v>18800</v>
      </c>
      <c r="U14" s="28">
        <v>1</v>
      </c>
      <c r="V14" s="28">
        <f>U14*B14</f>
        <v>41.381196581196583</v>
      </c>
      <c r="W14" s="17">
        <f>B14*T14*U14</f>
        <v>777966.49572649575</v>
      </c>
      <c r="X14" s="17"/>
      <c r="Y14" s="17"/>
      <c r="Z14" s="17"/>
      <c r="AA14" s="17">
        <v>4367</v>
      </c>
      <c r="AB14" s="17">
        <v>19075</v>
      </c>
      <c r="AC14" s="7">
        <v>1</v>
      </c>
      <c r="AD14" s="7">
        <f t="shared" si="10"/>
        <v>41.381196581196583</v>
      </c>
      <c r="AE14" s="17">
        <f>(SUM(AB14+AA14)*AC14)*B14</f>
        <v>970058.01025641034</v>
      </c>
      <c r="AF14" s="17">
        <v>11491</v>
      </c>
      <c r="AG14" s="7">
        <v>4</v>
      </c>
      <c r="AH14" s="7">
        <f t="shared" si="4"/>
        <v>165.52478632478633</v>
      </c>
      <c r="AI14" s="17">
        <f>(AF14*AG14)*B14</f>
        <v>1902045.3196581197</v>
      </c>
      <c r="AJ14" s="17">
        <v>19305</v>
      </c>
      <c r="AK14" s="17">
        <v>22752</v>
      </c>
      <c r="AL14" s="17">
        <v>23441</v>
      </c>
      <c r="AM14" s="17">
        <v>12869.808000000001</v>
      </c>
      <c r="AN14" s="7">
        <v>1</v>
      </c>
      <c r="AO14" s="7">
        <f t="shared" si="5"/>
        <v>41.381196581196583</v>
      </c>
      <c r="AP14" s="17">
        <f t="shared" si="0"/>
        <v>3242953.6684854706</v>
      </c>
      <c r="AQ14" s="17">
        <v>12180</v>
      </c>
      <c r="AR14" s="7">
        <v>1</v>
      </c>
      <c r="AS14" s="7">
        <f t="shared" si="6"/>
        <v>41.381196581196583</v>
      </c>
      <c r="AT14" s="17">
        <f>(AQ14*AR14)*B14</f>
        <v>504022.97435897437</v>
      </c>
      <c r="AU14" s="17">
        <v>11031</v>
      </c>
      <c r="AV14" s="7">
        <v>1</v>
      </c>
      <c r="AW14" s="7">
        <f t="shared" si="7"/>
        <v>41.381196581196583</v>
      </c>
      <c r="AX14" s="17">
        <f>B14*AU14*AV14</f>
        <v>456475.97948717949</v>
      </c>
      <c r="AY14" s="17">
        <v>37690</v>
      </c>
      <c r="AZ14" s="7">
        <v>1</v>
      </c>
      <c r="BA14" s="7">
        <f t="shared" si="8"/>
        <v>41.381196581196583</v>
      </c>
      <c r="BB14" s="17">
        <f>(AY14*AZ14)*B14</f>
        <v>1559657.2991452992</v>
      </c>
      <c r="BC14" s="17">
        <v>19722</v>
      </c>
      <c r="BD14" s="7">
        <v>1</v>
      </c>
      <c r="BE14" s="7">
        <f t="shared" si="9"/>
        <v>41.381196581196583</v>
      </c>
      <c r="BF14" s="17">
        <f>B14*BC14*BD14</f>
        <v>816119.95897435897</v>
      </c>
      <c r="BG14" s="17">
        <v>19522</v>
      </c>
      <c r="BH14" s="7">
        <v>4</v>
      </c>
      <c r="BI14" s="7">
        <f>BH14*B14</f>
        <v>165.52478632478633</v>
      </c>
      <c r="BJ14" s="17">
        <f>B14*BG14*BH14</f>
        <v>3231374.8786324789</v>
      </c>
      <c r="BK14" s="17"/>
      <c r="BL14" s="28"/>
      <c r="BM14" s="17"/>
    </row>
    <row r="15" spans="1:65" x14ac:dyDescent="0.25">
      <c r="A15" s="2" t="s">
        <v>6</v>
      </c>
      <c r="B15" s="7">
        <v>1471.6188034188035</v>
      </c>
      <c r="C15" s="10">
        <f>B15/$B$16</f>
        <v>0.97264957264957275</v>
      </c>
      <c r="D15" s="195"/>
      <c r="E15" s="17">
        <v>16038</v>
      </c>
      <c r="F15" s="7">
        <v>6</v>
      </c>
      <c r="G15" s="7">
        <f t="shared" si="2"/>
        <v>8829.7128205128211</v>
      </c>
      <c r="H15" s="7">
        <v>3</v>
      </c>
      <c r="I15" s="17">
        <f>B15*(E15/H15)*F15</f>
        <v>47203644.738461539</v>
      </c>
      <c r="J15" s="17">
        <v>11955</v>
      </c>
      <c r="K15" s="7"/>
      <c r="L15" s="7"/>
      <c r="M15" s="7"/>
      <c r="N15" s="17"/>
      <c r="O15" s="17">
        <v>9013</v>
      </c>
      <c r="P15" s="28">
        <v>1</v>
      </c>
      <c r="Q15" s="28">
        <f>P15*B15</f>
        <v>1471.6188034188035</v>
      </c>
      <c r="R15" s="28">
        <v>3</v>
      </c>
      <c r="S15" s="17">
        <f>(P15/R15)*O15*B15</f>
        <v>4421233.4250712246</v>
      </c>
      <c r="T15" s="17">
        <v>18800</v>
      </c>
      <c r="U15" s="28">
        <v>1</v>
      </c>
      <c r="V15" s="28">
        <f t="shared" ref="V15:V22" si="12">U15*B15</f>
        <v>1471.6188034188035</v>
      </c>
      <c r="W15" s="17">
        <f>B15*T15*U15</f>
        <v>27666433.504273508</v>
      </c>
      <c r="X15" s="17"/>
      <c r="Y15" s="17"/>
      <c r="Z15" s="17"/>
      <c r="AA15" s="17">
        <v>4367</v>
      </c>
      <c r="AB15" s="17">
        <v>19075</v>
      </c>
      <c r="AC15" s="7">
        <v>1</v>
      </c>
      <c r="AD15" s="7">
        <f t="shared" si="10"/>
        <v>1471.6188034188035</v>
      </c>
      <c r="AE15" s="17">
        <f>(SUM(AB15+AA15)*AC15)*B15</f>
        <v>34497687.98974359</v>
      </c>
      <c r="AF15" s="17">
        <v>11491</v>
      </c>
      <c r="AG15" s="7">
        <v>4</v>
      </c>
      <c r="AH15" s="7">
        <f t="shared" si="4"/>
        <v>5886.475213675214</v>
      </c>
      <c r="AI15" s="17">
        <f>(AF15*AG15)*B15</f>
        <v>67641486.680341884</v>
      </c>
      <c r="AJ15" s="17">
        <v>19305</v>
      </c>
      <c r="AK15" s="17">
        <v>22752</v>
      </c>
      <c r="AL15" s="17">
        <v>23441</v>
      </c>
      <c r="AM15" s="17">
        <v>12869.808000000001</v>
      </c>
      <c r="AN15" s="7">
        <v>1</v>
      </c>
      <c r="AO15" s="7">
        <f t="shared" si="5"/>
        <v>1471.6188034188035</v>
      </c>
      <c r="AP15" s="17">
        <f t="shared" si="0"/>
        <v>115327539.83551455</v>
      </c>
      <c r="AQ15" s="17">
        <v>12180</v>
      </c>
      <c r="AR15" s="7">
        <v>1</v>
      </c>
      <c r="AS15" s="7">
        <f t="shared" si="6"/>
        <v>1471.6188034188035</v>
      </c>
      <c r="AT15" s="17">
        <f>(AQ15*AR15)*B15</f>
        <v>17924317.025641028</v>
      </c>
      <c r="AU15" s="17">
        <v>11031</v>
      </c>
      <c r="AV15" s="7">
        <v>1</v>
      </c>
      <c r="AW15" s="7">
        <f t="shared" si="7"/>
        <v>1471.6188034188035</v>
      </c>
      <c r="AX15" s="17">
        <f>B15*AU15*AV15</f>
        <v>16233427.020512821</v>
      </c>
      <c r="AY15" s="17">
        <v>37690</v>
      </c>
      <c r="AZ15" s="7">
        <v>1</v>
      </c>
      <c r="BA15" s="7">
        <f t="shared" si="8"/>
        <v>1471.6188034188035</v>
      </c>
      <c r="BB15" s="17">
        <f>(AY15*AZ15)*B15</f>
        <v>55465312.700854704</v>
      </c>
      <c r="BC15" s="17">
        <v>19722</v>
      </c>
      <c r="BD15" s="7">
        <v>1</v>
      </c>
      <c r="BE15" s="7">
        <f t="shared" si="9"/>
        <v>1471.6188034188035</v>
      </c>
      <c r="BF15" s="17">
        <f>B15*BC15*BD15</f>
        <v>29023266.041025642</v>
      </c>
      <c r="BG15" s="17">
        <v>19522</v>
      </c>
      <c r="BH15" s="7">
        <v>4</v>
      </c>
      <c r="BI15" s="7">
        <f t="shared" ref="BI15:BI22" si="13">BH15*B15</f>
        <v>5886.475213675214</v>
      </c>
      <c r="BJ15" s="17">
        <f>B15*BG15*BH15</f>
        <v>114915769.12136753</v>
      </c>
      <c r="BK15" s="17"/>
      <c r="BL15" s="28"/>
      <c r="BM15" s="17"/>
    </row>
    <row r="16" spans="1:65" x14ac:dyDescent="0.25">
      <c r="A16" s="2" t="s">
        <v>52</v>
      </c>
      <c r="B16" s="7">
        <v>1513</v>
      </c>
      <c r="C16" s="10">
        <f>B16/B20</f>
        <v>0.72670509125840543</v>
      </c>
      <c r="D16" s="195"/>
      <c r="E16" s="17"/>
      <c r="F16" s="7"/>
      <c r="G16" s="7">
        <f t="shared" si="2"/>
        <v>0</v>
      </c>
      <c r="H16" s="7"/>
      <c r="I16" s="17"/>
      <c r="J16" s="17"/>
      <c r="K16" s="7"/>
      <c r="L16" s="7"/>
      <c r="M16" s="7"/>
      <c r="N16" s="17"/>
      <c r="O16" s="17"/>
      <c r="P16" s="27"/>
      <c r="Q16" s="28"/>
      <c r="R16" s="27"/>
      <c r="S16" s="17"/>
      <c r="T16" s="17"/>
      <c r="U16" s="28"/>
      <c r="V16" s="28"/>
      <c r="W16" s="17"/>
      <c r="X16" s="17"/>
      <c r="Y16" s="17"/>
      <c r="Z16" s="17"/>
      <c r="AA16" s="17"/>
      <c r="AB16" s="17"/>
      <c r="AC16" s="7"/>
      <c r="AD16" s="7"/>
      <c r="AE16" s="17"/>
      <c r="AF16" s="17"/>
      <c r="AG16" s="7"/>
      <c r="AH16" s="7"/>
      <c r="AI16" s="17"/>
      <c r="AJ16" s="17"/>
      <c r="AK16" s="17"/>
      <c r="AL16" s="17"/>
      <c r="AM16" s="17"/>
      <c r="AN16" s="7"/>
      <c r="AO16" s="7"/>
      <c r="AP16" s="17">
        <f t="shared" si="0"/>
        <v>0</v>
      </c>
      <c r="AQ16" s="17"/>
      <c r="AR16" s="7"/>
      <c r="AS16" s="7"/>
      <c r="AT16" s="17"/>
      <c r="AU16" s="17"/>
      <c r="AV16" s="7"/>
      <c r="AW16" s="7"/>
      <c r="AX16" s="17"/>
      <c r="AY16" s="17"/>
      <c r="AZ16" s="7"/>
      <c r="BA16" s="7"/>
      <c r="BB16" s="17"/>
      <c r="BC16" s="17"/>
      <c r="BD16" s="7"/>
      <c r="BE16" s="7"/>
      <c r="BF16" s="17"/>
      <c r="BG16" s="17"/>
      <c r="BH16" s="7"/>
      <c r="BI16" s="7"/>
      <c r="BJ16" s="17"/>
      <c r="BK16" s="17"/>
      <c r="BL16" s="28"/>
      <c r="BM16" s="17"/>
    </row>
    <row r="17" spans="1:66" x14ac:dyDescent="0.25">
      <c r="A17" s="2" t="s">
        <v>43</v>
      </c>
      <c r="B17" s="7">
        <v>455.20000000000005</v>
      </c>
      <c r="C17" s="10">
        <f>B17/$B$19</f>
        <v>0.8</v>
      </c>
      <c r="D17" s="195"/>
      <c r="E17" s="17">
        <v>16038</v>
      </c>
      <c r="F17" s="22">
        <v>6</v>
      </c>
      <c r="G17" s="7">
        <f t="shared" si="2"/>
        <v>2731.2000000000003</v>
      </c>
      <c r="H17" s="22">
        <v>2</v>
      </c>
      <c r="I17" s="17">
        <f>B17*(E17/H17)*F17</f>
        <v>21901492.800000001</v>
      </c>
      <c r="J17" s="17">
        <v>11955</v>
      </c>
      <c r="K17" s="7"/>
      <c r="L17" s="7"/>
      <c r="M17" s="7"/>
      <c r="N17" s="17"/>
      <c r="O17" s="17">
        <v>9013</v>
      </c>
      <c r="P17" s="28">
        <v>1</v>
      </c>
      <c r="Q17" s="28">
        <f t="shared" ref="Q17:Q25" si="14">P17*B17</f>
        <v>455.20000000000005</v>
      </c>
      <c r="R17" s="28">
        <v>3</v>
      </c>
      <c r="S17" s="17">
        <f>(P17/R17)*O17*B17</f>
        <v>1367572.5333333334</v>
      </c>
      <c r="T17" s="17">
        <v>18800</v>
      </c>
      <c r="U17" s="28">
        <v>1</v>
      </c>
      <c r="V17" s="28">
        <f t="shared" si="12"/>
        <v>455.20000000000005</v>
      </c>
      <c r="W17" s="17">
        <f>B17*T17*U17</f>
        <v>8557760</v>
      </c>
      <c r="X17" s="17"/>
      <c r="Y17" s="17"/>
      <c r="Z17" s="17"/>
      <c r="AA17" s="17">
        <v>4367</v>
      </c>
      <c r="AB17" s="17">
        <v>19075</v>
      </c>
      <c r="AC17" s="7">
        <v>1</v>
      </c>
      <c r="AD17" s="7">
        <f t="shared" si="10"/>
        <v>455.20000000000005</v>
      </c>
      <c r="AE17" s="17">
        <f>(SUM(AB17+AA17)*AC17)*B17</f>
        <v>10670798.4</v>
      </c>
      <c r="AF17" s="17">
        <v>11491</v>
      </c>
      <c r="AG17" s="7">
        <v>4</v>
      </c>
      <c r="AH17" s="7">
        <f t="shared" si="4"/>
        <v>1820.8000000000002</v>
      </c>
      <c r="AI17" s="17">
        <f>(AF17*AG17)*B17</f>
        <v>20922812.800000001</v>
      </c>
      <c r="AJ17" s="17">
        <v>19305</v>
      </c>
      <c r="AK17" s="17">
        <v>22752</v>
      </c>
      <c r="AL17" s="17">
        <v>23441</v>
      </c>
      <c r="AM17" s="17">
        <v>12869.808000000001</v>
      </c>
      <c r="AN17" s="7">
        <v>1</v>
      </c>
      <c r="AO17" s="7">
        <f t="shared" si="5"/>
        <v>455.20000000000005</v>
      </c>
      <c r="AP17" s="17">
        <f t="shared" si="0"/>
        <v>35673026.201600008</v>
      </c>
      <c r="AQ17" s="17">
        <v>12180</v>
      </c>
      <c r="AR17" s="7">
        <v>1</v>
      </c>
      <c r="AS17" s="7">
        <f t="shared" si="6"/>
        <v>455.20000000000005</v>
      </c>
      <c r="AT17" s="17">
        <f>(AQ17*AR17)*B17</f>
        <v>5544336.0000000009</v>
      </c>
      <c r="AU17" s="17">
        <v>11031</v>
      </c>
      <c r="AV17" s="7">
        <v>1</v>
      </c>
      <c r="AW17" s="7">
        <f t="shared" si="7"/>
        <v>455.20000000000005</v>
      </c>
      <c r="AX17" s="17">
        <f>B17*AU17*AV17</f>
        <v>5021311.2</v>
      </c>
      <c r="AY17" s="17">
        <v>37690</v>
      </c>
      <c r="AZ17" s="7">
        <v>1</v>
      </c>
      <c r="BA17" s="7">
        <f t="shared" si="8"/>
        <v>455.20000000000005</v>
      </c>
      <c r="BB17" s="17">
        <f>(AY17*AZ17)*B17</f>
        <v>17156488</v>
      </c>
      <c r="BC17" s="17">
        <v>19722</v>
      </c>
      <c r="BD17" s="7">
        <v>1</v>
      </c>
      <c r="BE17" s="7">
        <f t="shared" si="9"/>
        <v>455.20000000000005</v>
      </c>
      <c r="BF17" s="17">
        <f>B17*BC17*BD17</f>
        <v>8977454.4000000004</v>
      </c>
      <c r="BG17" s="17">
        <v>19522</v>
      </c>
      <c r="BH17" s="7">
        <v>4</v>
      </c>
      <c r="BI17" s="7">
        <f t="shared" si="13"/>
        <v>1820.8000000000002</v>
      </c>
      <c r="BJ17" s="17">
        <f>B17*BG17*BH17</f>
        <v>35545657.600000001</v>
      </c>
      <c r="BK17" s="17"/>
      <c r="BL17" s="28"/>
      <c r="BM17" s="17"/>
    </row>
    <row r="18" spans="1:66" x14ac:dyDescent="0.25">
      <c r="A18" s="2" t="s">
        <v>16</v>
      </c>
      <c r="B18" s="7">
        <v>113.80000000000001</v>
      </c>
      <c r="C18" s="10">
        <f t="shared" ref="C18" si="15">B18/$B$19</f>
        <v>0.2</v>
      </c>
      <c r="D18" s="195"/>
      <c r="E18" s="17">
        <v>16038</v>
      </c>
      <c r="F18" s="22">
        <v>8</v>
      </c>
      <c r="G18" s="7">
        <f t="shared" si="2"/>
        <v>910.40000000000009</v>
      </c>
      <c r="H18" s="22">
        <v>2</v>
      </c>
      <c r="I18" s="17">
        <f>B18*(E18/H18)*F18</f>
        <v>7300497.6000000006</v>
      </c>
      <c r="J18" s="17">
        <v>11955</v>
      </c>
      <c r="K18" s="7"/>
      <c r="L18" s="7"/>
      <c r="M18" s="7"/>
      <c r="N18" s="17"/>
      <c r="O18" s="17">
        <v>9013</v>
      </c>
      <c r="P18" s="28">
        <v>1</v>
      </c>
      <c r="Q18" s="28">
        <f t="shared" si="14"/>
        <v>113.80000000000001</v>
      </c>
      <c r="R18" s="28">
        <v>3</v>
      </c>
      <c r="S18" s="17">
        <f>(P18/R18)*O18*B18</f>
        <v>341893.13333333336</v>
      </c>
      <c r="T18" s="17">
        <v>18800</v>
      </c>
      <c r="U18" s="28">
        <v>1</v>
      </c>
      <c r="V18" s="28">
        <f t="shared" si="12"/>
        <v>113.80000000000001</v>
      </c>
      <c r="W18" s="17">
        <f>B18*T18*U18</f>
        <v>2139440</v>
      </c>
      <c r="X18" s="17"/>
      <c r="Y18" s="17"/>
      <c r="Z18" s="17"/>
      <c r="AA18" s="17">
        <v>4367</v>
      </c>
      <c r="AB18" s="17">
        <v>19075</v>
      </c>
      <c r="AC18" s="7">
        <v>1</v>
      </c>
      <c r="AD18" s="7">
        <f t="shared" si="10"/>
        <v>113.80000000000001</v>
      </c>
      <c r="AE18" s="17">
        <f>(SUM(AB18+AA18)*AC18)*B18</f>
        <v>2667699.6</v>
      </c>
      <c r="AF18" s="17">
        <v>11491</v>
      </c>
      <c r="AG18" s="7">
        <v>4</v>
      </c>
      <c r="AH18" s="7">
        <f t="shared" si="4"/>
        <v>455.20000000000005</v>
      </c>
      <c r="AI18" s="17">
        <f>(AF18*AG18)*B18</f>
        <v>5230703.2</v>
      </c>
      <c r="AJ18" s="17">
        <v>19305</v>
      </c>
      <c r="AK18" s="17">
        <v>22752</v>
      </c>
      <c r="AL18" s="17">
        <v>23441</v>
      </c>
      <c r="AM18" s="17">
        <v>12869.808000000001</v>
      </c>
      <c r="AN18" s="7">
        <v>1</v>
      </c>
      <c r="AO18" s="7">
        <f t="shared" si="5"/>
        <v>113.80000000000001</v>
      </c>
      <c r="AP18" s="17">
        <f t="shared" si="0"/>
        <v>8918256.5504000019</v>
      </c>
      <c r="AQ18" s="17">
        <v>12180</v>
      </c>
      <c r="AR18" s="7">
        <v>1</v>
      </c>
      <c r="AS18" s="7">
        <f t="shared" si="6"/>
        <v>113.80000000000001</v>
      </c>
      <c r="AT18" s="17">
        <f>(AQ18*AR18)*B18</f>
        <v>1386084.0000000002</v>
      </c>
      <c r="AU18" s="17">
        <v>11031</v>
      </c>
      <c r="AV18" s="7">
        <v>1</v>
      </c>
      <c r="AW18" s="7">
        <f t="shared" si="7"/>
        <v>113.80000000000001</v>
      </c>
      <c r="AX18" s="17">
        <f>B18*AU18*AV18</f>
        <v>1255327.8</v>
      </c>
      <c r="AY18" s="17">
        <v>37690</v>
      </c>
      <c r="AZ18" s="7">
        <v>1</v>
      </c>
      <c r="BA18" s="7">
        <f t="shared" si="8"/>
        <v>113.80000000000001</v>
      </c>
      <c r="BB18" s="17">
        <f>(AY18*AZ18)*B18</f>
        <v>4289122</v>
      </c>
      <c r="BC18" s="17">
        <v>19722</v>
      </c>
      <c r="BD18" s="7">
        <v>1</v>
      </c>
      <c r="BE18" s="7">
        <f t="shared" si="9"/>
        <v>113.80000000000001</v>
      </c>
      <c r="BF18" s="17">
        <f>B18*BC18*BD18</f>
        <v>2244363.6</v>
      </c>
      <c r="BG18" s="17">
        <v>19522</v>
      </c>
      <c r="BH18" s="7">
        <v>4</v>
      </c>
      <c r="BI18" s="7">
        <f t="shared" si="13"/>
        <v>455.20000000000005</v>
      </c>
      <c r="BJ18" s="17">
        <f>B18*BG18*BH18</f>
        <v>8886414.4000000004</v>
      </c>
      <c r="BK18" s="17"/>
      <c r="BL18" s="28"/>
      <c r="BM18" s="17"/>
    </row>
    <row r="19" spans="1:66" s="9" customFormat="1" x14ac:dyDescent="0.25">
      <c r="A19" s="2" t="s">
        <v>51</v>
      </c>
      <c r="B19" s="7">
        <v>569</v>
      </c>
      <c r="C19" s="10">
        <f>B19/B20</f>
        <v>0.27329490874159462</v>
      </c>
      <c r="D19" s="195"/>
      <c r="E19" s="17"/>
      <c r="F19" s="22"/>
      <c r="G19" s="7">
        <f t="shared" si="2"/>
        <v>0</v>
      </c>
      <c r="H19" s="22"/>
      <c r="I19" s="17"/>
      <c r="J19" s="17"/>
      <c r="K19" s="7"/>
      <c r="L19" s="7"/>
      <c r="M19" s="7"/>
      <c r="N19" s="17"/>
      <c r="O19" s="17"/>
      <c r="P19" s="28"/>
      <c r="Q19" s="28"/>
      <c r="R19" s="28"/>
      <c r="S19" s="17"/>
      <c r="T19" s="17"/>
      <c r="U19" s="28"/>
      <c r="V19" s="28"/>
      <c r="W19" s="17"/>
      <c r="X19" s="17"/>
      <c r="Y19" s="17"/>
      <c r="Z19" s="17"/>
      <c r="AA19" s="17"/>
      <c r="AB19" s="17"/>
      <c r="AC19" s="7"/>
      <c r="AD19" s="7"/>
      <c r="AE19" s="17"/>
      <c r="AF19" s="17"/>
      <c r="AG19" s="7"/>
      <c r="AH19" s="7"/>
      <c r="AI19" s="17"/>
      <c r="AJ19" s="17"/>
      <c r="AK19" s="17"/>
      <c r="AL19" s="17"/>
      <c r="AM19" s="17"/>
      <c r="AN19" s="7"/>
      <c r="AO19" s="7"/>
      <c r="AP19" s="17">
        <f t="shared" si="0"/>
        <v>0</v>
      </c>
      <c r="AQ19" s="17"/>
      <c r="AR19" s="7"/>
      <c r="AS19" s="7"/>
      <c r="AT19" s="17"/>
      <c r="AU19" s="17"/>
      <c r="AV19" s="7"/>
      <c r="AW19" s="7"/>
      <c r="AX19" s="17"/>
      <c r="AY19" s="17"/>
      <c r="AZ19" s="7"/>
      <c r="BA19" s="7"/>
      <c r="BB19" s="17"/>
      <c r="BC19" s="17"/>
      <c r="BD19" s="7"/>
      <c r="BE19" s="7"/>
      <c r="BF19" s="17"/>
      <c r="BG19" s="17"/>
      <c r="BH19" s="7"/>
      <c r="BI19" s="7"/>
      <c r="BJ19" s="17"/>
      <c r="BK19" s="17"/>
      <c r="BL19" s="28"/>
      <c r="BM19" s="17"/>
    </row>
    <row r="20" spans="1:66" s="9" customFormat="1" x14ac:dyDescent="0.25">
      <c r="A20" s="2" t="s">
        <v>56</v>
      </c>
      <c r="B20" s="7">
        <f>B16+B19</f>
        <v>2082</v>
      </c>
      <c r="C20" s="10">
        <f>B20/B26</f>
        <v>0.1496872528578618</v>
      </c>
      <c r="D20" s="196"/>
      <c r="E20" s="17"/>
      <c r="F20" s="22"/>
      <c r="G20" s="7">
        <f t="shared" si="2"/>
        <v>0</v>
      </c>
      <c r="H20" s="22"/>
      <c r="I20" s="17"/>
      <c r="J20" s="17"/>
      <c r="K20" s="7"/>
      <c r="L20" s="7"/>
      <c r="M20" s="7"/>
      <c r="N20" s="17"/>
      <c r="O20" s="17"/>
      <c r="P20" s="28"/>
      <c r="Q20" s="28"/>
      <c r="R20" s="28"/>
      <c r="S20" s="17"/>
      <c r="T20" s="17"/>
      <c r="U20" s="28"/>
      <c r="V20" s="28"/>
      <c r="W20" s="17"/>
      <c r="X20" s="17"/>
      <c r="Y20" s="17"/>
      <c r="Z20" s="17"/>
      <c r="AA20" s="17"/>
      <c r="AB20" s="17"/>
      <c r="AC20" s="7"/>
      <c r="AD20" s="7"/>
      <c r="AE20" s="17"/>
      <c r="AF20" s="17"/>
      <c r="AG20" s="7"/>
      <c r="AH20" s="7"/>
      <c r="AI20" s="17"/>
      <c r="AJ20" s="17"/>
      <c r="AK20" s="17"/>
      <c r="AL20" s="17"/>
      <c r="AM20" s="17"/>
      <c r="AN20" s="7"/>
      <c r="AO20" s="7"/>
      <c r="AP20" s="17">
        <f t="shared" si="0"/>
        <v>0</v>
      </c>
      <c r="AQ20" s="17"/>
      <c r="AR20" s="7"/>
      <c r="AS20" s="7"/>
      <c r="AT20" s="17"/>
      <c r="AU20" s="17"/>
      <c r="AV20" s="7"/>
      <c r="AW20" s="7"/>
      <c r="AX20" s="17"/>
      <c r="AY20" s="17"/>
      <c r="AZ20" s="7"/>
      <c r="BA20" s="7"/>
      <c r="BB20" s="17"/>
      <c r="BC20" s="17"/>
      <c r="BD20" s="7"/>
      <c r="BE20" s="7"/>
      <c r="BF20" s="17"/>
      <c r="BG20" s="17"/>
      <c r="BH20" s="7"/>
      <c r="BI20" s="7"/>
      <c r="BJ20" s="17"/>
      <c r="BK20" s="17"/>
      <c r="BL20" s="28"/>
      <c r="BM20" s="17"/>
    </row>
    <row r="21" spans="1:66" x14ac:dyDescent="0.25">
      <c r="A21" s="16" t="s">
        <v>58</v>
      </c>
      <c r="B21" s="22"/>
      <c r="C21" s="76"/>
      <c r="D21" s="194" t="s">
        <v>74</v>
      </c>
      <c r="E21" s="17"/>
      <c r="F21" s="7"/>
      <c r="G21" s="7">
        <f t="shared" si="2"/>
        <v>0</v>
      </c>
      <c r="H21" s="7"/>
      <c r="I21" s="17"/>
      <c r="J21" s="17"/>
      <c r="K21" s="7"/>
      <c r="L21" s="7"/>
      <c r="M21" s="7"/>
      <c r="N21" s="17"/>
      <c r="O21" s="17"/>
      <c r="P21" s="28"/>
      <c r="Q21" s="28"/>
      <c r="R21" s="28"/>
      <c r="S21" s="17"/>
      <c r="T21" s="17"/>
      <c r="U21" s="28"/>
      <c r="V21" s="28"/>
      <c r="W21" s="17"/>
      <c r="X21" s="17"/>
      <c r="Y21" s="17"/>
      <c r="Z21" s="17"/>
      <c r="AA21" s="17">
        <v>4367</v>
      </c>
      <c r="AB21" s="17">
        <v>19075</v>
      </c>
      <c r="AC21" s="7">
        <v>1</v>
      </c>
      <c r="AD21" s="7">
        <f t="shared" si="10"/>
        <v>0</v>
      </c>
      <c r="AE21" s="17">
        <f>(SUM(AB21+AA21)*AC21)*B21</f>
        <v>0</v>
      </c>
      <c r="AF21" s="17">
        <v>11491</v>
      </c>
      <c r="AG21" s="7">
        <v>4</v>
      </c>
      <c r="AH21" s="7">
        <f t="shared" si="4"/>
        <v>0</v>
      </c>
      <c r="AI21" s="17">
        <f>(AF21*AG21)*B21</f>
        <v>0</v>
      </c>
      <c r="AJ21" s="17">
        <v>19305</v>
      </c>
      <c r="AK21" s="17">
        <v>22752</v>
      </c>
      <c r="AL21" s="17">
        <v>23441</v>
      </c>
      <c r="AM21" s="17">
        <v>12869.808000000001</v>
      </c>
      <c r="AN21" s="7">
        <v>1</v>
      </c>
      <c r="AO21" s="7">
        <f t="shared" si="5"/>
        <v>0</v>
      </c>
      <c r="AP21" s="17">
        <f t="shared" si="0"/>
        <v>0</v>
      </c>
      <c r="AQ21" s="17">
        <v>12180</v>
      </c>
      <c r="AR21" s="7">
        <v>1</v>
      </c>
      <c r="AS21" s="7">
        <f t="shared" si="6"/>
        <v>0</v>
      </c>
      <c r="AT21" s="17">
        <f>(AQ21*AR21)*B21</f>
        <v>0</v>
      </c>
      <c r="AU21" s="17">
        <v>11031</v>
      </c>
      <c r="AV21" s="7">
        <v>1</v>
      </c>
      <c r="AW21" s="7">
        <f t="shared" si="7"/>
        <v>0</v>
      </c>
      <c r="AX21" s="17">
        <f>B21*AU21*AV21</f>
        <v>0</v>
      </c>
      <c r="AY21" s="17">
        <v>37690</v>
      </c>
      <c r="AZ21" s="7">
        <v>1</v>
      </c>
      <c r="BA21" s="7">
        <f t="shared" si="8"/>
        <v>0</v>
      </c>
      <c r="BB21" s="17">
        <f>(AY21*AZ21)*B21</f>
        <v>0</v>
      </c>
      <c r="BC21" s="17">
        <v>19722</v>
      </c>
      <c r="BD21" s="7">
        <v>1</v>
      </c>
      <c r="BE21" s="7">
        <f t="shared" si="9"/>
        <v>0</v>
      </c>
      <c r="BF21" s="17">
        <f>B21*BC21*BD21</f>
        <v>0</v>
      </c>
      <c r="BG21" s="17">
        <v>19522</v>
      </c>
      <c r="BH21" s="7">
        <v>4</v>
      </c>
      <c r="BI21" s="7">
        <f t="shared" si="13"/>
        <v>0</v>
      </c>
      <c r="BJ21" s="17">
        <f>B21*BG21*BH21</f>
        <v>0</v>
      </c>
      <c r="BK21" s="17"/>
      <c r="BL21" s="28"/>
      <c r="BM21" s="17"/>
    </row>
    <row r="22" spans="1:66" s="9" customFormat="1" x14ac:dyDescent="0.25">
      <c r="A22" s="16" t="s">
        <v>59</v>
      </c>
      <c r="B22" s="22"/>
      <c r="C22" s="76"/>
      <c r="D22" s="195"/>
      <c r="E22" s="17">
        <v>16038</v>
      </c>
      <c r="F22" s="7">
        <v>1</v>
      </c>
      <c r="G22" s="7">
        <f t="shared" si="2"/>
        <v>0</v>
      </c>
      <c r="H22" s="7">
        <v>2</v>
      </c>
      <c r="I22" s="17">
        <f>B22*(E22/H22)*F22</f>
        <v>0</v>
      </c>
      <c r="J22" s="17">
        <v>11959</v>
      </c>
      <c r="K22" s="7"/>
      <c r="L22" s="7"/>
      <c r="M22" s="7"/>
      <c r="N22" s="17"/>
      <c r="O22" s="17">
        <v>9013</v>
      </c>
      <c r="P22" s="28">
        <v>1</v>
      </c>
      <c r="Q22" s="28">
        <f t="shared" si="14"/>
        <v>0</v>
      </c>
      <c r="R22" s="28">
        <v>3</v>
      </c>
      <c r="S22" s="17">
        <f>(P22/R22)*O22*B22</f>
        <v>0</v>
      </c>
      <c r="T22" s="17">
        <v>18800</v>
      </c>
      <c r="U22" s="28">
        <v>1</v>
      </c>
      <c r="V22" s="28">
        <f t="shared" si="12"/>
        <v>0</v>
      </c>
      <c r="W22" s="17">
        <f>B22*T22*U22</f>
        <v>0</v>
      </c>
      <c r="X22" s="17">
        <v>3651</v>
      </c>
      <c r="Y22" s="28">
        <f>3*B22</f>
        <v>0</v>
      </c>
      <c r="Z22" s="17">
        <f>(X22*3)*B22</f>
        <v>0</v>
      </c>
      <c r="AA22" s="17">
        <v>4367</v>
      </c>
      <c r="AB22" s="17">
        <v>19075</v>
      </c>
      <c r="AC22" s="7">
        <v>1</v>
      </c>
      <c r="AD22" s="7">
        <f t="shared" si="10"/>
        <v>0</v>
      </c>
      <c r="AE22" s="17">
        <f>(SUM(AB22+AA22)*AC22)*B22</f>
        <v>0</v>
      </c>
      <c r="AF22" s="17">
        <v>11491</v>
      </c>
      <c r="AG22" s="7">
        <v>4</v>
      </c>
      <c r="AH22" s="7">
        <f t="shared" si="4"/>
        <v>0</v>
      </c>
      <c r="AI22" s="17">
        <f>(AF22*AG22)*B22</f>
        <v>0</v>
      </c>
      <c r="AJ22" s="17">
        <v>19305</v>
      </c>
      <c r="AK22" s="17">
        <v>22752</v>
      </c>
      <c r="AL22" s="17">
        <v>23441</v>
      </c>
      <c r="AM22" s="17">
        <v>12869.808000000001</v>
      </c>
      <c r="AN22" s="7">
        <v>1</v>
      </c>
      <c r="AO22" s="7">
        <f t="shared" si="5"/>
        <v>0</v>
      </c>
      <c r="AP22" s="17">
        <f t="shared" si="0"/>
        <v>0</v>
      </c>
      <c r="AQ22" s="17">
        <v>12180</v>
      </c>
      <c r="AR22" s="7">
        <v>1</v>
      </c>
      <c r="AS22" s="7">
        <f t="shared" si="6"/>
        <v>0</v>
      </c>
      <c r="AT22" s="17">
        <f>(AQ22*AR22)*B22</f>
        <v>0</v>
      </c>
      <c r="AU22" s="17">
        <v>11031</v>
      </c>
      <c r="AV22" s="7">
        <v>1</v>
      </c>
      <c r="AW22" s="7">
        <f t="shared" si="7"/>
        <v>0</v>
      </c>
      <c r="AX22" s="17">
        <f>B22*AU22*AV22</f>
        <v>0</v>
      </c>
      <c r="AY22" s="17">
        <v>37690</v>
      </c>
      <c r="AZ22" s="7">
        <v>1</v>
      </c>
      <c r="BA22" s="7">
        <f t="shared" si="8"/>
        <v>0</v>
      </c>
      <c r="BB22" s="17">
        <f>(AY22*AZ22)*B22</f>
        <v>0</v>
      </c>
      <c r="BC22" s="17">
        <v>19722</v>
      </c>
      <c r="BD22" s="7">
        <v>1</v>
      </c>
      <c r="BE22" s="7">
        <f t="shared" si="9"/>
        <v>0</v>
      </c>
      <c r="BF22" s="17">
        <f>B22*BC22*BD22</f>
        <v>0</v>
      </c>
      <c r="BG22" s="17">
        <v>19522</v>
      </c>
      <c r="BH22" s="7">
        <v>4</v>
      </c>
      <c r="BI22" s="7">
        <f t="shared" si="13"/>
        <v>0</v>
      </c>
      <c r="BJ22" s="17">
        <f>B22*BG22*BH22</f>
        <v>0</v>
      </c>
      <c r="BK22" s="17"/>
      <c r="BL22" s="28"/>
      <c r="BM22" s="17"/>
    </row>
    <row r="23" spans="1:66" s="9" customFormat="1" x14ac:dyDescent="0.25">
      <c r="A23" s="16" t="s">
        <v>86</v>
      </c>
      <c r="B23" s="22"/>
      <c r="C23" s="76"/>
      <c r="D23" s="196"/>
      <c r="E23" s="17"/>
      <c r="F23" s="7"/>
      <c r="G23" s="7">
        <f t="shared" si="2"/>
        <v>0</v>
      </c>
      <c r="H23" s="7"/>
      <c r="I23" s="4"/>
      <c r="J23" s="17"/>
      <c r="K23" s="7"/>
      <c r="L23" s="7"/>
      <c r="M23" s="7"/>
      <c r="N23" s="17"/>
      <c r="O23" s="17"/>
      <c r="P23" s="27"/>
      <c r="Q23" s="28"/>
      <c r="R23" s="27"/>
      <c r="S23" s="17"/>
      <c r="T23" s="17"/>
      <c r="U23" s="28"/>
      <c r="V23" s="28"/>
      <c r="W23" s="17"/>
      <c r="X23" s="17"/>
      <c r="Y23" s="17"/>
      <c r="Z23" s="17"/>
      <c r="AA23" s="17"/>
      <c r="AB23" s="17"/>
      <c r="AC23" s="7"/>
      <c r="AD23" s="7"/>
      <c r="AE23" s="17"/>
      <c r="AF23" s="17"/>
      <c r="AG23" s="7"/>
      <c r="AH23" s="7"/>
      <c r="AI23" s="17"/>
      <c r="AJ23" s="17"/>
      <c r="AK23" s="17"/>
      <c r="AL23" s="17"/>
      <c r="AM23" s="17"/>
      <c r="AN23" s="7"/>
      <c r="AO23" s="7"/>
      <c r="AP23" s="17"/>
      <c r="AQ23" s="17"/>
      <c r="AR23" s="7"/>
      <c r="AS23" s="7"/>
      <c r="AT23" s="17"/>
      <c r="AU23" s="17"/>
      <c r="AV23" s="7"/>
      <c r="AW23" s="7"/>
      <c r="AX23" s="17"/>
      <c r="AY23" s="17"/>
      <c r="AZ23" s="7"/>
      <c r="BA23" s="7"/>
      <c r="BB23" s="17"/>
      <c r="BC23" s="17"/>
      <c r="BD23" s="7"/>
      <c r="BE23" s="7"/>
      <c r="BF23" s="17"/>
      <c r="BG23" s="17"/>
      <c r="BH23" s="7"/>
      <c r="BI23" s="7"/>
      <c r="BJ23" s="17"/>
      <c r="BK23" s="17"/>
      <c r="BL23" s="28"/>
      <c r="BM23" s="17"/>
    </row>
    <row r="24" spans="1:66" ht="54.75" customHeight="1" x14ac:dyDescent="0.25">
      <c r="A24" s="5" t="s">
        <v>29</v>
      </c>
      <c r="B24" s="21">
        <v>330.33</v>
      </c>
      <c r="C24" s="149">
        <f>B24/B26</f>
        <v>2.3749370910920987E-2</v>
      </c>
      <c r="D24" s="148" t="s">
        <v>75</v>
      </c>
      <c r="E24" s="17"/>
      <c r="F24" s="7"/>
      <c r="G24" s="7">
        <f t="shared" si="2"/>
        <v>0</v>
      </c>
      <c r="H24" s="7"/>
      <c r="I24" s="4"/>
      <c r="J24" s="17"/>
      <c r="K24" s="7"/>
      <c r="L24" s="7"/>
      <c r="M24" s="7"/>
      <c r="N24" s="17"/>
      <c r="O24" s="17">
        <v>9013</v>
      </c>
      <c r="P24" s="28">
        <v>1</v>
      </c>
      <c r="Q24" s="28">
        <f t="shared" si="14"/>
        <v>330.33</v>
      </c>
      <c r="R24" s="28">
        <v>3</v>
      </c>
      <c r="S24" s="17">
        <f>(P24/R24)*O24*B24</f>
        <v>992421.42999999982</v>
      </c>
      <c r="T24" s="17"/>
      <c r="U24" s="28"/>
      <c r="V24" s="28"/>
      <c r="W24" s="17"/>
      <c r="X24" s="17"/>
      <c r="Y24" s="17"/>
      <c r="Z24" s="17"/>
      <c r="AA24" s="17"/>
      <c r="AB24" s="17"/>
      <c r="AC24" s="7"/>
      <c r="AD24" s="7"/>
      <c r="AE24" s="17"/>
      <c r="AF24" s="17"/>
      <c r="AG24" s="7"/>
      <c r="AH24" s="7"/>
      <c r="AI24" s="17"/>
      <c r="AJ24" s="17"/>
      <c r="AK24" s="17"/>
      <c r="AL24" s="17"/>
      <c r="AM24" s="17"/>
      <c r="AN24" s="7"/>
      <c r="AO24" s="7"/>
      <c r="AP24" s="17"/>
      <c r="AQ24" s="17"/>
      <c r="AR24" s="7"/>
      <c r="AS24" s="7"/>
      <c r="AT24" s="17"/>
      <c r="AU24" s="17"/>
      <c r="AV24" s="7"/>
      <c r="AW24" s="7"/>
      <c r="AX24" s="17">
        <f>B24*AU24*AV24</f>
        <v>0</v>
      </c>
      <c r="AY24" s="17"/>
      <c r="AZ24" s="7"/>
      <c r="BA24" s="7"/>
      <c r="BB24" s="17"/>
      <c r="BC24" s="17"/>
      <c r="BD24" s="7"/>
      <c r="BE24" s="7"/>
      <c r="BF24" s="17"/>
      <c r="BG24" s="17"/>
      <c r="BH24" s="7"/>
      <c r="BI24" s="7"/>
      <c r="BJ24" s="17"/>
      <c r="BK24" s="17">
        <v>19911</v>
      </c>
      <c r="BL24" s="28">
        <f>1*B24</f>
        <v>330.33</v>
      </c>
      <c r="BM24" s="17">
        <f>BK24*B24</f>
        <v>6577200.6299999999</v>
      </c>
    </row>
    <row r="25" spans="1:66" s="32" customFormat="1" ht="122.25" customHeight="1" x14ac:dyDescent="0.25">
      <c r="A25" s="5" t="s">
        <v>94</v>
      </c>
      <c r="B25" s="21">
        <f>B26*66%/100%</f>
        <v>9179.94</v>
      </c>
      <c r="C25" s="149">
        <f>B25/B26</f>
        <v>0.66</v>
      </c>
      <c r="D25" s="31" t="s">
        <v>95</v>
      </c>
      <c r="E25" s="17"/>
      <c r="F25" s="7"/>
      <c r="G25" s="7">
        <f t="shared" si="2"/>
        <v>0</v>
      </c>
      <c r="H25" s="7"/>
      <c r="I25" s="4"/>
      <c r="J25" s="17"/>
      <c r="K25" s="7"/>
      <c r="L25" s="7"/>
      <c r="M25" s="7"/>
      <c r="N25" s="17"/>
      <c r="O25" s="17">
        <v>9013</v>
      </c>
      <c r="P25" s="28">
        <v>1</v>
      </c>
      <c r="Q25" s="28">
        <f t="shared" si="14"/>
        <v>9179.94</v>
      </c>
      <c r="R25" s="28">
        <v>3</v>
      </c>
      <c r="S25" s="17">
        <f>(P25/R25)*O25*B25</f>
        <v>27579599.739999998</v>
      </c>
      <c r="T25" s="17"/>
      <c r="U25" s="28"/>
      <c r="V25" s="28"/>
      <c r="W25" s="17"/>
      <c r="X25" s="17"/>
      <c r="Y25" s="17"/>
      <c r="Z25" s="17"/>
      <c r="AA25" s="17"/>
      <c r="AB25" s="17"/>
      <c r="AC25" s="7"/>
      <c r="AD25" s="7"/>
      <c r="AE25" s="17"/>
      <c r="AF25" s="17"/>
      <c r="AG25" s="7"/>
      <c r="AH25" s="7"/>
      <c r="AI25" s="17"/>
      <c r="AJ25" s="17"/>
      <c r="AK25" s="17"/>
      <c r="AL25" s="17"/>
      <c r="AM25" s="17"/>
      <c r="AN25" s="7"/>
      <c r="AO25" s="7"/>
      <c r="AP25" s="17"/>
      <c r="AQ25" s="17"/>
      <c r="AR25" s="7"/>
      <c r="AS25" s="7"/>
      <c r="AT25" s="17"/>
      <c r="AU25" s="17"/>
      <c r="AV25" s="7"/>
      <c r="AW25" s="7"/>
      <c r="AX25" s="17"/>
      <c r="AY25" s="17"/>
      <c r="AZ25" s="7"/>
      <c r="BA25" s="7"/>
      <c r="BB25" s="17"/>
      <c r="BC25" s="17"/>
      <c r="BD25" s="7"/>
      <c r="BE25" s="7"/>
      <c r="BF25" s="17"/>
      <c r="BG25" s="17"/>
      <c r="BH25" s="7"/>
      <c r="BI25" s="7"/>
      <c r="BJ25" s="17"/>
      <c r="BK25" s="17"/>
      <c r="BL25" s="28"/>
      <c r="BM25" s="17"/>
    </row>
    <row r="26" spans="1:66" s="9" customFormat="1" ht="75" x14ac:dyDescent="0.25">
      <c r="A26" s="5" t="s">
        <v>57</v>
      </c>
      <c r="B26" s="22">
        <f>SUM(B13+B20)</f>
        <v>13909</v>
      </c>
      <c r="C26" s="76"/>
      <c r="D26" s="148" t="s">
        <v>96</v>
      </c>
      <c r="E26" s="17"/>
      <c r="F26" s="7"/>
      <c r="G26" s="7">
        <f t="shared" si="2"/>
        <v>0</v>
      </c>
      <c r="H26" s="7"/>
      <c r="I26" s="4"/>
      <c r="J26" s="17"/>
      <c r="K26" s="7"/>
      <c r="L26" s="7"/>
      <c r="M26" s="7"/>
      <c r="N26" s="17"/>
      <c r="O26" s="17"/>
      <c r="P26" s="27"/>
      <c r="Q26" s="27"/>
      <c r="R26" s="27"/>
      <c r="S26" s="17"/>
      <c r="T26" s="17"/>
      <c r="U26" s="28"/>
      <c r="V26" s="28"/>
      <c r="W26" s="17"/>
      <c r="X26" s="17"/>
      <c r="Y26" s="17"/>
      <c r="Z26" s="17"/>
      <c r="AA26" s="17"/>
      <c r="AB26" s="17"/>
      <c r="AC26" s="7"/>
      <c r="AD26" s="7"/>
      <c r="AE26" s="17"/>
      <c r="AF26" s="17"/>
      <c r="AG26" s="7"/>
      <c r="AH26" s="7"/>
      <c r="AI26" s="17"/>
      <c r="AJ26" s="17"/>
      <c r="AK26" s="17"/>
      <c r="AL26" s="17"/>
      <c r="AM26" s="17"/>
      <c r="AN26" s="7"/>
      <c r="AO26" s="7"/>
      <c r="AP26" s="17"/>
      <c r="AQ26" s="17"/>
      <c r="AR26" s="7"/>
      <c r="AS26" s="7"/>
      <c r="AT26" s="17"/>
      <c r="AU26" s="17"/>
      <c r="AV26" s="7"/>
      <c r="AW26" s="7"/>
      <c r="AX26" s="17"/>
      <c r="AY26" s="17"/>
      <c r="AZ26" s="7"/>
      <c r="BA26" s="7"/>
      <c r="BB26" s="17"/>
      <c r="BC26" s="17"/>
      <c r="BD26" s="7"/>
      <c r="BE26" s="7"/>
      <c r="BF26" s="17"/>
      <c r="BG26" s="17"/>
      <c r="BH26" s="7"/>
      <c r="BI26" s="7"/>
      <c r="BJ26" s="17"/>
      <c r="BK26" s="17"/>
      <c r="BL26" s="28"/>
      <c r="BM26" s="17"/>
    </row>
    <row r="27" spans="1:66" x14ac:dyDescent="0.25">
      <c r="A27" s="16" t="s">
        <v>76</v>
      </c>
      <c r="B27" s="7"/>
      <c r="C27" s="7"/>
      <c r="D27" s="4"/>
      <c r="E27" s="17"/>
      <c r="F27" s="7"/>
      <c r="G27" s="7">
        <f t="shared" si="2"/>
        <v>0</v>
      </c>
      <c r="H27" s="7"/>
      <c r="I27" s="4"/>
      <c r="J27" s="17"/>
      <c r="K27" s="7"/>
      <c r="L27" s="7"/>
      <c r="M27" s="7"/>
      <c r="N27" s="17"/>
      <c r="O27" s="17"/>
      <c r="P27" s="27"/>
      <c r="Q27" s="27"/>
      <c r="R27" s="27"/>
      <c r="S27" s="17"/>
      <c r="T27" s="17"/>
      <c r="U27" s="28"/>
      <c r="V27" s="28"/>
      <c r="W27" s="17"/>
      <c r="X27" s="17"/>
      <c r="Y27" s="17"/>
      <c r="Z27" s="17"/>
      <c r="AA27" s="17"/>
      <c r="AB27" s="17"/>
      <c r="AC27" s="7"/>
      <c r="AD27" s="7"/>
      <c r="AE27" s="17"/>
      <c r="AF27" s="17"/>
      <c r="AG27" s="7"/>
      <c r="AH27" s="7"/>
      <c r="AI27" s="17"/>
      <c r="AJ27" s="17"/>
      <c r="AK27" s="17"/>
      <c r="AL27" s="17"/>
      <c r="AM27" s="17"/>
      <c r="AN27" s="7"/>
      <c r="AO27" s="7"/>
      <c r="AP27" s="17"/>
      <c r="AQ27" s="17"/>
      <c r="AR27" s="7"/>
      <c r="AS27" s="7"/>
      <c r="AT27" s="17"/>
      <c r="AU27" s="17"/>
      <c r="AV27" s="7"/>
      <c r="AW27" s="7"/>
      <c r="AX27" s="17"/>
      <c r="AY27" s="17"/>
      <c r="AZ27" s="7"/>
      <c r="BA27" s="7"/>
      <c r="BB27" s="17"/>
      <c r="BC27" s="17"/>
      <c r="BD27" s="7"/>
      <c r="BE27" s="7"/>
      <c r="BF27" s="17"/>
      <c r="BG27" s="17"/>
      <c r="BH27" s="7"/>
      <c r="BI27" s="7"/>
      <c r="BJ27" s="17"/>
      <c r="BK27" s="17"/>
      <c r="BL27" s="28"/>
      <c r="BM27" s="17"/>
    </row>
    <row r="28" spans="1:66" s="9" customFormat="1" x14ac:dyDescent="0.25">
      <c r="A28" s="25" t="s">
        <v>71</v>
      </c>
      <c r="B28" s="51"/>
      <c r="C28" s="51"/>
      <c r="D28" s="41"/>
      <c r="E28" s="23">
        <f>SUM(E4:E27)</f>
        <v>160380</v>
      </c>
      <c r="F28" s="38">
        <f>SUM(F4:F27)</f>
        <v>55</v>
      </c>
      <c r="G28" s="38">
        <f t="shared" ref="G28:BM28" si="16">SUM(G4:G27)</f>
        <v>51198.66082549499</v>
      </c>
      <c r="H28" s="38">
        <f t="shared" si="16"/>
        <v>25</v>
      </c>
      <c r="I28" s="23">
        <f t="shared" si="16"/>
        <v>311668917.57309628</v>
      </c>
      <c r="J28" s="23">
        <f t="shared" si="16"/>
        <v>119554</v>
      </c>
      <c r="K28" s="38">
        <f t="shared" si="16"/>
        <v>4</v>
      </c>
      <c r="L28" s="38">
        <f t="shared" si="16"/>
        <v>12490.04550959928</v>
      </c>
      <c r="M28" s="38">
        <f t="shared" si="16"/>
        <v>6</v>
      </c>
      <c r="N28" s="23">
        <f t="shared" si="16"/>
        <v>62216039.194691412</v>
      </c>
      <c r="O28" s="23">
        <f t="shared" si="16"/>
        <v>63091</v>
      </c>
      <c r="P28" s="38">
        <f t="shared" si="16"/>
        <v>7</v>
      </c>
      <c r="Q28" s="38">
        <f t="shared" si="16"/>
        <v>11592.27</v>
      </c>
      <c r="R28" s="38">
        <f t="shared" si="16"/>
        <v>21</v>
      </c>
      <c r="S28" s="23">
        <f t="shared" si="16"/>
        <v>34827043.170000002</v>
      </c>
      <c r="T28" s="23">
        <f t="shared" si="16"/>
        <v>94000</v>
      </c>
      <c r="U28" s="38">
        <f t="shared" si="16"/>
        <v>5</v>
      </c>
      <c r="V28" s="38">
        <f t="shared" si="16"/>
        <v>2082</v>
      </c>
      <c r="W28" s="23">
        <f t="shared" si="16"/>
        <v>39141600</v>
      </c>
      <c r="X28" s="23">
        <f t="shared" si="16"/>
        <v>10953</v>
      </c>
      <c r="Y28" s="40">
        <f t="shared" si="16"/>
        <v>3600</v>
      </c>
      <c r="Z28" s="23">
        <f t="shared" si="16"/>
        <v>13143600</v>
      </c>
      <c r="AA28" s="23">
        <f t="shared" si="16"/>
        <v>52404</v>
      </c>
      <c r="AB28" s="23">
        <f t="shared" si="16"/>
        <v>228900</v>
      </c>
      <c r="AC28" s="38">
        <f t="shared" si="16"/>
        <v>12</v>
      </c>
      <c r="AD28" s="38">
        <f t="shared" si="16"/>
        <v>13153.156165442599</v>
      </c>
      <c r="AE28" s="23">
        <f t="shared" si="16"/>
        <v>308336286.83030534</v>
      </c>
      <c r="AF28" s="23">
        <f t="shared" si="16"/>
        <v>137892</v>
      </c>
      <c r="AG28" s="38">
        <f t="shared" si="16"/>
        <v>30</v>
      </c>
      <c r="AH28" s="38">
        <f t="shared" si="16"/>
        <v>19399.156165442597</v>
      </c>
      <c r="AI28" s="23">
        <f t="shared" si="16"/>
        <v>222915703.49710089</v>
      </c>
      <c r="AJ28" s="23">
        <f t="shared" si="16"/>
        <v>231660</v>
      </c>
      <c r="AK28" s="23">
        <f t="shared" si="16"/>
        <v>273024</v>
      </c>
      <c r="AL28" s="23">
        <f t="shared" si="16"/>
        <v>281292</v>
      </c>
      <c r="AM28" s="23">
        <f t="shared" si="16"/>
        <v>154437.69600000003</v>
      </c>
      <c r="AN28" s="38">
        <f t="shared" si="16"/>
        <v>12</v>
      </c>
      <c r="AO28" s="38">
        <f t="shared" si="16"/>
        <v>13153.156165442599</v>
      </c>
      <c r="AP28" s="23">
        <f t="shared" si="16"/>
        <v>1030784016.9674219</v>
      </c>
      <c r="AQ28" s="23">
        <f t="shared" si="16"/>
        <v>146160</v>
      </c>
      <c r="AR28" s="38">
        <f t="shared" si="16"/>
        <v>12</v>
      </c>
      <c r="AS28" s="38">
        <f t="shared" si="16"/>
        <v>13153.156165442599</v>
      </c>
      <c r="AT28" s="23">
        <f t="shared" si="16"/>
        <v>160205442.09509084</v>
      </c>
      <c r="AU28" s="23">
        <f t="shared" si="16"/>
        <v>132372</v>
      </c>
      <c r="AV28" s="38">
        <f t="shared" si="16"/>
        <v>12</v>
      </c>
      <c r="AW28" s="38">
        <f t="shared" si="16"/>
        <v>13153.156165442599</v>
      </c>
      <c r="AX28" s="23">
        <f t="shared" si="16"/>
        <v>145092465.6609973</v>
      </c>
      <c r="AY28" s="23">
        <f t="shared" si="16"/>
        <v>452280</v>
      </c>
      <c r="AZ28" s="38">
        <f t="shared" si="16"/>
        <v>12</v>
      </c>
      <c r="BA28" s="38">
        <f t="shared" si="16"/>
        <v>13153.156165442599</v>
      </c>
      <c r="BB28" s="23">
        <f t="shared" si="16"/>
        <v>495742455.87553155</v>
      </c>
      <c r="BC28" s="23">
        <f t="shared" si="16"/>
        <v>236664</v>
      </c>
      <c r="BD28" s="38">
        <f t="shared" si="16"/>
        <v>12</v>
      </c>
      <c r="BE28" s="38">
        <f t="shared" si="16"/>
        <v>13153.156165442599</v>
      </c>
      <c r="BF28" s="23">
        <f t="shared" si="16"/>
        <v>259406545.8948589</v>
      </c>
      <c r="BG28" s="23">
        <f t="shared" si="16"/>
        <v>234264</v>
      </c>
      <c r="BH28" s="38">
        <f t="shared" si="16"/>
        <v>24</v>
      </c>
      <c r="BI28" s="38">
        <f t="shared" si="16"/>
        <v>8328</v>
      </c>
      <c r="BJ28" s="23">
        <f t="shared" si="16"/>
        <v>162579216.00000003</v>
      </c>
      <c r="BK28" s="23">
        <f t="shared" si="16"/>
        <v>19911</v>
      </c>
      <c r="BL28" s="38">
        <f>BL24</f>
        <v>330.33</v>
      </c>
      <c r="BM28" s="23">
        <f t="shared" si="16"/>
        <v>6577200.6299999999</v>
      </c>
      <c r="BN28" s="42"/>
    </row>
    <row r="29" spans="1:66" s="32" customFormat="1" x14ac:dyDescent="0.25">
      <c r="A29" s="24"/>
      <c r="B29" s="52"/>
      <c r="C29" s="52"/>
      <c r="D29" s="46"/>
      <c r="E29" s="47"/>
      <c r="F29" s="48"/>
      <c r="G29" s="48"/>
      <c r="H29" s="48"/>
      <c r="I29" s="47"/>
      <c r="J29" s="47"/>
      <c r="K29" s="47"/>
      <c r="L29" s="47"/>
      <c r="M29" s="47"/>
      <c r="N29" s="47"/>
      <c r="O29" s="47"/>
      <c r="P29" s="47"/>
      <c r="Q29" s="48"/>
      <c r="R29" s="47"/>
      <c r="S29" s="47"/>
      <c r="T29" s="47"/>
      <c r="U29" s="47"/>
      <c r="V29" s="48"/>
      <c r="W29" s="47"/>
      <c r="X29" s="47"/>
      <c r="Y29" s="49"/>
      <c r="Z29" s="47"/>
      <c r="AA29" s="47"/>
      <c r="AB29" s="47"/>
      <c r="AC29" s="48"/>
      <c r="AD29" s="48"/>
      <c r="AE29" s="47"/>
      <c r="AF29" s="47"/>
      <c r="AG29" s="47"/>
      <c r="AH29" s="47"/>
      <c r="AI29" s="47"/>
      <c r="AJ29" s="47"/>
      <c r="AK29" s="47"/>
      <c r="AL29" s="47"/>
      <c r="AM29" s="47"/>
      <c r="AN29" s="48"/>
      <c r="AO29" s="48"/>
      <c r="AP29" s="47"/>
      <c r="AQ29" s="47"/>
      <c r="AR29" s="50"/>
      <c r="AS29" s="50"/>
      <c r="AT29" s="47"/>
      <c r="AU29" s="47"/>
      <c r="AV29" s="50"/>
      <c r="AW29" s="50"/>
      <c r="AX29" s="47"/>
      <c r="AY29" s="47"/>
      <c r="AZ29" s="50"/>
      <c r="BA29" s="50"/>
      <c r="BB29" s="47"/>
      <c r="BC29" s="47"/>
      <c r="BD29" s="50"/>
      <c r="BE29" s="50"/>
      <c r="BF29" s="47"/>
      <c r="BG29" s="47"/>
      <c r="BH29" s="50"/>
      <c r="BI29" s="50"/>
      <c r="BJ29" s="47"/>
      <c r="BK29" s="47"/>
      <c r="BL29" s="50"/>
      <c r="BM29" s="47"/>
      <c r="BN29" s="42"/>
    </row>
    <row r="30" spans="1:66" s="9" customFormat="1" ht="45" x14ac:dyDescent="0.25">
      <c r="A30" s="142" t="s">
        <v>128</v>
      </c>
      <c r="B30" s="13" t="s">
        <v>130</v>
      </c>
      <c r="C30" s="13" t="s">
        <v>193</v>
      </c>
      <c r="D30" s="142" t="s">
        <v>129</v>
      </c>
      <c r="E30" s="13" t="s">
        <v>193</v>
      </c>
      <c r="F30" s="12"/>
      <c r="G30" s="12"/>
      <c r="H30" s="12"/>
      <c r="J30" s="18"/>
      <c r="K30" s="12"/>
      <c r="L30" s="12"/>
      <c r="M30" s="12"/>
      <c r="N30" s="18"/>
      <c r="O30" s="18"/>
      <c r="P30" s="26"/>
      <c r="Q30" s="26"/>
      <c r="R30" s="26"/>
      <c r="S30" s="18"/>
      <c r="T30" s="18"/>
      <c r="U30" s="30"/>
      <c r="V30" s="30"/>
      <c r="W30" s="18"/>
      <c r="X30" s="18"/>
      <c r="Y30" s="18"/>
      <c r="Z30" s="18"/>
      <c r="AA30" s="18"/>
      <c r="AB30" s="18"/>
      <c r="AC30" s="12"/>
      <c r="AD30" s="12"/>
      <c r="AE30" s="18"/>
      <c r="AF30" s="18"/>
      <c r="AG30" s="12"/>
      <c r="AH30" s="12"/>
      <c r="AI30" s="18"/>
      <c r="AJ30" s="18"/>
      <c r="AK30" s="18"/>
      <c r="AL30" s="18"/>
      <c r="AM30" s="18"/>
      <c r="AN30" s="12"/>
      <c r="AO30" s="12"/>
      <c r="AP30" s="18"/>
      <c r="AQ30" s="18"/>
      <c r="AR30" s="12"/>
      <c r="AS30" s="12"/>
      <c r="AT30" s="18"/>
      <c r="AU30" s="18"/>
      <c r="AV30" s="12"/>
      <c r="AW30" s="12"/>
      <c r="AX30" s="18"/>
      <c r="AY30" s="18"/>
      <c r="AZ30" s="12"/>
      <c r="BA30" s="12"/>
      <c r="BB30" s="18"/>
      <c r="BC30" s="18"/>
      <c r="BD30" s="12"/>
      <c r="BE30" s="12"/>
      <c r="BF30" s="18"/>
      <c r="BG30" s="18"/>
      <c r="BH30" s="12"/>
      <c r="BI30" s="12"/>
      <c r="BJ30" s="18"/>
      <c r="BK30" s="18"/>
      <c r="BL30" s="30"/>
      <c r="BM30" s="18"/>
    </row>
    <row r="31" spans="1:66" x14ac:dyDescent="0.25">
      <c r="A31" s="146" t="s">
        <v>77</v>
      </c>
      <c r="B31" s="154">
        <f>SUM(B32:B35)</f>
        <v>77362.976335094267</v>
      </c>
      <c r="C31" s="150">
        <f>B31/B50</f>
        <v>0.41163788191148559</v>
      </c>
      <c r="D31" s="155">
        <f>SUM(D32:D35)</f>
        <v>447853599.93778771</v>
      </c>
      <c r="E31" s="150">
        <f>D31/D50</f>
        <v>0.1280502748487462</v>
      </c>
    </row>
    <row r="32" spans="1:66" ht="30" x14ac:dyDescent="0.25">
      <c r="A32" s="156" t="str">
        <f>I2</f>
        <v>VALOR PROYECTADO HORAS MEDICAS ANUALES 2016</v>
      </c>
      <c r="B32" s="154">
        <f>G28</f>
        <v>51198.66082549499</v>
      </c>
      <c r="C32" s="150">
        <f>B32/$B$31</f>
        <v>0.6617979717291419</v>
      </c>
      <c r="D32" s="155">
        <f>I28</f>
        <v>311668917.57309628</v>
      </c>
      <c r="E32" s="150">
        <f>D32/$D$31</f>
        <v>0.69591696397302794</v>
      </c>
    </row>
    <row r="33" spans="1:65" ht="30" x14ac:dyDescent="0.25">
      <c r="A33" s="157" t="str">
        <f>N2</f>
        <v>VALOR PROYECTADO HORAS ENFERMERÍA ANUALES 2016</v>
      </c>
      <c r="B33" s="154">
        <f>L28</f>
        <v>12490.04550959928</v>
      </c>
      <c r="C33" s="150">
        <f t="shared" ref="C33:C35" si="17">B33/$B$31</f>
        <v>0.16144732404683099</v>
      </c>
      <c r="D33" s="155">
        <f>N28</f>
        <v>62216039.194691412</v>
      </c>
      <c r="E33" s="150">
        <f t="shared" ref="E33:E35" si="18">D33/$D$31</f>
        <v>0.1389204847372757</v>
      </c>
    </row>
    <row r="34" spans="1:65" ht="30" x14ac:dyDescent="0.25">
      <c r="A34" s="157" t="str">
        <f>S2</f>
        <v>VALOR PROYECTADO HORAS NUTRICIÓN ANUALES 2016</v>
      </c>
      <c r="B34" s="154">
        <f>Q28</f>
        <v>11592.27</v>
      </c>
      <c r="C34" s="150">
        <f t="shared" si="17"/>
        <v>0.14984260623309789</v>
      </c>
      <c r="D34" s="155">
        <f>S28</f>
        <v>34827043.170000002</v>
      </c>
      <c r="E34" s="150">
        <f t="shared" si="18"/>
        <v>7.7764347936106579E-2</v>
      </c>
    </row>
    <row r="35" spans="1:65" ht="30" x14ac:dyDescent="0.25">
      <c r="A35" s="157" t="str">
        <f>W2</f>
        <v>VALOR PROYECTADO HORAS PSICOLOGÍA ANUALES 2016</v>
      </c>
      <c r="B35" s="154">
        <f>V28</f>
        <v>2082</v>
      </c>
      <c r="C35" s="150">
        <f t="shared" si="17"/>
        <v>2.6912097990929282E-2</v>
      </c>
      <c r="D35" s="155">
        <f>W28</f>
        <v>39141600</v>
      </c>
      <c r="E35" s="150">
        <f t="shared" si="18"/>
        <v>8.7398203353589748E-2</v>
      </c>
    </row>
    <row r="36" spans="1:65" x14ac:dyDescent="0.25">
      <c r="A36" s="146" t="s">
        <v>103</v>
      </c>
      <c r="B36" s="154">
        <f>SUM(B37:B38)</f>
        <v>16753.156165442597</v>
      </c>
      <c r="C36" s="150">
        <f>B36/B50</f>
        <v>8.9141266869108157E-2</v>
      </c>
      <c r="D36" s="155">
        <f>SUM(D37:D38)</f>
        <v>508886055.87553155</v>
      </c>
      <c r="E36" s="150">
        <f>D36/D50</f>
        <v>0.1455006710465388</v>
      </c>
    </row>
    <row r="37" spans="1:65" ht="30" x14ac:dyDescent="0.25">
      <c r="A37" s="157" t="str">
        <f>Z2</f>
        <v>VALOR TOTAL PROYECTADO MONITORIO PA (3) 2016</v>
      </c>
      <c r="B37" s="154">
        <f>Y28</f>
        <v>3600</v>
      </c>
      <c r="C37" s="150">
        <f>B37/$B$36</f>
        <v>0.2148848828512602</v>
      </c>
      <c r="D37" s="155">
        <f>Z28</f>
        <v>13143600</v>
      </c>
      <c r="E37" s="150">
        <f>D37/$D$36</f>
        <v>2.5828178721436206E-2</v>
      </c>
    </row>
    <row r="38" spans="1:65" s="32" customFormat="1" x14ac:dyDescent="0.25">
      <c r="A38" s="157" t="str">
        <f>BB2</f>
        <v>EKG VALOR ANUAL</v>
      </c>
      <c r="B38" s="154">
        <f>BA28</f>
        <v>13153.156165442599</v>
      </c>
      <c r="C38" s="150">
        <f>B38/$B$36</f>
        <v>0.78511511714873994</v>
      </c>
      <c r="D38" s="155">
        <f>BB28</f>
        <v>495742455.87553155</v>
      </c>
      <c r="E38" s="150">
        <f>D38/$D$36</f>
        <v>0.97417182127856383</v>
      </c>
      <c r="F38" s="12"/>
      <c r="G38" s="12"/>
      <c r="H38" s="12"/>
      <c r="J38" s="18"/>
      <c r="K38" s="12"/>
      <c r="L38" s="12"/>
      <c r="M38" s="12"/>
      <c r="N38" s="18"/>
      <c r="O38" s="18"/>
      <c r="P38" s="26"/>
      <c r="Q38" s="26"/>
      <c r="R38" s="26"/>
      <c r="S38" s="18"/>
      <c r="T38" s="18"/>
      <c r="U38" s="30"/>
      <c r="V38" s="30"/>
      <c r="W38" s="18"/>
      <c r="X38" s="18"/>
      <c r="Y38" s="18"/>
      <c r="Z38" s="18"/>
      <c r="AA38" s="18"/>
      <c r="AB38" s="18"/>
      <c r="AC38" s="12"/>
      <c r="AD38" s="12"/>
      <c r="AE38" s="18"/>
      <c r="AF38" s="18"/>
      <c r="AG38" s="12"/>
      <c r="AH38" s="12"/>
      <c r="AI38" s="18"/>
      <c r="AJ38" s="18"/>
      <c r="AK38" s="18"/>
      <c r="AL38" s="18"/>
      <c r="AM38" s="18"/>
      <c r="AN38" s="12"/>
      <c r="AO38" s="12"/>
      <c r="AP38" s="18"/>
      <c r="AQ38" s="18"/>
      <c r="AR38" s="12"/>
      <c r="AS38" s="12"/>
      <c r="AT38" s="18"/>
      <c r="AU38" s="18"/>
      <c r="AV38" s="12"/>
      <c r="AW38" s="12"/>
      <c r="AX38" s="18"/>
      <c r="AY38" s="18"/>
      <c r="AZ38" s="12"/>
      <c r="BA38" s="12"/>
      <c r="BB38" s="18"/>
      <c r="BC38" s="18"/>
      <c r="BD38" s="12"/>
      <c r="BE38" s="12"/>
      <c r="BF38" s="18"/>
      <c r="BG38" s="18"/>
      <c r="BH38" s="12"/>
      <c r="BI38" s="12"/>
      <c r="BJ38" s="18"/>
      <c r="BK38" s="18"/>
      <c r="BL38" s="30"/>
      <c r="BM38" s="18"/>
    </row>
    <row r="39" spans="1:65" x14ac:dyDescent="0.25">
      <c r="A39" s="146" t="s">
        <v>102</v>
      </c>
      <c r="B39" s="154">
        <f>SUM(B40:B47)</f>
        <v>93823.266992655597</v>
      </c>
      <c r="C39" s="150">
        <f>B39/B50</f>
        <v>0.49922085121940635</v>
      </c>
      <c r="D39" s="155">
        <f>SUM(D40:D47)</f>
        <v>2295896877.5757756</v>
      </c>
      <c r="E39" s="150">
        <f>D39/D50</f>
        <v>0.65644269966523683</v>
      </c>
    </row>
    <row r="40" spans="1:65" ht="45" x14ac:dyDescent="0.25">
      <c r="A40" s="157" t="str">
        <f>AE2</f>
        <v>VALOR ANUAL PROYECTADO HEMOGRAMA Y ERITROSEDIMENTACIÓN 2016</v>
      </c>
      <c r="B40" s="154">
        <f>AD28</f>
        <v>13153.156165442599</v>
      </c>
      <c r="C40" s="150">
        <f>B40/$B$39</f>
        <v>0.14019077129846924</v>
      </c>
      <c r="D40" s="155">
        <f>AE28</f>
        <v>308336286.83030534</v>
      </c>
      <c r="E40" s="150">
        <f>D40/$D$39</f>
        <v>0.13429883974400272</v>
      </c>
    </row>
    <row r="41" spans="1:65" x14ac:dyDescent="0.25">
      <c r="A41" s="157" t="str">
        <f>AI2</f>
        <v>GLICEMIA BASAL VALOR ANUAL</v>
      </c>
      <c r="B41" s="154">
        <f>AH28</f>
        <v>19399.156165442597</v>
      </c>
      <c r="C41" s="150">
        <f t="shared" ref="C41:C47" si="19">B41/$B$39</f>
        <v>0.20676274433037112</v>
      </c>
      <c r="D41" s="155">
        <f>AI28</f>
        <v>222915703.49710089</v>
      </c>
      <c r="E41" s="150">
        <f t="shared" ref="E41:E47" si="20">D41/$D$39</f>
        <v>9.7093081868936684E-2</v>
      </c>
    </row>
    <row r="42" spans="1:65" x14ac:dyDescent="0.25">
      <c r="A42" s="157" t="str">
        <f>AP2</f>
        <v>PERFIL LIPIDICO VALOR ANUAL</v>
      </c>
      <c r="B42" s="154">
        <f>AO28</f>
        <v>13153.156165442599</v>
      </c>
      <c r="C42" s="150">
        <f t="shared" si="19"/>
        <v>0.14019077129846924</v>
      </c>
      <c r="D42" s="155">
        <f>AP28</f>
        <v>1030784016.9674219</v>
      </c>
      <c r="E42" s="150">
        <f t="shared" si="20"/>
        <v>0.44896790750280596</v>
      </c>
    </row>
    <row r="43" spans="1:65" x14ac:dyDescent="0.25">
      <c r="A43" s="157" t="str">
        <f>AT2</f>
        <v>PARCIAL ORINA VALOR ANUAL</v>
      </c>
      <c r="B43" s="154">
        <f>AS28</f>
        <v>13153.156165442599</v>
      </c>
      <c r="C43" s="150">
        <f t="shared" si="19"/>
        <v>0.14019077129846924</v>
      </c>
      <c r="D43" s="155">
        <f>AT28</f>
        <v>160205442.09509084</v>
      </c>
      <c r="E43" s="150">
        <f t="shared" si="20"/>
        <v>6.9779023465657938E-2</v>
      </c>
    </row>
    <row r="44" spans="1:65" x14ac:dyDescent="0.25">
      <c r="A44" s="157" t="str">
        <f>AX2</f>
        <v>CREATININA VALOR ANUAL</v>
      </c>
      <c r="B44" s="154">
        <f>AW28</f>
        <v>13153.156165442599</v>
      </c>
      <c r="C44" s="150">
        <f t="shared" si="19"/>
        <v>0.14019077129846924</v>
      </c>
      <c r="D44" s="155">
        <f>AX28</f>
        <v>145092465.6609973</v>
      </c>
      <c r="E44" s="150">
        <f t="shared" si="20"/>
        <v>6.319642100572026E-2</v>
      </c>
    </row>
    <row r="45" spans="1:65" ht="30" x14ac:dyDescent="0.25">
      <c r="A45" s="157" t="str">
        <f>BF2</f>
        <v>VALOR PROYECTADO MICROALBUMINURIA ANUAL</v>
      </c>
      <c r="B45" s="154">
        <f>BE28</f>
        <v>13153.156165442599</v>
      </c>
      <c r="C45" s="150">
        <f t="shared" si="19"/>
        <v>0.14019077129846924</v>
      </c>
      <c r="D45" s="155">
        <f>BF28</f>
        <v>259406545.8948589</v>
      </c>
      <c r="E45" s="150">
        <f t="shared" si="20"/>
        <v>0.11298701976926977</v>
      </c>
    </row>
    <row r="46" spans="1:65" ht="30" x14ac:dyDescent="0.25">
      <c r="A46" s="157" t="str">
        <f>BJ2</f>
        <v>HEMOGLOBINA GLICOSILADA VALOR ANUAL</v>
      </c>
      <c r="B46" s="154">
        <f>BI28</f>
        <v>8328</v>
      </c>
      <c r="C46" s="150">
        <f t="shared" si="19"/>
        <v>8.8762630709202525E-2</v>
      </c>
      <c r="D46" s="155">
        <f>BJ28</f>
        <v>162579216.00000003</v>
      </c>
      <c r="E46" s="150">
        <f t="shared" si="20"/>
        <v>7.0812943555054825E-2</v>
      </c>
    </row>
    <row r="47" spans="1:65" x14ac:dyDescent="0.25">
      <c r="A47" s="157" t="str">
        <f>BM2</f>
        <v>TSH VALOR 2016 (Pacientes con DLP)</v>
      </c>
      <c r="B47" s="154">
        <f>BL28</f>
        <v>330.33</v>
      </c>
      <c r="C47" s="150">
        <f t="shared" si="19"/>
        <v>3.5207684680800756E-3</v>
      </c>
      <c r="D47" s="155">
        <f>BM28</f>
        <v>6577200.6299999999</v>
      </c>
      <c r="E47" s="150">
        <f t="shared" si="20"/>
        <v>2.8647630885516202E-3</v>
      </c>
    </row>
    <row r="48" spans="1:65" hidden="1" x14ac:dyDescent="0.25">
      <c r="A48" s="146" t="s">
        <v>104</v>
      </c>
      <c r="B48" s="154"/>
      <c r="C48" s="150"/>
      <c r="D48" s="158"/>
      <c r="E48" s="150"/>
    </row>
    <row r="49" spans="1:5" hidden="1" x14ac:dyDescent="0.25">
      <c r="A49" s="146" t="s">
        <v>112</v>
      </c>
      <c r="B49" s="154"/>
      <c r="C49" s="150"/>
      <c r="D49" s="158"/>
      <c r="E49" s="150"/>
    </row>
    <row r="50" spans="1:5" x14ac:dyDescent="0.25">
      <c r="A50" s="146" t="s">
        <v>236</v>
      </c>
      <c r="B50" s="154">
        <f>SUM(B31+B36+B39)</f>
        <v>187939.39949319244</v>
      </c>
      <c r="C50" s="150"/>
      <c r="D50" s="151">
        <v>3497482535.4088087</v>
      </c>
      <c r="E50" s="151"/>
    </row>
  </sheetData>
  <mergeCells count="4">
    <mergeCell ref="AC1:BH1"/>
    <mergeCell ref="D14:D20"/>
    <mergeCell ref="D21:D23"/>
    <mergeCell ref="D4:D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9"/>
  <sheetViews>
    <sheetView tabSelected="1" zoomScale="75" zoomScaleNormal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" sqref="E1"/>
    </sheetView>
  </sheetViews>
  <sheetFormatPr baseColWidth="10" defaultRowHeight="15" x14ac:dyDescent="0.25"/>
  <cols>
    <col min="1" max="1" width="42.140625" style="103" customWidth="1"/>
    <col min="2" max="2" width="26.42578125" style="103" customWidth="1"/>
    <col min="3" max="3" width="22" style="103" customWidth="1"/>
    <col min="4" max="4" width="22" style="105" customWidth="1"/>
    <col min="5" max="6" width="22" style="104" customWidth="1"/>
    <col min="7" max="7" width="22" style="103" customWidth="1"/>
    <col min="8" max="8" width="22" style="105" customWidth="1"/>
    <col min="9" max="10" width="22" style="104" customWidth="1"/>
    <col min="11" max="11" width="22" style="105" customWidth="1"/>
    <col min="12" max="12" width="22" style="106" customWidth="1"/>
    <col min="13" max="13" width="22" style="107" customWidth="1"/>
    <col min="14" max="14" width="14.7109375" style="107" customWidth="1"/>
    <col min="15" max="15" width="22.140625" style="105" customWidth="1"/>
    <col min="16" max="16" width="14.7109375" style="105" customWidth="1"/>
    <col min="17" max="17" width="14.7109375" style="108" customWidth="1"/>
    <col min="18" max="18" width="18.42578125" style="105" customWidth="1"/>
    <col min="19" max="20" width="14.7109375" style="105" customWidth="1"/>
    <col min="21" max="21" width="22" style="105" customWidth="1"/>
    <col min="22" max="23" width="13" style="105" customWidth="1"/>
    <col min="24" max="24" width="17.140625" style="105" customWidth="1"/>
    <col min="25" max="26" width="14.7109375" style="105" customWidth="1"/>
    <col min="27" max="27" width="17.140625" style="104" customWidth="1"/>
    <col min="28" max="29" width="17.140625" style="105" customWidth="1"/>
    <col min="30" max="30" width="17" style="104" customWidth="1"/>
    <col min="31" max="31" width="16.7109375" style="105" customWidth="1"/>
    <col min="32" max="34" width="17.42578125" style="105" customWidth="1"/>
    <col min="35" max="37" width="16.5703125" style="105" customWidth="1"/>
    <col min="38" max="39" width="15.7109375" style="105" customWidth="1"/>
    <col min="40" max="40" width="22.5703125" style="105" customWidth="1"/>
    <col min="41" max="42" width="15.7109375" style="105" customWidth="1"/>
    <col min="43" max="43" width="19.5703125" style="105" customWidth="1"/>
    <col min="44" max="44" width="20" style="105" customWidth="1"/>
    <col min="45" max="45" width="16.7109375" style="105" customWidth="1"/>
    <col min="46" max="46" width="14.5703125" style="104" customWidth="1"/>
    <col min="47" max="47" width="19" style="105" customWidth="1"/>
    <col min="48" max="48" width="15.28515625" style="105" customWidth="1"/>
    <col min="49" max="49" width="15.28515625" style="104" customWidth="1"/>
    <col min="50" max="51" width="19" style="105" customWidth="1"/>
    <col min="52" max="52" width="16.28515625" style="104" customWidth="1"/>
    <col min="53" max="53" width="19" style="105" customWidth="1"/>
    <col min="54" max="54" width="21.42578125" style="105" customWidth="1"/>
    <col min="55" max="55" width="21.140625" style="104" customWidth="1"/>
    <col min="56" max="56" width="21.140625" style="105" customWidth="1"/>
    <col min="57" max="57" width="14.42578125" style="105" customWidth="1"/>
    <col min="58" max="58" width="17.5703125" style="104" customWidth="1"/>
    <col min="59" max="59" width="19" style="105" customWidth="1"/>
    <col min="60" max="61" width="16.28515625" style="105" customWidth="1"/>
    <col min="62" max="62" width="15.85546875" style="105" customWidth="1"/>
    <col min="63" max="16384" width="11.42578125" style="32"/>
  </cols>
  <sheetData>
    <row r="1" spans="1:62" ht="90" x14ac:dyDescent="0.25">
      <c r="A1" s="109" t="s">
        <v>4</v>
      </c>
      <c r="B1" s="70" t="s">
        <v>134</v>
      </c>
      <c r="C1" s="70" t="s">
        <v>135</v>
      </c>
      <c r="D1" s="70" t="s">
        <v>80</v>
      </c>
      <c r="E1" s="110" t="s">
        <v>136</v>
      </c>
      <c r="F1" s="110" t="s">
        <v>98</v>
      </c>
      <c r="G1" s="70" t="s">
        <v>137</v>
      </c>
      <c r="H1" s="20" t="s">
        <v>81</v>
      </c>
      <c r="I1" s="110" t="s">
        <v>138</v>
      </c>
      <c r="J1" s="110" t="s">
        <v>99</v>
      </c>
      <c r="K1" s="20" t="s">
        <v>139</v>
      </c>
      <c r="L1" s="111" t="s">
        <v>82</v>
      </c>
      <c r="M1" s="112" t="s">
        <v>140</v>
      </c>
      <c r="N1" s="110" t="s">
        <v>100</v>
      </c>
      <c r="O1" s="20" t="s">
        <v>141</v>
      </c>
      <c r="P1" s="20" t="s">
        <v>97</v>
      </c>
      <c r="Q1" s="110" t="s">
        <v>142</v>
      </c>
      <c r="R1" s="20" t="s">
        <v>143</v>
      </c>
      <c r="S1" s="20" t="s">
        <v>36</v>
      </c>
      <c r="T1" s="20" t="s">
        <v>144</v>
      </c>
      <c r="U1" s="20" t="s">
        <v>145</v>
      </c>
      <c r="V1" s="20" t="s">
        <v>40</v>
      </c>
      <c r="W1" s="20" t="s">
        <v>146</v>
      </c>
      <c r="X1" s="20" t="s">
        <v>147</v>
      </c>
      <c r="Y1" s="20" t="s">
        <v>39</v>
      </c>
      <c r="Z1" s="20" t="s">
        <v>148</v>
      </c>
      <c r="AA1" s="110" t="s">
        <v>149</v>
      </c>
      <c r="AB1" s="110" t="s">
        <v>150</v>
      </c>
      <c r="AC1" s="20" t="s">
        <v>41</v>
      </c>
      <c r="AD1" s="110" t="s">
        <v>151</v>
      </c>
      <c r="AE1" s="20" t="s">
        <v>17</v>
      </c>
      <c r="AF1" s="20" t="s">
        <v>24</v>
      </c>
      <c r="AG1" s="20" t="s">
        <v>152</v>
      </c>
      <c r="AH1" s="20" t="s">
        <v>153</v>
      </c>
      <c r="AI1" s="20" t="s">
        <v>25</v>
      </c>
      <c r="AJ1" s="20" t="s">
        <v>154</v>
      </c>
      <c r="AK1" s="20" t="s">
        <v>155</v>
      </c>
      <c r="AL1" s="20" t="s">
        <v>26</v>
      </c>
      <c r="AM1" s="20" t="s">
        <v>156</v>
      </c>
      <c r="AN1" s="20" t="s">
        <v>157</v>
      </c>
      <c r="AO1" s="20" t="s">
        <v>27</v>
      </c>
      <c r="AP1" s="20" t="s">
        <v>158</v>
      </c>
      <c r="AQ1" s="20" t="s">
        <v>159</v>
      </c>
      <c r="AR1" s="20" t="s">
        <v>18</v>
      </c>
      <c r="AS1" s="20" t="s">
        <v>19</v>
      </c>
      <c r="AT1" s="110" t="s">
        <v>160</v>
      </c>
      <c r="AU1" s="20" t="s">
        <v>20</v>
      </c>
      <c r="AV1" s="20" t="s">
        <v>21</v>
      </c>
      <c r="AW1" s="110" t="s">
        <v>161</v>
      </c>
      <c r="AX1" s="20" t="s">
        <v>78</v>
      </c>
      <c r="AY1" s="20" t="s">
        <v>22</v>
      </c>
      <c r="AZ1" s="110" t="s">
        <v>162</v>
      </c>
      <c r="BA1" s="20" t="s">
        <v>23</v>
      </c>
      <c r="BB1" s="20" t="s">
        <v>163</v>
      </c>
      <c r="BC1" s="110" t="s">
        <v>164</v>
      </c>
      <c r="BD1" s="20" t="s">
        <v>44</v>
      </c>
      <c r="BE1" s="20" t="s">
        <v>165</v>
      </c>
      <c r="BF1" s="110" t="s">
        <v>166</v>
      </c>
      <c r="BG1" s="20" t="s">
        <v>167</v>
      </c>
      <c r="BH1" s="20" t="s">
        <v>30</v>
      </c>
      <c r="BI1" s="20" t="s">
        <v>168</v>
      </c>
      <c r="BJ1" s="20" t="s">
        <v>31</v>
      </c>
    </row>
    <row r="2" spans="1:62" ht="72.75" customHeight="1" x14ac:dyDescent="0.25">
      <c r="A2" s="113" t="s">
        <v>101</v>
      </c>
      <c r="B2" s="70" t="s">
        <v>169</v>
      </c>
      <c r="C2" s="70" t="s">
        <v>169</v>
      </c>
      <c r="D2" s="114" t="s">
        <v>105</v>
      </c>
      <c r="E2" s="115" t="s">
        <v>170</v>
      </c>
      <c r="F2" s="115" t="s">
        <v>107</v>
      </c>
      <c r="G2" s="70"/>
      <c r="H2" s="114" t="s">
        <v>105</v>
      </c>
      <c r="I2" s="115" t="s">
        <v>170</v>
      </c>
      <c r="J2" s="115" t="s">
        <v>107</v>
      </c>
      <c r="K2" s="20"/>
      <c r="L2" s="116" t="s">
        <v>108</v>
      </c>
      <c r="M2" s="115" t="s">
        <v>170</v>
      </c>
      <c r="N2" s="115" t="s">
        <v>107</v>
      </c>
      <c r="O2" s="20"/>
      <c r="P2" s="117" t="s">
        <v>109</v>
      </c>
      <c r="Q2" s="115" t="s">
        <v>170</v>
      </c>
      <c r="R2" s="115"/>
      <c r="S2" s="117" t="s">
        <v>109</v>
      </c>
      <c r="T2" s="117"/>
      <c r="U2" s="117" t="s">
        <v>171</v>
      </c>
      <c r="V2" s="117" t="s">
        <v>109</v>
      </c>
      <c r="W2" s="115" t="s">
        <v>170</v>
      </c>
      <c r="X2" s="115"/>
      <c r="Y2" s="117" t="s">
        <v>109</v>
      </c>
      <c r="Z2" s="115" t="s">
        <v>170</v>
      </c>
      <c r="AA2" s="115" t="s">
        <v>110</v>
      </c>
      <c r="AB2" s="115" t="s">
        <v>170</v>
      </c>
      <c r="AC2" s="117" t="s">
        <v>109</v>
      </c>
      <c r="AD2" s="115" t="s">
        <v>170</v>
      </c>
      <c r="AE2" s="20"/>
      <c r="AF2" s="117" t="s">
        <v>109</v>
      </c>
      <c r="AG2" s="115" t="s">
        <v>170</v>
      </c>
      <c r="AH2" s="117"/>
      <c r="AI2" s="117" t="s">
        <v>109</v>
      </c>
      <c r="AJ2" s="115" t="s">
        <v>170</v>
      </c>
      <c r="AK2" s="117"/>
      <c r="AL2" s="117" t="s">
        <v>109</v>
      </c>
      <c r="AM2" s="115" t="s">
        <v>170</v>
      </c>
      <c r="AN2" s="117"/>
      <c r="AO2" s="117" t="s">
        <v>109</v>
      </c>
      <c r="AP2" s="115" t="s">
        <v>170</v>
      </c>
      <c r="AQ2" s="117"/>
      <c r="AR2" s="115" t="s">
        <v>170</v>
      </c>
      <c r="AS2" s="117" t="s">
        <v>109</v>
      </c>
      <c r="AT2" s="115" t="s">
        <v>170</v>
      </c>
      <c r="AU2" s="20"/>
      <c r="AV2" s="117" t="s">
        <v>109</v>
      </c>
      <c r="AW2" s="115" t="s">
        <v>170</v>
      </c>
      <c r="AX2" s="20"/>
      <c r="AY2" s="117" t="s">
        <v>109</v>
      </c>
      <c r="AZ2" s="115" t="s">
        <v>170</v>
      </c>
      <c r="BA2" s="20"/>
      <c r="BB2" s="117" t="s">
        <v>109</v>
      </c>
      <c r="BC2" s="115" t="s">
        <v>170</v>
      </c>
      <c r="BD2" s="20"/>
      <c r="BE2" s="117" t="s">
        <v>109</v>
      </c>
      <c r="BF2" s="115" t="s">
        <v>170</v>
      </c>
      <c r="BG2" s="20"/>
      <c r="BH2" s="117" t="s">
        <v>109</v>
      </c>
      <c r="BI2" s="117"/>
      <c r="BJ2" s="115" t="s">
        <v>170</v>
      </c>
    </row>
    <row r="3" spans="1:62" ht="90" customHeight="1" x14ac:dyDescent="0.25">
      <c r="A3" s="16" t="s">
        <v>0</v>
      </c>
      <c r="B3" s="22">
        <v>1988</v>
      </c>
      <c r="C3" s="76">
        <f>B3*100%/$B$12</f>
        <v>0.25615255766009537</v>
      </c>
      <c r="D3" s="80"/>
      <c r="E3" s="22"/>
      <c r="F3" s="22"/>
      <c r="G3" s="80"/>
      <c r="H3" s="80"/>
      <c r="I3" s="22"/>
      <c r="J3" s="22"/>
      <c r="K3" s="80"/>
      <c r="L3" s="81"/>
      <c r="M3" s="82"/>
      <c r="N3" s="82"/>
      <c r="O3" s="80"/>
      <c r="P3" s="80"/>
      <c r="Q3" s="83"/>
      <c r="R3" s="80"/>
      <c r="S3" s="80"/>
      <c r="T3" s="80"/>
      <c r="U3" s="80"/>
      <c r="V3" s="80"/>
      <c r="W3" s="80"/>
      <c r="X3" s="80"/>
      <c r="Y3" s="80"/>
      <c r="Z3" s="80"/>
      <c r="AA3" s="22"/>
      <c r="AB3" s="80"/>
      <c r="AC3" s="80"/>
      <c r="AD3" s="22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22"/>
      <c r="AU3" s="80"/>
      <c r="AV3" s="80"/>
      <c r="AW3" s="22"/>
      <c r="AX3" s="80"/>
      <c r="AY3" s="80"/>
      <c r="AZ3" s="22"/>
      <c r="BA3" s="80"/>
      <c r="BB3" s="80"/>
      <c r="BC3" s="22"/>
      <c r="BD3" s="80"/>
      <c r="BE3" s="80"/>
      <c r="BF3" s="22"/>
      <c r="BG3" s="80"/>
      <c r="BH3" s="80"/>
      <c r="BI3" s="80"/>
      <c r="BJ3" s="80"/>
    </row>
    <row r="4" spans="1:62" x14ac:dyDescent="0.25">
      <c r="A4" s="16" t="s">
        <v>1</v>
      </c>
      <c r="B4" s="22">
        <v>3713</v>
      </c>
      <c r="C4" s="76">
        <f>B4*100%/$B$12</f>
        <v>0.47841772967401108</v>
      </c>
      <c r="D4" s="80"/>
      <c r="E4" s="22"/>
      <c r="F4" s="22"/>
      <c r="G4" s="80"/>
      <c r="H4" s="80"/>
      <c r="I4" s="22"/>
      <c r="J4" s="22"/>
      <c r="K4" s="80"/>
      <c r="L4" s="81"/>
      <c r="M4" s="82"/>
      <c r="N4" s="82"/>
      <c r="O4" s="80"/>
      <c r="P4" s="80"/>
      <c r="Q4" s="83"/>
      <c r="R4" s="80"/>
      <c r="S4" s="80"/>
      <c r="T4" s="80"/>
      <c r="U4" s="80"/>
      <c r="V4" s="80"/>
      <c r="W4" s="80"/>
      <c r="X4" s="80"/>
      <c r="Y4" s="80"/>
      <c r="Z4" s="80"/>
      <c r="AA4" s="22"/>
      <c r="AB4" s="80"/>
      <c r="AC4" s="80"/>
      <c r="AD4" s="22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22"/>
      <c r="AU4" s="80"/>
      <c r="AV4" s="80"/>
      <c r="AW4" s="22"/>
      <c r="AX4" s="80"/>
      <c r="AY4" s="80"/>
      <c r="AZ4" s="22"/>
      <c r="BA4" s="80"/>
      <c r="BB4" s="80"/>
      <c r="BC4" s="22"/>
      <c r="BD4" s="80"/>
      <c r="BE4" s="80"/>
      <c r="BF4" s="22"/>
      <c r="BG4" s="80"/>
      <c r="BH4" s="80"/>
      <c r="BI4" s="80"/>
      <c r="BJ4" s="80"/>
    </row>
    <row r="5" spans="1:62" x14ac:dyDescent="0.25">
      <c r="A5" s="16" t="s">
        <v>2</v>
      </c>
      <c r="B5" s="22">
        <v>1508</v>
      </c>
      <c r="C5" s="76">
        <f>B5*100%/$B$12</f>
        <v>0.19430485762144054</v>
      </c>
      <c r="D5" s="80"/>
      <c r="E5" s="22"/>
      <c r="F5" s="22"/>
      <c r="G5" s="80"/>
      <c r="H5" s="80"/>
      <c r="I5" s="22"/>
      <c r="J5" s="22"/>
      <c r="K5" s="80"/>
      <c r="L5" s="81"/>
      <c r="M5" s="82"/>
      <c r="N5" s="82"/>
      <c r="O5" s="80"/>
      <c r="P5" s="80"/>
      <c r="Q5" s="83"/>
      <c r="R5" s="80"/>
      <c r="S5" s="80"/>
      <c r="T5" s="80"/>
      <c r="U5" s="80"/>
      <c r="V5" s="80"/>
      <c r="W5" s="80"/>
      <c r="X5" s="80"/>
      <c r="Y5" s="80"/>
      <c r="Z5" s="80"/>
      <c r="AA5" s="22"/>
      <c r="AB5" s="80"/>
      <c r="AC5" s="80"/>
      <c r="AD5" s="22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2"/>
      <c r="AU5" s="80"/>
      <c r="AV5" s="80"/>
      <c r="AW5" s="22"/>
      <c r="AX5" s="80"/>
      <c r="AY5" s="80"/>
      <c r="AZ5" s="22"/>
      <c r="BA5" s="80"/>
      <c r="BB5" s="80"/>
      <c r="BC5" s="22"/>
      <c r="BD5" s="80"/>
      <c r="BE5" s="80"/>
      <c r="BF5" s="22"/>
      <c r="BG5" s="80"/>
      <c r="BH5" s="80"/>
      <c r="BI5" s="80"/>
      <c r="BJ5" s="80"/>
    </row>
    <row r="6" spans="1:62" x14ac:dyDescent="0.25">
      <c r="A6" s="16" t="s">
        <v>3</v>
      </c>
      <c r="B6" s="22">
        <v>402</v>
      </c>
      <c r="C6" s="76">
        <f>B6*100%/$B$12</f>
        <v>5.1797448782373405E-2</v>
      </c>
      <c r="D6" s="80"/>
      <c r="E6" s="22"/>
      <c r="F6" s="22"/>
      <c r="G6" s="80"/>
      <c r="H6" s="80"/>
      <c r="I6" s="22"/>
      <c r="J6" s="22"/>
      <c r="K6" s="80"/>
      <c r="L6" s="81"/>
      <c r="M6" s="82"/>
      <c r="N6" s="82"/>
      <c r="O6" s="80"/>
      <c r="P6" s="80"/>
      <c r="Q6" s="83"/>
      <c r="R6" s="80"/>
      <c r="S6" s="80"/>
      <c r="T6" s="80"/>
      <c r="U6" s="80"/>
      <c r="V6" s="80"/>
      <c r="W6" s="80"/>
      <c r="X6" s="80"/>
      <c r="Y6" s="80"/>
      <c r="Z6" s="80"/>
      <c r="AA6" s="22"/>
      <c r="AB6" s="80"/>
      <c r="AC6" s="80"/>
      <c r="AD6" s="22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22"/>
      <c r="AU6" s="80"/>
      <c r="AV6" s="80"/>
      <c r="AW6" s="22"/>
      <c r="AX6" s="80"/>
      <c r="AY6" s="80"/>
      <c r="AZ6" s="22"/>
      <c r="BA6" s="80"/>
      <c r="BB6" s="80"/>
      <c r="BC6" s="22"/>
      <c r="BD6" s="80"/>
      <c r="BE6" s="80"/>
      <c r="BF6" s="22"/>
      <c r="BG6" s="80"/>
      <c r="BH6" s="80"/>
      <c r="BI6" s="80"/>
      <c r="BJ6" s="80"/>
    </row>
    <row r="7" spans="1:62" x14ac:dyDescent="0.25">
      <c r="A7" s="16" t="s">
        <v>49</v>
      </c>
      <c r="B7" s="22">
        <v>150</v>
      </c>
      <c r="C7" s="76">
        <f>B7*100%/$B$12</f>
        <v>1.9327406262079627E-2</v>
      </c>
      <c r="D7" s="80"/>
      <c r="E7" s="22"/>
      <c r="F7" s="22"/>
      <c r="G7" s="80"/>
      <c r="H7" s="80"/>
      <c r="I7" s="22"/>
      <c r="J7" s="22"/>
      <c r="K7" s="80"/>
      <c r="L7" s="81"/>
      <c r="M7" s="82"/>
      <c r="N7" s="82"/>
      <c r="O7" s="80"/>
      <c r="P7" s="80"/>
      <c r="Q7" s="83"/>
      <c r="R7" s="80"/>
      <c r="S7" s="80"/>
      <c r="T7" s="80"/>
      <c r="U7" s="80"/>
      <c r="V7" s="80"/>
      <c r="W7" s="80"/>
      <c r="X7" s="80"/>
      <c r="Y7" s="80"/>
      <c r="Z7" s="80"/>
      <c r="AA7" s="22"/>
      <c r="AB7" s="80"/>
      <c r="AC7" s="80"/>
      <c r="AD7" s="22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22"/>
      <c r="AU7" s="80"/>
      <c r="AV7" s="80"/>
      <c r="AW7" s="22"/>
      <c r="AX7" s="80"/>
      <c r="AY7" s="80"/>
      <c r="AZ7" s="22"/>
      <c r="BA7" s="80"/>
      <c r="BB7" s="80"/>
      <c r="BC7" s="22"/>
      <c r="BD7" s="80"/>
      <c r="BE7" s="80"/>
      <c r="BF7" s="22"/>
      <c r="BG7" s="80"/>
      <c r="BH7" s="80"/>
      <c r="BI7" s="80"/>
      <c r="BJ7" s="80"/>
    </row>
    <row r="8" spans="1:62" ht="15" customHeight="1" x14ac:dyDescent="0.25">
      <c r="A8" s="16" t="s">
        <v>48</v>
      </c>
      <c r="B8" s="84"/>
      <c r="C8" s="84"/>
      <c r="D8" s="80">
        <v>16038</v>
      </c>
      <c r="E8" s="85">
        <v>68032</v>
      </c>
      <c r="F8" s="22">
        <v>3</v>
      </c>
      <c r="G8" s="80">
        <f t="shared" ref="G8:G22" si="0">D8*(E8/F8)</f>
        <v>363699072</v>
      </c>
      <c r="H8" s="80">
        <v>11955</v>
      </c>
      <c r="I8" s="86">
        <v>688</v>
      </c>
      <c r="J8" s="22">
        <v>3</v>
      </c>
      <c r="K8" s="80">
        <f>H8*(I8/J8)</f>
        <v>2741680</v>
      </c>
      <c r="L8" s="81">
        <v>9013</v>
      </c>
      <c r="M8" s="82">
        <v>35</v>
      </c>
      <c r="N8" s="83">
        <v>3</v>
      </c>
      <c r="O8" s="80">
        <f t="shared" ref="O8" si="1">L8*(M8/N8)</f>
        <v>105151.66666666666</v>
      </c>
      <c r="P8" s="80"/>
      <c r="Q8" s="83"/>
      <c r="R8" s="80"/>
      <c r="S8" s="80"/>
      <c r="T8" s="80"/>
      <c r="U8" s="80"/>
      <c r="V8" s="80"/>
      <c r="W8" s="80"/>
      <c r="X8" s="80"/>
      <c r="Y8" s="80"/>
      <c r="Z8" s="80"/>
      <c r="AA8" s="22"/>
      <c r="AB8" s="80"/>
      <c r="AC8" s="80"/>
      <c r="AD8" s="22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22"/>
      <c r="AU8" s="80"/>
      <c r="AV8" s="80"/>
      <c r="AW8" s="22"/>
      <c r="AX8" s="80"/>
      <c r="AY8" s="80"/>
      <c r="AZ8" s="22"/>
      <c r="BA8" s="80"/>
      <c r="BB8" s="80"/>
      <c r="BC8" s="22"/>
      <c r="BD8" s="80"/>
      <c r="BE8" s="80"/>
      <c r="BF8" s="22"/>
      <c r="BG8" s="80"/>
      <c r="BH8" s="80"/>
      <c r="BI8" s="80"/>
      <c r="BJ8" s="80"/>
    </row>
    <row r="9" spans="1:62" x14ac:dyDescent="0.25">
      <c r="A9" s="16" t="s">
        <v>42</v>
      </c>
      <c r="B9" s="74"/>
      <c r="C9" s="74"/>
      <c r="D9" s="80"/>
      <c r="E9" s="22"/>
      <c r="F9" s="22"/>
      <c r="G9" s="80"/>
      <c r="H9" s="80"/>
      <c r="I9" s="22"/>
      <c r="J9" s="22"/>
      <c r="K9" s="80"/>
      <c r="L9" s="81"/>
      <c r="M9" s="82"/>
      <c r="N9" s="82"/>
      <c r="O9" s="80"/>
      <c r="P9" s="80"/>
      <c r="Q9" s="83"/>
      <c r="R9" s="80"/>
      <c r="S9" s="80"/>
      <c r="T9" s="80"/>
      <c r="U9" s="80"/>
      <c r="V9" s="80"/>
      <c r="W9" s="80"/>
      <c r="X9" s="80"/>
      <c r="Y9" s="80"/>
      <c r="Z9" s="80"/>
      <c r="AA9" s="22"/>
      <c r="AB9" s="80"/>
      <c r="AC9" s="80"/>
      <c r="AD9" s="22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22"/>
      <c r="AU9" s="80"/>
      <c r="AV9" s="80"/>
      <c r="AW9" s="22"/>
      <c r="AX9" s="80"/>
      <c r="AY9" s="80"/>
      <c r="AZ9" s="22"/>
      <c r="BA9" s="80"/>
      <c r="BB9" s="80"/>
      <c r="BC9" s="22"/>
      <c r="BD9" s="80"/>
      <c r="BE9" s="80"/>
      <c r="BF9" s="22"/>
      <c r="BG9" s="80"/>
      <c r="BH9" s="80"/>
      <c r="BI9" s="80"/>
      <c r="BJ9" s="80"/>
    </row>
    <row r="10" spans="1:62" ht="15" customHeight="1" x14ac:dyDescent="0.25">
      <c r="A10" s="16" t="s">
        <v>15</v>
      </c>
      <c r="B10" s="74"/>
      <c r="C10" s="74"/>
      <c r="D10" s="80"/>
      <c r="E10" s="22"/>
      <c r="F10" s="22"/>
      <c r="G10" s="80"/>
      <c r="H10" s="80"/>
      <c r="I10" s="22"/>
      <c r="J10" s="22"/>
      <c r="K10" s="80"/>
      <c r="L10" s="81"/>
      <c r="M10" s="82"/>
      <c r="N10" s="82"/>
      <c r="O10" s="80"/>
      <c r="P10" s="80"/>
      <c r="Q10" s="83"/>
      <c r="R10" s="80"/>
      <c r="S10" s="80"/>
      <c r="T10" s="80"/>
      <c r="U10" s="80"/>
      <c r="V10" s="80"/>
      <c r="W10" s="80"/>
      <c r="X10" s="80"/>
      <c r="Y10" s="80"/>
      <c r="Z10" s="80"/>
      <c r="AA10" s="22"/>
      <c r="AB10" s="80"/>
      <c r="AC10" s="80"/>
      <c r="AD10" s="22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22"/>
      <c r="AU10" s="80"/>
      <c r="AV10" s="80"/>
      <c r="AW10" s="22"/>
      <c r="AX10" s="80"/>
      <c r="AY10" s="80"/>
      <c r="AZ10" s="22"/>
      <c r="BA10" s="80"/>
      <c r="BB10" s="80"/>
      <c r="BC10" s="22"/>
      <c r="BD10" s="80"/>
      <c r="BE10" s="80"/>
      <c r="BF10" s="22"/>
      <c r="BG10" s="80"/>
      <c r="BH10" s="80"/>
      <c r="BI10" s="80"/>
      <c r="BJ10" s="80"/>
    </row>
    <row r="11" spans="1:62" ht="15" customHeight="1" x14ac:dyDescent="0.25">
      <c r="A11" s="16" t="s">
        <v>50</v>
      </c>
      <c r="B11" s="74"/>
      <c r="C11" s="74"/>
      <c r="D11" s="80">
        <v>16038</v>
      </c>
      <c r="E11" s="85">
        <v>2930</v>
      </c>
      <c r="F11" s="22">
        <v>2</v>
      </c>
      <c r="G11" s="80">
        <f t="shared" si="0"/>
        <v>23495670</v>
      </c>
      <c r="H11" s="80"/>
      <c r="I11" s="22"/>
      <c r="J11" s="22"/>
      <c r="K11" s="80"/>
      <c r="L11" s="81">
        <v>9013</v>
      </c>
      <c r="M11" s="85">
        <v>356</v>
      </c>
      <c r="N11" s="83">
        <v>3</v>
      </c>
      <c r="O11" s="80">
        <f>L11*(M11/N11)</f>
        <v>1069542.6666666667</v>
      </c>
      <c r="P11" s="80"/>
      <c r="Q11" s="83"/>
      <c r="R11" s="80"/>
      <c r="S11" s="80"/>
      <c r="T11" s="80"/>
      <c r="U11" s="80"/>
      <c r="V11" s="80"/>
      <c r="W11" s="80"/>
      <c r="X11" s="80"/>
      <c r="Y11" s="80"/>
      <c r="Z11" s="80"/>
      <c r="AA11" s="22"/>
      <c r="AB11" s="80"/>
      <c r="AC11" s="80"/>
      <c r="AD11" s="22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22"/>
      <c r="AU11" s="80"/>
      <c r="AV11" s="80"/>
      <c r="AW11" s="22"/>
      <c r="AX11" s="80"/>
      <c r="AY11" s="80"/>
      <c r="AZ11" s="22"/>
      <c r="BA11" s="80"/>
      <c r="BB11" s="80"/>
      <c r="BC11" s="22"/>
      <c r="BD11" s="80"/>
      <c r="BE11" s="80"/>
      <c r="BF11" s="22"/>
      <c r="BG11" s="80"/>
      <c r="BH11" s="80"/>
      <c r="BI11" s="80"/>
      <c r="BJ11" s="80"/>
    </row>
    <row r="12" spans="1:62" ht="18" customHeight="1" x14ac:dyDescent="0.25">
      <c r="A12" s="16" t="s">
        <v>172</v>
      </c>
      <c r="B12" s="22">
        <f>SUM(B3:B7)</f>
        <v>7761</v>
      </c>
      <c r="C12" s="76">
        <f>B12/$B$25</f>
        <v>0.74438902743142144</v>
      </c>
      <c r="D12" s="80"/>
      <c r="E12" s="22"/>
      <c r="F12" s="22"/>
      <c r="G12" s="80"/>
      <c r="H12" s="80"/>
      <c r="I12" s="22"/>
      <c r="J12" s="22"/>
      <c r="K12" s="80"/>
      <c r="L12" s="81"/>
      <c r="M12" s="82"/>
      <c r="N12" s="82"/>
      <c r="O12" s="80"/>
      <c r="P12" s="80"/>
      <c r="Q12" s="83"/>
      <c r="R12" s="80"/>
      <c r="S12" s="80">
        <v>3651</v>
      </c>
      <c r="T12" s="85">
        <v>1048</v>
      </c>
      <c r="U12" s="80">
        <f>S12*T12</f>
        <v>3826248</v>
      </c>
      <c r="V12" s="80">
        <v>4367</v>
      </c>
      <c r="W12" s="85">
        <v>1424</v>
      </c>
      <c r="X12" s="87">
        <f>V12*W12</f>
        <v>6218608</v>
      </c>
      <c r="Y12" s="80">
        <v>19075</v>
      </c>
      <c r="Z12" s="85">
        <v>8168</v>
      </c>
      <c r="AA12" s="80">
        <f>Y12*Z12</f>
        <v>155804600</v>
      </c>
      <c r="AB12" s="80">
        <f>X12+AA12</f>
        <v>162023208</v>
      </c>
      <c r="AC12" s="80">
        <v>11491</v>
      </c>
      <c r="AD12" s="85">
        <v>6075</v>
      </c>
      <c r="AE12" s="80">
        <f>AC12*AD12</f>
        <v>69807825</v>
      </c>
      <c r="AF12" s="80">
        <v>19305</v>
      </c>
      <c r="AG12" s="85">
        <v>588</v>
      </c>
      <c r="AH12" s="80">
        <f>AF12*AG12</f>
        <v>11351340</v>
      </c>
      <c r="AI12" s="80">
        <v>22752</v>
      </c>
      <c r="AJ12" s="85">
        <v>277</v>
      </c>
      <c r="AK12" s="80">
        <f>AI12*AJ12</f>
        <v>6302304</v>
      </c>
      <c r="AL12" s="80">
        <v>23441</v>
      </c>
      <c r="AM12" s="85">
        <v>547</v>
      </c>
      <c r="AN12" s="80">
        <f>AL12*AM12</f>
        <v>12822227</v>
      </c>
      <c r="AO12" s="80">
        <v>12869.808000000001</v>
      </c>
      <c r="AP12" s="85">
        <v>560</v>
      </c>
      <c r="AQ12" s="80">
        <f>AO12*AP12</f>
        <v>7207092.4800000004</v>
      </c>
      <c r="AR12" s="80">
        <f>AH12+AK12+AN12+AQ12</f>
        <v>37682963.480000004</v>
      </c>
      <c r="AS12" s="80">
        <v>12180</v>
      </c>
      <c r="AT12" s="85">
        <v>748</v>
      </c>
      <c r="AU12" s="80">
        <f>AS12*AT12</f>
        <v>9110640</v>
      </c>
      <c r="AV12" s="80">
        <v>11031</v>
      </c>
      <c r="AW12" s="85">
        <v>636</v>
      </c>
      <c r="AX12" s="80">
        <f>AV12*AW12</f>
        <v>7015716</v>
      </c>
      <c r="AY12" s="80">
        <v>37690</v>
      </c>
      <c r="AZ12" s="85">
        <v>6333</v>
      </c>
      <c r="BA12" s="80">
        <f>AZ12*AY12</f>
        <v>238690770</v>
      </c>
      <c r="BB12" s="80">
        <v>19722</v>
      </c>
      <c r="BC12" s="22"/>
      <c r="BD12" s="80"/>
      <c r="BE12" s="80"/>
      <c r="BF12" s="22"/>
      <c r="BG12" s="80"/>
      <c r="BH12" s="80"/>
      <c r="BI12" s="80"/>
      <c r="BJ12" s="80"/>
    </row>
    <row r="13" spans="1:62" ht="15" customHeight="1" x14ac:dyDescent="0.25">
      <c r="A13" s="16" t="s">
        <v>5</v>
      </c>
      <c r="B13" s="88">
        <v>89</v>
      </c>
      <c r="C13" s="76">
        <f>B13/$B$19</f>
        <v>0.96739130434782605</v>
      </c>
      <c r="D13" s="80"/>
      <c r="E13" s="22"/>
      <c r="F13" s="22"/>
      <c r="G13" s="80"/>
      <c r="H13" s="80"/>
      <c r="I13" s="22"/>
      <c r="J13" s="22"/>
      <c r="K13" s="80"/>
      <c r="L13" s="81"/>
      <c r="M13" s="83"/>
      <c r="N13" s="83"/>
      <c r="O13" s="80"/>
      <c r="P13" s="80"/>
      <c r="Q13" s="83"/>
      <c r="R13" s="80"/>
      <c r="S13" s="80"/>
      <c r="T13" s="80"/>
      <c r="U13" s="80"/>
      <c r="V13" s="80"/>
      <c r="W13" s="80"/>
      <c r="X13" s="80"/>
      <c r="Y13" s="80"/>
      <c r="Z13" s="80"/>
      <c r="AA13" s="22"/>
      <c r="AB13" s="80"/>
      <c r="AC13" s="80"/>
      <c r="AD13" s="22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22"/>
      <c r="AU13" s="80"/>
      <c r="AV13" s="80"/>
      <c r="AW13" s="22"/>
      <c r="AX13" s="80"/>
      <c r="AY13" s="80"/>
      <c r="AZ13" s="22"/>
      <c r="BA13" s="80"/>
      <c r="BB13" s="80"/>
      <c r="BC13" s="22"/>
      <c r="BD13" s="80"/>
      <c r="BE13" s="80"/>
      <c r="BF13" s="22"/>
      <c r="BG13" s="80"/>
      <c r="BH13" s="80"/>
      <c r="BI13" s="80"/>
      <c r="BJ13" s="80"/>
    </row>
    <row r="14" spans="1:62" x14ac:dyDescent="0.25">
      <c r="A14" s="16" t="s">
        <v>6</v>
      </c>
      <c r="B14" s="88">
        <v>3</v>
      </c>
      <c r="C14" s="76">
        <f t="shared" ref="C14" si="2">B14/$B$19</f>
        <v>3.2608695652173912E-2</v>
      </c>
      <c r="D14" s="80"/>
      <c r="E14" s="22"/>
      <c r="F14" s="22"/>
      <c r="G14" s="80"/>
      <c r="H14" s="80"/>
      <c r="I14" s="22"/>
      <c r="J14" s="22"/>
      <c r="K14" s="80"/>
      <c r="L14" s="81"/>
      <c r="M14" s="83"/>
      <c r="N14" s="83"/>
      <c r="O14" s="80"/>
      <c r="P14" s="80"/>
      <c r="Q14" s="83"/>
      <c r="R14" s="80"/>
      <c r="S14" s="80"/>
      <c r="T14" s="80"/>
      <c r="U14" s="80"/>
      <c r="V14" s="80"/>
      <c r="W14" s="80"/>
      <c r="X14" s="80"/>
      <c r="Y14" s="80"/>
      <c r="Z14" s="80"/>
      <c r="AA14" s="22"/>
      <c r="AB14" s="80"/>
      <c r="AC14" s="80"/>
      <c r="AD14" s="22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22"/>
      <c r="AU14" s="80"/>
      <c r="AV14" s="80"/>
      <c r="AW14" s="22"/>
      <c r="AX14" s="80"/>
      <c r="AY14" s="80"/>
      <c r="AZ14" s="22"/>
      <c r="BA14" s="80"/>
      <c r="BB14" s="80"/>
      <c r="BC14" s="22"/>
      <c r="BD14" s="80"/>
      <c r="BE14" s="80"/>
      <c r="BF14" s="22"/>
      <c r="BG14" s="80"/>
      <c r="BH14" s="80"/>
      <c r="BI14" s="80"/>
      <c r="BJ14" s="80"/>
    </row>
    <row r="15" spans="1:62" x14ac:dyDescent="0.25">
      <c r="A15" s="16" t="s">
        <v>52</v>
      </c>
      <c r="B15" s="89"/>
      <c r="C15" s="76"/>
      <c r="D15" s="80">
        <v>16038</v>
      </c>
      <c r="E15" s="22">
        <v>4660</v>
      </c>
      <c r="F15" s="22">
        <v>3</v>
      </c>
      <c r="G15" s="80">
        <f t="shared" si="0"/>
        <v>24912360</v>
      </c>
      <c r="H15" s="80"/>
      <c r="I15" s="22"/>
      <c r="J15" s="22"/>
      <c r="K15" s="80"/>
      <c r="L15" s="81">
        <v>9013</v>
      </c>
      <c r="M15" s="83">
        <v>20</v>
      </c>
      <c r="N15" s="83">
        <v>3</v>
      </c>
      <c r="O15" s="80">
        <f>L15*(M15/N15)</f>
        <v>60086.666666666672</v>
      </c>
      <c r="P15" s="80"/>
      <c r="Q15" s="83"/>
      <c r="R15" s="80"/>
      <c r="S15" s="80"/>
      <c r="T15" s="80"/>
      <c r="U15" s="80"/>
      <c r="V15" s="80"/>
      <c r="W15" s="80"/>
      <c r="X15" s="80"/>
      <c r="Y15" s="80"/>
      <c r="Z15" s="80"/>
      <c r="AA15" s="22"/>
      <c r="AB15" s="80"/>
      <c r="AC15" s="80"/>
      <c r="AD15" s="22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22"/>
      <c r="AU15" s="80"/>
      <c r="AV15" s="80"/>
      <c r="AW15" s="22"/>
      <c r="AX15" s="80"/>
      <c r="AY15" s="80"/>
      <c r="AZ15" s="22"/>
      <c r="BA15" s="80"/>
      <c r="BB15" s="80"/>
      <c r="BC15" s="22"/>
      <c r="BD15" s="80"/>
      <c r="BE15" s="80"/>
      <c r="BF15" s="22"/>
      <c r="BG15" s="80"/>
      <c r="BH15" s="80"/>
      <c r="BI15" s="80"/>
      <c r="BJ15" s="80"/>
    </row>
    <row r="16" spans="1:62" x14ac:dyDescent="0.25">
      <c r="A16" s="16" t="s">
        <v>43</v>
      </c>
      <c r="B16" s="88">
        <f>$B$18*80%/100%</f>
        <v>209.60000000000002</v>
      </c>
      <c r="C16" s="76"/>
      <c r="D16" s="80"/>
      <c r="E16" s="22"/>
      <c r="F16" s="22"/>
      <c r="G16" s="80"/>
      <c r="H16" s="80"/>
      <c r="I16" s="22"/>
      <c r="J16" s="22"/>
      <c r="K16" s="80"/>
      <c r="L16" s="81"/>
      <c r="M16" s="83"/>
      <c r="N16" s="83"/>
      <c r="O16" s="80"/>
      <c r="P16" s="80"/>
      <c r="Q16" s="83"/>
      <c r="R16" s="80"/>
      <c r="S16" s="80"/>
      <c r="T16" s="80"/>
      <c r="U16" s="80"/>
      <c r="V16" s="80"/>
      <c r="W16" s="80"/>
      <c r="X16" s="80"/>
      <c r="Y16" s="80"/>
      <c r="Z16" s="80"/>
      <c r="AA16" s="22"/>
      <c r="AB16" s="80"/>
      <c r="AC16" s="80"/>
      <c r="AD16" s="22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22"/>
      <c r="AU16" s="80"/>
      <c r="AV16" s="80"/>
      <c r="AW16" s="22"/>
      <c r="AX16" s="80"/>
      <c r="AY16" s="80"/>
      <c r="AZ16" s="22"/>
      <c r="BA16" s="80"/>
      <c r="BB16" s="80"/>
      <c r="BC16" s="22"/>
      <c r="BD16" s="80"/>
      <c r="BE16" s="80"/>
      <c r="BF16" s="22"/>
      <c r="BG16" s="80"/>
      <c r="BH16" s="80"/>
      <c r="BI16" s="80"/>
      <c r="BJ16" s="80"/>
    </row>
    <row r="17" spans="1:62" x14ac:dyDescent="0.25">
      <c r="A17" s="16" t="s">
        <v>16</v>
      </c>
      <c r="B17" s="88">
        <f>$B$18*20%/100%</f>
        <v>52.400000000000006</v>
      </c>
      <c r="C17" s="76"/>
      <c r="D17" s="80"/>
      <c r="E17" s="22"/>
      <c r="F17" s="22"/>
      <c r="G17" s="80"/>
      <c r="H17" s="80"/>
      <c r="I17" s="22"/>
      <c r="J17" s="22"/>
      <c r="K17" s="80"/>
      <c r="L17" s="81"/>
      <c r="M17" s="83"/>
      <c r="N17" s="83"/>
      <c r="O17" s="80"/>
      <c r="P17" s="80"/>
      <c r="Q17" s="83"/>
      <c r="R17" s="80"/>
      <c r="S17" s="80"/>
      <c r="T17" s="80"/>
      <c r="U17" s="80"/>
      <c r="V17" s="80"/>
      <c r="W17" s="80"/>
      <c r="X17" s="80"/>
      <c r="Y17" s="80"/>
      <c r="Z17" s="80"/>
      <c r="AA17" s="22"/>
      <c r="AB17" s="80"/>
      <c r="AC17" s="80"/>
      <c r="AD17" s="22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22"/>
      <c r="AU17" s="80"/>
      <c r="AV17" s="80"/>
      <c r="AW17" s="22"/>
      <c r="AX17" s="80"/>
      <c r="AY17" s="80"/>
      <c r="AZ17" s="22"/>
      <c r="BA17" s="80"/>
      <c r="BB17" s="80"/>
      <c r="BC17" s="22"/>
      <c r="BD17" s="80"/>
      <c r="BE17" s="80"/>
      <c r="BF17" s="22"/>
      <c r="BG17" s="80"/>
      <c r="BH17" s="80"/>
      <c r="BI17" s="80"/>
      <c r="BJ17" s="80"/>
    </row>
    <row r="18" spans="1:62" x14ac:dyDescent="0.25">
      <c r="A18" s="16" t="s">
        <v>51</v>
      </c>
      <c r="B18" s="89">
        <v>262</v>
      </c>
      <c r="C18" s="76"/>
      <c r="D18" s="80">
        <v>16038</v>
      </c>
      <c r="E18" s="22">
        <v>262</v>
      </c>
      <c r="F18" s="22">
        <v>2</v>
      </c>
      <c r="G18" s="80">
        <f t="shared" si="0"/>
        <v>2100978</v>
      </c>
      <c r="H18" s="80"/>
      <c r="I18" s="22"/>
      <c r="J18" s="22"/>
      <c r="K18" s="80"/>
      <c r="L18" s="81">
        <v>9013</v>
      </c>
      <c r="M18" s="83">
        <v>164</v>
      </c>
      <c r="N18" s="83">
        <v>3</v>
      </c>
      <c r="O18" s="80">
        <f>L18*(M18/N18)</f>
        <v>492710.66666666663</v>
      </c>
      <c r="P18" s="80"/>
      <c r="Q18" s="83"/>
      <c r="R18" s="80"/>
      <c r="S18" s="80"/>
      <c r="T18" s="80"/>
      <c r="U18" s="80"/>
      <c r="V18" s="80"/>
      <c r="W18" s="80"/>
      <c r="X18" s="80"/>
      <c r="Y18" s="80"/>
      <c r="Z18" s="80"/>
      <c r="AA18" s="22"/>
      <c r="AB18" s="80"/>
      <c r="AC18" s="80"/>
      <c r="AD18" s="22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22"/>
      <c r="AU18" s="80"/>
      <c r="AV18" s="80"/>
      <c r="AW18" s="22"/>
      <c r="AX18" s="80"/>
      <c r="AY18" s="80"/>
      <c r="AZ18" s="22"/>
      <c r="BA18" s="80"/>
      <c r="BB18" s="80"/>
      <c r="BC18" s="22"/>
      <c r="BD18" s="80"/>
      <c r="BE18" s="80"/>
      <c r="BF18" s="22"/>
      <c r="BG18" s="80"/>
      <c r="BH18" s="80"/>
      <c r="BI18" s="80"/>
      <c r="BJ18" s="80"/>
    </row>
    <row r="19" spans="1:62" x14ac:dyDescent="0.25">
      <c r="A19" s="16" t="s">
        <v>173</v>
      </c>
      <c r="B19" s="88">
        <f>SUM(B13:B14)</f>
        <v>92</v>
      </c>
      <c r="C19" s="76">
        <f>B19/$B$25</f>
        <v>8.8240936121235375E-3</v>
      </c>
      <c r="D19" s="80"/>
      <c r="E19" s="22"/>
      <c r="F19" s="22"/>
      <c r="G19" s="80"/>
      <c r="H19" s="80"/>
      <c r="I19" s="22"/>
      <c r="J19" s="22"/>
      <c r="K19" s="80"/>
      <c r="L19" s="81"/>
      <c r="M19" s="90"/>
      <c r="N19" s="83"/>
      <c r="O19" s="80"/>
      <c r="P19" s="80"/>
      <c r="Q19" s="83"/>
      <c r="R19" s="80"/>
      <c r="S19" s="80"/>
      <c r="T19" s="80"/>
      <c r="U19" s="80"/>
      <c r="V19" s="80"/>
      <c r="W19" s="80"/>
      <c r="X19" s="80"/>
      <c r="Y19" s="80"/>
      <c r="Z19" s="80"/>
      <c r="AA19" s="22"/>
      <c r="AB19" s="80"/>
      <c r="AC19" s="80">
        <v>11491</v>
      </c>
      <c r="AD19" s="85">
        <v>14710</v>
      </c>
      <c r="AE19" s="80">
        <f>AC19*AD19</f>
        <v>169032610</v>
      </c>
      <c r="AF19" s="80">
        <v>19305</v>
      </c>
      <c r="AG19" s="99">
        <v>1519</v>
      </c>
      <c r="AH19" s="80">
        <f>AF19*AG19</f>
        <v>29324295</v>
      </c>
      <c r="AI19" s="80">
        <v>22752</v>
      </c>
      <c r="AJ19" s="99">
        <v>516</v>
      </c>
      <c r="AK19" s="80">
        <f>AI19*AJ19</f>
        <v>11740032</v>
      </c>
      <c r="AL19" s="80">
        <v>23441</v>
      </c>
      <c r="AM19" s="99">
        <v>1349</v>
      </c>
      <c r="AN19" s="80">
        <f>AL19*AM19</f>
        <v>31621909</v>
      </c>
      <c r="AO19" s="80">
        <v>12869.808000000001</v>
      </c>
      <c r="AP19" s="99">
        <v>1332</v>
      </c>
      <c r="AQ19" s="118">
        <f>AO19*AP19</f>
        <v>17142584.256000001</v>
      </c>
      <c r="AR19" s="80">
        <f>AH19+AK19+AN19+AQ19</f>
        <v>89828820.255999997</v>
      </c>
      <c r="AS19" s="80">
        <v>12180</v>
      </c>
      <c r="AT19" s="99">
        <v>1729</v>
      </c>
      <c r="AU19" s="80">
        <f>AS19*AT19</f>
        <v>21059220</v>
      </c>
      <c r="AV19" s="80">
        <v>11031</v>
      </c>
      <c r="AW19" s="22">
        <v>1495</v>
      </c>
      <c r="AX19" s="80">
        <f>AV19*AW19</f>
        <v>16491345</v>
      </c>
      <c r="AY19" s="80">
        <v>37690</v>
      </c>
      <c r="AZ19" s="22">
        <v>171</v>
      </c>
      <c r="BA19" s="80">
        <f>AY19*AZ19</f>
        <v>6444990</v>
      </c>
      <c r="BB19" s="80"/>
      <c r="BC19" s="22"/>
      <c r="BD19" s="80"/>
      <c r="BE19" s="80">
        <v>19522</v>
      </c>
      <c r="BF19" s="22"/>
      <c r="BG19" s="80"/>
      <c r="BH19" s="80"/>
      <c r="BI19" s="80"/>
      <c r="BJ19" s="80"/>
    </row>
    <row r="20" spans="1:62" x14ac:dyDescent="0.25">
      <c r="A20" s="16" t="s">
        <v>58</v>
      </c>
      <c r="B20" s="88"/>
      <c r="C20" s="22"/>
      <c r="D20" s="80"/>
      <c r="E20" s="22"/>
      <c r="F20" s="22"/>
      <c r="G20" s="80"/>
      <c r="H20" s="80"/>
      <c r="I20" s="22"/>
      <c r="J20" s="22"/>
      <c r="K20" s="80"/>
      <c r="L20" s="81"/>
      <c r="M20" s="83"/>
      <c r="N20" s="83"/>
      <c r="O20" s="80"/>
      <c r="P20" s="80"/>
      <c r="Q20" s="83"/>
      <c r="R20" s="80"/>
      <c r="S20" s="80"/>
      <c r="T20" s="80"/>
      <c r="U20" s="80"/>
      <c r="V20" s="80"/>
      <c r="W20" s="80"/>
      <c r="X20" s="80"/>
      <c r="Y20" s="80"/>
      <c r="Z20" s="80"/>
      <c r="AA20" s="22"/>
      <c r="AB20" s="80"/>
      <c r="AC20" s="80"/>
      <c r="AD20" s="22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22"/>
      <c r="AU20" s="80"/>
      <c r="AV20" s="80"/>
      <c r="AW20" s="22"/>
      <c r="AX20" s="80"/>
      <c r="AY20" s="80"/>
      <c r="AZ20" s="22"/>
      <c r="BA20" s="80"/>
      <c r="BB20" s="80"/>
      <c r="BC20" s="22"/>
      <c r="BD20" s="80"/>
      <c r="BE20" s="80"/>
      <c r="BF20" s="22"/>
      <c r="BG20" s="80"/>
      <c r="BH20" s="80"/>
      <c r="BI20" s="80"/>
      <c r="BJ20" s="80"/>
    </row>
    <row r="21" spans="1:62" x14ac:dyDescent="0.25">
      <c r="A21" s="16" t="s">
        <v>59</v>
      </c>
      <c r="B21" s="89"/>
      <c r="C21" s="74"/>
      <c r="D21" s="80">
        <v>16038</v>
      </c>
      <c r="E21" s="91">
        <v>149</v>
      </c>
      <c r="F21" s="22">
        <v>2</v>
      </c>
      <c r="G21" s="80">
        <f t="shared" si="0"/>
        <v>1194831</v>
      </c>
      <c r="H21" s="80"/>
      <c r="I21" s="22"/>
      <c r="J21" s="22"/>
      <c r="K21" s="80"/>
      <c r="L21" s="81"/>
      <c r="M21" s="83"/>
      <c r="N21" s="83"/>
      <c r="O21" s="80"/>
      <c r="P21" s="80"/>
      <c r="Q21" s="83"/>
      <c r="R21" s="80"/>
      <c r="S21" s="80"/>
      <c r="T21" s="80"/>
      <c r="U21" s="80"/>
      <c r="V21" s="80"/>
      <c r="W21" s="80"/>
      <c r="X21" s="80"/>
      <c r="Y21" s="80"/>
      <c r="Z21" s="80"/>
      <c r="AA21" s="22"/>
      <c r="AB21" s="80"/>
      <c r="AC21" s="80"/>
      <c r="AD21" s="22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22"/>
      <c r="AU21" s="80"/>
      <c r="AV21" s="80"/>
      <c r="AW21" s="22"/>
      <c r="AX21" s="80"/>
      <c r="AY21" s="80"/>
      <c r="AZ21" s="22"/>
      <c r="BA21" s="80"/>
      <c r="BB21" s="80"/>
      <c r="BC21" s="22"/>
      <c r="BD21" s="80"/>
      <c r="BE21" s="80"/>
      <c r="BF21" s="22"/>
      <c r="BG21" s="80"/>
      <c r="BH21" s="80"/>
      <c r="BI21" s="80"/>
      <c r="BJ21" s="80"/>
    </row>
    <row r="22" spans="1:62" x14ac:dyDescent="0.25">
      <c r="A22" s="16" t="s">
        <v>86</v>
      </c>
      <c r="B22" s="85">
        <v>2573</v>
      </c>
      <c r="C22" s="92">
        <f>B22/$B$25</f>
        <v>0.24678687895645501</v>
      </c>
      <c r="D22" s="80">
        <v>16038</v>
      </c>
      <c r="E22" s="91">
        <v>30629</v>
      </c>
      <c r="F22" s="22">
        <v>2</v>
      </c>
      <c r="G22" s="80">
        <f t="shared" si="0"/>
        <v>245613951</v>
      </c>
      <c r="H22" s="80"/>
      <c r="I22" s="22"/>
      <c r="J22" s="22"/>
      <c r="K22" s="80"/>
      <c r="L22" s="81"/>
      <c r="M22" s="82"/>
      <c r="N22" s="82"/>
      <c r="O22" s="80"/>
      <c r="P22" s="80"/>
      <c r="Q22" s="83"/>
      <c r="R22" s="80"/>
      <c r="S22" s="80"/>
      <c r="T22" s="80"/>
      <c r="U22" s="80"/>
      <c r="V22" s="80"/>
      <c r="W22" s="80"/>
      <c r="X22" s="80"/>
      <c r="Y22" s="80"/>
      <c r="Z22" s="80"/>
      <c r="AA22" s="22"/>
      <c r="AB22" s="80"/>
      <c r="AC22" s="80"/>
      <c r="AD22" s="22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22"/>
      <c r="AU22" s="80"/>
      <c r="AV22" s="80"/>
      <c r="AW22" s="22"/>
      <c r="AX22" s="80"/>
      <c r="AY22" s="80"/>
      <c r="AZ22" s="22"/>
      <c r="BA22" s="80"/>
      <c r="BB22" s="80">
        <v>19722</v>
      </c>
      <c r="BC22" s="22"/>
      <c r="BD22" s="80"/>
      <c r="BE22" s="80">
        <v>19522</v>
      </c>
      <c r="BF22" s="22"/>
      <c r="BG22" s="80"/>
      <c r="BH22" s="80"/>
      <c r="BI22" s="80"/>
      <c r="BJ22" s="80"/>
    </row>
    <row r="23" spans="1:62" ht="30" x14ac:dyDescent="0.25">
      <c r="A23" s="5" t="s">
        <v>29</v>
      </c>
      <c r="B23" s="93"/>
      <c r="C23" s="14"/>
      <c r="D23" s="80"/>
      <c r="E23" s="22"/>
      <c r="F23" s="22"/>
      <c r="G23" s="80"/>
      <c r="H23" s="80"/>
      <c r="I23" s="22"/>
      <c r="J23" s="22"/>
      <c r="K23" s="80"/>
      <c r="L23" s="81"/>
      <c r="M23" s="83"/>
      <c r="N23" s="83"/>
      <c r="O23" s="80"/>
      <c r="P23" s="80"/>
      <c r="Q23" s="83"/>
      <c r="R23" s="80"/>
      <c r="S23" s="80"/>
      <c r="T23" s="80"/>
      <c r="U23" s="80"/>
      <c r="V23" s="80"/>
      <c r="W23" s="80"/>
      <c r="X23" s="80"/>
      <c r="Y23" s="80"/>
      <c r="Z23" s="80"/>
      <c r="AA23" s="22"/>
      <c r="AB23" s="80"/>
      <c r="AC23" s="80"/>
      <c r="AD23" s="22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22"/>
      <c r="AU23" s="80"/>
      <c r="AV23" s="80"/>
      <c r="AW23" s="22"/>
      <c r="AX23" s="80"/>
      <c r="AY23" s="80"/>
      <c r="AZ23" s="22"/>
      <c r="BA23" s="80"/>
      <c r="BB23" s="80"/>
      <c r="BC23" s="22"/>
      <c r="BD23" s="80"/>
      <c r="BE23" s="80"/>
      <c r="BF23" s="22"/>
      <c r="BG23" s="80"/>
      <c r="BH23" s="80">
        <v>19911</v>
      </c>
      <c r="BI23" s="80"/>
      <c r="BJ23" s="80">
        <f>BH23*B23</f>
        <v>0</v>
      </c>
    </row>
    <row r="24" spans="1:62" ht="45" x14ac:dyDescent="0.25">
      <c r="A24" s="5" t="s">
        <v>94</v>
      </c>
      <c r="B24" s="93"/>
      <c r="C24" s="14"/>
      <c r="D24" s="80"/>
      <c r="E24" s="22"/>
      <c r="F24" s="22"/>
      <c r="G24" s="80"/>
      <c r="H24" s="80"/>
      <c r="I24" s="22"/>
      <c r="J24" s="22"/>
      <c r="K24" s="80"/>
      <c r="L24" s="81"/>
      <c r="M24" s="83"/>
      <c r="N24" s="83"/>
      <c r="O24" s="80"/>
      <c r="P24" s="80"/>
      <c r="Q24" s="83"/>
      <c r="R24" s="80"/>
      <c r="S24" s="80"/>
      <c r="T24" s="80"/>
      <c r="U24" s="80"/>
      <c r="V24" s="80"/>
      <c r="W24" s="80"/>
      <c r="X24" s="80"/>
      <c r="Y24" s="80"/>
      <c r="Z24" s="80"/>
      <c r="AA24" s="22"/>
      <c r="AB24" s="80"/>
      <c r="AC24" s="80"/>
      <c r="AD24" s="22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22"/>
      <c r="AU24" s="80"/>
      <c r="AV24" s="80"/>
      <c r="AW24" s="22"/>
      <c r="AX24" s="80"/>
      <c r="AY24" s="80"/>
      <c r="AZ24" s="22"/>
      <c r="BA24" s="80"/>
      <c r="BB24" s="80"/>
      <c r="BC24" s="22"/>
      <c r="BD24" s="80"/>
      <c r="BE24" s="80"/>
      <c r="BF24" s="22"/>
      <c r="BG24" s="80"/>
      <c r="BH24" s="80"/>
      <c r="BI24" s="80"/>
      <c r="BJ24" s="80"/>
    </row>
    <row r="25" spans="1:62" x14ac:dyDescent="0.25">
      <c r="A25" s="5" t="s">
        <v>57</v>
      </c>
      <c r="B25" s="94">
        <f>SUM(B12+B19+B22)</f>
        <v>10426</v>
      </c>
      <c r="C25" s="74"/>
      <c r="D25" s="80"/>
      <c r="E25" s="22"/>
      <c r="F25" s="22"/>
      <c r="G25" s="80"/>
      <c r="H25" s="80"/>
      <c r="I25" s="22"/>
      <c r="J25" s="22"/>
      <c r="K25" s="80"/>
      <c r="L25" s="81"/>
      <c r="M25" s="82"/>
      <c r="N25" s="82"/>
      <c r="O25" s="80"/>
      <c r="P25" s="80"/>
      <c r="Q25" s="83"/>
      <c r="R25" s="80"/>
      <c r="S25" s="80"/>
      <c r="T25" s="80"/>
      <c r="U25" s="80"/>
      <c r="V25" s="80"/>
      <c r="W25" s="80"/>
      <c r="X25" s="80"/>
      <c r="Y25" s="80"/>
      <c r="Z25" s="80"/>
      <c r="AA25" s="22"/>
      <c r="AB25" s="80"/>
      <c r="AC25" s="80"/>
      <c r="AD25" s="22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22"/>
      <c r="AU25" s="80"/>
      <c r="AV25" s="80"/>
      <c r="AW25" s="22"/>
      <c r="AX25" s="80"/>
      <c r="AY25" s="80"/>
      <c r="AZ25" s="22"/>
      <c r="BA25" s="80"/>
      <c r="BB25" s="80"/>
      <c r="BC25" s="22"/>
      <c r="BD25" s="80"/>
      <c r="BE25" s="80"/>
      <c r="BF25" s="22"/>
      <c r="BG25" s="80"/>
      <c r="BH25" s="80"/>
      <c r="BI25" s="80"/>
      <c r="BJ25" s="80"/>
    </row>
    <row r="26" spans="1:62" x14ac:dyDescent="0.25">
      <c r="A26" s="16" t="s">
        <v>76</v>
      </c>
      <c r="B26" s="89"/>
      <c r="C26" s="74"/>
      <c r="D26" s="80"/>
      <c r="E26" s="22"/>
      <c r="F26" s="22"/>
      <c r="G26" s="80"/>
      <c r="H26" s="80"/>
      <c r="I26" s="22"/>
      <c r="J26" s="22"/>
      <c r="K26" s="80"/>
      <c r="L26" s="81"/>
      <c r="M26" s="82"/>
      <c r="N26" s="82"/>
      <c r="O26" s="80"/>
      <c r="P26" s="80"/>
      <c r="Q26" s="83"/>
      <c r="R26" s="80"/>
      <c r="S26" s="80"/>
      <c r="T26" s="80"/>
      <c r="U26" s="80"/>
      <c r="V26" s="80"/>
      <c r="W26" s="80"/>
      <c r="X26" s="80"/>
      <c r="Y26" s="80"/>
      <c r="Z26" s="80"/>
      <c r="AA26" s="22"/>
      <c r="AB26" s="80"/>
      <c r="AC26" s="80"/>
      <c r="AD26" s="22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22"/>
      <c r="AU26" s="80"/>
      <c r="AV26" s="80"/>
      <c r="AW26" s="22"/>
      <c r="AX26" s="80"/>
      <c r="AY26" s="80"/>
      <c r="AZ26" s="22"/>
      <c r="BA26" s="80"/>
      <c r="BB26" s="80"/>
      <c r="BC26" s="22"/>
      <c r="BD26" s="80"/>
      <c r="BE26" s="80"/>
      <c r="BF26" s="22"/>
      <c r="BG26" s="80"/>
      <c r="BH26" s="80"/>
      <c r="BI26" s="80"/>
      <c r="BJ26" s="80"/>
    </row>
    <row r="27" spans="1:62" x14ac:dyDescent="0.25">
      <c r="A27" s="25" t="s">
        <v>71</v>
      </c>
      <c r="B27" s="84"/>
      <c r="C27" s="95"/>
      <c r="D27" s="80"/>
      <c r="E27" s="90">
        <f>SUM(E3:E26)</f>
        <v>106662</v>
      </c>
      <c r="F27" s="90"/>
      <c r="G27" s="96">
        <f>SUM(G3:G26)</f>
        <v>661016862</v>
      </c>
      <c r="H27" s="97"/>
      <c r="I27" s="90">
        <f t="shared" ref="I27:M27" si="3">SUM(I3:I26)</f>
        <v>688</v>
      </c>
      <c r="J27" s="97"/>
      <c r="K27" s="97">
        <f t="shared" si="3"/>
        <v>2741680</v>
      </c>
      <c r="L27" s="98"/>
      <c r="M27" s="95">
        <f t="shared" si="3"/>
        <v>575</v>
      </c>
      <c r="N27" s="97"/>
      <c r="O27" s="97">
        <f t="shared" ref="O27" si="4">SUM(O3:O26)</f>
        <v>1727491.666666667</v>
      </c>
      <c r="P27" s="97"/>
      <c r="Q27" s="100"/>
      <c r="R27" s="97"/>
      <c r="S27" s="97"/>
      <c r="T27" s="101">
        <f>SUM(T3:T26)</f>
        <v>1048</v>
      </c>
      <c r="U27" s="97">
        <f>SUM(U3:U26)</f>
        <v>3826248</v>
      </c>
      <c r="V27" s="97"/>
      <c r="W27" s="90">
        <f>SUM(W3:W26)</f>
        <v>1424</v>
      </c>
      <c r="X27" s="102">
        <f>SUM(X3:X26)</f>
        <v>6218608</v>
      </c>
      <c r="Y27" s="97"/>
      <c r="Z27" s="90">
        <f>SUM(Z3:Z26)</f>
        <v>8168</v>
      </c>
      <c r="AA27" s="97">
        <f t="shared" ref="AA27:AH27" si="5">SUM(AA3:AA26)</f>
        <v>155804600</v>
      </c>
      <c r="AB27" s="97">
        <f t="shared" si="5"/>
        <v>162023208</v>
      </c>
      <c r="AC27" s="97"/>
      <c r="AD27" s="90">
        <f t="shared" si="5"/>
        <v>20785</v>
      </c>
      <c r="AE27" s="97">
        <f t="shared" si="5"/>
        <v>238840435</v>
      </c>
      <c r="AF27" s="97"/>
      <c r="AG27" s="90">
        <f t="shared" si="5"/>
        <v>2107</v>
      </c>
      <c r="AH27" s="97">
        <f t="shared" si="5"/>
        <v>40675635</v>
      </c>
      <c r="AI27" s="97"/>
      <c r="AJ27" s="90">
        <f>SUM(AJ3:AJ26)</f>
        <v>793</v>
      </c>
      <c r="AK27" s="97">
        <f t="shared" ref="AK27" si="6">SUM(AK3:AK26)</f>
        <v>18042336</v>
      </c>
      <c r="AL27" s="97"/>
      <c r="AM27" s="90">
        <f>SUM(AM3:AM26)</f>
        <v>1896</v>
      </c>
      <c r="AN27" s="97">
        <f>SUM(AN3:AN26)</f>
        <v>44444136</v>
      </c>
      <c r="AO27" s="97">
        <f>SUM(AO3:AO26)</f>
        <v>25739.616000000002</v>
      </c>
      <c r="AP27" s="100">
        <f>SUM(AP3:AP26)</f>
        <v>1892</v>
      </c>
      <c r="AQ27" s="97">
        <f>SUM(AQ3:AQ26)</f>
        <v>24349676.736000001</v>
      </c>
      <c r="AR27" s="97">
        <f t="shared" ref="AR27:BA27" si="7">SUM(AR3:AR26)</f>
        <v>127511783.736</v>
      </c>
      <c r="AS27" s="97"/>
      <c r="AT27" s="95">
        <f t="shared" si="7"/>
        <v>2477</v>
      </c>
      <c r="AU27" s="97">
        <f t="shared" si="7"/>
        <v>30169860</v>
      </c>
      <c r="AV27" s="97"/>
      <c r="AW27" s="90">
        <f t="shared" si="7"/>
        <v>2131</v>
      </c>
      <c r="AX27" s="97">
        <f t="shared" si="7"/>
        <v>23507061</v>
      </c>
      <c r="AY27" s="97"/>
      <c r="AZ27" s="90">
        <f t="shared" si="7"/>
        <v>6504</v>
      </c>
      <c r="BA27" s="97">
        <f t="shared" si="7"/>
        <v>245135760</v>
      </c>
      <c r="BB27" s="97"/>
      <c r="BC27" s="100">
        <f>SUM(BC3-BC26)</f>
        <v>0</v>
      </c>
      <c r="BD27" s="97">
        <f>SUM(BD3-BD26)</f>
        <v>0</v>
      </c>
      <c r="BE27" s="100"/>
      <c r="BF27" s="100">
        <f t="shared" ref="BF27:BG27" si="8">SUM(BF3-BF26)</f>
        <v>0</v>
      </c>
      <c r="BG27" s="97">
        <f t="shared" si="8"/>
        <v>0</v>
      </c>
      <c r="BH27" s="97"/>
      <c r="BI27" s="100">
        <f>SUM(BI3:BI26)</f>
        <v>0</v>
      </c>
      <c r="BJ27" s="97">
        <f>SUM(BJ3:BJ26)</f>
        <v>0</v>
      </c>
    </row>
    <row r="28" spans="1:62" x14ac:dyDescent="0.25">
      <c r="A28" s="24"/>
      <c r="D28" s="103"/>
      <c r="E28" s="103"/>
      <c r="F28" s="103"/>
      <c r="G28" s="104"/>
    </row>
    <row r="29" spans="1:62" x14ac:dyDescent="0.25">
      <c r="A29" s="199" t="s">
        <v>174</v>
      </c>
      <c r="B29" s="200" t="s">
        <v>175</v>
      </c>
      <c r="C29" s="200" t="s">
        <v>176</v>
      </c>
      <c r="D29" s="200" t="s">
        <v>177</v>
      </c>
      <c r="E29" s="201" t="s">
        <v>178</v>
      </c>
      <c r="F29" s="201"/>
      <c r="G29" s="201"/>
      <c r="H29" s="201"/>
      <c r="I29" s="197" t="s">
        <v>179</v>
      </c>
      <c r="J29" s="197"/>
      <c r="K29" s="197"/>
      <c r="L29" s="198"/>
    </row>
    <row r="30" spans="1:62" x14ac:dyDescent="0.25">
      <c r="A30" s="199"/>
      <c r="B30" s="200"/>
      <c r="C30" s="200"/>
      <c r="D30" s="200"/>
      <c r="E30" s="163" t="s">
        <v>180</v>
      </c>
      <c r="F30" s="164" t="s">
        <v>181</v>
      </c>
      <c r="G30" s="165" t="s">
        <v>182</v>
      </c>
      <c r="H30" s="166" t="s">
        <v>183</v>
      </c>
      <c r="I30" s="163" t="s">
        <v>180</v>
      </c>
      <c r="J30" s="167" t="s">
        <v>181</v>
      </c>
      <c r="K30" s="165" t="s">
        <v>182</v>
      </c>
      <c r="L30" s="168" t="s">
        <v>183</v>
      </c>
    </row>
    <row r="31" spans="1:62" x14ac:dyDescent="0.25">
      <c r="A31" s="119" t="s">
        <v>77</v>
      </c>
      <c r="B31" s="159">
        <f>SUM(B32:B35)</f>
        <v>107925</v>
      </c>
      <c r="C31" s="120">
        <f>SUM(C32:C35)</f>
        <v>665486033.66666663</v>
      </c>
      <c r="D31" s="121"/>
      <c r="E31" s="122"/>
      <c r="F31" s="122"/>
      <c r="G31" s="123"/>
      <c r="H31" s="124"/>
      <c r="I31" s="122"/>
      <c r="J31" s="125"/>
      <c r="K31" s="123"/>
      <c r="L31" s="126"/>
    </row>
    <row r="32" spans="1:62" x14ac:dyDescent="0.25">
      <c r="A32" s="127" t="str">
        <f>G1</f>
        <v>VALOR HORAS MEDICAS ANUALES 2016</v>
      </c>
      <c r="B32" s="128">
        <f>E27</f>
        <v>106662</v>
      </c>
      <c r="C32" s="129">
        <f>G27</f>
        <v>661016862</v>
      </c>
      <c r="D32" s="121"/>
      <c r="E32" s="128"/>
      <c r="F32" s="128"/>
      <c r="G32" s="123"/>
      <c r="H32" s="124"/>
      <c r="I32" s="122"/>
      <c r="J32" s="130"/>
      <c r="K32" s="123"/>
      <c r="L32" s="126"/>
    </row>
    <row r="33" spans="1:12" x14ac:dyDescent="0.25">
      <c r="A33" s="131" t="str">
        <f>K1</f>
        <v>VALOR HORAS ENFERMERÍA ANUALES 2016</v>
      </c>
      <c r="B33" s="128">
        <f>I27</f>
        <v>688</v>
      </c>
      <c r="C33" s="129">
        <f>K27</f>
        <v>2741680</v>
      </c>
      <c r="D33" s="121"/>
      <c r="E33" s="128"/>
      <c r="F33" s="128"/>
      <c r="G33" s="123"/>
      <c r="H33" s="124"/>
      <c r="I33" s="122"/>
      <c r="J33" s="130"/>
      <c r="K33" s="123"/>
      <c r="L33" s="126"/>
    </row>
    <row r="34" spans="1:12" x14ac:dyDescent="0.25">
      <c r="A34" s="131" t="str">
        <f>O1</f>
        <v>VALOR HORAS NUTRICIÓN ANUALES 2016</v>
      </c>
      <c r="B34" s="128">
        <f>M27</f>
        <v>575</v>
      </c>
      <c r="C34" s="129">
        <f>O27</f>
        <v>1727491.666666667</v>
      </c>
      <c r="D34" s="121"/>
      <c r="E34" s="128"/>
      <c r="F34" s="128"/>
      <c r="G34" s="123"/>
      <c r="H34" s="124"/>
      <c r="I34" s="122"/>
      <c r="J34" s="130"/>
      <c r="K34" s="123"/>
      <c r="L34" s="126"/>
    </row>
    <row r="35" spans="1:12" ht="15.75" thickBot="1" x14ac:dyDescent="0.3">
      <c r="A35" s="132" t="str">
        <f>R1</f>
        <v>VALOR HORAS PSICOLOGÍA ANUALES 2016</v>
      </c>
      <c r="B35" s="128">
        <f>Q27</f>
        <v>0</v>
      </c>
      <c r="C35" s="129">
        <f>R27</f>
        <v>0</v>
      </c>
      <c r="D35" s="121"/>
      <c r="E35" s="128"/>
      <c r="F35" s="128"/>
      <c r="G35" s="123"/>
      <c r="H35" s="124"/>
      <c r="I35" s="122"/>
      <c r="J35" s="130"/>
      <c r="K35" s="123"/>
      <c r="L35" s="126"/>
    </row>
    <row r="36" spans="1:12" x14ac:dyDescent="0.25">
      <c r="A36" s="133" t="s">
        <v>103</v>
      </c>
      <c r="B36" s="128">
        <f>SUM(B37:B38)</f>
        <v>7552</v>
      </c>
      <c r="C36" s="129">
        <f>SUM(C37:C38)</f>
        <v>248962008</v>
      </c>
      <c r="D36" s="121"/>
      <c r="E36" s="121"/>
      <c r="F36" s="122"/>
      <c r="G36" s="122"/>
      <c r="H36" s="123"/>
      <c r="I36" s="124"/>
      <c r="J36" s="122"/>
      <c r="K36" s="125"/>
      <c r="L36" s="134"/>
    </row>
    <row r="37" spans="1:12" x14ac:dyDescent="0.25">
      <c r="A37" s="131" t="str">
        <f>U1</f>
        <v>VALOR TOTAL MONITORIO PA (3) 2016</v>
      </c>
      <c r="B37" s="128">
        <f>T27</f>
        <v>1048</v>
      </c>
      <c r="C37" s="129">
        <f>U27</f>
        <v>3826248</v>
      </c>
      <c r="D37" s="135">
        <f>S12</f>
        <v>3651</v>
      </c>
      <c r="E37" s="128">
        <v>914</v>
      </c>
      <c r="F37" s="128">
        <v>134</v>
      </c>
      <c r="G37" s="123">
        <f>F37/(E37+F37)</f>
        <v>0.12786259541984732</v>
      </c>
      <c r="H37" s="124">
        <f>F37*D37</f>
        <v>489234</v>
      </c>
      <c r="I37" s="122"/>
      <c r="J37" s="130"/>
      <c r="K37" s="123"/>
      <c r="L37" s="126"/>
    </row>
    <row r="38" spans="1:12" ht="15.75" thickBot="1" x14ac:dyDescent="0.3">
      <c r="A38" s="132" t="str">
        <f>BA1</f>
        <v>EKG VALOR ANUAL</v>
      </c>
      <c r="B38" s="128">
        <f>AZ27</f>
        <v>6504</v>
      </c>
      <c r="C38" s="129">
        <f>BA27</f>
        <v>245135760</v>
      </c>
      <c r="D38" s="135">
        <f>AY19</f>
        <v>37690</v>
      </c>
      <c r="E38" s="136">
        <v>6007</v>
      </c>
      <c r="F38" s="128">
        <v>326</v>
      </c>
      <c r="G38" s="123">
        <f t="shared" ref="G38:G57" si="9">F38/(E38+F38)</f>
        <v>5.1476393494394444E-2</v>
      </c>
      <c r="H38" s="124">
        <f t="shared" ref="H38:H50" si="10">F38*D38</f>
        <v>12286940</v>
      </c>
      <c r="I38" s="128">
        <v>171</v>
      </c>
      <c r="J38" s="125">
        <v>6</v>
      </c>
      <c r="K38" s="123">
        <f t="shared" ref="K38:K57" si="11">J38/(I38+J38)</f>
        <v>3.3898305084745763E-2</v>
      </c>
      <c r="L38" s="126">
        <f t="shared" ref="L38:L50" si="12">J38*D38</f>
        <v>226140</v>
      </c>
    </row>
    <row r="39" spans="1:12" x14ac:dyDescent="0.25">
      <c r="A39" s="133" t="s">
        <v>102</v>
      </c>
      <c r="B39" s="128">
        <f>SUM(B40:B53)</f>
        <v>41126</v>
      </c>
      <c r="C39" s="129">
        <f>SUM(C40:C53)</f>
        <v>569230120.73600006</v>
      </c>
      <c r="D39" s="121"/>
      <c r="E39" s="121"/>
      <c r="F39" s="122"/>
      <c r="G39" s="123"/>
      <c r="H39" s="124"/>
      <c r="I39" s="124"/>
      <c r="J39" s="122"/>
      <c r="K39" s="123"/>
      <c r="L39" s="126"/>
    </row>
    <row r="40" spans="1:12" x14ac:dyDescent="0.25">
      <c r="A40" s="131" t="str">
        <f>AB1</f>
        <v>CONTROL HEMOGRAMA Y ERITROSEDIMENTACIÓN ANUAL   2016</v>
      </c>
      <c r="B40" s="128"/>
      <c r="C40" s="129"/>
      <c r="D40" s="121"/>
      <c r="E40" s="128"/>
      <c r="F40" s="128"/>
      <c r="G40" s="123"/>
      <c r="H40" s="124"/>
      <c r="I40" s="122"/>
      <c r="J40" s="128"/>
      <c r="K40" s="123"/>
      <c r="L40" s="126"/>
    </row>
    <row r="41" spans="1:12" x14ac:dyDescent="0.25">
      <c r="A41" s="161" t="s">
        <v>184</v>
      </c>
      <c r="B41" s="128">
        <f>Z27</f>
        <v>8168</v>
      </c>
      <c r="C41" s="137">
        <f>AA27</f>
        <v>155804600</v>
      </c>
      <c r="D41" s="135">
        <f>Y12</f>
        <v>19075</v>
      </c>
      <c r="E41" s="138">
        <v>5996</v>
      </c>
      <c r="F41" s="128">
        <v>2172</v>
      </c>
      <c r="G41" s="123">
        <f t="shared" si="9"/>
        <v>0.26591576885406465</v>
      </c>
      <c r="H41" s="124">
        <f t="shared" si="10"/>
        <v>41430900</v>
      </c>
      <c r="I41" s="122"/>
      <c r="J41" s="128"/>
      <c r="K41" s="123"/>
      <c r="L41" s="126"/>
    </row>
    <row r="42" spans="1:12" x14ac:dyDescent="0.25">
      <c r="A42" s="161" t="s">
        <v>185</v>
      </c>
      <c r="B42" s="128">
        <f>W27</f>
        <v>1424</v>
      </c>
      <c r="C42" s="137">
        <f>X27</f>
        <v>6218608</v>
      </c>
      <c r="D42" s="135">
        <f>V12</f>
        <v>4367</v>
      </c>
      <c r="E42" s="138">
        <v>1236</v>
      </c>
      <c r="F42" s="128">
        <v>188</v>
      </c>
      <c r="G42" s="123">
        <f t="shared" si="9"/>
        <v>0.13202247191011235</v>
      </c>
      <c r="H42" s="124">
        <f t="shared" si="10"/>
        <v>820996</v>
      </c>
      <c r="I42" s="121"/>
      <c r="J42" s="121"/>
      <c r="K42" s="123"/>
      <c r="L42" s="126"/>
    </row>
    <row r="43" spans="1:12" x14ac:dyDescent="0.25">
      <c r="A43" s="161" t="str">
        <f>AE1</f>
        <v>GLICEMIA BASAL VALOR ANUAL</v>
      </c>
      <c r="B43" s="128">
        <f>AD27</f>
        <v>20785</v>
      </c>
      <c r="C43" s="129">
        <f>AE27</f>
        <v>238840435</v>
      </c>
      <c r="D43" s="135">
        <f>AC12</f>
        <v>11491</v>
      </c>
      <c r="E43" s="138">
        <v>6635</v>
      </c>
      <c r="F43" s="138">
        <v>2915</v>
      </c>
      <c r="G43" s="123">
        <f t="shared" si="9"/>
        <v>0.30523560209424083</v>
      </c>
      <c r="H43" s="124">
        <f t="shared" si="10"/>
        <v>33496265</v>
      </c>
      <c r="I43" s="128">
        <v>1427</v>
      </c>
      <c r="J43" s="138">
        <v>4648</v>
      </c>
      <c r="K43" s="123">
        <f t="shared" si="11"/>
        <v>0.76510288065843624</v>
      </c>
      <c r="L43" s="126">
        <f t="shared" si="12"/>
        <v>53410168</v>
      </c>
    </row>
    <row r="44" spans="1:12" x14ac:dyDescent="0.25">
      <c r="A44" s="161" t="str">
        <f>AR1</f>
        <v>PERFIL LIPIDICO VALOR ANUAL</v>
      </c>
      <c r="B44" s="128"/>
      <c r="C44" s="129"/>
      <c r="D44" s="121"/>
      <c r="E44" s="128"/>
      <c r="F44" s="128"/>
      <c r="G44" s="123"/>
      <c r="H44" s="124"/>
      <c r="I44" s="122"/>
      <c r="J44" s="128"/>
      <c r="K44" s="123"/>
      <c r="L44" s="126"/>
    </row>
    <row r="45" spans="1:12" x14ac:dyDescent="0.25">
      <c r="A45" s="161" t="s">
        <v>186</v>
      </c>
      <c r="B45" s="128">
        <f>AG27</f>
        <v>2107</v>
      </c>
      <c r="C45" s="137">
        <f>AH27</f>
        <v>40675635</v>
      </c>
      <c r="D45" s="135">
        <f>AF12</f>
        <v>19305</v>
      </c>
      <c r="E45" s="138">
        <v>6142</v>
      </c>
      <c r="F45" s="128">
        <v>2058</v>
      </c>
      <c r="G45" s="123">
        <f t="shared" si="9"/>
        <v>0.25097560975609756</v>
      </c>
      <c r="H45" s="124">
        <f t="shared" si="10"/>
        <v>39729690</v>
      </c>
      <c r="I45" s="138">
        <v>463</v>
      </c>
      <c r="J45" s="128">
        <v>125</v>
      </c>
      <c r="K45" s="123">
        <f t="shared" si="11"/>
        <v>0.21258503401360543</v>
      </c>
      <c r="L45" s="126">
        <f t="shared" si="12"/>
        <v>2413125</v>
      </c>
    </row>
    <row r="46" spans="1:12" x14ac:dyDescent="0.25">
      <c r="A46" s="161" t="s">
        <v>187</v>
      </c>
      <c r="B46" s="128">
        <f>AJ27</f>
        <v>793</v>
      </c>
      <c r="C46" s="137">
        <f>AK27</f>
        <v>18042336</v>
      </c>
      <c r="D46" s="135">
        <f>AI12</f>
        <v>22752</v>
      </c>
      <c r="E46" s="138">
        <v>4245</v>
      </c>
      <c r="F46" s="138">
        <v>1766</v>
      </c>
      <c r="G46" s="123">
        <f t="shared" si="9"/>
        <v>0.29379470969888538</v>
      </c>
      <c r="H46" s="124">
        <f t="shared" si="10"/>
        <v>40180032</v>
      </c>
      <c r="I46" s="138">
        <v>243</v>
      </c>
      <c r="J46" s="128">
        <v>34</v>
      </c>
      <c r="K46" s="123">
        <f t="shared" si="11"/>
        <v>0.12274368231046931</v>
      </c>
      <c r="L46" s="126">
        <f t="shared" si="12"/>
        <v>773568</v>
      </c>
    </row>
    <row r="47" spans="1:12" x14ac:dyDescent="0.25">
      <c r="A47" s="161" t="s">
        <v>188</v>
      </c>
      <c r="B47" s="128">
        <f>AM19</f>
        <v>1349</v>
      </c>
      <c r="C47" s="137">
        <f>AN19</f>
        <v>31621909</v>
      </c>
      <c r="D47" s="135">
        <f>AL12</f>
        <v>23441</v>
      </c>
      <c r="E47" s="138">
        <v>5879</v>
      </c>
      <c r="F47" s="128">
        <v>2245</v>
      </c>
      <c r="G47" s="123">
        <f t="shared" si="9"/>
        <v>0.2763417035942885</v>
      </c>
      <c r="H47" s="124">
        <f t="shared" si="10"/>
        <v>52625045</v>
      </c>
      <c r="I47" s="122">
        <v>429</v>
      </c>
      <c r="J47" s="128">
        <v>118</v>
      </c>
      <c r="K47" s="123">
        <f t="shared" si="11"/>
        <v>0.21572212065813529</v>
      </c>
      <c r="L47" s="126">
        <f t="shared" si="12"/>
        <v>2766038</v>
      </c>
    </row>
    <row r="48" spans="1:12" x14ac:dyDescent="0.25">
      <c r="A48" s="161" t="s">
        <v>189</v>
      </c>
      <c r="B48" s="128">
        <f>AP27</f>
        <v>1892</v>
      </c>
      <c r="C48" s="129">
        <f>AQ27</f>
        <v>24349676.736000001</v>
      </c>
      <c r="D48" s="135">
        <f>AO12</f>
        <v>12869.808000000001</v>
      </c>
      <c r="E48" s="138">
        <v>5523</v>
      </c>
      <c r="F48" s="128">
        <v>2654</v>
      </c>
      <c r="G48" s="123">
        <f t="shared" si="9"/>
        <v>0.32456891280420691</v>
      </c>
      <c r="H48" s="124">
        <f t="shared" si="10"/>
        <v>34156470.432000004</v>
      </c>
      <c r="I48" s="138">
        <v>444</v>
      </c>
      <c r="J48" s="128">
        <v>116</v>
      </c>
      <c r="K48" s="123">
        <f t="shared" si="11"/>
        <v>0.20714285714285716</v>
      </c>
      <c r="L48" s="126">
        <f t="shared" si="12"/>
        <v>1492897.7280000001</v>
      </c>
    </row>
    <row r="49" spans="1:62" x14ac:dyDescent="0.25">
      <c r="A49" s="161" t="str">
        <f>AU1</f>
        <v>PARCIAL ORINA VALOR ANUAL</v>
      </c>
      <c r="B49" s="128">
        <f>AT27</f>
        <v>2477</v>
      </c>
      <c r="C49" s="129">
        <f>AU27</f>
        <v>30169860</v>
      </c>
      <c r="D49" s="135">
        <f>AS12</f>
        <v>12180</v>
      </c>
      <c r="E49" s="138">
        <v>6333</v>
      </c>
      <c r="F49" s="128">
        <v>2024</v>
      </c>
      <c r="G49" s="123">
        <f t="shared" si="9"/>
        <v>0.24219217422520042</v>
      </c>
      <c r="H49" s="124">
        <f t="shared" si="10"/>
        <v>24652320</v>
      </c>
      <c r="I49" s="122">
        <v>573</v>
      </c>
      <c r="J49" s="130">
        <v>175</v>
      </c>
      <c r="K49" s="123">
        <f t="shared" si="11"/>
        <v>0.23395721925133689</v>
      </c>
      <c r="L49" s="126">
        <f t="shared" si="12"/>
        <v>2131500</v>
      </c>
    </row>
    <row r="50" spans="1:62" x14ac:dyDescent="0.25">
      <c r="A50" s="161" t="str">
        <f>AX1</f>
        <v>CREATININA VALOR ANUAL</v>
      </c>
      <c r="B50" s="128">
        <f>AW27</f>
        <v>2131</v>
      </c>
      <c r="C50" s="129">
        <f>AX27</f>
        <v>23507061</v>
      </c>
      <c r="D50" s="135">
        <f>AV12</f>
        <v>11031</v>
      </c>
      <c r="E50" s="136">
        <v>6152</v>
      </c>
      <c r="F50" s="128">
        <v>2176</v>
      </c>
      <c r="G50" s="123">
        <f t="shared" si="9"/>
        <v>0.26128722382324687</v>
      </c>
      <c r="H50" s="124">
        <f t="shared" si="10"/>
        <v>24003456</v>
      </c>
      <c r="I50" s="136">
        <v>520</v>
      </c>
      <c r="J50" s="125">
        <v>116</v>
      </c>
      <c r="K50" s="123">
        <f t="shared" si="11"/>
        <v>0.18238993710691823</v>
      </c>
      <c r="L50" s="126">
        <f t="shared" si="12"/>
        <v>1279596</v>
      </c>
    </row>
    <row r="51" spans="1:62" ht="30" x14ac:dyDescent="0.25">
      <c r="A51" s="161" t="str">
        <f>BD1</f>
        <v>VALOR PROYECTADO MICROALBUMINURIA ANUAL</v>
      </c>
      <c r="B51" s="128">
        <f>BC27</f>
        <v>0</v>
      </c>
      <c r="C51" s="129">
        <f>BD27</f>
        <v>0</v>
      </c>
      <c r="D51" s="121"/>
      <c r="E51" s="128"/>
      <c r="F51" s="128"/>
      <c r="G51" s="123"/>
      <c r="H51" s="124"/>
      <c r="I51" s="122"/>
      <c r="J51" s="130"/>
      <c r="K51" s="123"/>
      <c r="L51" s="126"/>
    </row>
    <row r="52" spans="1:62" x14ac:dyDescent="0.25">
      <c r="A52" s="161" t="str">
        <f>BG1</f>
        <v>HEMOGLOBINA GLICADA VALOR ANUAL</v>
      </c>
      <c r="B52" s="128">
        <f>BF27</f>
        <v>0</v>
      </c>
      <c r="C52" s="129">
        <f>BG27</f>
        <v>0</v>
      </c>
      <c r="D52" s="121"/>
      <c r="E52" s="128"/>
      <c r="F52" s="128"/>
      <c r="G52" s="123"/>
      <c r="H52" s="124"/>
      <c r="I52" s="122"/>
      <c r="J52" s="130"/>
      <c r="K52" s="123"/>
      <c r="L52" s="126"/>
    </row>
    <row r="53" spans="1:62" x14ac:dyDescent="0.25">
      <c r="A53" s="162" t="str">
        <f>BJ1</f>
        <v>TSH VALOR 2016 (Pacientes con DLP)</v>
      </c>
      <c r="B53" s="128">
        <f>BI27</f>
        <v>0</v>
      </c>
      <c r="C53" s="129">
        <f>BJ27</f>
        <v>0</v>
      </c>
      <c r="D53" s="121"/>
      <c r="E53" s="128"/>
      <c r="F53" s="128"/>
      <c r="G53" s="123"/>
      <c r="H53" s="124"/>
      <c r="I53" s="122"/>
      <c r="J53" s="130"/>
      <c r="K53" s="123"/>
      <c r="L53" s="126"/>
    </row>
    <row r="54" spans="1:62" x14ac:dyDescent="0.25">
      <c r="A54" s="160" t="s">
        <v>104</v>
      </c>
      <c r="B54" s="128"/>
      <c r="C54" s="140"/>
      <c r="D54" s="121"/>
      <c r="E54" s="121"/>
      <c r="F54" s="122"/>
      <c r="G54" s="123"/>
      <c r="H54" s="123"/>
      <c r="I54" s="124"/>
      <c r="J54" s="122"/>
      <c r="K54" s="123"/>
      <c r="L54" s="126"/>
    </row>
    <row r="55" spans="1:62" x14ac:dyDescent="0.25">
      <c r="A55" s="160" t="s">
        <v>112</v>
      </c>
      <c r="B55" s="128"/>
      <c r="C55" s="129">
        <f>B89</f>
        <v>5194941087</v>
      </c>
      <c r="D55" s="121"/>
      <c r="E55" s="121"/>
      <c r="F55" s="122"/>
      <c r="G55" s="123"/>
      <c r="H55" s="123"/>
      <c r="I55" s="124"/>
      <c r="J55" s="122"/>
      <c r="K55" s="123"/>
      <c r="L55" s="126"/>
    </row>
    <row r="56" spans="1:62" x14ac:dyDescent="0.25">
      <c r="A56" s="160" t="s">
        <v>198</v>
      </c>
      <c r="B56" s="128"/>
      <c r="C56" s="141"/>
      <c r="D56" s="121"/>
      <c r="E56" s="121">
        <f>SUM(E41:E51)</f>
        <v>48141</v>
      </c>
      <c r="F56" s="122">
        <f>SUM(F41:F50)</f>
        <v>18198</v>
      </c>
      <c r="G56" s="123">
        <f>F56/E56</f>
        <v>0.37801458216489064</v>
      </c>
      <c r="H56" s="124">
        <f t="shared" ref="H56" si="13">SUM(H41:H50)</f>
        <v>291095174.43200004</v>
      </c>
      <c r="I56" s="121">
        <f t="shared" ref="I56" si="14">SUM(I41:I51)</f>
        <v>4099</v>
      </c>
      <c r="J56" s="122">
        <f t="shared" ref="J56" si="15">SUM(J41:J50)</f>
        <v>5332</v>
      </c>
      <c r="K56" s="123">
        <f>J56/I56</f>
        <v>1.3008050744083923</v>
      </c>
      <c r="L56" s="124">
        <f t="shared" ref="L56" si="16">SUM(L41:L50)</f>
        <v>64266892.728</v>
      </c>
    </row>
    <row r="57" spans="1:62" x14ac:dyDescent="0.25">
      <c r="A57" s="139" t="s">
        <v>190</v>
      </c>
      <c r="B57" s="128"/>
      <c r="C57" s="129">
        <f>SUM(C31+C36+C39+C54+C55)</f>
        <v>6678619249.4026661</v>
      </c>
      <c r="D57" s="121"/>
      <c r="E57" s="128">
        <f>SUM(E31:E55)</f>
        <v>55062</v>
      </c>
      <c r="F57" s="128">
        <f t="shared" ref="F57:L57" si="17">SUM(F31:F55)</f>
        <v>18658</v>
      </c>
      <c r="G57" s="123">
        <f t="shared" si="9"/>
        <v>0.25309278350515463</v>
      </c>
      <c r="H57" s="137">
        <f t="shared" si="17"/>
        <v>303871348.43200004</v>
      </c>
      <c r="I57" s="130">
        <v>18658</v>
      </c>
      <c r="J57" s="130">
        <v>18658</v>
      </c>
      <c r="K57" s="123">
        <f t="shared" si="11"/>
        <v>0.5</v>
      </c>
      <c r="L57" s="126">
        <f t="shared" si="17"/>
        <v>64493032.728</v>
      </c>
    </row>
    <row r="59" spans="1:62" x14ac:dyDescent="0.25">
      <c r="A59" s="169" t="s">
        <v>199</v>
      </c>
      <c r="B59" s="169" t="s">
        <v>200</v>
      </c>
      <c r="C59" s="105"/>
      <c r="E59" s="107"/>
      <c r="F59" s="107"/>
      <c r="G59" s="105"/>
      <c r="I59" s="108"/>
      <c r="J59" s="105"/>
      <c r="L59" s="105">
        <f>H56+L56</f>
        <v>355362067.16000003</v>
      </c>
      <c r="M59" s="105"/>
      <c r="N59" s="105"/>
      <c r="Q59" s="105"/>
      <c r="S59" s="104"/>
      <c r="V59" s="104"/>
      <c r="AA59" s="105"/>
      <c r="AD59" s="105"/>
      <c r="AL59" s="104"/>
      <c r="AO59" s="104"/>
      <c r="AR59" s="104"/>
      <c r="AT59" s="105"/>
      <c r="AU59" s="104"/>
      <c r="AW59" s="105"/>
      <c r="AX59" s="104"/>
      <c r="AZ59" s="105"/>
      <c r="BC59" s="103"/>
      <c r="BD59" s="103"/>
      <c r="BE59" s="103"/>
      <c r="BF59" s="103"/>
      <c r="BG59" s="103"/>
      <c r="BH59" s="103"/>
      <c r="BI59" s="103"/>
      <c r="BJ59" s="103"/>
    </row>
    <row r="60" spans="1:62" x14ac:dyDescent="0.25">
      <c r="A60" s="170" t="s">
        <v>201</v>
      </c>
      <c r="B60" s="171">
        <v>485941349</v>
      </c>
      <c r="C60" s="105"/>
      <c r="E60" s="107"/>
      <c r="F60" s="107"/>
      <c r="G60" s="105"/>
      <c r="I60" s="108"/>
      <c r="J60" s="105"/>
      <c r="M60" s="105"/>
      <c r="N60" s="105"/>
      <c r="Q60" s="105"/>
      <c r="S60" s="104"/>
      <c r="V60" s="104"/>
      <c r="AA60" s="105"/>
      <c r="AD60" s="105"/>
      <c r="AL60" s="104"/>
      <c r="AO60" s="104"/>
      <c r="AR60" s="104"/>
      <c r="AT60" s="105"/>
      <c r="AU60" s="104"/>
      <c r="AW60" s="105"/>
      <c r="AX60" s="104"/>
      <c r="AZ60" s="105"/>
      <c r="BC60" s="103"/>
      <c r="BD60" s="103"/>
      <c r="BE60" s="103"/>
      <c r="BF60" s="103"/>
      <c r="BG60" s="103"/>
      <c r="BH60" s="103"/>
      <c r="BI60" s="103"/>
      <c r="BJ60" s="103"/>
    </row>
    <row r="61" spans="1:62" x14ac:dyDescent="0.25">
      <c r="A61" s="170" t="s">
        <v>202</v>
      </c>
      <c r="B61" s="171">
        <v>57549844</v>
      </c>
      <c r="C61" s="105"/>
      <c r="E61" s="107"/>
      <c r="F61" s="107"/>
      <c r="G61" s="105"/>
      <c r="I61" s="108"/>
      <c r="J61" s="105"/>
      <c r="M61" s="105"/>
      <c r="N61" s="105"/>
      <c r="Q61" s="105"/>
      <c r="S61" s="104"/>
      <c r="V61" s="104"/>
      <c r="AA61" s="105"/>
      <c r="AD61" s="105"/>
      <c r="AL61" s="104"/>
      <c r="AO61" s="104"/>
      <c r="AR61" s="104"/>
      <c r="AT61" s="105"/>
      <c r="AU61" s="104"/>
      <c r="AW61" s="105"/>
      <c r="AX61" s="104"/>
      <c r="AZ61" s="105"/>
      <c r="BC61" s="103"/>
      <c r="BD61" s="103"/>
      <c r="BE61" s="103"/>
      <c r="BF61" s="103"/>
      <c r="BG61" s="103"/>
      <c r="BH61" s="103"/>
      <c r="BI61" s="103"/>
      <c r="BJ61" s="103"/>
    </row>
    <row r="62" spans="1:62" x14ac:dyDescent="0.25">
      <c r="A62" s="170" t="s">
        <v>203</v>
      </c>
      <c r="B62" s="171">
        <v>178181339</v>
      </c>
      <c r="C62" s="105"/>
      <c r="E62" s="107"/>
      <c r="F62" s="107"/>
      <c r="G62" s="105"/>
      <c r="I62" s="108"/>
      <c r="J62" s="105"/>
      <c r="M62" s="105"/>
      <c r="N62" s="105"/>
      <c r="Q62" s="105"/>
      <c r="S62" s="104"/>
      <c r="V62" s="104"/>
      <c r="AA62" s="105"/>
      <c r="AD62" s="105"/>
      <c r="AL62" s="104"/>
      <c r="AO62" s="104"/>
      <c r="AR62" s="104"/>
      <c r="AT62" s="105"/>
      <c r="AU62" s="104"/>
      <c r="AW62" s="105"/>
      <c r="AX62" s="104"/>
      <c r="AZ62" s="105"/>
      <c r="BC62" s="103"/>
      <c r="BD62" s="103"/>
      <c r="BE62" s="103"/>
      <c r="BF62" s="103"/>
      <c r="BG62" s="103"/>
      <c r="BH62" s="103"/>
      <c r="BI62" s="103"/>
      <c r="BJ62" s="103"/>
    </row>
    <row r="63" spans="1:62" x14ac:dyDescent="0.25">
      <c r="A63" s="170" t="s">
        <v>204</v>
      </c>
      <c r="B63" s="171">
        <v>79964261</v>
      </c>
      <c r="C63" s="105"/>
      <c r="E63" s="107"/>
      <c r="F63" s="107"/>
      <c r="G63" s="105"/>
      <c r="I63" s="108"/>
      <c r="J63" s="105"/>
      <c r="M63" s="105"/>
      <c r="N63" s="105"/>
      <c r="Q63" s="105"/>
      <c r="S63" s="104"/>
      <c r="V63" s="104"/>
      <c r="AA63" s="105"/>
      <c r="AD63" s="105"/>
      <c r="AL63" s="104"/>
      <c r="AO63" s="104"/>
      <c r="AR63" s="104"/>
      <c r="AT63" s="105"/>
      <c r="AU63" s="104"/>
      <c r="AW63" s="105"/>
      <c r="AX63" s="104"/>
      <c r="AZ63" s="105"/>
      <c r="BC63" s="103"/>
      <c r="BD63" s="103"/>
      <c r="BE63" s="103"/>
      <c r="BF63" s="103"/>
      <c r="BG63" s="103"/>
      <c r="BH63" s="103"/>
      <c r="BI63" s="103"/>
      <c r="BJ63" s="103"/>
    </row>
    <row r="64" spans="1:62" x14ac:dyDescent="0.25">
      <c r="A64" s="170" t="s">
        <v>205</v>
      </c>
      <c r="B64" s="171">
        <v>315761317</v>
      </c>
      <c r="C64" s="105"/>
      <c r="E64" s="107"/>
      <c r="F64" s="107"/>
      <c r="G64" s="105"/>
      <c r="I64" s="108"/>
      <c r="J64" s="105"/>
      <c r="M64" s="105"/>
      <c r="N64" s="105"/>
      <c r="Q64" s="105"/>
      <c r="S64" s="104"/>
      <c r="V64" s="104"/>
      <c r="AA64" s="105"/>
      <c r="AD64" s="105"/>
      <c r="AL64" s="104"/>
      <c r="AO64" s="104"/>
      <c r="AR64" s="104"/>
      <c r="AT64" s="105"/>
      <c r="AU64" s="104"/>
      <c r="AW64" s="105"/>
      <c r="AX64" s="104"/>
      <c r="AZ64" s="105"/>
      <c r="BC64" s="103"/>
      <c r="BD64" s="103"/>
      <c r="BE64" s="103"/>
      <c r="BF64" s="103"/>
      <c r="BG64" s="103"/>
      <c r="BH64" s="103"/>
      <c r="BI64" s="103"/>
      <c r="BJ64" s="103"/>
    </row>
    <row r="65" spans="1:62" x14ac:dyDescent="0.25">
      <c r="A65" s="170" t="s">
        <v>206</v>
      </c>
      <c r="B65" s="171">
        <v>164701170</v>
      </c>
      <c r="C65" s="105"/>
      <c r="E65" s="107"/>
      <c r="F65" s="107"/>
      <c r="G65" s="105"/>
      <c r="I65" s="108"/>
      <c r="J65" s="105"/>
      <c r="M65" s="105"/>
      <c r="N65" s="105"/>
      <c r="Q65" s="105"/>
      <c r="S65" s="104"/>
      <c r="V65" s="104"/>
      <c r="AA65" s="105"/>
      <c r="AD65" s="105"/>
      <c r="AL65" s="104"/>
      <c r="AO65" s="104"/>
      <c r="AR65" s="104"/>
      <c r="AT65" s="105"/>
      <c r="AU65" s="104"/>
      <c r="AW65" s="105"/>
      <c r="AX65" s="104"/>
      <c r="AZ65" s="105"/>
      <c r="BC65" s="103"/>
      <c r="BD65" s="103"/>
      <c r="BE65" s="103"/>
      <c r="BF65" s="103"/>
      <c r="BG65" s="103"/>
      <c r="BH65" s="103"/>
      <c r="BI65" s="103"/>
      <c r="BJ65" s="103"/>
    </row>
    <row r="66" spans="1:62" x14ac:dyDescent="0.25">
      <c r="A66" s="170" t="s">
        <v>207</v>
      </c>
      <c r="B66" s="171">
        <v>4685662</v>
      </c>
      <c r="C66" s="105"/>
      <c r="E66" s="107"/>
      <c r="F66" s="107"/>
      <c r="G66" s="105"/>
      <c r="I66" s="108"/>
      <c r="J66" s="105"/>
      <c r="M66" s="105"/>
      <c r="N66" s="105"/>
      <c r="Q66" s="105"/>
      <c r="S66" s="104"/>
      <c r="V66" s="104"/>
      <c r="AA66" s="105"/>
      <c r="AD66" s="105"/>
      <c r="AL66" s="104"/>
      <c r="AO66" s="104"/>
      <c r="AR66" s="104"/>
      <c r="AT66" s="105"/>
      <c r="AU66" s="104"/>
      <c r="AW66" s="105"/>
      <c r="AX66" s="104"/>
      <c r="AZ66" s="105"/>
      <c r="BC66" s="103"/>
      <c r="BD66" s="103"/>
      <c r="BE66" s="103"/>
      <c r="BF66" s="103"/>
      <c r="BG66" s="103"/>
      <c r="BH66" s="103"/>
      <c r="BI66" s="103"/>
      <c r="BJ66" s="103"/>
    </row>
    <row r="67" spans="1:62" x14ac:dyDescent="0.25">
      <c r="A67" s="170" t="s">
        <v>208</v>
      </c>
      <c r="B67" s="171">
        <v>112798641</v>
      </c>
      <c r="C67" s="105"/>
      <c r="E67" s="107"/>
      <c r="F67" s="107"/>
      <c r="G67" s="105"/>
      <c r="I67" s="108"/>
      <c r="J67" s="105"/>
      <c r="M67" s="105"/>
      <c r="N67" s="105"/>
      <c r="Q67" s="105"/>
      <c r="S67" s="104"/>
      <c r="V67" s="104"/>
      <c r="AA67" s="105"/>
      <c r="AD67" s="105"/>
      <c r="AL67" s="104"/>
      <c r="AO67" s="104"/>
      <c r="AR67" s="104"/>
      <c r="AT67" s="105"/>
      <c r="AU67" s="104"/>
      <c r="AW67" s="105"/>
      <c r="AX67" s="104"/>
      <c r="AZ67" s="105"/>
      <c r="BC67" s="103"/>
      <c r="BD67" s="103"/>
      <c r="BE67" s="103"/>
      <c r="BF67" s="103"/>
      <c r="BG67" s="103"/>
      <c r="BH67" s="103"/>
      <c r="BI67" s="103"/>
      <c r="BJ67" s="103"/>
    </row>
    <row r="68" spans="1:62" x14ac:dyDescent="0.25">
      <c r="A68" s="170" t="s">
        <v>209</v>
      </c>
      <c r="B68" s="171">
        <v>104574242</v>
      </c>
      <c r="C68" s="105"/>
      <c r="E68" s="107"/>
      <c r="F68" s="107"/>
      <c r="G68" s="105"/>
      <c r="I68" s="108"/>
      <c r="J68" s="105"/>
      <c r="M68" s="105"/>
      <c r="N68" s="105"/>
      <c r="Q68" s="105"/>
      <c r="S68" s="104"/>
      <c r="V68" s="104"/>
      <c r="AA68" s="105"/>
      <c r="AD68" s="105"/>
      <c r="AL68" s="104"/>
      <c r="AO68" s="104"/>
      <c r="AR68" s="104"/>
      <c r="AT68" s="105"/>
      <c r="AU68" s="104"/>
      <c r="AW68" s="105"/>
      <c r="AX68" s="104"/>
      <c r="AZ68" s="105"/>
      <c r="BC68" s="103"/>
      <c r="BD68" s="103"/>
      <c r="BE68" s="103"/>
      <c r="BF68" s="103"/>
      <c r="BG68" s="103"/>
      <c r="BH68" s="103"/>
      <c r="BI68" s="103"/>
      <c r="BJ68" s="103"/>
    </row>
    <row r="69" spans="1:62" x14ac:dyDescent="0.25">
      <c r="A69" s="170" t="s">
        <v>210</v>
      </c>
      <c r="B69" s="171">
        <v>735242997</v>
      </c>
      <c r="C69" s="105"/>
      <c r="E69" s="107"/>
      <c r="F69" s="107"/>
      <c r="G69" s="105"/>
      <c r="I69" s="108"/>
      <c r="J69" s="105"/>
      <c r="M69" s="105"/>
      <c r="N69" s="105"/>
      <c r="Q69" s="105"/>
      <c r="S69" s="104"/>
      <c r="V69" s="104"/>
      <c r="AA69" s="105"/>
      <c r="AD69" s="105"/>
      <c r="AL69" s="104"/>
      <c r="AO69" s="104"/>
      <c r="AR69" s="104"/>
      <c r="AT69" s="105"/>
      <c r="AU69" s="104"/>
      <c r="AW69" s="105"/>
      <c r="AX69" s="104"/>
      <c r="AZ69" s="105"/>
      <c r="BC69" s="103"/>
      <c r="BD69" s="103"/>
      <c r="BE69" s="103"/>
      <c r="BF69" s="103"/>
      <c r="BG69" s="103"/>
      <c r="BH69" s="103"/>
      <c r="BI69" s="103"/>
      <c r="BJ69" s="103"/>
    </row>
    <row r="70" spans="1:62" x14ac:dyDescent="0.25">
      <c r="A70" s="170" t="s">
        <v>211</v>
      </c>
      <c r="B70" s="171">
        <v>191584279</v>
      </c>
      <c r="C70" s="105"/>
      <c r="E70" s="107"/>
      <c r="F70" s="107"/>
      <c r="G70" s="105"/>
      <c r="I70" s="108"/>
      <c r="J70" s="105"/>
      <c r="M70" s="105"/>
      <c r="N70" s="105"/>
      <c r="Q70" s="105"/>
      <c r="S70" s="104"/>
      <c r="V70" s="104"/>
      <c r="AA70" s="105"/>
      <c r="AD70" s="105"/>
      <c r="AL70" s="104"/>
      <c r="AO70" s="104"/>
      <c r="AR70" s="104"/>
      <c r="AT70" s="105"/>
      <c r="AU70" s="104"/>
      <c r="AW70" s="105"/>
      <c r="AX70" s="104"/>
      <c r="AZ70" s="105"/>
      <c r="BC70" s="103"/>
      <c r="BD70" s="103"/>
      <c r="BE70" s="103"/>
      <c r="BF70" s="103"/>
      <c r="BG70" s="103"/>
      <c r="BH70" s="103"/>
      <c r="BI70" s="103"/>
      <c r="BJ70" s="103"/>
    </row>
    <row r="71" spans="1:62" x14ac:dyDescent="0.25">
      <c r="A71" s="170" t="s">
        <v>212</v>
      </c>
      <c r="B71" s="171">
        <v>71562355</v>
      </c>
      <c r="C71" s="105"/>
      <c r="E71" s="107"/>
      <c r="F71" s="107"/>
      <c r="G71" s="105"/>
      <c r="I71" s="108"/>
      <c r="J71" s="105"/>
      <c r="M71" s="105"/>
      <c r="N71" s="105"/>
      <c r="Q71" s="105"/>
      <c r="S71" s="104"/>
      <c r="V71" s="104"/>
      <c r="AA71" s="105"/>
      <c r="AD71" s="105"/>
      <c r="AL71" s="104"/>
      <c r="AO71" s="104"/>
      <c r="AR71" s="104"/>
      <c r="AT71" s="105"/>
      <c r="AU71" s="104"/>
      <c r="AW71" s="105"/>
      <c r="AX71" s="104"/>
      <c r="AZ71" s="105"/>
      <c r="BC71" s="103"/>
      <c r="BD71" s="103"/>
      <c r="BE71" s="103"/>
      <c r="BF71" s="103"/>
      <c r="BG71" s="103"/>
      <c r="BH71" s="103"/>
      <c r="BI71" s="103"/>
      <c r="BJ71" s="103"/>
    </row>
    <row r="72" spans="1:62" x14ac:dyDescent="0.25">
      <c r="A72" s="170" t="s">
        <v>213</v>
      </c>
      <c r="B72" s="171">
        <v>13048947</v>
      </c>
      <c r="C72" s="105"/>
      <c r="E72" s="107"/>
      <c r="F72" s="107"/>
      <c r="G72" s="105"/>
      <c r="I72" s="108"/>
      <c r="J72" s="105"/>
      <c r="M72" s="105"/>
      <c r="N72" s="105"/>
      <c r="Q72" s="105"/>
      <c r="S72" s="104"/>
      <c r="V72" s="104"/>
      <c r="AA72" s="105"/>
      <c r="AD72" s="105"/>
      <c r="AL72" s="104"/>
      <c r="AO72" s="104"/>
      <c r="AR72" s="104"/>
      <c r="AT72" s="105"/>
      <c r="AU72" s="104"/>
      <c r="AW72" s="105"/>
      <c r="AX72" s="104"/>
      <c r="AZ72" s="105"/>
      <c r="BC72" s="103"/>
      <c r="BD72" s="103"/>
      <c r="BE72" s="103"/>
      <c r="BF72" s="103"/>
      <c r="BG72" s="103"/>
      <c r="BH72" s="103"/>
      <c r="BI72" s="103"/>
      <c r="BJ72" s="103"/>
    </row>
    <row r="73" spans="1:62" x14ac:dyDescent="0.25">
      <c r="A73" s="170" t="s">
        <v>214</v>
      </c>
      <c r="B73" s="171">
        <v>1130982002</v>
      </c>
      <c r="C73" s="105"/>
      <c r="E73" s="107"/>
      <c r="F73" s="107"/>
      <c r="G73" s="105"/>
      <c r="I73" s="108"/>
      <c r="J73" s="105"/>
      <c r="M73" s="105"/>
      <c r="N73" s="105"/>
      <c r="Q73" s="105"/>
      <c r="S73" s="104"/>
      <c r="V73" s="104"/>
      <c r="AA73" s="105"/>
      <c r="AD73" s="105"/>
      <c r="AL73" s="104"/>
      <c r="AO73" s="104"/>
      <c r="AR73" s="104"/>
      <c r="AT73" s="105"/>
      <c r="AU73" s="104"/>
      <c r="AW73" s="105"/>
      <c r="AX73" s="104"/>
      <c r="AZ73" s="105"/>
      <c r="BC73" s="103"/>
      <c r="BD73" s="103"/>
      <c r="BE73" s="103"/>
      <c r="BF73" s="103"/>
      <c r="BG73" s="103"/>
      <c r="BH73" s="103"/>
      <c r="BI73" s="103"/>
      <c r="BJ73" s="103"/>
    </row>
    <row r="74" spans="1:62" x14ac:dyDescent="0.25">
      <c r="A74" s="170" t="s">
        <v>215</v>
      </c>
      <c r="B74" s="171">
        <v>393853681</v>
      </c>
      <c r="C74" s="105"/>
      <c r="E74" s="107"/>
      <c r="F74" s="107"/>
      <c r="G74" s="105"/>
      <c r="I74" s="108"/>
      <c r="J74" s="105"/>
      <c r="M74" s="105"/>
      <c r="N74" s="105"/>
      <c r="Q74" s="105"/>
      <c r="S74" s="104"/>
      <c r="V74" s="104"/>
      <c r="AA74" s="105"/>
      <c r="AD74" s="105"/>
      <c r="AL74" s="104"/>
      <c r="AO74" s="104"/>
      <c r="AR74" s="104"/>
      <c r="AT74" s="105"/>
      <c r="AU74" s="104"/>
      <c r="AW74" s="105"/>
      <c r="AX74" s="104"/>
      <c r="AZ74" s="105"/>
      <c r="BC74" s="103"/>
      <c r="BD74" s="103"/>
      <c r="BE74" s="103"/>
      <c r="BF74" s="103"/>
      <c r="BG74" s="103"/>
      <c r="BH74" s="103"/>
      <c r="BI74" s="103"/>
      <c r="BJ74" s="103"/>
    </row>
    <row r="75" spans="1:62" x14ac:dyDescent="0.25">
      <c r="A75" s="170" t="s">
        <v>216</v>
      </c>
      <c r="B75" s="171">
        <v>30525859</v>
      </c>
      <c r="C75" s="105"/>
      <c r="E75" s="107"/>
      <c r="F75" s="107"/>
      <c r="G75" s="105"/>
      <c r="I75" s="108"/>
      <c r="J75" s="105"/>
      <c r="M75" s="105"/>
      <c r="N75" s="105"/>
      <c r="Q75" s="105"/>
      <c r="S75" s="104"/>
      <c r="V75" s="104"/>
      <c r="AA75" s="105"/>
      <c r="AD75" s="105"/>
      <c r="AL75" s="104"/>
      <c r="AO75" s="104"/>
      <c r="AR75" s="104"/>
      <c r="AT75" s="105"/>
      <c r="AU75" s="104"/>
      <c r="AW75" s="105"/>
      <c r="AX75" s="104"/>
      <c r="AZ75" s="105"/>
      <c r="BC75" s="103"/>
      <c r="BD75" s="103"/>
      <c r="BE75" s="103"/>
      <c r="BF75" s="103"/>
      <c r="BG75" s="103"/>
      <c r="BH75" s="103"/>
      <c r="BI75" s="103"/>
      <c r="BJ75" s="103"/>
    </row>
    <row r="76" spans="1:62" x14ac:dyDescent="0.25">
      <c r="A76" s="170" t="s">
        <v>217</v>
      </c>
      <c r="B76" s="171">
        <v>4434988</v>
      </c>
      <c r="C76" s="105"/>
      <c r="E76" s="107"/>
      <c r="F76" s="107"/>
      <c r="G76" s="105"/>
      <c r="I76" s="108"/>
      <c r="J76" s="105"/>
      <c r="M76" s="105"/>
      <c r="N76" s="105"/>
      <c r="Q76" s="105"/>
      <c r="S76" s="104"/>
      <c r="V76" s="104"/>
      <c r="AA76" s="105"/>
      <c r="AD76" s="105"/>
      <c r="AL76" s="104"/>
      <c r="AO76" s="104"/>
      <c r="AR76" s="104"/>
      <c r="AT76" s="105"/>
      <c r="AU76" s="104"/>
      <c r="AW76" s="105"/>
      <c r="AX76" s="104"/>
      <c r="AZ76" s="105"/>
      <c r="BC76" s="103"/>
      <c r="BD76" s="103"/>
      <c r="BE76" s="103"/>
      <c r="BF76" s="103"/>
      <c r="BG76" s="103"/>
      <c r="BH76" s="103"/>
      <c r="BI76" s="103"/>
      <c r="BJ76" s="103"/>
    </row>
    <row r="77" spans="1:62" x14ac:dyDescent="0.25">
      <c r="A77" s="170" t="s">
        <v>218</v>
      </c>
      <c r="B77" s="171">
        <v>400967014</v>
      </c>
      <c r="C77" s="105"/>
      <c r="E77" s="107"/>
      <c r="F77" s="107"/>
      <c r="G77" s="105"/>
      <c r="I77" s="108"/>
      <c r="J77" s="105"/>
      <c r="M77" s="105"/>
      <c r="N77" s="105"/>
      <c r="Q77" s="105"/>
      <c r="S77" s="104"/>
      <c r="V77" s="104"/>
      <c r="AA77" s="105"/>
      <c r="AD77" s="105"/>
      <c r="AL77" s="104"/>
      <c r="AO77" s="104"/>
      <c r="AR77" s="104"/>
      <c r="AT77" s="105"/>
      <c r="AU77" s="104"/>
      <c r="AW77" s="105"/>
      <c r="AX77" s="104"/>
      <c r="AZ77" s="105"/>
      <c r="BC77" s="103"/>
      <c r="BD77" s="103"/>
      <c r="BE77" s="103"/>
      <c r="BF77" s="103"/>
      <c r="BG77" s="103"/>
      <c r="BH77" s="103"/>
      <c r="BI77" s="103"/>
      <c r="BJ77" s="103"/>
    </row>
    <row r="78" spans="1:62" x14ac:dyDescent="0.25">
      <c r="A78" s="170" t="s">
        <v>219</v>
      </c>
      <c r="B78" s="171">
        <v>719848</v>
      </c>
      <c r="C78" s="105"/>
      <c r="E78" s="107"/>
      <c r="F78" s="107"/>
      <c r="G78" s="105"/>
      <c r="I78" s="108"/>
      <c r="J78" s="105"/>
      <c r="M78" s="105"/>
      <c r="N78" s="105"/>
      <c r="Q78" s="105"/>
      <c r="S78" s="104"/>
      <c r="V78" s="104"/>
      <c r="AA78" s="105"/>
      <c r="AD78" s="105"/>
      <c r="AL78" s="104"/>
      <c r="AO78" s="104"/>
      <c r="AR78" s="104"/>
      <c r="AT78" s="105"/>
      <c r="AU78" s="104"/>
      <c r="AW78" s="105"/>
      <c r="AX78" s="104"/>
      <c r="AZ78" s="105"/>
      <c r="BC78" s="103"/>
      <c r="BD78" s="103"/>
      <c r="BE78" s="103"/>
      <c r="BF78" s="103"/>
      <c r="BG78" s="103"/>
      <c r="BH78" s="103"/>
      <c r="BI78" s="103"/>
      <c r="BJ78" s="103"/>
    </row>
    <row r="79" spans="1:62" x14ac:dyDescent="0.25">
      <c r="A79" s="170" t="s">
        <v>220</v>
      </c>
      <c r="B79" s="171">
        <v>3116427</v>
      </c>
      <c r="C79" s="105"/>
      <c r="E79" s="107"/>
      <c r="F79" s="107"/>
      <c r="G79" s="105"/>
      <c r="I79" s="108"/>
      <c r="J79" s="105"/>
      <c r="M79" s="105"/>
      <c r="N79" s="105"/>
      <c r="Q79" s="105"/>
      <c r="S79" s="104"/>
      <c r="V79" s="104"/>
      <c r="AA79" s="105"/>
      <c r="AD79" s="105"/>
      <c r="AL79" s="104"/>
      <c r="AO79" s="104"/>
      <c r="AR79" s="104"/>
      <c r="AT79" s="105"/>
      <c r="AU79" s="104"/>
      <c r="AW79" s="105"/>
      <c r="AX79" s="104"/>
      <c r="AZ79" s="105"/>
      <c r="BC79" s="103"/>
      <c r="BD79" s="103"/>
      <c r="BE79" s="103"/>
      <c r="BF79" s="103"/>
      <c r="BG79" s="103"/>
      <c r="BH79" s="103"/>
      <c r="BI79" s="103"/>
      <c r="BJ79" s="103"/>
    </row>
    <row r="80" spans="1:62" x14ac:dyDescent="0.25">
      <c r="A80" s="170" t="s">
        <v>221</v>
      </c>
      <c r="B80" s="171">
        <v>166546050</v>
      </c>
      <c r="C80" s="105"/>
      <c r="E80" s="107"/>
      <c r="F80" s="107"/>
      <c r="G80" s="105"/>
      <c r="I80" s="108"/>
      <c r="J80" s="105"/>
      <c r="M80" s="105"/>
      <c r="N80" s="105"/>
      <c r="Q80" s="105"/>
      <c r="S80" s="104"/>
      <c r="V80" s="104"/>
      <c r="AA80" s="105"/>
      <c r="AD80" s="105"/>
      <c r="AL80" s="104"/>
      <c r="AO80" s="104"/>
      <c r="AR80" s="104"/>
      <c r="AT80" s="105"/>
      <c r="AU80" s="104"/>
      <c r="AW80" s="105"/>
      <c r="AX80" s="104"/>
      <c r="AZ80" s="105"/>
      <c r="BC80" s="103"/>
      <c r="BD80" s="103"/>
      <c r="BE80" s="103"/>
      <c r="BF80" s="103"/>
      <c r="BG80" s="103"/>
      <c r="BH80" s="103"/>
      <c r="BI80" s="103"/>
      <c r="BJ80" s="103"/>
    </row>
    <row r="81" spans="1:62" x14ac:dyDescent="0.25">
      <c r="A81" s="170" t="s">
        <v>222</v>
      </c>
      <c r="B81" s="171">
        <v>49386920</v>
      </c>
      <c r="C81" s="105"/>
      <c r="E81" s="107"/>
      <c r="F81" s="107"/>
      <c r="G81" s="105"/>
      <c r="I81" s="108"/>
      <c r="J81" s="105"/>
      <c r="M81" s="105"/>
      <c r="N81" s="105"/>
      <c r="Q81" s="105"/>
      <c r="S81" s="104"/>
      <c r="V81" s="104"/>
      <c r="AA81" s="105"/>
      <c r="AD81" s="105"/>
      <c r="AL81" s="104"/>
      <c r="AO81" s="104"/>
      <c r="AR81" s="104"/>
      <c r="AT81" s="105"/>
      <c r="AU81" s="104"/>
      <c r="AW81" s="105"/>
      <c r="AX81" s="104"/>
      <c r="AZ81" s="105"/>
      <c r="BC81" s="103"/>
      <c r="BD81" s="103"/>
      <c r="BE81" s="103"/>
      <c r="BF81" s="103"/>
      <c r="BG81" s="103"/>
      <c r="BH81" s="103"/>
      <c r="BI81" s="103"/>
      <c r="BJ81" s="103"/>
    </row>
    <row r="82" spans="1:62" x14ac:dyDescent="0.25">
      <c r="A82" s="170" t="s">
        <v>223</v>
      </c>
      <c r="B82" s="171">
        <v>145303040</v>
      </c>
      <c r="C82" s="105"/>
      <c r="E82" s="107"/>
      <c r="F82" s="107"/>
      <c r="G82" s="105"/>
      <c r="I82" s="108"/>
      <c r="J82" s="105"/>
      <c r="M82" s="105"/>
      <c r="N82" s="105"/>
      <c r="Q82" s="105"/>
      <c r="S82" s="104"/>
      <c r="V82" s="104"/>
      <c r="AA82" s="105"/>
      <c r="AD82" s="105"/>
      <c r="AL82" s="104"/>
      <c r="AO82" s="104"/>
      <c r="AR82" s="104"/>
      <c r="AT82" s="105"/>
      <c r="AU82" s="104"/>
      <c r="AW82" s="105"/>
      <c r="AX82" s="104"/>
      <c r="AZ82" s="105"/>
      <c r="BC82" s="103"/>
      <c r="BD82" s="103"/>
      <c r="BE82" s="103"/>
      <c r="BF82" s="103"/>
      <c r="BG82" s="103"/>
      <c r="BH82" s="103"/>
      <c r="BI82" s="103"/>
      <c r="BJ82" s="103"/>
    </row>
    <row r="83" spans="1:62" x14ac:dyDescent="0.25">
      <c r="A83" s="170" t="s">
        <v>224</v>
      </c>
      <c r="B83" s="171">
        <v>21766070</v>
      </c>
      <c r="C83" s="105"/>
      <c r="E83" s="107"/>
      <c r="F83" s="107"/>
      <c r="G83" s="105"/>
      <c r="I83" s="108"/>
      <c r="J83" s="105"/>
      <c r="M83" s="105"/>
      <c r="N83" s="105"/>
      <c r="Q83" s="105"/>
      <c r="S83" s="104"/>
      <c r="V83" s="104"/>
      <c r="AA83" s="105"/>
      <c r="AD83" s="105"/>
      <c r="AL83" s="104"/>
      <c r="AO83" s="104"/>
      <c r="AR83" s="104"/>
      <c r="AT83" s="105"/>
      <c r="AU83" s="104"/>
      <c r="AW83" s="105"/>
      <c r="AX83" s="104"/>
      <c r="AZ83" s="105"/>
      <c r="BC83" s="103"/>
      <c r="BD83" s="103"/>
      <c r="BE83" s="103"/>
      <c r="BF83" s="103"/>
      <c r="BG83" s="103"/>
      <c r="BH83" s="103"/>
      <c r="BI83" s="103"/>
      <c r="BJ83" s="103"/>
    </row>
    <row r="84" spans="1:62" x14ac:dyDescent="0.25">
      <c r="A84" s="170" t="s">
        <v>225</v>
      </c>
      <c r="B84" s="171">
        <v>2869953</v>
      </c>
      <c r="C84" s="105"/>
      <c r="E84" s="107"/>
      <c r="F84" s="107"/>
      <c r="G84" s="105"/>
      <c r="I84" s="108"/>
      <c r="J84" s="105"/>
      <c r="M84" s="105"/>
      <c r="N84" s="105"/>
      <c r="Q84" s="105"/>
      <c r="S84" s="104"/>
      <c r="V84" s="104"/>
      <c r="AA84" s="105"/>
      <c r="AD84" s="105"/>
      <c r="AL84" s="104"/>
      <c r="AO84" s="104"/>
      <c r="AR84" s="104"/>
      <c r="AT84" s="105"/>
      <c r="AU84" s="104"/>
      <c r="AW84" s="105"/>
      <c r="AX84" s="104"/>
      <c r="AZ84" s="105"/>
      <c r="BC84" s="103"/>
      <c r="BD84" s="103"/>
      <c r="BE84" s="103"/>
      <c r="BF84" s="103"/>
      <c r="BG84" s="103"/>
      <c r="BH84" s="103"/>
      <c r="BI84" s="103"/>
      <c r="BJ84" s="103"/>
    </row>
    <row r="85" spans="1:62" x14ac:dyDescent="0.25">
      <c r="A85" s="170" t="s">
        <v>226</v>
      </c>
      <c r="B85" s="171">
        <v>5016503</v>
      </c>
      <c r="C85" s="105"/>
      <c r="E85" s="107"/>
      <c r="F85" s="107"/>
      <c r="G85" s="105"/>
      <c r="I85" s="108"/>
      <c r="J85" s="105"/>
      <c r="M85" s="105"/>
      <c r="N85" s="105"/>
      <c r="Q85" s="105"/>
      <c r="S85" s="104"/>
      <c r="V85" s="104"/>
      <c r="AA85" s="105"/>
      <c r="AD85" s="105"/>
      <c r="AL85" s="104"/>
      <c r="AO85" s="104"/>
      <c r="AR85" s="104"/>
      <c r="AT85" s="105"/>
      <c r="AU85" s="104"/>
      <c r="AW85" s="105"/>
      <c r="AX85" s="104"/>
      <c r="AZ85" s="105"/>
      <c r="BC85" s="103"/>
      <c r="BD85" s="103"/>
      <c r="BE85" s="103"/>
      <c r="BF85" s="103"/>
      <c r="BG85" s="103"/>
      <c r="BH85" s="103"/>
      <c r="BI85" s="103"/>
      <c r="BJ85" s="103"/>
    </row>
    <row r="86" spans="1:62" x14ac:dyDescent="0.25">
      <c r="A86" s="170" t="s">
        <v>227</v>
      </c>
      <c r="B86" s="171">
        <v>20449763</v>
      </c>
      <c r="C86" s="105"/>
      <c r="E86" s="107"/>
      <c r="F86" s="107"/>
      <c r="G86" s="105"/>
      <c r="I86" s="108"/>
      <c r="J86" s="105"/>
      <c r="M86" s="105"/>
      <c r="N86" s="105"/>
      <c r="Q86" s="105"/>
      <c r="S86" s="104"/>
      <c r="V86" s="104"/>
      <c r="AA86" s="105"/>
      <c r="AD86" s="105"/>
      <c r="AL86" s="104"/>
      <c r="AO86" s="104"/>
      <c r="AR86" s="104"/>
      <c r="AT86" s="105"/>
      <c r="AU86" s="104"/>
      <c r="AW86" s="105"/>
      <c r="AX86" s="104"/>
      <c r="AZ86" s="105"/>
      <c r="BC86" s="103"/>
      <c r="BD86" s="103"/>
      <c r="BE86" s="103"/>
      <c r="BF86" s="103"/>
      <c r="BG86" s="103"/>
      <c r="BH86" s="103"/>
      <c r="BI86" s="103"/>
      <c r="BJ86" s="103"/>
    </row>
    <row r="87" spans="1:62" x14ac:dyDescent="0.25">
      <c r="A87" s="170" t="s">
        <v>228</v>
      </c>
      <c r="B87" s="171">
        <v>76365994</v>
      </c>
      <c r="C87" s="105"/>
      <c r="E87" s="107"/>
      <c r="F87" s="107"/>
      <c r="G87" s="105"/>
      <c r="I87" s="108"/>
      <c r="J87" s="105"/>
      <c r="M87" s="105"/>
      <c r="N87" s="105"/>
      <c r="Q87" s="105"/>
      <c r="S87" s="104"/>
      <c r="V87" s="104"/>
      <c r="AA87" s="105"/>
      <c r="AD87" s="105"/>
      <c r="AL87" s="104"/>
      <c r="AO87" s="104"/>
      <c r="AR87" s="104"/>
      <c r="AT87" s="105"/>
      <c r="AU87" s="104"/>
      <c r="AW87" s="105"/>
      <c r="AX87" s="104"/>
      <c r="AZ87" s="105"/>
      <c r="BC87" s="103"/>
      <c r="BD87" s="103"/>
      <c r="BE87" s="103"/>
      <c r="BF87" s="103"/>
      <c r="BG87" s="103"/>
      <c r="BH87" s="103"/>
      <c r="BI87" s="103"/>
      <c r="BJ87" s="103"/>
    </row>
    <row r="88" spans="1:62" x14ac:dyDescent="0.25">
      <c r="A88" s="170" t="s">
        <v>229</v>
      </c>
      <c r="B88" s="171">
        <v>227040572</v>
      </c>
      <c r="C88" s="105"/>
      <c r="E88" s="107"/>
      <c r="F88" s="107"/>
      <c r="G88" s="105"/>
      <c r="I88" s="108"/>
      <c r="J88" s="105"/>
      <c r="M88" s="105"/>
      <c r="N88" s="105"/>
      <c r="Q88" s="105"/>
      <c r="S88" s="104"/>
      <c r="V88" s="104"/>
      <c r="AA88" s="105"/>
      <c r="AD88" s="105"/>
      <c r="AL88" s="104"/>
      <c r="AO88" s="104"/>
      <c r="AR88" s="104"/>
      <c r="AT88" s="105"/>
      <c r="AU88" s="104"/>
      <c r="AW88" s="105"/>
      <c r="AX88" s="104"/>
      <c r="AZ88" s="105"/>
      <c r="BC88" s="103"/>
      <c r="BD88" s="103"/>
      <c r="BE88" s="103"/>
      <c r="BF88" s="103"/>
      <c r="BG88" s="103"/>
      <c r="BH88" s="103"/>
      <c r="BI88" s="103"/>
      <c r="BJ88" s="103"/>
    </row>
    <row r="89" spans="1:62" x14ac:dyDescent="0.25">
      <c r="A89" s="172" t="s">
        <v>230</v>
      </c>
      <c r="B89" s="173">
        <f>SUM(B60:B88)</f>
        <v>5194941087</v>
      </c>
      <c r="C89" s="105"/>
      <c r="E89" s="107"/>
      <c r="F89" s="107"/>
      <c r="G89" s="105"/>
      <c r="I89" s="108"/>
      <c r="J89" s="105"/>
      <c r="M89" s="105"/>
      <c r="N89" s="105"/>
      <c r="Q89" s="105"/>
      <c r="S89" s="104"/>
      <c r="V89" s="104"/>
      <c r="AA89" s="105"/>
      <c r="AD89" s="105"/>
      <c r="AL89" s="104"/>
      <c r="AO89" s="104"/>
      <c r="AR89" s="104"/>
      <c r="AT89" s="105"/>
      <c r="AU89" s="104"/>
      <c r="AW89" s="105"/>
      <c r="AX89" s="104"/>
      <c r="AZ89" s="105"/>
      <c r="BC89" s="103"/>
      <c r="BD89" s="103"/>
      <c r="BE89" s="103"/>
      <c r="BF89" s="103"/>
      <c r="BG89" s="103"/>
      <c r="BH89" s="103"/>
      <c r="BI89" s="103"/>
      <c r="BJ89" s="103"/>
    </row>
  </sheetData>
  <autoFilter ref="A1:BJ27"/>
  <mergeCells count="6">
    <mergeCell ref="I29:L29"/>
    <mergeCell ref="A29:A30"/>
    <mergeCell ref="B29:B30"/>
    <mergeCell ref="C29:C30"/>
    <mergeCell ref="D29:D30"/>
    <mergeCell ref="E29:H29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4" workbookViewId="0">
      <selection activeCell="E28" sqref="E28"/>
    </sheetView>
  </sheetViews>
  <sheetFormatPr baseColWidth="10" defaultRowHeight="15" x14ac:dyDescent="0.25"/>
  <cols>
    <col min="1" max="1" width="44.42578125" customWidth="1"/>
    <col min="2" max="2" width="17.5703125" customWidth="1"/>
    <col min="3" max="3" width="19.140625" customWidth="1"/>
    <col min="4" max="4" width="13" customWidth="1"/>
    <col min="6" max="6" width="39.28515625" customWidth="1"/>
    <col min="7" max="7" width="15.85546875" style="32" customWidth="1"/>
    <col min="8" max="8" width="12.140625" customWidth="1"/>
    <col min="9" max="9" width="12.140625" style="32" customWidth="1"/>
    <col min="10" max="10" width="17.140625" style="177" customWidth="1"/>
    <col min="11" max="11" width="20.140625" style="32" customWidth="1"/>
    <col min="12" max="12" width="21.7109375" customWidth="1"/>
    <col min="13" max="13" width="19.140625" customWidth="1"/>
  </cols>
  <sheetData>
    <row r="1" spans="1:14" ht="30" customHeight="1" x14ac:dyDescent="0.25">
      <c r="A1" s="34" t="s">
        <v>4</v>
      </c>
      <c r="B1" s="13" t="s">
        <v>46</v>
      </c>
      <c r="C1" s="146" t="s">
        <v>191</v>
      </c>
      <c r="D1" s="152" t="s">
        <v>194</v>
      </c>
      <c r="F1" s="199" t="s">
        <v>174</v>
      </c>
      <c r="G1" s="199" t="s">
        <v>195</v>
      </c>
      <c r="H1" s="199" t="s">
        <v>196</v>
      </c>
      <c r="I1" s="199" t="s">
        <v>194</v>
      </c>
      <c r="J1" s="202" t="s">
        <v>231</v>
      </c>
      <c r="K1" s="199" t="s">
        <v>233</v>
      </c>
      <c r="L1" s="199" t="s">
        <v>197</v>
      </c>
      <c r="M1" s="199" t="s">
        <v>234</v>
      </c>
      <c r="N1" s="32"/>
    </row>
    <row r="2" spans="1:14" x14ac:dyDescent="0.25">
      <c r="A2" s="2" t="s">
        <v>0</v>
      </c>
      <c r="B2" s="7">
        <v>2722.1332302538335</v>
      </c>
      <c r="C2" s="7">
        <v>1988</v>
      </c>
      <c r="D2" s="7">
        <f>B2-C2</f>
        <v>734.13323025383352</v>
      </c>
      <c r="F2" s="199"/>
      <c r="G2" s="199"/>
      <c r="H2" s="199"/>
      <c r="I2" s="199"/>
      <c r="J2" s="202"/>
      <c r="K2" s="199"/>
      <c r="L2" s="199"/>
      <c r="M2" s="199"/>
      <c r="N2" s="32"/>
    </row>
    <row r="3" spans="1:14" x14ac:dyDescent="0.25">
      <c r="A3" s="2" t="s">
        <v>1</v>
      </c>
      <c r="B3" s="7">
        <v>5084.1452132457161</v>
      </c>
      <c r="C3" s="7">
        <v>3713</v>
      </c>
      <c r="D3" s="7">
        <f t="shared" ref="D3:D23" si="0">B3-C3</f>
        <v>1371.1452132457161</v>
      </c>
      <c r="F3" s="165" t="s">
        <v>77</v>
      </c>
      <c r="G3" s="94">
        <v>77362.976335094267</v>
      </c>
      <c r="H3" s="94">
        <v>107925</v>
      </c>
      <c r="I3" s="94">
        <f>H3-G3</f>
        <v>30562.023664905733</v>
      </c>
      <c r="J3" s="92">
        <f>H3/G3</f>
        <v>1.395047154500981</v>
      </c>
      <c r="K3" s="174">
        <v>447853599.93778771</v>
      </c>
      <c r="L3" s="174">
        <f>SUM(L4:L7)</f>
        <v>665486033.66666663</v>
      </c>
      <c r="M3" s="96">
        <f>L3-K3</f>
        <v>217632433.72887892</v>
      </c>
      <c r="N3" s="32"/>
    </row>
    <row r="4" spans="1:14" ht="15" customHeight="1" x14ac:dyDescent="0.25">
      <c r="A4" s="2" t="s">
        <v>2</v>
      </c>
      <c r="B4" s="7">
        <v>2064.8777219430485</v>
      </c>
      <c r="C4" s="7">
        <v>1508</v>
      </c>
      <c r="D4" s="7">
        <f t="shared" si="0"/>
        <v>556.87772194304853</v>
      </c>
      <c r="F4" s="175" t="s">
        <v>137</v>
      </c>
      <c r="G4" s="94">
        <v>51198.66082549499</v>
      </c>
      <c r="H4" s="94">
        <v>106662</v>
      </c>
      <c r="I4" s="94">
        <f t="shared" ref="I4:I25" si="1">H4-G4</f>
        <v>55463.33917450501</v>
      </c>
      <c r="J4" s="92"/>
      <c r="K4" s="174">
        <v>311668917.57309628</v>
      </c>
      <c r="L4" s="174">
        <v>661016862</v>
      </c>
      <c r="M4" s="96">
        <f t="shared" ref="M4:M28" si="2">L4-K4</f>
        <v>349347944.42690372</v>
      </c>
    </row>
    <row r="5" spans="1:14" ht="30" customHeight="1" x14ac:dyDescent="0.25">
      <c r="A5" s="2" t="s">
        <v>3</v>
      </c>
      <c r="B5" s="7"/>
      <c r="C5" s="7">
        <v>402</v>
      </c>
      <c r="D5" s="7">
        <f t="shared" si="0"/>
        <v>-402</v>
      </c>
      <c r="F5" s="176" t="s">
        <v>139</v>
      </c>
      <c r="G5" s="94">
        <v>12490.04550959928</v>
      </c>
      <c r="H5" s="94">
        <v>688</v>
      </c>
      <c r="I5" s="94">
        <f t="shared" si="1"/>
        <v>-11802.04550959928</v>
      </c>
      <c r="J5" s="92"/>
      <c r="K5" s="174">
        <v>62216039.194691412</v>
      </c>
      <c r="L5" s="174">
        <v>2741680</v>
      </c>
      <c r="M5" s="96">
        <f t="shared" si="2"/>
        <v>-59474359.194691412</v>
      </c>
    </row>
    <row r="6" spans="1:14" ht="15" customHeight="1" x14ac:dyDescent="0.25">
      <c r="A6" s="2" t="s">
        <v>49</v>
      </c>
      <c r="B6" s="7">
        <v>205.3923463471202</v>
      </c>
      <c r="C6" s="7">
        <v>150</v>
      </c>
      <c r="D6" s="7">
        <f t="shared" si="0"/>
        <v>55.392346347120196</v>
      </c>
      <c r="F6" s="176" t="s">
        <v>141</v>
      </c>
      <c r="G6" s="94">
        <v>11592.27</v>
      </c>
      <c r="H6" s="94">
        <v>575</v>
      </c>
      <c r="I6" s="94">
        <f t="shared" si="1"/>
        <v>-11017.27</v>
      </c>
      <c r="J6" s="92"/>
      <c r="K6" s="174">
        <v>34827043.170000002</v>
      </c>
      <c r="L6" s="174">
        <v>1727491.666666667</v>
      </c>
      <c r="M6" s="96">
        <f t="shared" si="2"/>
        <v>-33099551.503333334</v>
      </c>
    </row>
    <row r="7" spans="1:14" ht="15" customHeight="1" x14ac:dyDescent="0.25">
      <c r="A7" s="2" t="s">
        <v>48</v>
      </c>
      <c r="B7" s="7">
        <v>10076.548511789719</v>
      </c>
      <c r="C7" s="7"/>
      <c r="D7" s="7">
        <f t="shared" si="0"/>
        <v>10076.548511789719</v>
      </c>
      <c r="F7" s="176" t="s">
        <v>143</v>
      </c>
      <c r="G7" s="94">
        <v>2082</v>
      </c>
      <c r="H7" s="94">
        <v>0</v>
      </c>
      <c r="I7" s="94">
        <f t="shared" si="1"/>
        <v>-2082</v>
      </c>
      <c r="J7" s="92"/>
      <c r="K7" s="174">
        <v>39141600</v>
      </c>
      <c r="L7" s="174">
        <v>0</v>
      </c>
      <c r="M7" s="96">
        <f t="shared" si="2"/>
        <v>-39141600</v>
      </c>
    </row>
    <row r="8" spans="1:14" x14ac:dyDescent="0.25">
      <c r="A8" s="2" t="s">
        <v>42</v>
      </c>
      <c r="B8" s="7">
        <v>960</v>
      </c>
      <c r="C8" s="7"/>
      <c r="D8" s="7">
        <f t="shared" si="0"/>
        <v>960</v>
      </c>
      <c r="F8" s="165" t="s">
        <v>103</v>
      </c>
      <c r="G8" s="94">
        <v>16753.156165442597</v>
      </c>
      <c r="H8" s="94">
        <v>7552</v>
      </c>
      <c r="I8" s="94">
        <f t="shared" si="1"/>
        <v>-9201.1561654425968</v>
      </c>
      <c r="J8" s="92">
        <f>H8/G8</f>
        <v>0.45078073202575475</v>
      </c>
      <c r="K8" s="174">
        <v>508886055.87553155</v>
      </c>
      <c r="L8" s="174">
        <f>SUM(L9:L10)</f>
        <v>248962008</v>
      </c>
      <c r="M8" s="96">
        <f t="shared" si="2"/>
        <v>-259924047.87553155</v>
      </c>
    </row>
    <row r="9" spans="1:14" ht="15" customHeight="1" x14ac:dyDescent="0.25">
      <c r="A9" s="2" t="s">
        <v>15</v>
      </c>
      <c r="B9" s="7">
        <v>240</v>
      </c>
      <c r="C9" s="7"/>
      <c r="D9" s="7">
        <f t="shared" si="0"/>
        <v>240</v>
      </c>
      <c r="F9" s="176" t="s">
        <v>145</v>
      </c>
      <c r="G9" s="94">
        <v>3600</v>
      </c>
      <c r="H9" s="94">
        <v>1048</v>
      </c>
      <c r="I9" s="94">
        <f t="shared" si="1"/>
        <v>-2552</v>
      </c>
      <c r="J9" s="92"/>
      <c r="K9" s="174">
        <v>13143600</v>
      </c>
      <c r="L9" s="174">
        <v>3826248</v>
      </c>
      <c r="M9" s="96">
        <f t="shared" si="2"/>
        <v>-9317352</v>
      </c>
    </row>
    <row r="10" spans="1:14" ht="15" customHeight="1" x14ac:dyDescent="0.25">
      <c r="A10" s="2" t="s">
        <v>50</v>
      </c>
      <c r="B10" s="7">
        <v>1200</v>
      </c>
      <c r="C10" s="7"/>
      <c r="D10" s="7">
        <f t="shared" si="0"/>
        <v>1200</v>
      </c>
      <c r="F10" s="176" t="s">
        <v>23</v>
      </c>
      <c r="G10" s="94">
        <v>13153.156165442599</v>
      </c>
      <c r="H10" s="94">
        <v>6504</v>
      </c>
      <c r="I10" s="94">
        <f t="shared" si="1"/>
        <v>-6649.1561654425986</v>
      </c>
      <c r="J10" s="92"/>
      <c r="K10" s="174">
        <v>495742455.87553155</v>
      </c>
      <c r="L10" s="174">
        <v>245135760</v>
      </c>
      <c r="M10" s="96">
        <f t="shared" si="2"/>
        <v>-250606695.87553155</v>
      </c>
    </row>
    <row r="11" spans="1:14" x14ac:dyDescent="0.25">
      <c r="A11" s="2" t="s">
        <v>54</v>
      </c>
      <c r="B11" s="7">
        <v>11827</v>
      </c>
      <c r="C11" s="7">
        <f>SUM(C2:C6)</f>
        <v>7761</v>
      </c>
      <c r="D11" s="7">
        <f t="shared" si="0"/>
        <v>4066</v>
      </c>
      <c r="F11" s="165" t="s">
        <v>102</v>
      </c>
      <c r="G11" s="94">
        <f>SUM(G12:G25)</f>
        <v>146435.56165442601</v>
      </c>
      <c r="H11" s="94">
        <f>SUM(H12:H25)</f>
        <v>41126</v>
      </c>
      <c r="I11" s="94">
        <f t="shared" si="1"/>
        <v>-105309.56165442601</v>
      </c>
      <c r="J11" s="92">
        <f>H11/G11</f>
        <v>0.2808470806910513</v>
      </c>
      <c r="K11" s="96">
        <f>SUM(K12:K25)</f>
        <v>2540742879.5954895</v>
      </c>
      <c r="L11" s="174">
        <f>SUM(L12:L25)</f>
        <v>569230120.73600006</v>
      </c>
      <c r="M11" s="96">
        <f t="shared" si="2"/>
        <v>-1971512758.8594894</v>
      </c>
    </row>
    <row r="12" spans="1:14" ht="30" customHeight="1" x14ac:dyDescent="0.25">
      <c r="A12" s="2" t="s">
        <v>5</v>
      </c>
      <c r="B12" s="7">
        <v>41.381196581196583</v>
      </c>
      <c r="C12" s="7">
        <v>89</v>
      </c>
      <c r="D12" s="7">
        <f t="shared" si="0"/>
        <v>-47.618803418803417</v>
      </c>
      <c r="F12" s="176" t="s">
        <v>150</v>
      </c>
      <c r="G12" s="22"/>
      <c r="H12" s="94"/>
      <c r="I12" s="94"/>
      <c r="J12" s="92"/>
      <c r="K12" s="95"/>
      <c r="L12" s="174"/>
      <c r="M12" s="96">
        <f t="shared" si="2"/>
        <v>0</v>
      </c>
    </row>
    <row r="13" spans="1:14" ht="15" customHeight="1" x14ac:dyDescent="0.25">
      <c r="A13" s="2" t="s">
        <v>6</v>
      </c>
      <c r="B13" s="7">
        <v>1471.6188034188035</v>
      </c>
      <c r="C13" s="7">
        <v>3</v>
      </c>
      <c r="D13" s="7">
        <f t="shared" si="0"/>
        <v>1468.6188034188035</v>
      </c>
      <c r="F13" s="176" t="s">
        <v>184</v>
      </c>
      <c r="G13" s="94">
        <v>13153.156165442599</v>
      </c>
      <c r="H13" s="94">
        <v>8168</v>
      </c>
      <c r="I13" s="94">
        <f t="shared" si="1"/>
        <v>-4985.1561654425986</v>
      </c>
      <c r="J13" s="92"/>
      <c r="K13" s="174">
        <v>253921679.77386937</v>
      </c>
      <c r="L13" s="96">
        <v>155804600</v>
      </c>
      <c r="M13" s="96">
        <f t="shared" si="2"/>
        <v>-98117079.773869365</v>
      </c>
    </row>
    <row r="14" spans="1:14" ht="15" customHeight="1" x14ac:dyDescent="0.25">
      <c r="A14" s="2" t="s">
        <v>52</v>
      </c>
      <c r="B14" s="7">
        <v>1513</v>
      </c>
      <c r="C14" s="7"/>
      <c r="D14" s="7">
        <f t="shared" si="0"/>
        <v>1513</v>
      </c>
      <c r="F14" s="176" t="s">
        <v>185</v>
      </c>
      <c r="G14" s="94">
        <v>13153.156165442599</v>
      </c>
      <c r="H14" s="94">
        <v>1424</v>
      </c>
      <c r="I14" s="94">
        <f t="shared" si="1"/>
        <v>-11729.156165442599</v>
      </c>
      <c r="J14" s="92"/>
      <c r="K14" s="174">
        <v>299260609.07615</v>
      </c>
      <c r="L14" s="96">
        <v>6218608</v>
      </c>
      <c r="M14" s="96">
        <f t="shared" si="2"/>
        <v>-293042001.07615</v>
      </c>
    </row>
    <row r="15" spans="1:14" ht="15" customHeight="1" x14ac:dyDescent="0.25">
      <c r="A15" s="2" t="s">
        <v>43</v>
      </c>
      <c r="B15" s="7">
        <v>455.20000000000005</v>
      </c>
      <c r="C15" s="7">
        <f>$B$17*80%/100%</f>
        <v>455.20000000000005</v>
      </c>
      <c r="D15" s="7">
        <f t="shared" si="0"/>
        <v>0</v>
      </c>
      <c r="F15" s="176" t="s">
        <v>17</v>
      </c>
      <c r="G15" s="94">
        <v>19399.156165442597</v>
      </c>
      <c r="H15" s="94">
        <v>20785</v>
      </c>
      <c r="I15" s="94">
        <f t="shared" si="1"/>
        <v>1385.8438345574032</v>
      </c>
      <c r="J15" s="92"/>
      <c r="K15" s="174">
        <v>222915703.49710089</v>
      </c>
      <c r="L15" s="174">
        <v>238840435</v>
      </c>
      <c r="M15" s="96">
        <f t="shared" si="2"/>
        <v>15924731.50289911</v>
      </c>
    </row>
    <row r="16" spans="1:14" ht="15" customHeight="1" x14ac:dyDescent="0.25">
      <c r="A16" s="2" t="s">
        <v>16</v>
      </c>
      <c r="B16" s="7">
        <v>113.80000000000001</v>
      </c>
      <c r="C16" s="7">
        <f>$B$17*20%/100%</f>
        <v>113.80000000000001</v>
      </c>
      <c r="D16" s="7">
        <f t="shared" si="0"/>
        <v>0</v>
      </c>
      <c r="F16" s="176" t="s">
        <v>18</v>
      </c>
      <c r="G16" s="94"/>
      <c r="H16" s="94"/>
      <c r="I16" s="94"/>
      <c r="J16" s="92"/>
      <c r="K16" s="95"/>
      <c r="L16" s="174"/>
      <c r="M16" s="96">
        <f t="shared" si="2"/>
        <v>0</v>
      </c>
    </row>
    <row r="17" spans="1:13" ht="15" customHeight="1" x14ac:dyDescent="0.25">
      <c r="A17" s="2" t="s">
        <v>51</v>
      </c>
      <c r="B17" s="7">
        <v>569</v>
      </c>
      <c r="C17" s="7">
        <v>262</v>
      </c>
      <c r="D17" s="7">
        <f t="shared" si="0"/>
        <v>307</v>
      </c>
      <c r="F17" s="176" t="s">
        <v>186</v>
      </c>
      <c r="G17" s="94">
        <v>13153.156165442599</v>
      </c>
      <c r="H17" s="94">
        <v>2107</v>
      </c>
      <c r="I17" s="94">
        <f t="shared" si="1"/>
        <v>-11046.156165442599</v>
      </c>
      <c r="J17" s="92"/>
      <c r="K17" s="174">
        <v>253921679.77386937</v>
      </c>
      <c r="L17" s="96">
        <v>40675635</v>
      </c>
      <c r="M17" s="96">
        <f t="shared" si="2"/>
        <v>-213246044.77386937</v>
      </c>
    </row>
    <row r="18" spans="1:13" ht="15.75" customHeight="1" x14ac:dyDescent="0.25">
      <c r="A18" s="2" t="s">
        <v>56</v>
      </c>
      <c r="B18" s="7">
        <v>2082</v>
      </c>
      <c r="C18" s="7">
        <f>SUM(C12:C13)</f>
        <v>92</v>
      </c>
      <c r="D18" s="7">
        <f t="shared" si="0"/>
        <v>1990</v>
      </c>
      <c r="F18" s="176" t="s">
        <v>187</v>
      </c>
      <c r="G18" s="94">
        <v>13153.156165442599</v>
      </c>
      <c r="H18" s="94">
        <v>793</v>
      </c>
      <c r="I18" s="94">
        <f t="shared" si="1"/>
        <v>-12360.156165442599</v>
      </c>
      <c r="J18" s="92"/>
      <c r="K18" s="174">
        <v>299260609.07615</v>
      </c>
      <c r="L18" s="96">
        <v>18042336</v>
      </c>
      <c r="M18" s="96">
        <f t="shared" si="2"/>
        <v>-281218273.07615</v>
      </c>
    </row>
    <row r="19" spans="1:13" ht="15" customHeight="1" x14ac:dyDescent="0.25">
      <c r="A19" s="2" t="s">
        <v>58</v>
      </c>
      <c r="B19" s="7"/>
      <c r="C19" s="7"/>
      <c r="D19" s="7">
        <f t="shared" si="0"/>
        <v>0</v>
      </c>
      <c r="F19" s="176" t="s">
        <v>188</v>
      </c>
      <c r="G19" s="94">
        <v>13153.156165442599</v>
      </c>
      <c r="H19" s="94">
        <v>1349</v>
      </c>
      <c r="I19" s="94">
        <f t="shared" si="1"/>
        <v>-11804.156165442599</v>
      </c>
      <c r="J19" s="92"/>
      <c r="K19" s="174">
        <v>308323133.67413998</v>
      </c>
      <c r="L19" s="96">
        <v>31621909</v>
      </c>
      <c r="M19" s="96">
        <f t="shared" si="2"/>
        <v>-276701224.67413998</v>
      </c>
    </row>
    <row r="20" spans="1:13" ht="15" customHeight="1" x14ac:dyDescent="0.25">
      <c r="A20" s="2" t="s">
        <v>59</v>
      </c>
      <c r="B20" s="7"/>
      <c r="C20" s="7"/>
      <c r="D20" s="7">
        <f t="shared" si="0"/>
        <v>0</v>
      </c>
      <c r="F20" s="176" t="s">
        <v>189</v>
      </c>
      <c r="G20" s="94">
        <v>13153.156165442599</v>
      </c>
      <c r="H20" s="94">
        <v>1892</v>
      </c>
      <c r="I20" s="94">
        <f t="shared" si="1"/>
        <v>-11261.156165442599</v>
      </c>
      <c r="J20" s="92"/>
      <c r="K20" s="174">
        <v>169278594.44326249</v>
      </c>
      <c r="L20" s="174">
        <v>24349676.736000001</v>
      </c>
      <c r="M20" s="96">
        <f t="shared" si="2"/>
        <v>-144928917.70726249</v>
      </c>
    </row>
    <row r="21" spans="1:13" ht="15" customHeight="1" x14ac:dyDescent="0.25">
      <c r="A21" s="2" t="s">
        <v>86</v>
      </c>
      <c r="B21" s="7"/>
      <c r="C21" s="7">
        <v>2573</v>
      </c>
      <c r="D21" s="7">
        <f t="shared" si="0"/>
        <v>-2573</v>
      </c>
      <c r="F21" s="176" t="s">
        <v>20</v>
      </c>
      <c r="G21" s="94">
        <v>13153.156165442599</v>
      </c>
      <c r="H21" s="94">
        <v>2477</v>
      </c>
      <c r="I21" s="94">
        <f t="shared" si="1"/>
        <v>-10676.156165442599</v>
      </c>
      <c r="J21" s="92"/>
      <c r="K21" s="174">
        <v>160205442.09509084</v>
      </c>
      <c r="L21" s="174">
        <v>30169860</v>
      </c>
      <c r="M21" s="96">
        <f t="shared" si="2"/>
        <v>-130035582.09509084</v>
      </c>
    </row>
    <row r="22" spans="1:13" ht="33" customHeight="1" x14ac:dyDescent="0.25">
      <c r="A22" s="153" t="s">
        <v>29</v>
      </c>
      <c r="B22" s="7">
        <v>330.33</v>
      </c>
      <c r="C22" s="7"/>
      <c r="D22" s="7">
        <f t="shared" si="0"/>
        <v>330.33</v>
      </c>
      <c r="F22" s="176" t="s">
        <v>78</v>
      </c>
      <c r="G22" s="94">
        <v>13153.156165442599</v>
      </c>
      <c r="H22" s="94">
        <v>2131</v>
      </c>
      <c r="I22" s="94">
        <f t="shared" si="1"/>
        <v>-11022.156165442599</v>
      </c>
      <c r="J22" s="92"/>
      <c r="K22" s="174">
        <v>145092465.6609973</v>
      </c>
      <c r="L22" s="174">
        <v>23507061</v>
      </c>
      <c r="M22" s="96">
        <f t="shared" si="2"/>
        <v>-121585404.6609973</v>
      </c>
    </row>
    <row r="23" spans="1:13" ht="45.75" customHeight="1" x14ac:dyDescent="0.25">
      <c r="A23" s="153" t="s">
        <v>94</v>
      </c>
      <c r="B23" s="7">
        <v>9179.94</v>
      </c>
      <c r="C23" s="7"/>
      <c r="D23" s="7">
        <f t="shared" si="0"/>
        <v>9179.94</v>
      </c>
      <c r="F23" s="176" t="s">
        <v>44</v>
      </c>
      <c r="G23" s="94">
        <v>13153.156165442599</v>
      </c>
      <c r="H23" s="94">
        <v>0</v>
      </c>
      <c r="I23" s="94">
        <f t="shared" si="1"/>
        <v>-13153.156165442599</v>
      </c>
      <c r="J23" s="92"/>
      <c r="K23" s="96">
        <v>259406545.8948589</v>
      </c>
      <c r="L23" s="174">
        <v>0</v>
      </c>
      <c r="M23" s="96">
        <f t="shared" si="2"/>
        <v>-259406545.8948589</v>
      </c>
    </row>
    <row r="24" spans="1:13" ht="15" customHeight="1" x14ac:dyDescent="0.25">
      <c r="A24" s="2" t="s">
        <v>57</v>
      </c>
      <c r="B24" s="7">
        <v>13909</v>
      </c>
      <c r="C24" s="7">
        <f>SUM(C11+C18+C21)</f>
        <v>10426</v>
      </c>
      <c r="D24" s="154">
        <f t="shared" ref="D24" si="3">B24-C24</f>
        <v>3483</v>
      </c>
      <c r="F24" s="176" t="s">
        <v>167</v>
      </c>
      <c r="G24" s="94">
        <v>8328</v>
      </c>
      <c r="H24" s="94">
        <v>0</v>
      </c>
      <c r="I24" s="94">
        <f t="shared" si="1"/>
        <v>-8328</v>
      </c>
      <c r="J24" s="92"/>
      <c r="K24" s="96">
        <v>162579216.00000003</v>
      </c>
      <c r="L24" s="174">
        <v>0</v>
      </c>
      <c r="M24" s="96">
        <f t="shared" si="2"/>
        <v>-162579216.00000003</v>
      </c>
    </row>
    <row r="25" spans="1:13" ht="15" customHeight="1" x14ac:dyDescent="0.25">
      <c r="F25" s="176" t="s">
        <v>31</v>
      </c>
      <c r="G25" s="94">
        <v>330</v>
      </c>
      <c r="H25" s="94">
        <v>0</v>
      </c>
      <c r="I25" s="94">
        <f t="shared" si="1"/>
        <v>-330</v>
      </c>
      <c r="J25" s="92"/>
      <c r="K25" s="96">
        <v>6577200.6299999999</v>
      </c>
      <c r="L25" s="174">
        <v>0</v>
      </c>
      <c r="M25" s="96">
        <f t="shared" si="2"/>
        <v>-6577200.6299999999</v>
      </c>
    </row>
    <row r="26" spans="1:13" s="32" customFormat="1" ht="15" customHeight="1" x14ac:dyDescent="0.25">
      <c r="F26" s="146" t="s">
        <v>112</v>
      </c>
      <c r="G26" s="94"/>
      <c r="H26" s="94"/>
      <c r="I26" s="94"/>
      <c r="J26" s="92"/>
      <c r="K26" s="174">
        <v>5194941087</v>
      </c>
      <c r="L26" s="174">
        <v>5194941087</v>
      </c>
      <c r="M26" s="96">
        <f t="shared" si="2"/>
        <v>0</v>
      </c>
    </row>
    <row r="27" spans="1:13" ht="15" customHeight="1" x14ac:dyDescent="0.25">
      <c r="F27" s="146" t="s">
        <v>104</v>
      </c>
      <c r="G27" s="158"/>
      <c r="H27" s="158"/>
      <c r="I27" s="158"/>
      <c r="J27" s="150"/>
      <c r="K27" s="158"/>
      <c r="L27" s="180">
        <v>19808269</v>
      </c>
      <c r="M27" s="96">
        <f t="shared" si="2"/>
        <v>19808269</v>
      </c>
    </row>
    <row r="28" spans="1:13" x14ac:dyDescent="0.25">
      <c r="F28" s="181" t="s">
        <v>232</v>
      </c>
      <c r="G28" s="158"/>
      <c r="H28" s="158"/>
      <c r="I28" s="158"/>
      <c r="J28" s="150"/>
      <c r="K28" s="158"/>
      <c r="L28" s="179">
        <v>3487638450</v>
      </c>
      <c r="M28" s="96">
        <f t="shared" si="2"/>
        <v>3487638450</v>
      </c>
    </row>
    <row r="29" spans="1:13" x14ac:dyDescent="0.25">
      <c r="F29" s="165" t="s">
        <v>235</v>
      </c>
      <c r="G29" s="33"/>
      <c r="H29" s="33"/>
      <c r="I29" s="33"/>
      <c r="J29" s="182"/>
      <c r="K29" s="33"/>
      <c r="L29" s="183">
        <f>L27+L28</f>
        <v>3507446719</v>
      </c>
      <c r="M29" s="183">
        <f>M27+M28</f>
        <v>3507446719</v>
      </c>
    </row>
    <row r="30" spans="1:13" x14ac:dyDescent="0.25">
      <c r="F30" s="146" t="s">
        <v>236</v>
      </c>
      <c r="G30" s="94">
        <f>SUM(G3+G8+G11)</f>
        <v>240551.69415496287</v>
      </c>
      <c r="H30" s="94">
        <f>H3+H8+H11+H27+H28</f>
        <v>156603</v>
      </c>
      <c r="I30" s="94">
        <f>H30-G30</f>
        <v>-83948.694154962868</v>
      </c>
      <c r="J30" s="92">
        <f>H30/G30</f>
        <v>0.65101599284150835</v>
      </c>
      <c r="K30" s="174">
        <f>K3+K8+K11+K26+K27+K28</f>
        <v>8692423622.4088097</v>
      </c>
      <c r="L30" s="174">
        <f t="shared" ref="L30:M30" si="4">L3+L8+L11+L26+L27+L28</f>
        <v>10186065968.402666</v>
      </c>
      <c r="M30" s="174">
        <f t="shared" si="4"/>
        <v>1493642345.9938579</v>
      </c>
    </row>
    <row r="31" spans="1:13" x14ac:dyDescent="0.25">
      <c r="K31" s="18">
        <f>K3+K8+K11+K26</f>
        <v>8692423622.4088097</v>
      </c>
      <c r="L31" s="178">
        <f>L3+L8+L11+L26</f>
        <v>6678619249.4026661</v>
      </c>
      <c r="M31" s="174">
        <f>K31-L31</f>
        <v>2013804373.0061436</v>
      </c>
    </row>
    <row r="32" spans="1:13" x14ac:dyDescent="0.25">
      <c r="K32" s="18">
        <v>2548685160</v>
      </c>
    </row>
    <row r="33" spans="11:13" x14ac:dyDescent="0.25">
      <c r="K33" s="32">
        <v>15270</v>
      </c>
      <c r="L33">
        <v>13909</v>
      </c>
      <c r="M33" s="18">
        <f>(K33*12)*L33</f>
        <v>2548685160</v>
      </c>
    </row>
    <row r="34" spans="11:13" x14ac:dyDescent="0.25">
      <c r="K34" s="178">
        <f>K31-K32</f>
        <v>6143738462.4088097</v>
      </c>
    </row>
  </sheetData>
  <mergeCells count="8">
    <mergeCell ref="M1:M2"/>
    <mergeCell ref="F1:F2"/>
    <mergeCell ref="H1:H2"/>
    <mergeCell ref="L1:L2"/>
    <mergeCell ref="G1:G2"/>
    <mergeCell ref="K1:K2"/>
    <mergeCell ref="I1:I2"/>
    <mergeCell ref="J1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CARACTERIZACIÓN SAVIASALUD</vt:lpstr>
      <vt:lpstr>PROYECCIÓN SAVIASALUD</vt:lpstr>
      <vt:lpstr>COSTOS REALES SAVIASALUD</vt:lpstr>
      <vt:lpstr>ANALISIS COMPARATIVO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2017-04-11T15:20:07Z</dcterms:created>
  <dcterms:modified xsi:type="dcterms:W3CDTF">2017-07-16T22:59:00Z</dcterms:modified>
</cp:coreProperties>
</file>