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485"/>
  </bookViews>
  <sheets>
    <sheet name="CARACTERIZACIÓN DLS" sheetId="2" r:id="rId1"/>
    <sheet name="PROYECCIÓN DLS" sheetId="1" r:id="rId2"/>
    <sheet name="COSTOS REALES DLS" sheetId="3" r:id="rId3"/>
    <sheet name="COMPARATIVO DLS" sheetId="4" r:id="rId4"/>
  </sheets>
  <definedNames>
    <definedName name="_xlnm._FilterDatabase" localSheetId="2" hidden="1">'COSTOS REALES DLS'!$A$1:$BJ$27</definedName>
  </definedNames>
  <calcPr calcId="144525"/>
</workbook>
</file>

<file path=xl/calcChain.xml><?xml version="1.0" encoding="utf-8"?>
<calcChain xmlns="http://schemas.openxmlformats.org/spreadsheetml/2006/main">
  <c r="L28" i="4" l="1"/>
  <c r="M26" i="4"/>
  <c r="M27" i="4"/>
  <c r="M25" i="4"/>
  <c r="M28" i="4" l="1"/>
  <c r="J12" i="4"/>
  <c r="J13" i="4"/>
  <c r="J14" i="4"/>
  <c r="J16" i="4"/>
  <c r="J17" i="4"/>
  <c r="J18" i="4"/>
  <c r="J19" i="4"/>
  <c r="J20" i="4"/>
  <c r="J21" i="4"/>
  <c r="J22" i="4"/>
  <c r="J23" i="4"/>
  <c r="J3" i="4"/>
  <c r="J4" i="4"/>
  <c r="J5" i="4"/>
  <c r="J6" i="4"/>
  <c r="J7" i="4"/>
  <c r="J8" i="4"/>
  <c r="J9" i="4"/>
  <c r="J2" i="4"/>
  <c r="C55" i="3"/>
  <c r="B87" i="3"/>
  <c r="G51" i="3" l="1"/>
  <c r="G52" i="3"/>
  <c r="G53" i="3"/>
  <c r="I56" i="3"/>
  <c r="J56" i="3"/>
  <c r="K56" i="3" s="1"/>
  <c r="E56" i="3"/>
  <c r="F56" i="3"/>
  <c r="G56" i="3" s="1"/>
  <c r="H10" i="4"/>
  <c r="L10" i="4"/>
  <c r="L29" i="4" s="1"/>
  <c r="M3" i="4"/>
  <c r="M4" i="4"/>
  <c r="M5" i="4"/>
  <c r="M6" i="4"/>
  <c r="M7" i="4"/>
  <c r="M8" i="4"/>
  <c r="M9" i="4"/>
  <c r="M14" i="4"/>
  <c r="M20" i="4"/>
  <c r="M21" i="4"/>
  <c r="M22" i="4"/>
  <c r="M23" i="4"/>
  <c r="M24" i="4"/>
  <c r="M2" i="4"/>
  <c r="H29" i="4" l="1"/>
  <c r="I17" i="4"/>
  <c r="I18" i="4"/>
  <c r="I19" i="4"/>
  <c r="I20" i="4"/>
  <c r="I21" i="4"/>
  <c r="I22" i="4"/>
  <c r="I23" i="4"/>
  <c r="I24" i="4"/>
  <c r="I16" i="4"/>
  <c r="I13" i="4"/>
  <c r="I14" i="4"/>
  <c r="I3" i="4"/>
  <c r="I4" i="4"/>
  <c r="I5" i="4"/>
  <c r="I6" i="4"/>
  <c r="I7" i="4"/>
  <c r="I8" i="4"/>
  <c r="I9" i="4"/>
  <c r="I2" i="4"/>
  <c r="I12" i="4"/>
  <c r="O19" i="3"/>
  <c r="O8" i="3"/>
  <c r="G20" i="3"/>
  <c r="G10" i="4" l="1"/>
  <c r="D3" i="4"/>
  <c r="D4" i="4"/>
  <c r="D5" i="4"/>
  <c r="D6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" i="4"/>
  <c r="B24" i="4"/>
  <c r="D24" i="4" s="1"/>
  <c r="B7" i="4"/>
  <c r="D7" i="4" s="1"/>
  <c r="C19" i="1"/>
  <c r="C18" i="1"/>
  <c r="C17" i="1"/>
  <c r="C16" i="1"/>
  <c r="C15" i="1"/>
  <c r="C14" i="1"/>
  <c r="C12" i="1"/>
  <c r="C11" i="1"/>
  <c r="C10" i="1"/>
  <c r="B26" i="1"/>
  <c r="C24" i="1" s="1"/>
  <c r="B9" i="1"/>
  <c r="C6" i="1" s="1"/>
  <c r="I10" i="4" l="1"/>
  <c r="I29" i="4" s="1"/>
  <c r="G29" i="4"/>
  <c r="J29" i="4" s="1"/>
  <c r="J10" i="4"/>
  <c r="C13" i="1"/>
  <c r="C25" i="1"/>
  <c r="C20" i="1"/>
  <c r="C8" i="1"/>
  <c r="C9" i="1"/>
  <c r="C4" i="1"/>
  <c r="C5" i="1"/>
  <c r="A33" i="1"/>
  <c r="J57" i="3" l="1"/>
  <c r="I57" i="3"/>
  <c r="F57" i="3"/>
  <c r="E57" i="3"/>
  <c r="A53" i="3"/>
  <c r="A52" i="3"/>
  <c r="A51" i="3"/>
  <c r="K50" i="3"/>
  <c r="G50" i="3"/>
  <c r="D50" i="3"/>
  <c r="H50" i="3" s="1"/>
  <c r="A50" i="3"/>
  <c r="K49" i="3"/>
  <c r="G49" i="3"/>
  <c r="D49" i="3"/>
  <c r="H49" i="3" s="1"/>
  <c r="A49" i="3"/>
  <c r="K48" i="3"/>
  <c r="G48" i="3"/>
  <c r="D48" i="3"/>
  <c r="K47" i="3"/>
  <c r="G47" i="3"/>
  <c r="D47" i="3"/>
  <c r="B47" i="3"/>
  <c r="K46" i="3"/>
  <c r="G46" i="3"/>
  <c r="D46" i="3"/>
  <c r="H46" i="3" s="1"/>
  <c r="K45" i="3"/>
  <c r="G45" i="3"/>
  <c r="D45" i="3"/>
  <c r="A44" i="3"/>
  <c r="K43" i="3"/>
  <c r="G43" i="3"/>
  <c r="D43" i="3"/>
  <c r="H43" i="3" s="1"/>
  <c r="A43" i="3"/>
  <c r="G42" i="3"/>
  <c r="D42" i="3"/>
  <c r="K13" i="4" s="1"/>
  <c r="M13" i="4" s="1"/>
  <c r="G41" i="3"/>
  <c r="D41" i="3"/>
  <c r="A40" i="3"/>
  <c r="K38" i="3"/>
  <c r="G38" i="3"/>
  <c r="D38" i="3"/>
  <c r="L38" i="3" s="1"/>
  <c r="A38" i="3"/>
  <c r="G37" i="3"/>
  <c r="D37" i="3"/>
  <c r="H37" i="3" s="1"/>
  <c r="A37" i="3"/>
  <c r="C35" i="3"/>
  <c r="B35" i="3"/>
  <c r="A35" i="3"/>
  <c r="A34" i="3"/>
  <c r="A33" i="3"/>
  <c r="A32" i="3"/>
  <c r="BI27" i="3"/>
  <c r="B53" i="3" s="1"/>
  <c r="BG27" i="3"/>
  <c r="C52" i="3" s="1"/>
  <c r="BF27" i="3"/>
  <c r="B52" i="3" s="1"/>
  <c r="BD27" i="3"/>
  <c r="C51" i="3" s="1"/>
  <c r="BC27" i="3"/>
  <c r="B51" i="3" s="1"/>
  <c r="AZ27" i="3"/>
  <c r="B38" i="3" s="1"/>
  <c r="AW27" i="3"/>
  <c r="B50" i="3" s="1"/>
  <c r="AT27" i="3"/>
  <c r="B49" i="3" s="1"/>
  <c r="AP27" i="3"/>
  <c r="B48" i="3" s="1"/>
  <c r="AO27" i="3"/>
  <c r="AM27" i="3"/>
  <c r="AJ27" i="3"/>
  <c r="B46" i="3" s="1"/>
  <c r="AG27" i="3"/>
  <c r="B45" i="3" s="1"/>
  <c r="AD27" i="3"/>
  <c r="B43" i="3" s="1"/>
  <c r="Z27" i="3"/>
  <c r="B41" i="3" s="1"/>
  <c r="W27" i="3"/>
  <c r="B42" i="3" s="1"/>
  <c r="T27" i="3"/>
  <c r="B37" i="3" s="1"/>
  <c r="M27" i="3"/>
  <c r="B34" i="3" s="1"/>
  <c r="I27" i="3"/>
  <c r="B33" i="3" s="1"/>
  <c r="E27" i="3"/>
  <c r="B32" i="3" s="1"/>
  <c r="BJ23" i="3"/>
  <c r="BJ27" i="3" s="1"/>
  <c r="C53" i="3" s="1"/>
  <c r="C22" i="3"/>
  <c r="G21" i="3"/>
  <c r="BA19" i="3"/>
  <c r="AX19" i="3"/>
  <c r="AU19" i="3"/>
  <c r="AQ19" i="3"/>
  <c r="AN19" i="3"/>
  <c r="C47" i="3" s="1"/>
  <c r="AK19" i="3"/>
  <c r="AH19" i="3"/>
  <c r="AE19" i="3"/>
  <c r="C19" i="3"/>
  <c r="G18" i="3"/>
  <c r="O15" i="3"/>
  <c r="G15" i="3"/>
  <c r="C14" i="3"/>
  <c r="C13" i="3"/>
  <c r="BA12" i="3"/>
  <c r="AX12" i="3"/>
  <c r="AX27" i="3" s="1"/>
  <c r="C50" i="3" s="1"/>
  <c r="AU12" i="3"/>
  <c r="AQ12" i="3"/>
  <c r="AN12" i="3"/>
  <c r="AK12" i="3"/>
  <c r="AK27" i="3" s="1"/>
  <c r="C46" i="3" s="1"/>
  <c r="AH12" i="3"/>
  <c r="AE12" i="3"/>
  <c r="AA12" i="3"/>
  <c r="AA27" i="3" s="1"/>
  <c r="C41" i="3" s="1"/>
  <c r="X12" i="3"/>
  <c r="AB12" i="3" s="1"/>
  <c r="AB27" i="3" s="1"/>
  <c r="C40" i="3" s="1"/>
  <c r="U12" i="3"/>
  <c r="U27" i="3" s="1"/>
  <c r="C37" i="3" s="1"/>
  <c r="C12" i="3"/>
  <c r="O11" i="3"/>
  <c r="G11" i="3"/>
  <c r="K8" i="3"/>
  <c r="K27" i="3" s="1"/>
  <c r="C33" i="3" s="1"/>
  <c r="G8" i="3"/>
  <c r="C7" i="3"/>
  <c r="C6" i="3"/>
  <c r="C5" i="3"/>
  <c r="C4" i="3"/>
  <c r="C3" i="3"/>
  <c r="AH27" i="3" l="1"/>
  <c r="C45" i="3" s="1"/>
  <c r="AU27" i="3"/>
  <c r="C49" i="3" s="1"/>
  <c r="BA27" i="3"/>
  <c r="C38" i="3" s="1"/>
  <c r="C36" i="3" s="1"/>
  <c r="AE27" i="3"/>
  <c r="C43" i="3" s="1"/>
  <c r="B36" i="3"/>
  <c r="H45" i="3"/>
  <c r="K16" i="4"/>
  <c r="M16" i="4" s="1"/>
  <c r="L47" i="3"/>
  <c r="K18" i="4"/>
  <c r="M18" i="4" s="1"/>
  <c r="AQ27" i="3"/>
  <c r="C48" i="3" s="1"/>
  <c r="H38" i="3"/>
  <c r="L46" i="3"/>
  <c r="K17" i="4"/>
  <c r="M17" i="4" s="1"/>
  <c r="L49" i="3"/>
  <c r="L48" i="3"/>
  <c r="K19" i="4"/>
  <c r="M19" i="4" s="1"/>
  <c r="AN27" i="3"/>
  <c r="AR19" i="3"/>
  <c r="H41" i="3"/>
  <c r="H56" i="3" s="1"/>
  <c r="K12" i="4"/>
  <c r="M12" i="4" s="1"/>
  <c r="H42" i="3"/>
  <c r="H47" i="3"/>
  <c r="O27" i="3"/>
  <c r="C34" i="3" s="1"/>
  <c r="B31" i="3"/>
  <c r="G27" i="3"/>
  <c r="C32" i="3" s="1"/>
  <c r="G57" i="3"/>
  <c r="K57" i="3"/>
  <c r="B39" i="3"/>
  <c r="H48" i="3"/>
  <c r="AR12" i="3"/>
  <c r="AR27" i="3" s="1"/>
  <c r="L43" i="3"/>
  <c r="L45" i="3"/>
  <c r="L50" i="3"/>
  <c r="X27" i="3"/>
  <c r="C42" i="3" s="1"/>
  <c r="C39" i="3" s="1"/>
  <c r="C28" i="2"/>
  <c r="C29" i="2"/>
  <c r="C30" i="2"/>
  <c r="C31" i="2"/>
  <c r="C32" i="2"/>
  <c r="C33" i="2"/>
  <c r="C34" i="2"/>
  <c r="C27" i="2"/>
  <c r="L56" i="3" l="1"/>
  <c r="M56" i="3" s="1"/>
  <c r="H57" i="3"/>
  <c r="K10" i="4"/>
  <c r="K29" i="4" s="1"/>
  <c r="L57" i="3"/>
  <c r="C31" i="3"/>
  <c r="C57" i="3" s="1"/>
  <c r="G17" i="2"/>
  <c r="G19" i="2"/>
  <c r="G20" i="2"/>
  <c r="G14" i="2"/>
  <c r="G10" i="2"/>
  <c r="G7" i="2"/>
  <c r="C21" i="2"/>
  <c r="E24" i="2"/>
  <c r="F24" i="2"/>
  <c r="B9" i="2"/>
  <c r="G9" i="2" s="1"/>
  <c r="B8" i="2"/>
  <c r="G8" i="2" s="1"/>
  <c r="B16" i="2"/>
  <c r="G16" i="2" s="1"/>
  <c r="B15" i="2"/>
  <c r="G15" i="2" s="1"/>
  <c r="B18" i="2"/>
  <c r="G18" i="2" s="1"/>
  <c r="B21" i="2"/>
  <c r="G21" i="2" s="1"/>
  <c r="C7" i="2"/>
  <c r="D3" i="2" s="1"/>
  <c r="M10" i="4" l="1"/>
  <c r="M29" i="4" s="1"/>
  <c r="D6" i="2"/>
  <c r="D5" i="2"/>
  <c r="C11" i="2"/>
  <c r="C24" i="2" s="1"/>
  <c r="D4" i="2"/>
  <c r="D2" i="2"/>
  <c r="B11" i="2"/>
  <c r="F3" i="2"/>
  <c r="G3" i="2" s="1"/>
  <c r="F4" i="2"/>
  <c r="F5" i="2"/>
  <c r="F6" i="2"/>
  <c r="G6" i="2" s="1"/>
  <c r="F2" i="2"/>
  <c r="G2" i="2" s="1"/>
  <c r="G4" i="2" l="1"/>
  <c r="G5" i="2"/>
  <c r="B24" i="2"/>
  <c r="B35" i="2" s="1"/>
  <c r="C35" i="2" s="1"/>
  <c r="G11" i="2"/>
  <c r="G24" i="2" s="1"/>
  <c r="Y11" i="1"/>
  <c r="Y10" i="1"/>
  <c r="I4" i="1"/>
  <c r="AC28" i="1" l="1"/>
  <c r="U28" i="1"/>
  <c r="R28" i="1"/>
  <c r="P28" i="1"/>
  <c r="M28" i="1"/>
  <c r="K28" i="1"/>
  <c r="H28" i="1"/>
  <c r="F28" i="1"/>
  <c r="L5" i="1"/>
  <c r="L4" i="1"/>
  <c r="BL24" i="1"/>
  <c r="BL28" i="1" s="1"/>
  <c r="B47" i="1" s="1"/>
  <c r="BI15" i="1"/>
  <c r="BI17" i="1"/>
  <c r="BI18" i="1"/>
  <c r="BI21" i="1"/>
  <c r="BI22" i="1"/>
  <c r="BI14" i="1"/>
  <c r="BE5" i="1"/>
  <c r="BE6" i="1"/>
  <c r="BE7" i="1"/>
  <c r="BE10" i="1"/>
  <c r="BE11" i="1"/>
  <c r="BE14" i="1"/>
  <c r="BE15" i="1"/>
  <c r="BE17" i="1"/>
  <c r="BE18" i="1"/>
  <c r="BE21" i="1"/>
  <c r="BE22" i="1"/>
  <c r="BE4" i="1"/>
  <c r="BA5" i="1"/>
  <c r="BA6" i="1"/>
  <c r="BA7" i="1"/>
  <c r="BA10" i="1"/>
  <c r="BA11" i="1"/>
  <c r="BA14" i="1"/>
  <c r="BA15" i="1"/>
  <c r="BA17" i="1"/>
  <c r="BA18" i="1"/>
  <c r="BA21" i="1"/>
  <c r="BA22" i="1"/>
  <c r="BA4" i="1"/>
  <c r="AW5" i="1"/>
  <c r="AW6" i="1"/>
  <c r="AW7" i="1"/>
  <c r="AW10" i="1"/>
  <c r="AW11" i="1"/>
  <c r="AW14" i="1"/>
  <c r="AW15" i="1"/>
  <c r="AW17" i="1"/>
  <c r="AW18" i="1"/>
  <c r="AW21" i="1"/>
  <c r="AW22" i="1"/>
  <c r="AW4" i="1"/>
  <c r="AS5" i="1"/>
  <c r="AS6" i="1"/>
  <c r="AS7" i="1"/>
  <c r="AS10" i="1"/>
  <c r="AS11" i="1"/>
  <c r="AS14" i="1"/>
  <c r="AS15" i="1"/>
  <c r="AS17" i="1"/>
  <c r="AS18" i="1"/>
  <c r="AS21" i="1"/>
  <c r="AS22" i="1"/>
  <c r="AS4" i="1"/>
  <c r="AO5" i="1"/>
  <c r="AO6" i="1"/>
  <c r="AO7" i="1"/>
  <c r="AO10" i="1"/>
  <c r="AO11" i="1"/>
  <c r="AO14" i="1"/>
  <c r="AO15" i="1"/>
  <c r="AO17" i="1"/>
  <c r="AO18" i="1"/>
  <c r="AO21" i="1"/>
  <c r="AO22" i="1"/>
  <c r="AO4" i="1"/>
  <c r="AH5" i="1"/>
  <c r="AH6" i="1"/>
  <c r="AH7" i="1"/>
  <c r="AH10" i="1"/>
  <c r="AH11" i="1"/>
  <c r="AH14" i="1"/>
  <c r="AH15" i="1"/>
  <c r="AH17" i="1"/>
  <c r="AH18" i="1"/>
  <c r="AH21" i="1"/>
  <c r="AH22" i="1"/>
  <c r="AH4" i="1"/>
  <c r="AD21" i="1"/>
  <c r="AD22" i="1"/>
  <c r="AD15" i="1"/>
  <c r="AD17" i="1"/>
  <c r="AD18" i="1"/>
  <c r="AD11" i="1"/>
  <c r="AD14" i="1"/>
  <c r="AD10" i="1"/>
  <c r="AD5" i="1"/>
  <c r="AD6" i="1"/>
  <c r="AD7" i="1"/>
  <c r="AD4" i="1"/>
  <c r="Y22" i="1"/>
  <c r="AH28" i="1" l="1"/>
  <c r="B41" i="1" s="1"/>
  <c r="L28" i="1"/>
  <c r="B33" i="1" s="1"/>
  <c r="BI28" i="1"/>
  <c r="B46" i="1" s="1"/>
  <c r="BE28" i="1"/>
  <c r="B45" i="1" s="1"/>
  <c r="BA28" i="1"/>
  <c r="B38" i="1" s="1"/>
  <c r="AW28" i="1"/>
  <c r="B44" i="1" s="1"/>
  <c r="AS28" i="1"/>
  <c r="B43" i="1" s="1"/>
  <c r="AO28" i="1"/>
  <c r="B42" i="1" s="1"/>
  <c r="AD28" i="1"/>
  <c r="B40" i="1" s="1"/>
  <c r="Y28" i="1"/>
  <c r="B37" i="1" s="1"/>
  <c r="B36" i="1" s="1"/>
  <c r="V15" i="1"/>
  <c r="V17" i="1"/>
  <c r="V18" i="1"/>
  <c r="V22" i="1"/>
  <c r="V14" i="1"/>
  <c r="Q24" i="1"/>
  <c r="Q22" i="1"/>
  <c r="Q17" i="1"/>
  <c r="Q18" i="1"/>
  <c r="Q15" i="1"/>
  <c r="Q1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4" i="1"/>
  <c r="B39" i="1" l="1"/>
  <c r="C38" i="1"/>
  <c r="C42" i="1"/>
  <c r="C45" i="1"/>
  <c r="V28" i="1"/>
  <c r="B35" i="1" s="1"/>
  <c r="A47" i="1"/>
  <c r="A46" i="1"/>
  <c r="A45" i="1"/>
  <c r="A38" i="1"/>
  <c r="A44" i="1"/>
  <c r="A43" i="1"/>
  <c r="A42" i="1"/>
  <c r="A41" i="1"/>
  <c r="A40" i="1"/>
  <c r="A37" i="1"/>
  <c r="A35" i="1"/>
  <c r="A34" i="1"/>
  <c r="A32" i="1"/>
  <c r="J28" i="1"/>
  <c r="O28" i="1"/>
  <c r="T28" i="1"/>
  <c r="X28" i="1"/>
  <c r="AA28" i="1"/>
  <c r="AB28" i="1"/>
  <c r="AF28" i="1"/>
  <c r="AG28" i="1"/>
  <c r="AJ28" i="1"/>
  <c r="AK28" i="1"/>
  <c r="AL28" i="1"/>
  <c r="AM28" i="1"/>
  <c r="AN28" i="1"/>
  <c r="AQ28" i="1"/>
  <c r="AR28" i="1"/>
  <c r="AU28" i="1"/>
  <c r="AV28" i="1"/>
  <c r="AY28" i="1"/>
  <c r="AZ28" i="1"/>
  <c r="BC28" i="1"/>
  <c r="BD28" i="1"/>
  <c r="BG28" i="1"/>
  <c r="BH28" i="1"/>
  <c r="BK28" i="1"/>
  <c r="W22" i="1"/>
  <c r="W18" i="1"/>
  <c r="W17" i="1"/>
  <c r="W15" i="1"/>
  <c r="W14" i="1"/>
  <c r="S15" i="1"/>
  <c r="S17" i="1"/>
  <c r="S18" i="1"/>
  <c r="S22" i="1"/>
  <c r="S24" i="1"/>
  <c r="S14" i="1"/>
  <c r="N5" i="1"/>
  <c r="N4" i="1"/>
  <c r="I22" i="1"/>
  <c r="I14" i="1"/>
  <c r="I15" i="1"/>
  <c r="I17" i="1"/>
  <c r="I18" i="1"/>
  <c r="I10" i="1"/>
  <c r="I11" i="1"/>
  <c r="I5" i="1"/>
  <c r="I6" i="1"/>
  <c r="Q25" i="1"/>
  <c r="Q28" i="1" s="1"/>
  <c r="B34" i="1" s="1"/>
  <c r="C44" i="1" l="1"/>
  <c r="C46" i="1"/>
  <c r="C41" i="1"/>
  <c r="C43" i="1"/>
  <c r="C40" i="1"/>
  <c r="C47" i="1"/>
  <c r="C37" i="1"/>
  <c r="S25" i="1"/>
  <c r="S28" i="1" s="1"/>
  <c r="D34" i="1" s="1"/>
  <c r="G25" i="1"/>
  <c r="G28" i="1" s="1"/>
  <c r="B32" i="1" s="1"/>
  <c r="B31" i="1" s="1"/>
  <c r="B50" i="1" s="1"/>
  <c r="N28" i="1"/>
  <c r="D33" i="1" s="1"/>
  <c r="W28" i="1"/>
  <c r="D35" i="1" s="1"/>
  <c r="I28" i="1"/>
  <c r="D32" i="1" s="1"/>
  <c r="Z22" i="1"/>
  <c r="BJ22" i="1"/>
  <c r="BF22" i="1"/>
  <c r="BB22" i="1"/>
  <c r="AX22" i="1"/>
  <c r="AT22" i="1"/>
  <c r="AP22" i="1"/>
  <c r="AI22" i="1"/>
  <c r="AE22" i="1"/>
  <c r="BJ21" i="1"/>
  <c r="BF21" i="1"/>
  <c r="BB21" i="1"/>
  <c r="AX21" i="1"/>
  <c r="AT21" i="1"/>
  <c r="AP21" i="1"/>
  <c r="AI21" i="1"/>
  <c r="AE21" i="1"/>
  <c r="E28" i="1"/>
  <c r="AP20" i="1"/>
  <c r="AP19" i="1"/>
  <c r="AP18" i="1"/>
  <c r="AP17" i="1"/>
  <c r="AP11" i="1"/>
  <c r="AP16" i="1"/>
  <c r="AP10" i="1"/>
  <c r="AP6" i="1"/>
  <c r="AP15" i="1"/>
  <c r="AP14" i="1"/>
  <c r="AP5" i="1"/>
  <c r="AP7" i="1"/>
  <c r="AE10" i="1"/>
  <c r="BB10" i="1"/>
  <c r="D31" i="1" l="1"/>
  <c r="C32" i="1"/>
  <c r="AX10" i="1"/>
  <c r="Z10" i="1"/>
  <c r="AP8" i="1"/>
  <c r="AP4" i="1"/>
  <c r="AP9" i="1"/>
  <c r="AP13" i="1"/>
  <c r="AP12" i="1"/>
  <c r="AT10" i="1"/>
  <c r="BF10" i="1"/>
  <c r="AI10" i="1"/>
  <c r="BM24" i="1"/>
  <c r="BM28" i="1" s="1"/>
  <c r="BJ14" i="1"/>
  <c r="BJ15" i="1"/>
  <c r="BJ17" i="1"/>
  <c r="BJ18" i="1"/>
  <c r="BF5" i="1"/>
  <c r="BF6" i="1"/>
  <c r="BF7" i="1"/>
  <c r="BF14" i="1"/>
  <c r="BF15" i="1"/>
  <c r="BF11" i="1"/>
  <c r="BF17" i="1"/>
  <c r="BF18" i="1"/>
  <c r="BF4" i="1"/>
  <c r="AX5" i="1"/>
  <c r="AX6" i="1"/>
  <c r="AX7" i="1"/>
  <c r="AX14" i="1"/>
  <c r="AX15" i="1"/>
  <c r="AX11" i="1"/>
  <c r="AX17" i="1"/>
  <c r="AX18" i="1"/>
  <c r="AX24" i="1"/>
  <c r="AX4" i="1"/>
  <c r="Z11" i="1"/>
  <c r="E32" i="1" l="1"/>
  <c r="E33" i="1"/>
  <c r="E34" i="1"/>
  <c r="E35" i="1"/>
  <c r="C33" i="1"/>
  <c r="C34" i="1"/>
  <c r="C35" i="1"/>
  <c r="D47" i="1"/>
  <c r="AX28" i="1"/>
  <c r="D44" i="1" s="1"/>
  <c r="Z28" i="1"/>
  <c r="BF28" i="1"/>
  <c r="D45" i="1" s="1"/>
  <c r="BJ28" i="1"/>
  <c r="D46" i="1" s="1"/>
  <c r="AP28" i="1"/>
  <c r="D42" i="1" s="1"/>
  <c r="BB5" i="1"/>
  <c r="BB6" i="1"/>
  <c r="BB7" i="1"/>
  <c r="BB14" i="1"/>
  <c r="BB15" i="1"/>
  <c r="BB11" i="1"/>
  <c r="BB17" i="1"/>
  <c r="BB18" i="1"/>
  <c r="BB4" i="1"/>
  <c r="AE5" i="1"/>
  <c r="AE6" i="1"/>
  <c r="AE7" i="1"/>
  <c r="AE14" i="1"/>
  <c r="AE15" i="1"/>
  <c r="AE11" i="1"/>
  <c r="AE17" i="1"/>
  <c r="AE18" i="1"/>
  <c r="AE4" i="1"/>
  <c r="AI5" i="1"/>
  <c r="AI6" i="1"/>
  <c r="AI7" i="1"/>
  <c r="AI14" i="1"/>
  <c r="AI15" i="1"/>
  <c r="AI11" i="1"/>
  <c r="AI17" i="1"/>
  <c r="AI18" i="1"/>
  <c r="AI4" i="1"/>
  <c r="AT5" i="1"/>
  <c r="AT6" i="1"/>
  <c r="AT7" i="1"/>
  <c r="AT14" i="1"/>
  <c r="AT15" i="1"/>
  <c r="AT11" i="1"/>
  <c r="AT17" i="1"/>
  <c r="AT18" i="1"/>
  <c r="AT4" i="1"/>
  <c r="C36" i="1" l="1"/>
  <c r="C39" i="1"/>
  <c r="C31" i="1"/>
  <c r="D37" i="1"/>
  <c r="AT28" i="1"/>
  <c r="D43" i="1" s="1"/>
  <c r="AI28" i="1"/>
  <c r="D41" i="1" s="1"/>
  <c r="AE28" i="1"/>
  <c r="D40" i="1" s="1"/>
  <c r="BB28" i="1"/>
  <c r="D38" i="1" s="1"/>
  <c r="D36" i="1" s="1"/>
  <c r="E37" i="1" l="1"/>
  <c r="E38" i="1"/>
  <c r="D39" i="1"/>
  <c r="D50" i="1" s="1"/>
  <c r="E31" i="1" s="1"/>
  <c r="E42" i="1" l="1"/>
  <c r="E46" i="1"/>
  <c r="E43" i="1"/>
  <c r="E47" i="1"/>
  <c r="E44" i="1"/>
  <c r="E40" i="1"/>
  <c r="E41" i="1"/>
  <c r="E45" i="1"/>
  <c r="E36" i="1"/>
  <c r="E39" i="1"/>
</calcChain>
</file>

<file path=xl/sharedStrings.xml><?xml version="1.0" encoding="utf-8"?>
<sst xmlns="http://schemas.openxmlformats.org/spreadsheetml/2006/main" count="441" uniqueCount="235">
  <si>
    <t>HIPERTENSOS BAJO RIESGO</t>
  </si>
  <si>
    <t>HIPERTENSOS RIESGO MODERADO</t>
  </si>
  <si>
    <t>HIPERTENSOS RIESGO ALTO</t>
  </si>
  <si>
    <t>HIPERTENSOS RIESGO MUY ALTO</t>
  </si>
  <si>
    <t>CLASIFICACIÓN CRÓNICOS</t>
  </si>
  <si>
    <t>DIABETICOS SIN COMPLICACIONES</t>
  </si>
  <si>
    <t>DIABETICOS CON COMPLICACIONES</t>
  </si>
  <si>
    <t>GLICEMIA BASAL</t>
  </si>
  <si>
    <t>PERFIL LIPIDICO</t>
  </si>
  <si>
    <t>PARCIAL ORINA</t>
  </si>
  <si>
    <t>CREATININA</t>
  </si>
  <si>
    <t>EKG</t>
  </si>
  <si>
    <t>MICROALBUMINURIA</t>
  </si>
  <si>
    <t>HEMOGLOBINA GLICOSILADA</t>
  </si>
  <si>
    <t>DIRECTRIZ DE PROMOCIÓN Y PREVENCIÓN</t>
  </si>
  <si>
    <t>INGRESOS NO CONTROLADOS HTA</t>
  </si>
  <si>
    <t>INGRESOS NO CONTROLADOS DM</t>
  </si>
  <si>
    <t>GLICEMIA BASAL VALOR ANUAL</t>
  </si>
  <si>
    <t>PERFIL LIPIDICO VALOR ANUAL</t>
  </si>
  <si>
    <t>PARCIAL ORINA VALOR UNIDAD</t>
  </si>
  <si>
    <t>PARCIAL ORINA VALOR ANUAL</t>
  </si>
  <si>
    <t>CREATININA VALOR UNIDAD</t>
  </si>
  <si>
    <t>EKG VALOR UNIDAD</t>
  </si>
  <si>
    <t>EKG VALOR ANUAL</t>
  </si>
  <si>
    <t>VALOR INDIVIDUAL HDL</t>
  </si>
  <si>
    <t>VALOR INDIVIDUAL LDL</t>
  </si>
  <si>
    <t xml:space="preserve">VALOR INDIVIDUAL COLESTEROL TOTAL </t>
  </si>
  <si>
    <t>VALOR INDIVIDUAL TRIGLICERIDOS</t>
  </si>
  <si>
    <t>MICROALBUMINURIA INDIVIDUAL</t>
  </si>
  <si>
    <t>PACIENTES HIPERTENSOS Y/O DIABETICOS CON DLP</t>
  </si>
  <si>
    <t>TSH VALOR UNIDAD (Pacientes con DLP)</t>
  </si>
  <si>
    <t>TSH VALOR 2016 (Pacientes con DLP)</t>
  </si>
  <si>
    <t>CONTROLES ANUALES MÉDICOS PROYECTADOS 2016</t>
  </si>
  <si>
    <t>VALOR PROYECTADO HORAS MEDICAS ANUALES 2016</t>
  </si>
  <si>
    <t>CONTROLES ANUALES PROYECTADOS POR ENFERMERÍA 2016</t>
  </si>
  <si>
    <t>VALOR PROYECTADO HORAS ENFERMERÍA ANUALES 2016</t>
  </si>
  <si>
    <t>VALOR  MONITOREO PRESIÓN ARTEIRAL 2016</t>
  </si>
  <si>
    <t>VALOR TOTAL PROYECTADO MONITORIO PA (3) 2016</t>
  </si>
  <si>
    <t>CONTROL HEMOGRAMA Y ERITROSEDIMENTACIÓN ANUAL POR USUARIO  2016</t>
  </si>
  <si>
    <t>VALOR UNIDAD HEMOGRAMA 2016</t>
  </si>
  <si>
    <t>VALOR UNIDAD ERITROSEDIMENTACIÓN 2016</t>
  </si>
  <si>
    <t>GLICEMIA BASAL VALOR UNIDAD 2016</t>
  </si>
  <si>
    <t>INGRESOS CONTROLADOS HTA</t>
  </si>
  <si>
    <t>INGRESOS CONTROLADOS DM</t>
  </si>
  <si>
    <t>VALOR PROYECTADO MICROALBUMINURIA ANUAL</t>
  </si>
  <si>
    <t>* Promedio pacientes controlados 2015: 67%</t>
  </si>
  <si>
    <t>PROYECCIÓN PACIENTES 2016</t>
  </si>
  <si>
    <t>TOTAL HIPERTENSOS ACTIVOS</t>
  </si>
  <si>
    <t>HIPERTENSOS SIN CLASIFICACIÓN RIESGO</t>
  </si>
  <si>
    <t>TOTAL INGRESOS HIPERTENSIÓN</t>
  </si>
  <si>
    <t>TOTAL INGRESOS DIABETICOS</t>
  </si>
  <si>
    <t xml:space="preserve">TOTAL DIABETICOS ACTIVOS </t>
  </si>
  <si>
    <t>PACIENTES SEGÚN BASES DE DATOS 2015</t>
  </si>
  <si>
    <t>TOTAL DE HIPERTENSOS PROYECTADOS 2016</t>
  </si>
  <si>
    <t>PORCENTAJE PACIENTES SEGÚN BASES DE DATOS 2015</t>
  </si>
  <si>
    <t>TOTAL DIABETICOS PROYECTADOS 2016</t>
  </si>
  <si>
    <t>TOTAL PACIENTES CRÓNICOS</t>
  </si>
  <si>
    <t>HIPERTENSOS Y DIABETICOS ACTIVOS</t>
  </si>
  <si>
    <t>HIPERTENSOS Y DIABETICOS INGRESOS</t>
  </si>
  <si>
    <t>PACIENTES SEGÚN FACTURACIÓN 2015 SOTFWARE DINÁMICA</t>
  </si>
  <si>
    <t>CLASIFICACIÓN PACIENTES INFORMES CRÓNICOS DINAMICA 2016</t>
  </si>
  <si>
    <t>% CLASIFICACIÓN PACIENTES INFORMES CRÓNICOS DINAMICA 2016</t>
  </si>
  <si>
    <t>SIN DATO DE DIAGNOSTICO HTA O DM</t>
  </si>
  <si>
    <t>TOTAL HIPERTESOS Y DIABETICOS</t>
  </si>
  <si>
    <t>FUENTE DE INFORMACIÓN</t>
  </si>
  <si>
    <t>Número pacientes: Facturación Dinámica 2015 - porcentajes: Meta institucional &gt; 80%</t>
  </si>
  <si>
    <t>Porcentajes Informe Crónicos/Total usuarios facturación dinámica 2015 (Superior Meta SaviaSalud EAPB)</t>
  </si>
  <si>
    <t>Porcentajes Informe Crónicos/Total usuarios Meta SaviaSalud EAPB/Ingresos Facturación Dinámica 2015)</t>
  </si>
  <si>
    <t>Información facturación dinámica 2015</t>
  </si>
  <si>
    <t>Bases de datos como única fuente de información para esta variable</t>
  </si>
  <si>
    <t>COSTO TOTAL</t>
  </si>
  <si>
    <t xml:space="preserve"> - Total de usuarios activos e ingresos: Facturación Dinámica 2015. 
- Clasificación Riesgo: Porcentaje informe Crónicos Dinámica.
 - Porcentaje pacientes Controlados: Meta institucional (&gt;80%).</t>
  </si>
  <si>
    <t xml:space="preserve"> - Clasificación según complicaciones: Informe Crónicos Dinámica  
- Total usuarios:Meta SaviaSalud EAPB 
-Ingresos: Facturación Dinámica 2015)</t>
  </si>
  <si>
    <t xml:space="preserve"> - Facturación Dinámica 2015</t>
  </si>
  <si>
    <t>Bases de datos sedes: única fuente de información para esta variable</t>
  </si>
  <si>
    <t>* Promedio hipertensos controlados 2015: 67%</t>
  </si>
  <si>
    <t>RECURSO HUMANO</t>
  </si>
  <si>
    <t>CREATININA VALOR ANUAL</t>
  </si>
  <si>
    <t>CONTROLES ANUALES PROYECTADOS POR NUTRICIÓN 2016</t>
  </si>
  <si>
    <t>VALOR HORA MÉDICO 2016</t>
  </si>
  <si>
    <t>VALOR HORA ENFERMERÍA 2016</t>
  </si>
  <si>
    <t>VALOR HORA NUTRICIÓN 2016</t>
  </si>
  <si>
    <t>VALOR PROYECTADO HORAS NUTRICIÓN ANUALES 2016</t>
  </si>
  <si>
    <t>CONTROLES ANUALES PROYECTADOS POR PSICOLOGÍA 2016</t>
  </si>
  <si>
    <t>VALOR PROYECTADO HORAS PSICOLOGÍA ANUALES 2016</t>
  </si>
  <si>
    <t>TOTAL HIPERTENSOS Y DIABETICOS</t>
  </si>
  <si>
    <t>IMC Y PA MUJERES</t>
  </si>
  <si>
    <t>IMC Y PA HOMBRES</t>
  </si>
  <si>
    <t>PA HOMBRES</t>
  </si>
  <si>
    <t>SOLO IMC &gt; 25 MUJERES</t>
  </si>
  <si>
    <t>SOLO PA &gt;88 MUJERES</t>
  </si>
  <si>
    <t>IMC &gt; 25 HOMBRES</t>
  </si>
  <si>
    <t>TOTAL PACIENTES QUE REQUIEREN INTERVENCIÓN POR NUTRICIÓN</t>
  </si>
  <si>
    <t>PACIENTES SUSCEPTIBLES A INTERVENCIÓN NURICIONAL (IMC &gt; 25 Y/O PA HOMBRES &gt;101 Y MUJERES &gt; 88</t>
  </si>
  <si>
    <t xml:space="preserve"> - Porcentaje de pacientes con alteraciones nutricionales: Base de datos sedes (66%)   
   - Total usuarios facturación Dinámica 2015 (HTA) y meta SaviaSalud EAPB (DM)</t>
  </si>
  <si>
    <t xml:space="preserve"> - Pacientes activos e ingresos HTA: Facturación Dinámica 2015.
- Total Diabeticos: Meta SaviaSalud EAPB 2016</t>
  </si>
  <si>
    <t>VALOR CONSULTA PSICOLOGÍA 2016</t>
  </si>
  <si>
    <t>CONSULTAS MÉDICAS POR HORA 2016</t>
  </si>
  <si>
    <t>CONSULTAS ENFERMERÍA POR HORA 2016</t>
  </si>
  <si>
    <t>CONSULTAS NUTRICIÓN POR HORA 2016</t>
  </si>
  <si>
    <t>FUENTE INFORMACIÓN</t>
  </si>
  <si>
    <t>LABORATORIO</t>
  </si>
  <si>
    <t>PROCEDIMIENTOS ENFERMERÍA</t>
  </si>
  <si>
    <t>URGENCIAS</t>
  </si>
  <si>
    <t>Personal planta de cargos 2016</t>
  </si>
  <si>
    <t>Resolución 0412</t>
  </si>
  <si>
    <t>Procedimiento atención al usuario en p y p agosto 2014</t>
  </si>
  <si>
    <t>Información Coporación Balboa</t>
  </si>
  <si>
    <t>Manual Tarifario SOAT actualización 2016</t>
  </si>
  <si>
    <t>Resolución 4003 de 2008</t>
  </si>
  <si>
    <t>Resolución 4003 de 2008 - GPC HTA 2013</t>
  </si>
  <si>
    <t>MÉDICAMENTOS</t>
  </si>
  <si>
    <t>TOTAL CONTROLES MÉDICOS PROYECTADOS 2016</t>
  </si>
  <si>
    <t>TOTAL CONTROLES POR ENFERMERÍA PROYECTADOS 2016</t>
  </si>
  <si>
    <t>TOTAL CONSULTAS POR NUTRICIÓN PROYECTADOS 2016</t>
  </si>
  <si>
    <t>TOTAL CONSULTAS POR PSICOLOGÍA PROYECTADOS 2016</t>
  </si>
  <si>
    <t>TOTAL MONITORESOS PROYECTADOS 2016</t>
  </si>
  <si>
    <t>TOTAL HEMOGRAMA Y ERITROSEDIMENTACIÓN PROYECTADOS 2016</t>
  </si>
  <si>
    <t>TOTAL GLICEMIAS PROYECTADAS 2016</t>
  </si>
  <si>
    <t>TOTAL PERFIL LIPIDICO ANUAL</t>
  </si>
  <si>
    <t>TOTAL PARCIAL ORINA ANUAL</t>
  </si>
  <si>
    <t>TOTAL CREATININA ANUAL</t>
  </si>
  <si>
    <t>TOTAL EKG ANUAL</t>
  </si>
  <si>
    <t>TOTAL HEMOGLOBINA GLICOSILADA ANUAL</t>
  </si>
  <si>
    <t>HEMOGLOBINA GLICOSILADA VALOR UNIDAD</t>
  </si>
  <si>
    <t>HEMOGLOBINA GLICOSILADA VALOR ANUAL</t>
  </si>
  <si>
    <t>TOTAL TSH ANUAL</t>
  </si>
  <si>
    <t>CENTRO DE COSTO</t>
  </si>
  <si>
    <t>TOTAL VALOR ANUAL</t>
  </si>
  <si>
    <t>TOTAL UNIDADES ANUAL</t>
  </si>
  <si>
    <t>VALOR ANUAL PROYECTADO HEMOGRAMA Y ERITROSEDIMENTACIÓN 2016</t>
  </si>
  <si>
    <t>BD Crónicos Dinámica</t>
  </si>
  <si>
    <t>Total de Usuarios BD</t>
  </si>
  <si>
    <t>Proyección según facturación Dinámica</t>
  </si>
  <si>
    <t>TOTAL PACIENTES ATENDIDOS 2016</t>
  </si>
  <si>
    <t>PORCENTAJES</t>
  </si>
  <si>
    <t>VALOR HORA MEDICA 2016</t>
  </si>
  <si>
    <t>CONTROLES MÉDICOS REALIZADOS 2016</t>
  </si>
  <si>
    <t>VALOR HORAS MEDICAS ANUALES 2016</t>
  </si>
  <si>
    <t>CONTROLES REALIZADOS POR ENFERMERÍA 2016</t>
  </si>
  <si>
    <t>VALOR HORAS ENFERMERÍA ANUALES 2016</t>
  </si>
  <si>
    <t>CONTROLES ANUALES REALIZADOS POR NUTRICIÓN 2016</t>
  </si>
  <si>
    <t>VALOR HORAS NUTRICIÓN ANUALES 2016</t>
  </si>
  <si>
    <t>CONTROLES ANUALES REALIZADOS POR PSICOLOGÍA 2016</t>
  </si>
  <si>
    <t>VALOR HORAS PSICOLOGÍA ANUALES 2016</t>
  </si>
  <si>
    <t>MONITOREOS REALIZADOS 2016</t>
  </si>
  <si>
    <t>VALOR TOTAL MONITORIO PA (3) 2016</t>
  </si>
  <si>
    <t>ERITROSEDIMENTACIONES REALIZADAS 2016</t>
  </si>
  <si>
    <t>VALOR TOTAL ERITROSEDIMENTACIONES REALIZADAS 2016</t>
  </si>
  <si>
    <t>HEMOGRAMAS REALIZADOS 2016</t>
  </si>
  <si>
    <t>VALOR  HEMOGRAMAS ANUAL  2016</t>
  </si>
  <si>
    <t>CONTROL HEMOGRAMA Y ERITROSEDIMENTACIÓN ANUAL   2016</t>
  </si>
  <si>
    <t>GLICEMIAS BASALES REALIZADAS 2016</t>
  </si>
  <si>
    <t>HDL REALIZADOS 2016</t>
  </si>
  <si>
    <t>VALOR HDL 2016</t>
  </si>
  <si>
    <t>LDL REALIZADOS 2016</t>
  </si>
  <si>
    <t>VALOR LDL 2016</t>
  </si>
  <si>
    <t>COLESTEROL TOTAL REALIZADOS 2016</t>
  </si>
  <si>
    <t>VALOR COLESTEROL TOTAL  2016</t>
  </si>
  <si>
    <t>TRIGLICERIDOS TOTAL REALIZADOS 2016</t>
  </si>
  <si>
    <t>VALOR TRIGLICERIDOS  2016</t>
  </si>
  <si>
    <t>PARCIALES  ORINA REALIZADOS 2016</t>
  </si>
  <si>
    <t>CREATININAS REALIZADAS 2016</t>
  </si>
  <si>
    <t>EKG REALZADOS 2016</t>
  </si>
  <si>
    <t>VALOR MICROALBUMINURIA INDIVIDUAL</t>
  </si>
  <si>
    <t>MICROALBUMINURIAS REALIZADAS 2016</t>
  </si>
  <si>
    <t>HEMOGLOBINA GLICADA VALOR UNIDAD</t>
  </si>
  <si>
    <t>HEMOGLOBINAS  GLICOSILADAS REALIZADA 2016</t>
  </si>
  <si>
    <t>HEMOGLOBINA GLICADA VALOR ANUAL</t>
  </si>
  <si>
    <t>TSH REALIZADOS 2016</t>
  </si>
  <si>
    <t>INFORME CRÓNICOS 2016</t>
  </si>
  <si>
    <t>Facturación Dinámica 2016 -  Informes Producción 2016</t>
  </si>
  <si>
    <t>Procedimiento Interno</t>
  </si>
  <si>
    <t>TOTAL DE HIPERTENSOS 2016</t>
  </si>
  <si>
    <t>TOTAL DIABETICOS  2016</t>
  </si>
  <si>
    <t>PROCESO/ACTIVIDAD</t>
  </si>
  <si>
    <t>CANTIDAD ANUAL</t>
  </si>
  <si>
    <t>COSTO ANUAL</t>
  </si>
  <si>
    <t>VALOR INDIVIDUAL</t>
  </si>
  <si>
    <t>HIPERTENSOS</t>
  </si>
  <si>
    <t>DIABETICOS</t>
  </si>
  <si>
    <t>UNICOS</t>
  </si>
  <si>
    <t>REPETIDOS</t>
  </si>
  <si>
    <t>% REPETIDOS</t>
  </si>
  <si>
    <t>VALOR REPETIDOS</t>
  </si>
  <si>
    <t>HEMOLECOGRAMA</t>
  </si>
  <si>
    <t>ERITROSEDIMENTACIÓN</t>
  </si>
  <si>
    <t>HDL</t>
  </si>
  <si>
    <t>LDL</t>
  </si>
  <si>
    <t>COLESTEROL TOTAL</t>
  </si>
  <si>
    <t>TRIGLICERIDOS</t>
  </si>
  <si>
    <t>TOTAL</t>
  </si>
  <si>
    <t>PORCENTAJE USUARIOS</t>
  </si>
  <si>
    <t>PORCENTAJE</t>
  </si>
  <si>
    <t>PORENTAJE</t>
  </si>
  <si>
    <t>TOTAL ACTIVIDADES</t>
  </si>
  <si>
    <t>DIFERENCIAS</t>
  </si>
  <si>
    <t>CANTIDAD PROYECTADA 2016</t>
  </si>
  <si>
    <t>CANTIDAD REAL 2016</t>
  </si>
  <si>
    <t>TOTAL LABORATORIOS REPETIDOS</t>
  </si>
  <si>
    <t>Etiquetas de fila</t>
  </si>
  <si>
    <t>Suma de TotalFactura</t>
  </si>
  <si>
    <t>AMLODIPINO 5 mg TABLETA</t>
  </si>
  <si>
    <t>CAPTOPRIL 25 mg  TABLETA</t>
  </si>
  <si>
    <t>CAPTOPRIL 50 mg  TABLETA</t>
  </si>
  <si>
    <t>CLONIDINA 150 mcg TABLETA</t>
  </si>
  <si>
    <t>ENALAPRIL 20 mg  TABLETA</t>
  </si>
  <si>
    <t>ENALAPRIL 5mg TABLETA</t>
  </si>
  <si>
    <t>ESPIRONOLACTONA 100mg TABLETA</t>
  </si>
  <si>
    <t>ESPIRONOLACTONA 25mg TABLETA</t>
  </si>
  <si>
    <t>GLIBENCLAMIDA 5 mg  TABLETA</t>
  </si>
  <si>
    <t>HIDROCLOROTIAZIDA 25 mg TABLETA</t>
  </si>
  <si>
    <t>INSULINA NPH 100 ui/ml AMPOLLA</t>
  </si>
  <si>
    <t>INSULINA R (CRISTALINA) 100 ui/ml AMPOLLA</t>
  </si>
  <si>
    <t>LOSARTAN 100 mg TABLETA</t>
  </si>
  <si>
    <t>LOSARTAN 50 mg TABLETA</t>
  </si>
  <si>
    <t>METFORMINA 850 mg TABLETA</t>
  </si>
  <si>
    <t>METOPROLOL 100 mg TABLETA</t>
  </si>
  <si>
    <t>METOPROLOL 1mg/ml AMPOLLA</t>
  </si>
  <si>
    <t>METOPROLOL 50 mg TABLETA</t>
  </si>
  <si>
    <t>NIFEDIPINA 10 mg CAPSULA</t>
  </si>
  <si>
    <t>NIFEDIPINA 30 mg  TABLETA</t>
  </si>
  <si>
    <t>NIMODIPINO 30 mg TABLETA</t>
  </si>
  <si>
    <t>PRAZOSINA 1 mg TABLETA</t>
  </si>
  <si>
    <t>PROPANOLOL 40 mg TABLETA</t>
  </si>
  <si>
    <t>PROPANOLOL 80 mg  TABLETA</t>
  </si>
  <si>
    <t>VERAPAMILO 120 mg TABLETA</t>
  </si>
  <si>
    <t>VERAPAMILO 80 mg TABLETA</t>
  </si>
  <si>
    <t>Total general</t>
  </si>
  <si>
    <t>% CUMPLIMIENTO</t>
  </si>
  <si>
    <t>HOSPITALIZACIÓN</t>
  </si>
  <si>
    <t>COSTO PROYECTADO 2016</t>
  </si>
  <si>
    <t>COSTO REAL 2016</t>
  </si>
  <si>
    <t>TOTAL URGENCIAS Y HOSPITALIZACIÓN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</si>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</sst>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_-* #,##0.00\ &quot;€&quot;_-;\-* #,##0.00\ &quot;€&quot;_-;_-* &quot;-&quot;??\ &quot;€&quot;_-;_-@_-"/>
    <numFmt numFmtId="167" formatCode="_-* #,##0.00\ [$€]_-;\-* #,##0.00\ [$€]_-;_-* &quot;-&quot;??\ [$€]_-;_-@_-"/>
    <numFmt numFmtId="168" formatCode="_(&quot;$&quot;* #,##0.00_);_(&quot;$&quot;* \(#,##0.00\);_(&quot;$&quot;* &quot;-&quot;??_);_(@_)"/>
    <numFmt numFmtId="169" formatCode="_ * #,##0.0_ ;_ * \-#,##0.0_ ;_ * &quot;-&quot;??_ ;_ @_ "/>
    <numFmt numFmtId="170" formatCode="[$-C0A]dddd\,\ dd&quot; de &quot;mmmm&quot; de &quot;yyyy"/>
    <numFmt numFmtId="171" formatCode="_(&quot;$&quot;\ * #,##0_);_(&quot;$&quot;\ * \(#,##0\);_(&quot;$&quot;\ * &quot;-&quot;??_);_(@_)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indexed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20">
    <xf numFmtId="0" fontId="0" fillId="0" borderId="0"/>
    <xf numFmtId="0" fontId="18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0" fillId="33" borderId="0" applyNumberFormat="0" applyBorder="0" applyAlignment="0" applyProtection="0"/>
    <xf numFmtId="0" fontId="2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1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17" fillId="16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17" fillId="2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2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32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35" borderId="0" applyNumberFormat="0" applyBorder="0" applyAlignment="0" applyProtection="0"/>
    <xf numFmtId="0" fontId="7" fillId="2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47" borderId="12" applyNumberFormat="0" applyAlignment="0" applyProtection="0"/>
    <xf numFmtId="0" fontId="12" fillId="6" borderId="6" applyNumberFormat="0" applyAlignment="0" applyProtection="0"/>
    <xf numFmtId="0" fontId="23" fillId="47" borderId="12" applyNumberFormat="0" applyAlignment="0" applyProtection="0"/>
    <xf numFmtId="0" fontId="23" fillId="47" borderId="12" applyNumberFormat="0" applyAlignment="0" applyProtection="0"/>
    <xf numFmtId="0" fontId="24" fillId="48" borderId="13" applyNumberFormat="0" applyAlignment="0" applyProtection="0"/>
    <xf numFmtId="0" fontId="14" fillId="7" borderId="9" applyNumberFormat="0" applyAlignment="0" applyProtection="0"/>
    <xf numFmtId="0" fontId="24" fillId="48" borderId="13" applyNumberFormat="0" applyAlignment="0" applyProtection="0"/>
    <xf numFmtId="0" fontId="24" fillId="48" borderId="13" applyNumberFormat="0" applyAlignment="0" applyProtection="0"/>
    <xf numFmtId="0" fontId="25" fillId="0" borderId="14" applyNumberFormat="0" applyFill="0" applyAlignment="0" applyProtection="0"/>
    <xf numFmtId="0" fontId="13" fillId="0" borderId="8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49" borderId="0" applyNumberFormat="0" applyBorder="0" applyAlignment="0" applyProtection="0"/>
    <xf numFmtId="0" fontId="17" fillId="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17" fillId="13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17" fillId="17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4" borderId="0" applyNumberFormat="0" applyBorder="0" applyAlignment="0" applyProtection="0"/>
    <xf numFmtId="0" fontId="17" fillId="2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2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52" borderId="0" applyNumberFormat="0" applyBorder="0" applyAlignment="0" applyProtection="0"/>
    <xf numFmtId="0" fontId="17" fillId="29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7" fillId="38" borderId="12" applyNumberFormat="0" applyAlignment="0" applyProtection="0"/>
    <xf numFmtId="0" fontId="10" fillId="5" borderId="6" applyNumberFormat="0" applyAlignment="0" applyProtection="0"/>
    <xf numFmtId="0" fontId="27" fillId="38" borderId="12" applyNumberFormat="0" applyAlignment="0" applyProtection="0"/>
    <xf numFmtId="0" fontId="27" fillId="38" borderId="12" applyNumberFormat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/>
    <xf numFmtId="0" fontId="28" fillId="34" borderId="0" applyNumberFormat="0" applyBorder="0" applyAlignment="0" applyProtection="0"/>
    <xf numFmtId="0" fontId="8" fillId="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quotePrefix="1" applyFont="0" applyFill="0" applyBorder="0" applyAlignment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29" fillId="0" borderId="0" applyFont="0" applyFill="0" applyBorder="0" applyAlignment="0" applyProtection="0">
      <alignment vertical="top"/>
    </xf>
    <xf numFmtId="44" fontId="29" fillId="0" borderId="0" applyFont="0" applyFill="0" applyBorder="0" applyAlignment="0" applyProtection="0">
      <alignment vertical="top"/>
    </xf>
    <xf numFmtId="0" fontId="30" fillId="53" borderId="0" applyNumberFormat="0" applyBorder="0" applyAlignment="0" applyProtection="0"/>
    <xf numFmtId="0" fontId="9" fillId="4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3" fontId="19" fillId="0" borderId="0"/>
    <xf numFmtId="3" fontId="19" fillId="0" borderId="0"/>
    <xf numFmtId="3" fontId="19" fillId="0" borderId="0"/>
    <xf numFmtId="0" fontId="2" fillId="0" borderId="0"/>
    <xf numFmtId="0" fontId="19" fillId="0" borderId="0"/>
    <xf numFmtId="0" fontId="19" fillId="0" borderId="0"/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3" fontId="19" fillId="0" borderId="0"/>
    <xf numFmtId="3" fontId="19" fillId="0" borderId="0"/>
    <xf numFmtId="0" fontId="29" fillId="0" borderId="0">
      <alignment vertical="top"/>
    </xf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0" fontId="29" fillId="0" borderId="0">
      <alignment vertical="top"/>
    </xf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19" fillId="0" borderId="0"/>
    <xf numFmtId="3" fontId="19" fillId="0" borderId="0"/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0" fillId="54" borderId="15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0" fillId="54" borderId="15" applyNumberFormat="0" applyFont="0" applyAlignment="0" applyProtection="0"/>
    <xf numFmtId="0" fontId="20" fillId="54" borderId="15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0" fontId="31" fillId="47" borderId="16" applyNumberFormat="0" applyAlignment="0" applyProtection="0"/>
    <xf numFmtId="0" fontId="11" fillId="6" borderId="7" applyNumberFormat="0" applyAlignment="0" applyProtection="0"/>
    <xf numFmtId="0" fontId="31" fillId="47" borderId="16" applyNumberFormat="0" applyAlignment="0" applyProtection="0"/>
    <xf numFmtId="0" fontId="31" fillId="47" borderId="16" applyNumberFormat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4" fillId="0" borderId="3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5" fillId="0" borderId="4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26" fillId="0" borderId="19" applyNumberFormat="0" applyFill="0" applyAlignment="0" applyProtection="0"/>
    <xf numFmtId="0" fontId="6" fillId="0" borderId="5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1" fillId="0" borderId="11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38" fillId="0" borderId="0" applyFill="0" applyProtection="0"/>
    <xf numFmtId="43" fontId="2" fillId="0" borderId="0" applyFont="0" applyFill="0" applyBorder="0" applyAlignment="0" applyProtection="0"/>
    <xf numFmtId="0" fontId="39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quotePrefix="1" applyFont="0" applyFill="0" applyBorder="0" applyAlignment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3" fontId="18" fillId="0" borderId="0"/>
    <xf numFmtId="3" fontId="18" fillId="0" borderId="0"/>
    <xf numFmtId="3" fontId="18" fillId="0" borderId="0"/>
    <xf numFmtId="0" fontId="18" fillId="0" borderId="0"/>
    <xf numFmtId="0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3" fontId="18" fillId="0" borderId="0"/>
    <xf numFmtId="0" fontId="18" fillId="0" borderId="0"/>
    <xf numFmtId="0" fontId="18" fillId="0" borderId="0"/>
    <xf numFmtId="3" fontId="18" fillId="0" borderId="0"/>
    <xf numFmtId="3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0" fillId="0" borderId="0" applyFill="0" applyProtection="0"/>
    <xf numFmtId="0" fontId="43" fillId="0" borderId="0" applyFill="0" applyProtection="0"/>
    <xf numFmtId="0" fontId="20" fillId="0" borderId="0" applyFill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9" fontId="0" fillId="0" borderId="1" xfId="428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4" fontId="0" fillId="0" borderId="1" xfId="427" applyFont="1" applyBorder="1" applyAlignment="1">
      <alignment horizontal="center" vertical="center"/>
    </xf>
    <xf numFmtId="44" fontId="0" fillId="0" borderId="0" xfId="427" applyFont="1"/>
    <xf numFmtId="44" fontId="1" fillId="0" borderId="1" xfId="427" applyFont="1" applyBorder="1" applyAlignment="1">
      <alignment horizontal="center" vertical="center" wrapText="1"/>
    </xf>
    <xf numFmtId="44" fontId="1" fillId="0" borderId="1" xfId="427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44" fontId="0" fillId="0" borderId="1" xfId="427" applyFont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0" fillId="0" borderId="0" xfId="427" applyNumberFormat="1" applyFont="1"/>
    <xf numFmtId="2" fontId="0" fillId="0" borderId="1" xfId="427" applyNumberFormat="1" applyFont="1" applyBorder="1" applyAlignment="1">
      <alignment horizontal="center" vertical="center"/>
    </xf>
    <xf numFmtId="1" fontId="0" fillId="0" borderId="1" xfId="427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wrapText="1"/>
    </xf>
    <xf numFmtId="1" fontId="0" fillId="0" borderId="0" xfId="427" applyNumberFormat="1" applyFont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4" fontId="2" fillId="0" borderId="1" xfId="427" applyFont="1" applyBorder="1" applyAlignment="1">
      <alignment horizontal="center" vertical="center" wrapText="1"/>
    </xf>
    <xf numFmtId="1" fontId="0" fillId="0" borderId="1" xfId="427" applyNumberFormat="1" applyFont="1" applyBorder="1" applyAlignment="1">
      <alignment horizontal="center"/>
    </xf>
    <xf numFmtId="0" fontId="0" fillId="0" borderId="1" xfId="427" applyNumberFormat="1" applyFont="1" applyBorder="1" applyAlignment="1">
      <alignment horizontal="center" vertical="center"/>
    </xf>
    <xf numFmtId="0" fontId="0" fillId="0" borderId="1" xfId="427" applyNumberFormat="1" applyFont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1" fillId="0" borderId="0" xfId="0" applyFont="1" applyBorder="1" applyAlignment="1">
      <alignment horizontal="center"/>
    </xf>
    <xf numFmtId="1" fontId="1" fillId="0" borderId="1" xfId="427" applyNumberFormat="1" applyFont="1" applyFill="1" applyBorder="1" applyAlignment="1">
      <alignment horizontal="center" vertical="center" wrapText="1"/>
    </xf>
    <xf numFmtId="1" fontId="2" fillId="0" borderId="1" xfId="427" applyNumberFormat="1" applyFont="1" applyBorder="1" applyAlignment="1">
      <alignment horizontal="center" vertical="center" wrapText="1"/>
    </xf>
    <xf numFmtId="0" fontId="0" fillId="0" borderId="21" xfId="0" applyBorder="1" applyAlignment="1"/>
    <xf numFmtId="44" fontId="0" fillId="0" borderId="0" xfId="427" applyFont="1" applyBorder="1" applyAlignment="1"/>
    <xf numFmtId="1" fontId="0" fillId="0" borderId="0" xfId="427" applyNumberFormat="1" applyFont="1" applyBorder="1" applyAlignment="1"/>
    <xf numFmtId="0" fontId="0" fillId="0" borderId="0" xfId="427" applyNumberFormat="1" applyFont="1" applyBorder="1" applyAlignment="1"/>
    <xf numFmtId="1" fontId="0" fillId="0" borderId="0" xfId="427" applyNumberFormat="1" applyFont="1" applyBorder="1" applyAlignment="1">
      <alignment horizontal="center"/>
    </xf>
    <xf numFmtId="0" fontId="1" fillId="0" borderId="1" xfId="0" applyFont="1" applyBorder="1"/>
    <xf numFmtId="44" fontId="0" fillId="0" borderId="1" xfId="0" applyNumberFormat="1" applyBorder="1"/>
    <xf numFmtId="44" fontId="0" fillId="0" borderId="1" xfId="0" applyNumberFormat="1" applyBorder="1" applyAlignment="1">
      <alignment horizontal="left"/>
    </xf>
    <xf numFmtId="1" fontId="0" fillId="0" borderId="1" xfId="0" applyNumberFormat="1" applyBorder="1"/>
    <xf numFmtId="1" fontId="0" fillId="0" borderId="0" xfId="0" applyNumberFormat="1" applyBorder="1"/>
    <xf numFmtId="9" fontId="0" fillId="0" borderId="1" xfId="428" applyFont="1" applyFill="1" applyBorder="1" applyAlignment="1">
      <alignment horizontal="center" vertical="center"/>
    </xf>
    <xf numFmtId="9" fontId="0" fillId="0" borderId="1" xfId="428" applyNumberFormat="1" applyFont="1" applyFill="1" applyBorder="1" applyAlignment="1">
      <alignment horizontal="center" vertical="center"/>
    </xf>
    <xf numFmtId="1" fontId="0" fillId="0" borderId="1" xfId="428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9" fontId="0" fillId="0" borderId="1" xfId="428" applyFont="1" applyFill="1" applyBorder="1"/>
    <xf numFmtId="0" fontId="1" fillId="0" borderId="1" xfId="0" applyFont="1" applyFill="1" applyBorder="1" applyAlignment="1">
      <alignment horizontal="center" vertical="center" wrapText="1"/>
    </xf>
    <xf numFmtId="9" fontId="1" fillId="0" borderId="1" xfId="428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4" fontId="2" fillId="0" borderId="1" xfId="427" applyFont="1" applyFill="1" applyBorder="1" applyAlignment="1">
      <alignment horizontal="center" vertical="center" wrapText="1"/>
    </xf>
    <xf numFmtId="44" fontId="0" fillId="0" borderId="1" xfId="427" applyFont="1" applyFill="1" applyBorder="1" applyAlignment="1">
      <alignment horizontal="center" vertical="center"/>
    </xf>
    <xf numFmtId="2" fontId="0" fillId="0" borderId="1" xfId="427" applyNumberFormat="1" applyFont="1" applyFill="1" applyBorder="1" applyAlignment="1">
      <alignment horizontal="center" vertical="center"/>
    </xf>
    <xf numFmtId="1" fontId="0" fillId="0" borderId="1" xfId="427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/>
    </xf>
    <xf numFmtId="1" fontId="0" fillId="0" borderId="24" xfId="0" applyNumberForma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" fontId="0" fillId="0" borderId="1" xfId="427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4" fontId="0" fillId="0" borderId="0" xfId="427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9" fontId="0" fillId="0" borderId="1" xfId="428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44" fontId="0" fillId="0" borderId="1" xfId="427" applyFont="1" applyFill="1" applyBorder="1" applyAlignment="1">
      <alignment horizontal="center"/>
    </xf>
    <xf numFmtId="44" fontId="0" fillId="0" borderId="1" xfId="427" applyFont="1" applyFill="1" applyBorder="1" applyAlignment="1"/>
    <xf numFmtId="1" fontId="0" fillId="0" borderId="1" xfId="427" applyNumberFormat="1" applyFont="1" applyFill="1" applyBorder="1" applyAlignment="1"/>
    <xf numFmtId="1" fontId="0" fillId="0" borderId="1" xfId="471" applyNumberFormat="1" applyFont="1" applyFill="1" applyBorder="1" applyAlignment="1">
      <alignment horizontal="center"/>
    </xf>
    <xf numFmtId="171" fontId="0" fillId="0" borderId="1" xfId="427" applyNumberFormat="1" applyFont="1" applyFill="1" applyBorder="1" applyAlignment="1">
      <alignment horizontal="center"/>
    </xf>
    <xf numFmtId="9" fontId="0" fillId="0" borderId="0" xfId="428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428" applyFont="1" applyBorder="1" applyAlignment="1">
      <alignment horizontal="center" vertical="center"/>
    </xf>
    <xf numFmtId="0" fontId="0" fillId="0" borderId="0" xfId="0" applyBorder="1"/>
    <xf numFmtId="0" fontId="0" fillId="0" borderId="23" xfId="0" applyBorder="1" applyAlignment="1">
      <alignment horizontal="right"/>
    </xf>
    <xf numFmtId="44" fontId="0" fillId="0" borderId="26" xfId="427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427" applyNumberFormat="1" applyFont="1" applyBorder="1" applyAlignment="1">
      <alignment horizontal="right"/>
    </xf>
    <xf numFmtId="9" fontId="0" fillId="0" borderId="1" xfId="428" applyFont="1" applyBorder="1" applyAlignment="1">
      <alignment horizontal="right"/>
    </xf>
    <xf numFmtId="44" fontId="0" fillId="0" borderId="1" xfId="427" applyFont="1" applyBorder="1" applyAlignment="1">
      <alignment horizontal="right"/>
    </xf>
    <xf numFmtId="1" fontId="0" fillId="0" borderId="24" xfId="427" applyNumberFormat="1" applyFont="1" applyBorder="1" applyAlignment="1">
      <alignment horizontal="right"/>
    </xf>
    <xf numFmtId="2" fontId="0" fillId="0" borderId="0" xfId="427" applyNumberFormat="1" applyFont="1" applyBorder="1"/>
    <xf numFmtId="1" fontId="0" fillId="0" borderId="1" xfId="0" applyNumberFormat="1" applyBorder="1" applyAlignment="1">
      <alignment horizontal="right"/>
    </xf>
    <xf numFmtId="44" fontId="0" fillId="0" borderId="24" xfId="427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44" fontId="0" fillId="0" borderId="0" xfId="427" applyFont="1" applyBorder="1"/>
    <xf numFmtId="4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/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9" fontId="1" fillId="0" borderId="1" xfId="428" applyFont="1" applyBorder="1" applyAlignment="1">
      <alignment horizontal="center" vertical="center" wrapText="1"/>
    </xf>
    <xf numFmtId="9" fontId="0" fillId="0" borderId="1" xfId="428" applyFont="1" applyBorder="1" applyAlignment="1">
      <alignment horizontal="center" vertical="center"/>
    </xf>
    <xf numFmtId="9" fontId="0" fillId="0" borderId="1" xfId="428" applyFont="1" applyBorder="1"/>
    <xf numFmtId="9" fontId="0" fillId="0" borderId="0" xfId="428" applyFont="1" applyBorder="1"/>
    <xf numFmtId="44" fontId="0" fillId="0" borderId="1" xfId="427" applyFont="1" applyBorder="1" applyAlignment="1">
      <alignment horizontal="center" vertical="center" wrapText="1"/>
    </xf>
    <xf numFmtId="44" fontId="0" fillId="0" borderId="1" xfId="427" applyFont="1" applyBorder="1"/>
    <xf numFmtId="1" fontId="0" fillId="0" borderId="1" xfId="0" applyNumberFormat="1" applyBorder="1" applyAlignment="1">
      <alignment horizontal="center"/>
    </xf>
    <xf numFmtId="9" fontId="0" fillId="0" borderId="1" xfId="428" applyFont="1" applyBorder="1" applyAlignment="1">
      <alignment horizontal="center"/>
    </xf>
    <xf numFmtId="44" fontId="0" fillId="0" borderId="1" xfId="427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44" fontId="1" fillId="0" borderId="1" xfId="427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" fillId="0" borderId="25" xfId="0" applyFont="1" applyBorder="1" applyAlignment="1">
      <alignment wrapText="1"/>
    </xf>
    <xf numFmtId="0" fontId="0" fillId="0" borderId="27" xfId="0" applyBorder="1" applyAlignment="1">
      <alignment horizontal="left" wrapText="1"/>
    </xf>
    <xf numFmtId="44" fontId="0" fillId="0" borderId="27" xfId="0" applyNumberFormat="1" applyBorder="1" applyAlignment="1">
      <alignment horizontal="left" wrapText="1"/>
    </xf>
    <xf numFmtId="44" fontId="0" fillId="0" borderId="28" xfId="0" applyNumberForma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44" fontId="0" fillId="0" borderId="30" xfId="0" applyNumberFormat="1" applyBorder="1" applyAlignment="1">
      <alignment horizontal="left" wrapText="1"/>
    </xf>
    <xf numFmtId="0" fontId="0" fillId="0" borderId="1" xfId="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9" fontId="0" fillId="0" borderId="24" xfId="428" applyFont="1" applyBorder="1" applyAlignment="1">
      <alignment horizontal="right"/>
    </xf>
    <xf numFmtId="44" fontId="1" fillId="0" borderId="1" xfId="427" applyFont="1" applyBorder="1" applyAlignment="1">
      <alignment vertical="center" wrapText="1"/>
    </xf>
    <xf numFmtId="44" fontId="1" fillId="0" borderId="24" xfId="427" applyFont="1" applyBorder="1" applyAlignment="1">
      <alignment horizontal="center" vertical="center" wrapText="1"/>
    </xf>
    <xf numFmtId="0" fontId="41" fillId="0" borderId="35" xfId="0" applyFont="1" applyFill="1" applyBorder="1"/>
    <xf numFmtId="0" fontId="42" fillId="0" borderId="0" xfId="0" applyFont="1" applyFill="1" applyAlignment="1">
      <alignment horizontal="left"/>
    </xf>
    <xf numFmtId="44" fontId="42" fillId="0" borderId="0" xfId="427" applyFont="1" applyFill="1"/>
    <xf numFmtId="0" fontId="41" fillId="0" borderId="36" xfId="0" applyFont="1" applyFill="1" applyBorder="1" applyAlignment="1">
      <alignment horizontal="left"/>
    </xf>
    <xf numFmtId="44" fontId="41" fillId="0" borderId="36" xfId="427" applyFont="1" applyFill="1" applyBorder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4" fontId="1" fillId="0" borderId="1" xfId="0" applyNumberFormat="1" applyFont="1" applyFill="1" applyBorder="1" applyAlignment="1">
      <alignment horizontal="center" wrapText="1"/>
    </xf>
    <xf numFmtId="8" fontId="0" fillId="0" borderId="1" xfId="0" applyNumberFormat="1" applyBorder="1"/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9" fontId="0" fillId="0" borderId="1" xfId="428" applyFont="1" applyBorder="1" applyAlignment="1">
      <alignment horizontal="center"/>
    </xf>
    <xf numFmtId="44" fontId="0" fillId="0" borderId="1" xfId="427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9" fontId="0" fillId="0" borderId="22" xfId="428" applyFont="1" applyFill="1" applyBorder="1" applyAlignment="1">
      <alignment horizontal="center" vertical="center" wrapText="1"/>
    </xf>
    <xf numFmtId="9" fontId="0" fillId="0" borderId="21" xfId="428" applyFont="1" applyFill="1" applyBorder="1" applyAlignment="1">
      <alignment horizontal="center" vertical="center" wrapText="1"/>
    </xf>
    <xf numFmtId="9" fontId="0" fillId="0" borderId="23" xfId="428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428" applyFont="1" applyBorder="1" applyAlignment="1">
      <alignment horizontal="center" vertical="center"/>
    </xf>
    <xf numFmtId="44" fontId="1" fillId="0" borderId="1" xfId="427" applyFont="1" applyBorder="1" applyAlignment="1">
      <alignment horizontal="center"/>
    </xf>
  </cellXfs>
  <cellStyles count="620">
    <cellStyle name="20% - Énfasis1" xfId="447" builtinId="30" customBuiltin="1"/>
    <cellStyle name="20% - Énfasis1 2" xfId="14"/>
    <cellStyle name="20% - Énfasis1 3" xfId="15"/>
    <cellStyle name="20% - Énfasis1 4" xfId="16"/>
    <cellStyle name="20% - Énfasis1 5" xfId="17"/>
    <cellStyle name="20% - Énfasis2" xfId="451" builtinId="34" customBuiltin="1"/>
    <cellStyle name="20% - Énfasis2 2" xfId="18"/>
    <cellStyle name="20% - Énfasis2 3" xfId="19"/>
    <cellStyle name="20% - Énfasis2 4" xfId="20"/>
    <cellStyle name="20% - Énfasis2 5" xfId="21"/>
    <cellStyle name="20% - Énfasis3" xfId="455" builtinId="38" customBuiltin="1"/>
    <cellStyle name="20% - Énfasis3 2" xfId="22"/>
    <cellStyle name="20% - Énfasis3 3" xfId="23"/>
    <cellStyle name="20% - Énfasis3 4" xfId="24"/>
    <cellStyle name="20% - Énfasis3 5" xfId="25"/>
    <cellStyle name="20% - Énfasis4" xfId="459" builtinId="42" customBuiltin="1"/>
    <cellStyle name="20% - Énfasis4 2" xfId="26"/>
    <cellStyle name="20% - Énfasis4 3" xfId="27"/>
    <cellStyle name="20% - Énfasis4 4" xfId="28"/>
    <cellStyle name="20% - Énfasis4 5" xfId="29"/>
    <cellStyle name="20% - Énfasis5" xfId="463" builtinId="46" customBuiltin="1"/>
    <cellStyle name="20% - Énfasis5 2" xfId="30"/>
    <cellStyle name="20% - Énfasis5 3" xfId="31"/>
    <cellStyle name="20% - Énfasis5 4" xfId="32"/>
    <cellStyle name="20% - Énfasis5 5" xfId="33"/>
    <cellStyle name="20% - Énfasis6" xfId="467" builtinId="50" customBuiltin="1"/>
    <cellStyle name="20% - Énfasis6 2" xfId="34"/>
    <cellStyle name="20% - Énfasis6 3" xfId="35"/>
    <cellStyle name="20% - Énfasis6 4" xfId="36"/>
    <cellStyle name="20% - Énfasis6 5" xfId="37"/>
    <cellStyle name="40% - Énfasis1" xfId="448" builtinId="31" customBuiltin="1"/>
    <cellStyle name="40% - Énfasis1 2" xfId="38"/>
    <cellStyle name="40% - Énfasis1 3" xfId="39"/>
    <cellStyle name="40% - Énfasis1 4" xfId="40"/>
    <cellStyle name="40% - Énfasis1 5" xfId="41"/>
    <cellStyle name="40% - Énfasis2" xfId="452" builtinId="35" customBuiltin="1"/>
    <cellStyle name="40% - Énfasis2 2" xfId="42"/>
    <cellStyle name="40% - Énfasis2 3" xfId="43"/>
    <cellStyle name="40% - Énfasis2 4" xfId="44"/>
    <cellStyle name="40% - Énfasis2 5" xfId="45"/>
    <cellStyle name="40% - Énfasis3" xfId="456" builtinId="39" customBuiltin="1"/>
    <cellStyle name="40% - Énfasis3 2" xfId="46"/>
    <cellStyle name="40% - Énfasis3 3" xfId="47"/>
    <cellStyle name="40% - Énfasis3 4" xfId="48"/>
    <cellStyle name="40% - Énfasis3 5" xfId="49"/>
    <cellStyle name="40% - Énfasis4" xfId="460" builtinId="43" customBuiltin="1"/>
    <cellStyle name="40% - Énfasis4 2" xfId="50"/>
    <cellStyle name="40% - Énfasis4 3" xfId="51"/>
    <cellStyle name="40% - Énfasis4 4" xfId="52"/>
    <cellStyle name="40% - Énfasis4 5" xfId="53"/>
    <cellStyle name="40% - Énfasis5" xfId="464" builtinId="47" customBuiltin="1"/>
    <cellStyle name="40% - Énfasis5 2" xfId="54"/>
    <cellStyle name="40% - Énfasis5 3" xfId="55"/>
    <cellStyle name="40% - Énfasis5 4" xfId="56"/>
    <cellStyle name="40% - Énfasis5 5" xfId="57"/>
    <cellStyle name="40% - Énfasis6" xfId="468" builtinId="51" customBuiltin="1"/>
    <cellStyle name="40% - Énfasis6 2" xfId="58"/>
    <cellStyle name="40% - Énfasis6 3" xfId="59"/>
    <cellStyle name="40% - Énfasis6 4" xfId="60"/>
    <cellStyle name="40% - Énfasis6 5" xfId="61"/>
    <cellStyle name="60% - Énfasis1" xfId="449" builtinId="32" customBuiltin="1"/>
    <cellStyle name="60% - Énfasis1 2" xfId="62"/>
    <cellStyle name="60% - Énfasis1 3" xfId="63"/>
    <cellStyle name="60% - Énfasis1 4" xfId="64"/>
    <cellStyle name="60% - Énfasis1 5" xfId="65"/>
    <cellStyle name="60% - Énfasis2" xfId="453" builtinId="36" customBuiltin="1"/>
    <cellStyle name="60% - Énfasis2 2" xfId="66"/>
    <cellStyle name="60% - Énfasis2 3" xfId="67"/>
    <cellStyle name="60% - Énfasis2 4" xfId="68"/>
    <cellStyle name="60% - Énfasis2 5" xfId="69"/>
    <cellStyle name="60% - Énfasis3" xfId="457" builtinId="40" customBuiltin="1"/>
    <cellStyle name="60% - Énfasis3 2" xfId="70"/>
    <cellStyle name="60% - Énfasis3 3" xfId="71"/>
    <cellStyle name="60% - Énfasis3 4" xfId="72"/>
    <cellStyle name="60% - Énfasis3 5" xfId="73"/>
    <cellStyle name="60% - Énfasis4" xfId="461" builtinId="44" customBuiltin="1"/>
    <cellStyle name="60% - Énfasis4 2" xfId="74"/>
    <cellStyle name="60% - Énfasis4 3" xfId="75"/>
    <cellStyle name="60% - Énfasis4 4" xfId="76"/>
    <cellStyle name="60% - Énfasis4 5" xfId="77"/>
    <cellStyle name="60% - Énfasis5" xfId="465" builtinId="48" customBuiltin="1"/>
    <cellStyle name="60% - Énfasis5 2" xfId="78"/>
    <cellStyle name="60% - Énfasis5 3" xfId="79"/>
    <cellStyle name="60% - Énfasis5 4" xfId="80"/>
    <cellStyle name="60% - Énfasis5 5" xfId="81"/>
    <cellStyle name="60% - Énfasis6" xfId="469" builtinId="52" customBuiltin="1"/>
    <cellStyle name="60% - Énfasis6 2" xfId="82"/>
    <cellStyle name="60% - Énfasis6 3" xfId="83"/>
    <cellStyle name="60% - Énfasis6 4" xfId="84"/>
    <cellStyle name="60% - Énfasis6 5" xfId="85"/>
    <cellStyle name="Buena" xfId="434" builtinId="26" customBuiltin="1"/>
    <cellStyle name="Buena 2" xfId="86"/>
    <cellStyle name="Buena 3" xfId="87"/>
    <cellStyle name="Buena 4" xfId="88"/>
    <cellStyle name="Buena 5" xfId="89"/>
    <cellStyle name="Cálculo" xfId="439" builtinId="22" customBuiltin="1"/>
    <cellStyle name="Cálculo 2" xfId="90"/>
    <cellStyle name="Cálculo 3" xfId="91"/>
    <cellStyle name="Cálculo 4" xfId="92"/>
    <cellStyle name="Cálculo 5" xfId="93"/>
    <cellStyle name="Celda de comprobación" xfId="441" builtinId="23" customBuiltin="1"/>
    <cellStyle name="Celda de comprobación 2" xfId="94"/>
    <cellStyle name="Celda de comprobación 3" xfId="95"/>
    <cellStyle name="Celda de comprobación 4" xfId="96"/>
    <cellStyle name="Celda de comprobación 5" xfId="97"/>
    <cellStyle name="Celda vinculada" xfId="440" builtinId="24" customBuiltin="1"/>
    <cellStyle name="Celda vinculada 2" xfId="98"/>
    <cellStyle name="Celda vinculada 3" xfId="99"/>
    <cellStyle name="Celda vinculada 4" xfId="100"/>
    <cellStyle name="Celda vinculada 5" xfId="101"/>
    <cellStyle name="Encabezado 4" xfId="433" builtinId="19" customBuiltin="1"/>
    <cellStyle name="Encabezado 4 2" xfId="102"/>
    <cellStyle name="Encabezado 4 3" xfId="103"/>
    <cellStyle name="Encabezado 4 4" xfId="104"/>
    <cellStyle name="Encabezado 4 5" xfId="105"/>
    <cellStyle name="Énfasis1" xfId="446" builtinId="29" customBuiltin="1"/>
    <cellStyle name="Énfasis1 2" xfId="106"/>
    <cellStyle name="Énfasis1 3" xfId="107"/>
    <cellStyle name="Énfasis1 4" xfId="108"/>
    <cellStyle name="Énfasis1 5" xfId="109"/>
    <cellStyle name="Énfasis2" xfId="450" builtinId="33" customBuiltin="1"/>
    <cellStyle name="Énfasis2 2" xfId="110"/>
    <cellStyle name="Énfasis2 3" xfId="111"/>
    <cellStyle name="Énfasis2 4" xfId="112"/>
    <cellStyle name="Énfasis2 5" xfId="113"/>
    <cellStyle name="Énfasis3" xfId="454" builtinId="37" customBuiltin="1"/>
    <cellStyle name="Énfasis3 2" xfId="114"/>
    <cellStyle name="Énfasis3 3" xfId="115"/>
    <cellStyle name="Énfasis3 4" xfId="116"/>
    <cellStyle name="Énfasis3 5" xfId="117"/>
    <cellStyle name="Énfasis4" xfId="458" builtinId="41" customBuiltin="1"/>
    <cellStyle name="Énfasis4 2" xfId="118"/>
    <cellStyle name="Énfasis4 3" xfId="119"/>
    <cellStyle name="Énfasis4 4" xfId="120"/>
    <cellStyle name="Énfasis4 5" xfId="121"/>
    <cellStyle name="Énfasis5" xfId="462" builtinId="45" customBuiltin="1"/>
    <cellStyle name="Énfasis5 2" xfId="122"/>
    <cellStyle name="Énfasis5 3" xfId="123"/>
    <cellStyle name="Énfasis5 4" xfId="124"/>
    <cellStyle name="Énfasis5 5" xfId="125"/>
    <cellStyle name="Énfasis6" xfId="466" builtinId="49" customBuiltin="1"/>
    <cellStyle name="Énfasis6 2" xfId="126"/>
    <cellStyle name="Énfasis6 3" xfId="127"/>
    <cellStyle name="Énfasis6 4" xfId="128"/>
    <cellStyle name="Énfasis6 5" xfId="129"/>
    <cellStyle name="Entrada" xfId="437" builtinId="20" customBuiltin="1"/>
    <cellStyle name="Entrada 2" xfId="130"/>
    <cellStyle name="Entrada 3" xfId="131"/>
    <cellStyle name="Entrada 4" xfId="132"/>
    <cellStyle name="Entrada 5" xfId="133"/>
    <cellStyle name="Estilo 1" xfId="4"/>
    <cellStyle name="Estilo 1 10" xfId="134"/>
    <cellStyle name="Estilo 1 10 2" xfId="10"/>
    <cellStyle name="Estilo 1 10 2 2" xfId="477"/>
    <cellStyle name="Estilo 1 10 3" xfId="483"/>
    <cellStyle name="Estilo 1 11" xfId="135"/>
    <cellStyle name="Estilo 1 11 2" xfId="136"/>
    <cellStyle name="Estilo 1 11 2 2" xfId="485"/>
    <cellStyle name="Estilo 1 11 3" xfId="484"/>
    <cellStyle name="Estilo 1 12" xfId="137"/>
    <cellStyle name="Estilo 1 12 2" xfId="138"/>
    <cellStyle name="Estilo 1 12 2 2" xfId="487"/>
    <cellStyle name="Estilo 1 12 3" xfId="486"/>
    <cellStyle name="Estilo 1 13" xfId="139"/>
    <cellStyle name="Estilo 1 13 2" xfId="140"/>
    <cellStyle name="Estilo 1 13 2 2" xfId="489"/>
    <cellStyle name="Estilo 1 13 3" xfId="488"/>
    <cellStyle name="Estilo 1 14" xfId="141"/>
    <cellStyle name="Estilo 1 14 2" xfId="142"/>
    <cellStyle name="Estilo 1 14 2 2" xfId="491"/>
    <cellStyle name="Estilo 1 14 3" xfId="490"/>
    <cellStyle name="Estilo 1 15" xfId="143"/>
    <cellStyle name="Estilo 1 15 2" xfId="144"/>
    <cellStyle name="Estilo 1 15 2 2" xfId="493"/>
    <cellStyle name="Estilo 1 15 3" xfId="492"/>
    <cellStyle name="Estilo 1 16" xfId="145"/>
    <cellStyle name="Estilo 1 16 2" xfId="494"/>
    <cellStyle name="Estilo 1 17" xfId="146"/>
    <cellStyle name="Estilo 1 17 2" xfId="495"/>
    <cellStyle name="Estilo 1 18" xfId="478"/>
    <cellStyle name="Estilo 1 2" xfId="147"/>
    <cellStyle name="Estilo 1 2 2" xfId="148"/>
    <cellStyle name="Estilo 1 2 2 2" xfId="497"/>
    <cellStyle name="Estilo 1 2 3" xfId="496"/>
    <cellStyle name="Estilo 1 3" xfId="149"/>
    <cellStyle name="Estilo 1 3 2" xfId="150"/>
    <cellStyle name="Estilo 1 3 2 2" xfId="499"/>
    <cellStyle name="Estilo 1 3 3" xfId="498"/>
    <cellStyle name="Estilo 1 4" xfId="151"/>
    <cellStyle name="Estilo 1 4 2" xfId="152"/>
    <cellStyle name="Estilo 1 4 2 2" xfId="501"/>
    <cellStyle name="Estilo 1 4 3" xfId="500"/>
    <cellStyle name="Estilo 1 5" xfId="153"/>
    <cellStyle name="Estilo 1 5 2" xfId="154"/>
    <cellStyle name="Estilo 1 5 2 2" xfId="503"/>
    <cellStyle name="Estilo 1 5 3" xfId="502"/>
    <cellStyle name="Estilo 1 6" xfId="155"/>
    <cellStyle name="Estilo 1 6 2" xfId="156"/>
    <cellStyle name="Estilo 1 6 2 2" xfId="505"/>
    <cellStyle name="Estilo 1 6 3" xfId="504"/>
    <cellStyle name="Estilo 1 7" xfId="157"/>
    <cellStyle name="Estilo 1 7 2" xfId="158"/>
    <cellStyle name="Estilo 1 7 2 2" xfId="507"/>
    <cellStyle name="Estilo 1 7 3" xfId="506"/>
    <cellStyle name="Estilo 1 8" xfId="159"/>
    <cellStyle name="Estilo 1 8 2" xfId="160"/>
    <cellStyle name="Estilo 1 8 2 2" xfId="509"/>
    <cellStyle name="Estilo 1 8 3" xfId="508"/>
    <cellStyle name="Estilo 1 9" xfId="161"/>
    <cellStyle name="Estilo 1 9 2" xfId="162"/>
    <cellStyle name="Estilo 1 9 2 2" xfId="511"/>
    <cellStyle name="Estilo 1 9 3" xfId="510"/>
    <cellStyle name="Euro" xfId="163"/>
    <cellStyle name="Euro 10" xfId="164"/>
    <cellStyle name="Euro 10 2" xfId="513"/>
    <cellStyle name="Euro 11" xfId="165"/>
    <cellStyle name="Euro 11 2" xfId="514"/>
    <cellStyle name="Euro 12" xfId="512"/>
    <cellStyle name="Euro 2" xfId="166"/>
    <cellStyle name="Euro 2 2" xfId="167"/>
    <cellStyle name="Euro 2 2 2" xfId="516"/>
    <cellStyle name="Euro 2 3" xfId="515"/>
    <cellStyle name="Euro 3" xfId="168"/>
    <cellStyle name="Euro 3 2" xfId="169"/>
    <cellStyle name="Euro 3 2 2" xfId="518"/>
    <cellStyle name="Euro 3 3" xfId="517"/>
    <cellStyle name="Euro 4" xfId="170"/>
    <cellStyle name="Euro 4 2" xfId="171"/>
    <cellStyle name="Euro 4 2 2" xfId="520"/>
    <cellStyle name="Euro 4 3" xfId="519"/>
    <cellStyle name="Euro 5" xfId="172"/>
    <cellStyle name="Euro 5 2" xfId="173"/>
    <cellStyle name="Euro 5 2 2" xfId="522"/>
    <cellStyle name="Euro 5 3" xfId="521"/>
    <cellStyle name="Euro 6" xfId="174"/>
    <cellStyle name="Euro 6 2" xfId="175"/>
    <cellStyle name="Euro 6 2 2" xfId="524"/>
    <cellStyle name="Euro 6 3" xfId="523"/>
    <cellStyle name="Euro 7" xfId="176"/>
    <cellStyle name="Euro 7 2" xfId="177"/>
    <cellStyle name="Euro 7 2 2" xfId="526"/>
    <cellStyle name="Euro 7 3" xfId="525"/>
    <cellStyle name="Euro 8" xfId="178"/>
    <cellStyle name="Euro 8 2" xfId="527"/>
    <cellStyle name="Euro 9" xfId="179"/>
    <cellStyle name="Euro 9 2" xfId="528"/>
    <cellStyle name="Excel Built-in Normal" xfId="180"/>
    <cellStyle name="Incorrecto" xfId="435" builtinId="27" customBuiltin="1"/>
    <cellStyle name="Incorrecto 2" xfId="181"/>
    <cellStyle name="Incorrecto 3" xfId="182"/>
    <cellStyle name="Incorrecto 4" xfId="183"/>
    <cellStyle name="Incorrecto 5" xfId="184"/>
    <cellStyle name="Millares" xfId="471" builtinId="3"/>
    <cellStyle name="Millares 10" xfId="185"/>
    <cellStyle name="Millares 10 2" xfId="529"/>
    <cellStyle name="Millares 11" xfId="186"/>
    <cellStyle name="Millares 11 2" xfId="530"/>
    <cellStyle name="Millares 12" xfId="187"/>
    <cellStyle name="Millares 12 2" xfId="188"/>
    <cellStyle name="Millares 12 2 2" xfId="532"/>
    <cellStyle name="Millares 12 3" xfId="531"/>
    <cellStyle name="Millares 13" xfId="2"/>
    <cellStyle name="Millares 13 2" xfId="473"/>
    <cellStyle name="Millares 2" xfId="189"/>
    <cellStyle name="Millares 2 10" xfId="190"/>
    <cellStyle name="Millares 2 10 2" xfId="534"/>
    <cellStyle name="Millares 2 11" xfId="533"/>
    <cellStyle name="Millares 2 2" xfId="191"/>
    <cellStyle name="Millares 2 2 2" xfId="192"/>
    <cellStyle name="Millares 2 2 2 2" xfId="536"/>
    <cellStyle name="Millares 2 2 3" xfId="535"/>
    <cellStyle name="Millares 2 3" xfId="193"/>
    <cellStyle name="Millares 2 3 2" xfId="194"/>
    <cellStyle name="Millares 2 3 2 2" xfId="538"/>
    <cellStyle name="Millares 2 3 3" xfId="537"/>
    <cellStyle name="Millares 2 4" xfId="195"/>
    <cellStyle name="Millares 2 4 2" xfId="196"/>
    <cellStyle name="Millares 2 4 2 2" xfId="540"/>
    <cellStyle name="Millares 2 4 3" xfId="539"/>
    <cellStyle name="Millares 2 5" xfId="197"/>
    <cellStyle name="Millares 2 5 2" xfId="198"/>
    <cellStyle name="Millares 2 5 2 2" xfId="542"/>
    <cellStyle name="Millares 2 5 3" xfId="541"/>
    <cellStyle name="Millares 2 6" xfId="199"/>
    <cellStyle name="Millares 2 6 2" xfId="200"/>
    <cellStyle name="Millares 2 6 2 2" xfId="544"/>
    <cellStyle name="Millares 2 6 3" xfId="543"/>
    <cellStyle name="Millares 2 7" xfId="201"/>
    <cellStyle name="Millares 2 7 2" xfId="202"/>
    <cellStyle name="Millares 2 7 2 2" xfId="546"/>
    <cellStyle name="Millares 2 7 3" xfId="545"/>
    <cellStyle name="Millares 2 8" xfId="203"/>
    <cellStyle name="Millares 2 8 2" xfId="204"/>
    <cellStyle name="Millares 2 8 2 2" xfId="548"/>
    <cellStyle name="Millares 2 8 3" xfId="547"/>
    <cellStyle name="Millares 2 9" xfId="205"/>
    <cellStyle name="Millares 2 9 2" xfId="206"/>
    <cellStyle name="Millares 2 9 2 2" xfId="550"/>
    <cellStyle name="Millares 2 9 3" xfId="549"/>
    <cellStyle name="Millares 2_Hoja2" xfId="207"/>
    <cellStyle name="Millares 3" xfId="208"/>
    <cellStyle name="Millares 3 2" xfId="6"/>
    <cellStyle name="Millares 3 2 2" xfId="209"/>
    <cellStyle name="Millares 3 2 2 2" xfId="552"/>
    <cellStyle name="Millares 3 2 3" xfId="210"/>
    <cellStyle name="Millares 3 2 3 2" xfId="211"/>
    <cellStyle name="Millares 3 2 3 2 2" xfId="554"/>
    <cellStyle name="Millares 3 2 3 3" xfId="553"/>
    <cellStyle name="Millares 3 2 4" xfId="482"/>
    <cellStyle name="Millares 3 3" xfId="212"/>
    <cellStyle name="Millares 3 3 2" xfId="555"/>
    <cellStyle name="Millares 3 4" xfId="551"/>
    <cellStyle name="Millares 4" xfId="213"/>
    <cellStyle name="Millares 4 2" xfId="556"/>
    <cellStyle name="Millares 5" xfId="214"/>
    <cellStyle name="Millares 5 2" xfId="215"/>
    <cellStyle name="Millares 5 2 2" xfId="558"/>
    <cellStyle name="Millares 5 3" xfId="557"/>
    <cellStyle name="Millares 6" xfId="216"/>
    <cellStyle name="Millares 6 2" xfId="559"/>
    <cellStyle name="Millares 7" xfId="217"/>
    <cellStyle name="Millares 7 2" xfId="560"/>
    <cellStyle name="Millares 8" xfId="218"/>
    <cellStyle name="Millares 8 2" xfId="219"/>
    <cellStyle name="Millares 8 2 2" xfId="562"/>
    <cellStyle name="Millares 8 3" xfId="561"/>
    <cellStyle name="Millares 9" xfId="220"/>
    <cellStyle name="Millares 9 2" xfId="563"/>
    <cellStyle name="Moneda" xfId="427" builtinId="4"/>
    <cellStyle name="Moneda 2" xfId="221"/>
    <cellStyle name="Moneda 3" xfId="222"/>
    <cellStyle name="Neutral" xfId="436" builtinId="28" customBuiltin="1"/>
    <cellStyle name="Neutral 2" xfId="223"/>
    <cellStyle name="Neutral 3" xfId="224"/>
    <cellStyle name="Neutral 4" xfId="225"/>
    <cellStyle name="Neutral 5" xfId="226"/>
    <cellStyle name="Normal" xfId="0" builtinId="0"/>
    <cellStyle name="Normal 10" xfId="227"/>
    <cellStyle name="Normal 10 2" xfId="228"/>
    <cellStyle name="Normal 10 2 2" xfId="229"/>
    <cellStyle name="Normal 10 3" xfId="230"/>
    <cellStyle name="Normal 10 3 2" xfId="231"/>
    <cellStyle name="Normal 10 3 2 2" xfId="232"/>
    <cellStyle name="Normal 10 3 3" xfId="233"/>
    <cellStyle name="Normal 10 4" xfId="234"/>
    <cellStyle name="Normal 10 5" xfId="235"/>
    <cellStyle name="Normal 10 6" xfId="236"/>
    <cellStyle name="Normal 11" xfId="11"/>
    <cellStyle name="Normal 11 2" xfId="237"/>
    <cellStyle name="Normal 11 2 2" xfId="238"/>
    <cellStyle name="Normal 11 3" xfId="239"/>
    <cellStyle name="Normal 11 3 2" xfId="240"/>
    <cellStyle name="Normal 11 4" xfId="241"/>
    <cellStyle name="Normal 11 5" xfId="12"/>
    <cellStyle name="Normal 11 5 2" xfId="475"/>
    <cellStyle name="Normal 11 6" xfId="476"/>
    <cellStyle name="Normal 12" xfId="8"/>
    <cellStyle name="Normal 12 2" xfId="242"/>
    <cellStyle name="Normal 12 2 2" xfId="243"/>
    <cellStyle name="Normal 12 3" xfId="244"/>
    <cellStyle name="Normal 12 4" xfId="245"/>
    <cellStyle name="Normal 13" xfId="246"/>
    <cellStyle name="Normal 13 2" xfId="247"/>
    <cellStyle name="Normal 13 2 2" xfId="248"/>
    <cellStyle name="Normal 13 3" xfId="249"/>
    <cellStyle name="Normal 13 4" xfId="250"/>
    <cellStyle name="Normal 13 5" xfId="564"/>
    <cellStyle name="Normal 14" xfId="251"/>
    <cellStyle name="Normal 14 2" xfId="252"/>
    <cellStyle name="Normal 14 2 2" xfId="253"/>
    <cellStyle name="Normal 14 3" xfId="254"/>
    <cellStyle name="Normal 15" xfId="255"/>
    <cellStyle name="Normal 15 2" xfId="256"/>
    <cellStyle name="Normal 16" xfId="257"/>
    <cellStyle name="Normal 16 2" xfId="258"/>
    <cellStyle name="Normal 16 2 2" xfId="259"/>
    <cellStyle name="Normal 16 2 2 2" xfId="260"/>
    <cellStyle name="Normal 16 2 3" xfId="261"/>
    <cellStyle name="Normal 16 3" xfId="262"/>
    <cellStyle name="Normal 17" xfId="263"/>
    <cellStyle name="Normal 18" xfId="264"/>
    <cellStyle name="Normal 18 2" xfId="265"/>
    <cellStyle name="Normal 19" xfId="266"/>
    <cellStyle name="Normal 19 2" xfId="267"/>
    <cellStyle name="Normal 19 2 2" xfId="268"/>
    <cellStyle name="Normal 19 3" xfId="269"/>
    <cellStyle name="Normal 2" xfId="270"/>
    <cellStyle name="Normal 2 10" xfId="565"/>
    <cellStyle name="Normal 2 11" xfId="618"/>
    <cellStyle name="Normal 2 2" xfId="3"/>
    <cellStyle name="Normal 2 2 2" xfId="271"/>
    <cellStyle name="Normal 2 2 2 2" xfId="13"/>
    <cellStyle name="Normal 2 2 2 2 2" xfId="481"/>
    <cellStyle name="Normal 2 2 2 3" xfId="566"/>
    <cellStyle name="Normal 2 2 3" xfId="272"/>
    <cellStyle name="Normal 2 2 3 2" xfId="567"/>
    <cellStyle name="Normal 2 2 4" xfId="273"/>
    <cellStyle name="Normal 2 2 4 2" xfId="568"/>
    <cellStyle name="Normal 2 2 5" xfId="7"/>
    <cellStyle name="Normal 2 2 5 2" xfId="479"/>
    <cellStyle name="Normal 2 2 6" xfId="274"/>
    <cellStyle name="Normal 2 2 7" xfId="474"/>
    <cellStyle name="Normal 2 21" xfId="275"/>
    <cellStyle name="Normal 2 21 2" xfId="276"/>
    <cellStyle name="Normal 2 21 2 2" xfId="570"/>
    <cellStyle name="Normal 2 21 3" xfId="569"/>
    <cellStyle name="Normal 2 3" xfId="277"/>
    <cellStyle name="Normal 2 3 2" xfId="278"/>
    <cellStyle name="Normal 2 3 3" xfId="279"/>
    <cellStyle name="Normal 2 3 4" xfId="280"/>
    <cellStyle name="Normal 2 3 4 2" xfId="572"/>
    <cellStyle name="Normal 2 3 5" xfId="571"/>
    <cellStyle name="Normal 2 4" xfId="281"/>
    <cellStyle name="Normal 2 4 2" xfId="282"/>
    <cellStyle name="Normal 2 4 3" xfId="283"/>
    <cellStyle name="Normal 2 4 3 2" xfId="574"/>
    <cellStyle name="Normal 2 4 4" xfId="573"/>
    <cellStyle name="Normal 2 5" xfId="284"/>
    <cellStyle name="Normal 2 5 2" xfId="285"/>
    <cellStyle name="Normal 2 5 2 2" xfId="576"/>
    <cellStyle name="Normal 2 5 3" xfId="575"/>
    <cellStyle name="Normal 2 6" xfId="286"/>
    <cellStyle name="Normal 2 6 2" xfId="287"/>
    <cellStyle name="Normal 2 6 2 2" xfId="578"/>
    <cellStyle name="Normal 2 6 3" xfId="577"/>
    <cellStyle name="Normal 2 7" xfId="288"/>
    <cellStyle name="Normal 2 7 2" xfId="289"/>
    <cellStyle name="Normal 2 7 2 2" xfId="580"/>
    <cellStyle name="Normal 2 7 3" xfId="579"/>
    <cellStyle name="Normal 2 8" xfId="290"/>
    <cellStyle name="Normal 2 9" xfId="470"/>
    <cellStyle name="Normal 2 9 2" xfId="617"/>
    <cellStyle name="Normal 2 9 3" xfId="619"/>
    <cellStyle name="Normal 2_Formulario AP-4" xfId="291"/>
    <cellStyle name="Normal 20" xfId="292"/>
    <cellStyle name="Normal 20 2" xfId="293"/>
    <cellStyle name="Normal 20 2 2" xfId="294"/>
    <cellStyle name="Normal 20 3" xfId="295"/>
    <cellStyle name="Normal 21" xfId="296"/>
    <cellStyle name="Normal 21 2" xfId="297"/>
    <cellStyle name="Normal 21 2 2" xfId="298"/>
    <cellStyle name="Normal 21 3" xfId="299"/>
    <cellStyle name="Normal 22" xfId="300"/>
    <cellStyle name="Normal 22 2" xfId="301"/>
    <cellStyle name="Normal 22 2 2" xfId="302"/>
    <cellStyle name="Normal 22 3" xfId="303"/>
    <cellStyle name="Normal 23" xfId="304"/>
    <cellStyle name="Normal 23 2" xfId="305"/>
    <cellStyle name="Normal 23 2 2" xfId="306"/>
    <cellStyle name="Normal 23 3" xfId="307"/>
    <cellStyle name="Normal 24" xfId="308"/>
    <cellStyle name="Normal 24 2" xfId="309"/>
    <cellStyle name="Normal 25" xfId="310"/>
    <cellStyle name="Normal 25 2" xfId="311"/>
    <cellStyle name="Normal 26" xfId="312"/>
    <cellStyle name="Normal 27" xfId="313"/>
    <cellStyle name="Normal 27 2" xfId="314"/>
    <cellStyle name="Normal 28" xfId="315"/>
    <cellStyle name="Normal 29" xfId="316"/>
    <cellStyle name="Normal 29 2" xfId="317"/>
    <cellStyle name="Normal 29 2 2" xfId="582"/>
    <cellStyle name="Normal 29 3" xfId="581"/>
    <cellStyle name="Normal 3" xfId="318"/>
    <cellStyle name="Normal 3 2" xfId="319"/>
    <cellStyle name="Normal 3 2 2" xfId="320"/>
    <cellStyle name="Normal 3 2 3" xfId="321"/>
    <cellStyle name="Normal 3 2 4" xfId="584"/>
    <cellStyle name="Normal 3 3" xfId="322"/>
    <cellStyle name="Normal 3 4" xfId="323"/>
    <cellStyle name="Normal 3 5" xfId="324"/>
    <cellStyle name="Normal 3 6" xfId="5"/>
    <cellStyle name="Normal 3 6 2" xfId="480"/>
    <cellStyle name="Normal 3 7" xfId="583"/>
    <cellStyle name="Normal 30" xfId="325"/>
    <cellStyle name="Normal 30 2" xfId="326"/>
    <cellStyle name="Normal 30 2 2" xfId="586"/>
    <cellStyle name="Normal 30 3" xfId="585"/>
    <cellStyle name="Normal 31" xfId="327"/>
    <cellStyle name="Normal 31 2" xfId="328"/>
    <cellStyle name="Normal 31 2 2" xfId="588"/>
    <cellStyle name="Normal 31 3" xfId="587"/>
    <cellStyle name="Normal 32" xfId="329"/>
    <cellStyle name="Normal 32 2" xfId="330"/>
    <cellStyle name="Normal 32 2 2" xfId="590"/>
    <cellStyle name="Normal 32 3" xfId="589"/>
    <cellStyle name="Normal 33" xfId="331"/>
    <cellStyle name="Normal 33 2" xfId="332"/>
    <cellStyle name="Normal 33 2 2" xfId="592"/>
    <cellStyle name="Normal 33 3" xfId="591"/>
    <cellStyle name="Normal 34" xfId="333"/>
    <cellStyle name="Normal 34 2" xfId="334"/>
    <cellStyle name="Normal 34 2 2" xfId="594"/>
    <cellStyle name="Normal 34 3" xfId="593"/>
    <cellStyle name="Normal 35" xfId="335"/>
    <cellStyle name="Normal 35 2" xfId="595"/>
    <cellStyle name="Normal 36" xfId="1"/>
    <cellStyle name="Normal 36 2" xfId="472"/>
    <cellStyle name="Normal 4" xfId="336"/>
    <cellStyle name="Normal 4 2" xfId="337"/>
    <cellStyle name="Normal 4 2 2" xfId="338"/>
    <cellStyle name="Normal 4 3" xfId="339"/>
    <cellStyle name="Normal 4 3 2" xfId="340"/>
    <cellStyle name="Normal 4 4" xfId="341"/>
    <cellStyle name="Normal 4 5" xfId="342"/>
    <cellStyle name="Normal 4 6" xfId="343"/>
    <cellStyle name="Normal 4 6 2" xfId="597"/>
    <cellStyle name="Normal 4 7" xfId="596"/>
    <cellStyle name="Normal 5" xfId="344"/>
    <cellStyle name="Normal 5 2" xfId="345"/>
    <cellStyle name="Normal 5 2 2" xfId="346"/>
    <cellStyle name="Normal 5 3" xfId="347"/>
    <cellStyle name="Normal 5 3 2" xfId="348"/>
    <cellStyle name="Normal 6" xfId="349"/>
    <cellStyle name="Normal 6 2" xfId="350"/>
    <cellStyle name="Normal 6 2 2" xfId="351"/>
    <cellStyle name="Normal 6 3" xfId="352"/>
    <cellStyle name="Normal 6 4" xfId="353"/>
    <cellStyle name="Normal 6 5" xfId="598"/>
    <cellStyle name="Normal 7" xfId="354"/>
    <cellStyle name="Normal 7 2" xfId="355"/>
    <cellStyle name="Normal 7 2 2" xfId="356"/>
    <cellStyle name="Normal 7 3" xfId="357"/>
    <cellStyle name="Normal 7 4" xfId="358"/>
    <cellStyle name="Normal 8" xfId="359"/>
    <cellStyle name="Normal 8 2" xfId="360"/>
    <cellStyle name="Normal 8 2 2" xfId="361"/>
    <cellStyle name="Normal 8 3" xfId="362"/>
    <cellStyle name="Normal 8 4" xfId="363"/>
    <cellStyle name="Normal 9" xfId="9"/>
    <cellStyle name="Normal 9 2" xfId="364"/>
    <cellStyle name="Normal 9 2 2" xfId="365"/>
    <cellStyle name="Normal 9 3" xfId="366"/>
    <cellStyle name="Normal 9 4" xfId="367"/>
    <cellStyle name="Notas" xfId="443" builtinId="10" customBuiltin="1"/>
    <cellStyle name="Notas 2" xfId="368"/>
    <cellStyle name="Notas 2 2" xfId="369"/>
    <cellStyle name="Notas 3" xfId="370"/>
    <cellStyle name="Notas 4" xfId="371"/>
    <cellStyle name="Notas 5" xfId="372"/>
    <cellStyle name="Porcentaje" xfId="428" builtinId="5"/>
    <cellStyle name="Porcentaje 2" xfId="373"/>
    <cellStyle name="Porcentaje 2 2" xfId="599"/>
    <cellStyle name="Porcentual 2" xfId="374"/>
    <cellStyle name="Porcentual 2 10" xfId="600"/>
    <cellStyle name="Porcentual 2 2" xfId="375"/>
    <cellStyle name="Porcentual 2 2 2" xfId="376"/>
    <cellStyle name="Porcentual 2 2 3" xfId="377"/>
    <cellStyle name="Porcentual 2 2 3 2" xfId="602"/>
    <cellStyle name="Porcentual 2 2 4" xfId="601"/>
    <cellStyle name="Porcentual 2 3" xfId="378"/>
    <cellStyle name="Porcentual 2 3 2" xfId="379"/>
    <cellStyle name="Porcentual 2 3 2 2" xfId="604"/>
    <cellStyle name="Porcentual 2 3 3" xfId="603"/>
    <cellStyle name="Porcentual 2 4" xfId="380"/>
    <cellStyle name="Porcentual 2 4 2" xfId="381"/>
    <cellStyle name="Porcentual 2 4 2 2" xfId="606"/>
    <cellStyle name="Porcentual 2 4 3" xfId="605"/>
    <cellStyle name="Porcentual 2 5" xfId="382"/>
    <cellStyle name="Porcentual 2 5 2" xfId="383"/>
    <cellStyle name="Porcentual 2 5 2 2" xfId="608"/>
    <cellStyle name="Porcentual 2 5 3" xfId="607"/>
    <cellStyle name="Porcentual 2 6" xfId="384"/>
    <cellStyle name="Porcentual 2 6 2" xfId="385"/>
    <cellStyle name="Porcentual 2 6 2 2" xfId="610"/>
    <cellStyle name="Porcentual 2 6 3" xfId="609"/>
    <cellStyle name="Porcentual 2 7" xfId="386"/>
    <cellStyle name="Porcentual 2 7 2" xfId="387"/>
    <cellStyle name="Porcentual 2 7 2 2" xfId="612"/>
    <cellStyle name="Porcentual 2 7 3" xfId="611"/>
    <cellStyle name="Porcentual 2 8" xfId="388"/>
    <cellStyle name="Porcentual 2 9" xfId="389"/>
    <cellStyle name="Porcentual 2 9 2" xfId="613"/>
    <cellStyle name="Porcentual 3" xfId="390"/>
    <cellStyle name="Porcentual 3 2" xfId="391"/>
    <cellStyle name="Porcentual 3 3" xfId="614"/>
    <cellStyle name="Porcentual 4" xfId="392"/>
    <cellStyle name="Porcentual 4 2" xfId="393"/>
    <cellStyle name="Porcentual 4 3" xfId="394"/>
    <cellStyle name="Porcentual 4 3 2" xfId="616"/>
    <cellStyle name="Porcentual 4 4" xfId="615"/>
    <cellStyle name="Salida" xfId="438" builtinId="21" customBuiltin="1"/>
    <cellStyle name="Salida 2" xfId="395"/>
    <cellStyle name="Salida 3" xfId="396"/>
    <cellStyle name="Salida 4" xfId="397"/>
    <cellStyle name="Salida 5" xfId="398"/>
    <cellStyle name="Texto de advertencia" xfId="442" builtinId="11" customBuiltin="1"/>
    <cellStyle name="Texto de advertencia 2" xfId="399"/>
    <cellStyle name="Texto de advertencia 3" xfId="400"/>
    <cellStyle name="Texto de advertencia 4" xfId="401"/>
    <cellStyle name="Texto de advertencia 5" xfId="402"/>
    <cellStyle name="Texto explicativo" xfId="444" builtinId="53" customBuiltin="1"/>
    <cellStyle name="Texto explicativo 2" xfId="403"/>
    <cellStyle name="Texto explicativo 3" xfId="404"/>
    <cellStyle name="Texto explicativo 4" xfId="405"/>
    <cellStyle name="Texto explicativo 5" xfId="406"/>
    <cellStyle name="Título" xfId="429" builtinId="15" customBuiltin="1"/>
    <cellStyle name="Título 1" xfId="430" builtinId="16" customBuiltin="1"/>
    <cellStyle name="Título 1 2" xfId="407"/>
    <cellStyle name="Título 1 3" xfId="408"/>
    <cellStyle name="Título 1 4" xfId="409"/>
    <cellStyle name="Título 1 5" xfId="410"/>
    <cellStyle name="Título 2" xfId="431" builtinId="17" customBuiltin="1"/>
    <cellStyle name="Título 2 2" xfId="411"/>
    <cellStyle name="Título 2 3" xfId="412"/>
    <cellStyle name="Título 2 4" xfId="413"/>
    <cellStyle name="Título 2 5" xfId="414"/>
    <cellStyle name="Título 3" xfId="432" builtinId="18" customBuiltin="1"/>
    <cellStyle name="Título 3 2" xfId="415"/>
    <cellStyle name="Título 3 3" xfId="416"/>
    <cellStyle name="Título 3 4" xfId="417"/>
    <cellStyle name="Título 3 5" xfId="418"/>
    <cellStyle name="Título 4" xfId="419"/>
    <cellStyle name="Título 5" xfId="420"/>
    <cellStyle name="Título 6" xfId="421"/>
    <cellStyle name="Título 7" xfId="422"/>
    <cellStyle name="Total" xfId="445" builtinId="25" customBuiltin="1"/>
    <cellStyle name="Total 2" xfId="423"/>
    <cellStyle name="Total 3" xfId="424"/>
    <cellStyle name="Total 4" xfId="425"/>
    <cellStyle name="Total 5" xfId="4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4" sqref="A4"/>
    </sheetView>
  </sheetViews>
  <sheetFormatPr baseColWidth="10" defaultRowHeight="15" x14ac:dyDescent="0.25"/>
  <cols>
    <col min="1" max="1" width="42.5703125" customWidth="1"/>
    <col min="2" max="3" width="18" customWidth="1"/>
    <col min="4" max="4" width="20.42578125" customWidth="1"/>
    <col min="5" max="6" width="18" customWidth="1"/>
    <col min="7" max="8" width="17.7109375" customWidth="1"/>
  </cols>
  <sheetData>
    <row r="1" spans="1:9" ht="120" customHeight="1" x14ac:dyDescent="0.25">
      <c r="A1" s="112" t="s">
        <v>4</v>
      </c>
      <c r="B1" s="63" t="s">
        <v>59</v>
      </c>
      <c r="C1" s="63" t="s">
        <v>52</v>
      </c>
      <c r="D1" s="63" t="s">
        <v>54</v>
      </c>
      <c r="E1" s="65" t="s">
        <v>60</v>
      </c>
      <c r="F1" s="63" t="s">
        <v>61</v>
      </c>
      <c r="G1" s="63" t="s">
        <v>46</v>
      </c>
      <c r="H1" s="63" t="s">
        <v>64</v>
      </c>
      <c r="I1" s="113"/>
    </row>
    <row r="2" spans="1:9" ht="15" customHeight="1" x14ac:dyDescent="0.25">
      <c r="A2" s="16" t="s">
        <v>0</v>
      </c>
      <c r="B2" s="5"/>
      <c r="C2" s="114">
        <v>1</v>
      </c>
      <c r="D2" s="57">
        <f>C2/$C$7</f>
        <v>0.125</v>
      </c>
      <c r="E2" s="114">
        <v>87</v>
      </c>
      <c r="F2" s="57">
        <f>E2/$E$7</f>
        <v>0.30851063829787234</v>
      </c>
      <c r="G2" s="21">
        <f>F2*$B$11/100%</f>
        <v>123.09574468085107</v>
      </c>
      <c r="H2" s="173" t="s">
        <v>66</v>
      </c>
      <c r="I2" s="113"/>
    </row>
    <row r="3" spans="1:9" x14ac:dyDescent="0.25">
      <c r="A3" s="16" t="s">
        <v>1</v>
      </c>
      <c r="B3" s="5"/>
      <c r="C3" s="114">
        <v>1</v>
      </c>
      <c r="D3" s="57">
        <f t="shared" ref="D3:D6" si="0">C3/$C$7</f>
        <v>0.125</v>
      </c>
      <c r="E3" s="114">
        <v>134</v>
      </c>
      <c r="F3" s="57">
        <f t="shared" ref="F3:F6" si="1">E3/$E$7</f>
        <v>0.47517730496453903</v>
      </c>
      <c r="G3" s="21">
        <f t="shared" ref="G3:G6" si="2">F3*$B$11/100%</f>
        <v>189.59574468085108</v>
      </c>
      <c r="H3" s="174"/>
      <c r="I3" s="113"/>
    </row>
    <row r="4" spans="1:9" x14ac:dyDescent="0.25">
      <c r="A4" s="16" t="s">
        <v>2</v>
      </c>
      <c r="B4" s="5"/>
      <c r="C4" s="114">
        <v>6</v>
      </c>
      <c r="D4" s="57">
        <f t="shared" si="0"/>
        <v>0.75</v>
      </c>
      <c r="E4" s="5">
        <v>35</v>
      </c>
      <c r="F4" s="57">
        <f t="shared" si="1"/>
        <v>0.12411347517730496</v>
      </c>
      <c r="G4" s="21">
        <f t="shared" si="2"/>
        <v>49.521276595744681</v>
      </c>
      <c r="H4" s="174"/>
      <c r="I4" s="113"/>
    </row>
    <row r="5" spans="1:9" x14ac:dyDescent="0.25">
      <c r="A5" s="16" t="s">
        <v>3</v>
      </c>
      <c r="B5" s="5"/>
      <c r="C5" s="5">
        <v>0</v>
      </c>
      <c r="D5" s="57">
        <f t="shared" si="0"/>
        <v>0</v>
      </c>
      <c r="E5" s="5">
        <v>7</v>
      </c>
      <c r="F5" s="57">
        <f t="shared" si="1"/>
        <v>2.4822695035460994E-2</v>
      </c>
      <c r="G5" s="21">
        <f t="shared" si="2"/>
        <v>9.9042553191489358</v>
      </c>
      <c r="H5" s="174"/>
      <c r="I5" s="113"/>
    </row>
    <row r="6" spans="1:9" x14ac:dyDescent="0.25">
      <c r="A6" s="16" t="s">
        <v>48</v>
      </c>
      <c r="B6" s="5"/>
      <c r="C6" s="114">
        <v>0</v>
      </c>
      <c r="D6" s="57">
        <f t="shared" si="0"/>
        <v>0</v>
      </c>
      <c r="E6" s="5">
        <v>19</v>
      </c>
      <c r="F6" s="57">
        <f t="shared" si="1"/>
        <v>6.7375886524822695E-2</v>
      </c>
      <c r="G6" s="21">
        <f t="shared" si="2"/>
        <v>26.882978723404257</v>
      </c>
      <c r="H6" s="175"/>
      <c r="I6" s="113"/>
    </row>
    <row r="7" spans="1:9" ht="15" customHeight="1" x14ac:dyDescent="0.25">
      <c r="A7" s="16" t="s">
        <v>47</v>
      </c>
      <c r="B7" s="5">
        <v>378</v>
      </c>
      <c r="C7" s="5">
        <f>SUM(C2:C6)</f>
        <v>8</v>
      </c>
      <c r="D7" s="57"/>
      <c r="E7" s="59">
        <v>282</v>
      </c>
      <c r="F7" s="57"/>
      <c r="G7" s="21">
        <f>B7</f>
        <v>378</v>
      </c>
      <c r="H7" s="176" t="s">
        <v>65</v>
      </c>
      <c r="I7" s="113"/>
    </row>
    <row r="8" spans="1:9" x14ac:dyDescent="0.25">
      <c r="A8" s="16" t="s">
        <v>42</v>
      </c>
      <c r="B8" s="21">
        <f>80%*B10/100%</f>
        <v>16.8</v>
      </c>
      <c r="C8" s="21"/>
      <c r="D8" s="57"/>
      <c r="E8" s="59"/>
      <c r="F8" s="57"/>
      <c r="G8" s="21">
        <f>B8</f>
        <v>16.8</v>
      </c>
      <c r="H8" s="177"/>
      <c r="I8" s="113"/>
    </row>
    <row r="9" spans="1:9" x14ac:dyDescent="0.25">
      <c r="A9" s="16" t="s">
        <v>15</v>
      </c>
      <c r="B9" s="21">
        <f>20%*B10/100%</f>
        <v>4.2</v>
      </c>
      <c r="C9" s="21"/>
      <c r="D9" s="58"/>
      <c r="E9" s="59"/>
      <c r="F9" s="58"/>
      <c r="G9" s="21">
        <f t="shared" ref="G9:G11" si="3">B9</f>
        <v>4.2</v>
      </c>
      <c r="H9" s="177"/>
      <c r="I9" s="113"/>
    </row>
    <row r="10" spans="1:9" x14ac:dyDescent="0.25">
      <c r="A10" s="16" t="s">
        <v>49</v>
      </c>
      <c r="B10" s="5">
        <v>21</v>
      </c>
      <c r="C10" s="5"/>
      <c r="D10" s="57"/>
      <c r="E10" s="60"/>
      <c r="F10" s="57"/>
      <c r="G10" s="21">
        <f t="shared" si="3"/>
        <v>21</v>
      </c>
      <c r="H10" s="177"/>
      <c r="I10" s="113"/>
    </row>
    <row r="11" spans="1:9" x14ac:dyDescent="0.25">
      <c r="A11" s="16" t="s">
        <v>53</v>
      </c>
      <c r="B11" s="5">
        <f>B7+B10</f>
        <v>399</v>
      </c>
      <c r="C11" s="5">
        <f>SUM(C7+C10)</f>
        <v>8</v>
      </c>
      <c r="D11" s="57"/>
      <c r="E11" s="59"/>
      <c r="F11" s="57"/>
      <c r="G11" s="21">
        <f t="shared" si="3"/>
        <v>399</v>
      </c>
      <c r="H11" s="178"/>
      <c r="I11" s="113"/>
    </row>
    <row r="12" spans="1:9" ht="15" customHeight="1" x14ac:dyDescent="0.25">
      <c r="A12" s="16" t="s">
        <v>5</v>
      </c>
      <c r="B12" s="5"/>
      <c r="C12" s="5"/>
      <c r="D12" s="57"/>
      <c r="E12" s="59"/>
      <c r="F12" s="57"/>
      <c r="G12" s="21">
        <v>0</v>
      </c>
      <c r="H12" s="173" t="s">
        <v>67</v>
      </c>
      <c r="I12" s="113"/>
    </row>
    <row r="13" spans="1:9" x14ac:dyDescent="0.25">
      <c r="A13" s="16" t="s">
        <v>6</v>
      </c>
      <c r="B13" s="5"/>
      <c r="C13" s="5"/>
      <c r="D13" s="57"/>
      <c r="E13" s="59"/>
      <c r="F13" s="57"/>
      <c r="G13" s="21">
        <v>0</v>
      </c>
      <c r="H13" s="174"/>
      <c r="I13" s="113"/>
    </row>
    <row r="14" spans="1:9" x14ac:dyDescent="0.25">
      <c r="A14" s="16" t="s">
        <v>51</v>
      </c>
      <c r="B14" s="5">
        <v>17</v>
      </c>
      <c r="C14" s="5">
        <v>4</v>
      </c>
      <c r="D14" s="57"/>
      <c r="E14" s="61"/>
      <c r="F14" s="57"/>
      <c r="G14" s="5">
        <f>B14</f>
        <v>17</v>
      </c>
      <c r="H14" s="174"/>
      <c r="I14" s="113"/>
    </row>
    <row r="15" spans="1:9" x14ac:dyDescent="0.25">
      <c r="A15" s="16" t="s">
        <v>43</v>
      </c>
      <c r="B15" s="5">
        <f>80%*B17/100%</f>
        <v>12</v>
      </c>
      <c r="C15" s="21"/>
      <c r="D15" s="57"/>
      <c r="E15" s="59"/>
      <c r="F15" s="57"/>
      <c r="G15" s="5">
        <f t="shared" ref="G15:G21" si="4">B15</f>
        <v>12</v>
      </c>
      <c r="H15" s="174"/>
      <c r="I15" s="113"/>
    </row>
    <row r="16" spans="1:9" x14ac:dyDescent="0.25">
      <c r="A16" s="16" t="s">
        <v>16</v>
      </c>
      <c r="B16" s="5">
        <f>20%*B17/100%</f>
        <v>3</v>
      </c>
      <c r="C16" s="21"/>
      <c r="D16" s="57"/>
      <c r="E16" s="59"/>
      <c r="F16" s="57"/>
      <c r="G16" s="5">
        <f t="shared" si="4"/>
        <v>3</v>
      </c>
      <c r="H16" s="174"/>
      <c r="I16" s="113"/>
    </row>
    <row r="17" spans="1:9" x14ac:dyDescent="0.25">
      <c r="A17" s="16" t="s">
        <v>50</v>
      </c>
      <c r="B17" s="5">
        <v>15</v>
      </c>
      <c r="C17" s="5"/>
      <c r="D17" s="57"/>
      <c r="E17" s="59"/>
      <c r="F17" s="57"/>
      <c r="G17" s="5">
        <f t="shared" si="4"/>
        <v>15</v>
      </c>
      <c r="H17" s="174"/>
      <c r="I17" s="113"/>
    </row>
    <row r="18" spans="1:9" x14ac:dyDescent="0.25">
      <c r="A18" s="16" t="s">
        <v>55</v>
      </c>
      <c r="B18" s="5">
        <f>SUM(B14+B17)</f>
        <v>32</v>
      </c>
      <c r="C18" s="5">
        <v>4</v>
      </c>
      <c r="D18" s="57"/>
      <c r="E18" s="59"/>
      <c r="F18" s="57"/>
      <c r="G18" s="5">
        <f t="shared" si="4"/>
        <v>32</v>
      </c>
      <c r="H18" s="175"/>
      <c r="I18" s="113"/>
    </row>
    <row r="19" spans="1:9" ht="15" customHeight="1" x14ac:dyDescent="0.25">
      <c r="A19" s="16" t="s">
        <v>57</v>
      </c>
      <c r="B19" s="5">
        <v>86</v>
      </c>
      <c r="C19" s="5">
        <v>3</v>
      </c>
      <c r="D19" s="57"/>
      <c r="E19" s="59">
        <v>71</v>
      </c>
      <c r="F19" s="57"/>
      <c r="G19" s="5">
        <f t="shared" si="4"/>
        <v>86</v>
      </c>
      <c r="H19" s="173" t="s">
        <v>68</v>
      </c>
      <c r="I19" s="113"/>
    </row>
    <row r="20" spans="1:9" x14ac:dyDescent="0.25">
      <c r="A20" s="16" t="s">
        <v>58</v>
      </c>
      <c r="B20" s="5">
        <v>15</v>
      </c>
      <c r="C20" s="5"/>
      <c r="D20" s="57"/>
      <c r="E20" s="59"/>
      <c r="F20" s="57"/>
      <c r="G20" s="5">
        <f t="shared" si="4"/>
        <v>15</v>
      </c>
      <c r="H20" s="174"/>
      <c r="I20" s="113"/>
    </row>
    <row r="21" spans="1:9" x14ac:dyDescent="0.25">
      <c r="A21" s="16" t="s">
        <v>63</v>
      </c>
      <c r="B21" s="5">
        <f>SUM(B19:B20)</f>
        <v>101</v>
      </c>
      <c r="C21" s="5">
        <f>SUM(C19:C20)</f>
        <v>3</v>
      </c>
      <c r="D21" s="5"/>
      <c r="E21" s="5"/>
      <c r="F21" s="5"/>
      <c r="G21" s="5">
        <f t="shared" si="4"/>
        <v>101</v>
      </c>
      <c r="H21" s="175"/>
      <c r="I21" s="113"/>
    </row>
    <row r="22" spans="1:9" ht="105" customHeight="1" x14ac:dyDescent="0.25">
      <c r="A22" s="6" t="s">
        <v>29</v>
      </c>
      <c r="B22" s="7"/>
      <c r="C22" s="7"/>
      <c r="D22" s="15"/>
      <c r="E22" s="14"/>
      <c r="F22" s="7"/>
      <c r="G22" s="14">
        <v>0</v>
      </c>
      <c r="H22" s="7" t="s">
        <v>69</v>
      </c>
      <c r="I22" s="113"/>
    </row>
    <row r="23" spans="1:9" ht="75" customHeight="1" x14ac:dyDescent="0.25">
      <c r="A23" s="6" t="s">
        <v>62</v>
      </c>
      <c r="B23" s="7"/>
      <c r="C23" s="7">
        <v>5</v>
      </c>
      <c r="D23" s="15"/>
      <c r="E23" s="14"/>
      <c r="F23" s="7"/>
      <c r="G23" s="5">
        <v>0</v>
      </c>
      <c r="H23" s="5"/>
      <c r="I23" s="113"/>
    </row>
    <row r="24" spans="1:9" ht="45" customHeight="1" x14ac:dyDescent="0.25">
      <c r="A24" s="6" t="s">
        <v>56</v>
      </c>
      <c r="B24" s="7">
        <f>SUM(B11+B18+B21)</f>
        <v>532</v>
      </c>
      <c r="C24" s="7">
        <f t="shared" ref="C24:G24" si="5">SUM(C11+C18+C21)</f>
        <v>15</v>
      </c>
      <c r="D24" s="7"/>
      <c r="E24" s="7">
        <f t="shared" si="5"/>
        <v>0</v>
      </c>
      <c r="F24" s="7">
        <f t="shared" si="5"/>
        <v>0</v>
      </c>
      <c r="G24" s="7">
        <f t="shared" si="5"/>
        <v>532</v>
      </c>
      <c r="H24" s="60"/>
      <c r="I24" s="113"/>
    </row>
    <row r="25" spans="1:9" x14ac:dyDescent="0.25">
      <c r="A25" s="16" t="s">
        <v>45</v>
      </c>
      <c r="B25" s="5"/>
      <c r="C25" s="5"/>
      <c r="D25" s="5"/>
      <c r="E25" s="21"/>
      <c r="F25" s="5"/>
      <c r="G25" s="5"/>
      <c r="H25" s="5"/>
      <c r="I25" s="113"/>
    </row>
    <row r="26" spans="1:9" x14ac:dyDescent="0.25">
      <c r="A26" s="113"/>
      <c r="B26" s="113"/>
      <c r="C26" s="113"/>
      <c r="D26" s="113"/>
      <c r="E26" s="113"/>
      <c r="F26" s="113"/>
      <c r="G26" s="113"/>
      <c r="H26" s="113"/>
      <c r="I26" s="113"/>
    </row>
    <row r="27" spans="1:9" x14ac:dyDescent="0.25">
      <c r="A27" s="34" t="s">
        <v>89</v>
      </c>
      <c r="B27" s="34">
        <v>0</v>
      </c>
      <c r="C27" s="62">
        <f>B27/$B$34</f>
        <v>0</v>
      </c>
      <c r="D27" s="113"/>
      <c r="E27" s="113"/>
      <c r="F27" s="113"/>
      <c r="G27" s="113"/>
      <c r="H27" s="113"/>
      <c r="I27" s="113"/>
    </row>
    <row r="28" spans="1:9" x14ac:dyDescent="0.25">
      <c r="A28" s="34" t="s">
        <v>86</v>
      </c>
      <c r="B28" s="34">
        <v>2</v>
      </c>
      <c r="C28" s="62">
        <f t="shared" ref="C28:C34" si="6">B28/$B$34</f>
        <v>0.1</v>
      </c>
      <c r="D28" s="113"/>
      <c r="E28" s="113"/>
      <c r="F28" s="113"/>
      <c r="G28" s="113"/>
      <c r="H28" s="113"/>
      <c r="I28" s="113"/>
    </row>
    <row r="29" spans="1:9" x14ac:dyDescent="0.25">
      <c r="A29" s="34" t="s">
        <v>90</v>
      </c>
      <c r="B29" s="34">
        <v>0</v>
      </c>
      <c r="C29" s="62">
        <f t="shared" si="6"/>
        <v>0</v>
      </c>
      <c r="D29" s="113"/>
      <c r="E29" s="113"/>
      <c r="F29" s="113"/>
      <c r="G29" s="113"/>
      <c r="H29" s="113"/>
      <c r="I29" s="113"/>
    </row>
    <row r="30" spans="1:9" x14ac:dyDescent="0.25">
      <c r="A30" s="34" t="s">
        <v>91</v>
      </c>
      <c r="B30" s="34">
        <v>0</v>
      </c>
      <c r="C30" s="62">
        <f t="shared" si="6"/>
        <v>0</v>
      </c>
      <c r="D30" s="113"/>
      <c r="E30" s="113"/>
      <c r="F30" s="113"/>
      <c r="G30" s="113"/>
      <c r="H30" s="113"/>
      <c r="I30" s="113"/>
    </row>
    <row r="31" spans="1:9" x14ac:dyDescent="0.25">
      <c r="A31" s="34" t="s">
        <v>87</v>
      </c>
      <c r="B31" s="34">
        <v>2</v>
      </c>
      <c r="C31" s="62">
        <f t="shared" si="6"/>
        <v>0.1</v>
      </c>
      <c r="D31" s="113"/>
      <c r="E31" s="113"/>
      <c r="F31" s="113"/>
      <c r="G31" s="113"/>
      <c r="H31" s="113"/>
      <c r="I31" s="113"/>
    </row>
    <row r="32" spans="1:9" x14ac:dyDescent="0.25">
      <c r="A32" s="34" t="s">
        <v>88</v>
      </c>
      <c r="B32" s="34">
        <v>0</v>
      </c>
      <c r="C32" s="62">
        <f t="shared" si="6"/>
        <v>0</v>
      </c>
      <c r="D32" s="113"/>
      <c r="E32" s="113"/>
      <c r="F32" s="113"/>
      <c r="G32" s="113"/>
      <c r="H32" s="113"/>
      <c r="I32" s="113"/>
    </row>
    <row r="33" spans="1:9" ht="30" x14ac:dyDescent="0.25">
      <c r="A33" s="29" t="s">
        <v>92</v>
      </c>
      <c r="B33" s="34">
        <v>4</v>
      </c>
      <c r="C33" s="62">
        <f t="shared" si="6"/>
        <v>0.2</v>
      </c>
      <c r="D33" s="113"/>
      <c r="E33" s="113"/>
      <c r="F33" s="113"/>
      <c r="G33" s="113"/>
      <c r="H33" s="113"/>
      <c r="I33" s="113"/>
    </row>
    <row r="34" spans="1:9" x14ac:dyDescent="0.25">
      <c r="A34" s="34" t="s">
        <v>132</v>
      </c>
      <c r="B34" s="34">
        <v>20</v>
      </c>
      <c r="C34" s="62">
        <f t="shared" si="6"/>
        <v>1</v>
      </c>
      <c r="D34" s="113"/>
      <c r="E34" s="113"/>
      <c r="F34" s="113"/>
      <c r="G34" s="113"/>
      <c r="H34" s="113"/>
      <c r="I34" s="113"/>
    </row>
    <row r="35" spans="1:9" x14ac:dyDescent="0.25">
      <c r="A35" s="34" t="s">
        <v>133</v>
      </c>
      <c r="B35" s="115">
        <f>B24*20%/100%</f>
        <v>106.4</v>
      </c>
      <c r="C35" s="62">
        <f>B35/B24</f>
        <v>0.2</v>
      </c>
      <c r="D35" s="113"/>
      <c r="E35" s="113"/>
      <c r="F35" s="113"/>
      <c r="G35" s="113"/>
      <c r="H35" s="113"/>
      <c r="I35" s="113"/>
    </row>
    <row r="36" spans="1:9" x14ac:dyDescent="0.25">
      <c r="A36" s="113"/>
      <c r="B36" s="113"/>
      <c r="C36" s="113"/>
      <c r="D36" s="113"/>
      <c r="E36" s="113"/>
      <c r="F36" s="113"/>
      <c r="G36" s="113"/>
      <c r="H36" s="113"/>
      <c r="I36" s="113"/>
    </row>
  </sheetData>
  <mergeCells count="4">
    <mergeCell ref="H2:H6"/>
    <mergeCell ref="H7:H11"/>
    <mergeCell ref="H12:H18"/>
    <mergeCell ref="H19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workbookViewId="0">
      <pane xSplit="4" ySplit="3" topLeftCell="E34" activePane="bottomRight" state="frozen"/>
      <selection pane="topRight" activeCell="D1" sqref="D1"/>
      <selection pane="bottomLeft" activeCell="A4" sqref="A4"/>
      <selection pane="bottomRight" activeCell="D43" sqref="D43:D47"/>
    </sheetView>
  </sheetViews>
  <sheetFormatPr baseColWidth="10" defaultRowHeight="15" x14ac:dyDescent="0.25"/>
  <cols>
    <col min="1" max="1" width="40.5703125" customWidth="1"/>
    <col min="2" max="2" width="12.28515625" style="12" customWidth="1"/>
    <col min="3" max="3" width="12" style="90" customWidth="1"/>
    <col min="4" max="4" width="21.140625" style="10" customWidth="1"/>
    <col min="5" max="5" width="14.140625" style="18" customWidth="1"/>
    <col min="6" max="7" width="14.7109375" style="12" customWidth="1"/>
    <col min="8" max="8" width="18.7109375" style="12" customWidth="1"/>
    <col min="9" max="9" width="18.28515625" customWidth="1"/>
    <col min="10" max="10" width="13.7109375" style="18" customWidth="1"/>
    <col min="11" max="13" width="14.7109375" style="12" customWidth="1"/>
    <col min="14" max="14" width="19" style="18" customWidth="1"/>
    <col min="15" max="15" width="14.7109375" style="18" customWidth="1"/>
    <col min="16" max="18" width="14.7109375" style="25" customWidth="1"/>
    <col min="19" max="19" width="22.140625" style="18" customWidth="1"/>
    <col min="20" max="20" width="14.7109375" style="18" customWidth="1"/>
    <col min="21" max="22" width="14.7109375" style="30" customWidth="1"/>
    <col min="23" max="23" width="18.42578125" style="18" customWidth="1"/>
    <col min="24" max="25" width="14.7109375" style="18" customWidth="1"/>
    <col min="26" max="26" width="22" style="18" customWidth="1"/>
    <col min="27" max="27" width="23.7109375" style="18" customWidth="1"/>
    <col min="28" max="28" width="14.7109375" style="18" customWidth="1"/>
    <col min="29" max="29" width="23.42578125" style="12" customWidth="1"/>
    <col min="30" max="30" width="22.42578125" style="12" customWidth="1"/>
    <col min="31" max="31" width="24" style="18" customWidth="1"/>
    <col min="32" max="32" width="17.140625" style="18" customWidth="1"/>
    <col min="33" max="33" width="11.42578125" style="12" customWidth="1"/>
    <col min="34" max="34" width="16.85546875" style="12" customWidth="1"/>
    <col min="35" max="35" width="16.7109375" style="18" customWidth="1"/>
    <col min="36" max="36" width="17.42578125" style="18" customWidth="1"/>
    <col min="37" max="37" width="16.5703125" style="18" customWidth="1"/>
    <col min="38" max="39" width="15.7109375" style="18" customWidth="1"/>
    <col min="40" max="41" width="11.42578125" style="12" customWidth="1"/>
    <col min="42" max="42" width="20" style="18" customWidth="1"/>
    <col min="43" max="43" width="16.7109375" style="18" customWidth="1"/>
    <col min="44" max="45" width="11.42578125" style="12" customWidth="1"/>
    <col min="46" max="46" width="19" style="18" customWidth="1"/>
    <col min="47" max="47" width="15.28515625" style="18" customWidth="1"/>
    <col min="48" max="49" width="15.28515625" style="12" customWidth="1"/>
    <col min="50" max="51" width="19" style="18" customWidth="1"/>
    <col min="52" max="53" width="11.42578125" style="12" customWidth="1"/>
    <col min="54" max="55" width="19" style="18" customWidth="1"/>
    <col min="56" max="57" width="21.140625" style="12" customWidth="1"/>
    <col min="58" max="58" width="21.140625" style="18" customWidth="1"/>
    <col min="59" max="59" width="14.42578125" style="18" customWidth="1"/>
    <col min="60" max="61" width="14.5703125" style="12" customWidth="1"/>
    <col min="62" max="62" width="19" style="18" customWidth="1"/>
    <col min="63" max="63" width="16.28515625" style="18" customWidth="1"/>
    <col min="64" max="64" width="16.28515625" style="30" customWidth="1"/>
    <col min="65" max="65" width="15.85546875" style="18" customWidth="1"/>
  </cols>
  <sheetData>
    <row r="1" spans="1:65" x14ac:dyDescent="0.25">
      <c r="B1"/>
      <c r="C1" s="12"/>
      <c r="AC1" s="179" t="s">
        <v>14</v>
      </c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44"/>
    </row>
    <row r="2" spans="1:65" ht="90" x14ac:dyDescent="0.25">
      <c r="A2" s="35" t="s">
        <v>4</v>
      </c>
      <c r="B2" s="13" t="s">
        <v>46</v>
      </c>
      <c r="C2" s="119" t="s">
        <v>192</v>
      </c>
      <c r="D2" s="116" t="s">
        <v>64</v>
      </c>
      <c r="E2" s="19" t="s">
        <v>79</v>
      </c>
      <c r="F2" s="13" t="s">
        <v>32</v>
      </c>
      <c r="G2" s="13" t="s">
        <v>112</v>
      </c>
      <c r="H2" s="13" t="s">
        <v>97</v>
      </c>
      <c r="I2" s="1" t="s">
        <v>33</v>
      </c>
      <c r="J2" s="19" t="s">
        <v>80</v>
      </c>
      <c r="K2" s="13" t="s">
        <v>34</v>
      </c>
      <c r="L2" s="13" t="s">
        <v>113</v>
      </c>
      <c r="M2" s="13" t="s">
        <v>98</v>
      </c>
      <c r="N2" s="19" t="s">
        <v>35</v>
      </c>
      <c r="O2" s="19" t="s">
        <v>81</v>
      </c>
      <c r="P2" s="11" t="s">
        <v>78</v>
      </c>
      <c r="Q2" s="13" t="s">
        <v>114</v>
      </c>
      <c r="R2" s="13" t="s">
        <v>99</v>
      </c>
      <c r="S2" s="19" t="s">
        <v>82</v>
      </c>
      <c r="T2" s="19" t="s">
        <v>96</v>
      </c>
      <c r="U2" s="13" t="s">
        <v>83</v>
      </c>
      <c r="V2" s="13" t="s">
        <v>115</v>
      </c>
      <c r="W2" s="19" t="s">
        <v>84</v>
      </c>
      <c r="X2" s="19" t="s">
        <v>36</v>
      </c>
      <c r="Y2" s="19" t="s">
        <v>116</v>
      </c>
      <c r="Z2" s="19" t="s">
        <v>37</v>
      </c>
      <c r="AA2" s="19" t="s">
        <v>40</v>
      </c>
      <c r="AB2" s="19" t="s">
        <v>39</v>
      </c>
      <c r="AC2" s="13" t="s">
        <v>38</v>
      </c>
      <c r="AD2" s="19" t="s">
        <v>117</v>
      </c>
      <c r="AE2" s="19" t="s">
        <v>130</v>
      </c>
      <c r="AF2" s="19" t="s">
        <v>41</v>
      </c>
      <c r="AG2" s="13" t="s">
        <v>7</v>
      </c>
      <c r="AH2" s="19" t="s">
        <v>118</v>
      </c>
      <c r="AI2" s="19" t="s">
        <v>17</v>
      </c>
      <c r="AJ2" s="19" t="s">
        <v>24</v>
      </c>
      <c r="AK2" s="19" t="s">
        <v>25</v>
      </c>
      <c r="AL2" s="19" t="s">
        <v>26</v>
      </c>
      <c r="AM2" s="19" t="s">
        <v>27</v>
      </c>
      <c r="AN2" s="13" t="s">
        <v>8</v>
      </c>
      <c r="AO2" s="13" t="s">
        <v>119</v>
      </c>
      <c r="AP2" s="19" t="s">
        <v>18</v>
      </c>
      <c r="AQ2" s="19" t="s">
        <v>19</v>
      </c>
      <c r="AR2" s="13" t="s">
        <v>9</v>
      </c>
      <c r="AS2" s="13" t="s">
        <v>120</v>
      </c>
      <c r="AT2" s="19" t="s">
        <v>20</v>
      </c>
      <c r="AU2" s="19" t="s">
        <v>21</v>
      </c>
      <c r="AV2" s="13" t="s">
        <v>10</v>
      </c>
      <c r="AW2" s="13" t="s">
        <v>121</v>
      </c>
      <c r="AX2" s="19" t="s">
        <v>77</v>
      </c>
      <c r="AY2" s="19" t="s">
        <v>22</v>
      </c>
      <c r="AZ2" s="13" t="s">
        <v>11</v>
      </c>
      <c r="BA2" s="13" t="s">
        <v>122</v>
      </c>
      <c r="BB2" s="19" t="s">
        <v>23</v>
      </c>
      <c r="BC2" s="19" t="s">
        <v>28</v>
      </c>
      <c r="BD2" s="13" t="s">
        <v>12</v>
      </c>
      <c r="BE2" s="13" t="s">
        <v>121</v>
      </c>
      <c r="BF2" s="19" t="s">
        <v>44</v>
      </c>
      <c r="BG2" s="19" t="s">
        <v>124</v>
      </c>
      <c r="BH2" s="13" t="s">
        <v>13</v>
      </c>
      <c r="BI2" s="13" t="s">
        <v>123</v>
      </c>
      <c r="BJ2" s="20" t="s">
        <v>125</v>
      </c>
      <c r="BK2" s="20" t="s">
        <v>30</v>
      </c>
      <c r="BL2" s="45" t="s">
        <v>126</v>
      </c>
      <c r="BM2" s="20" t="s">
        <v>31</v>
      </c>
    </row>
    <row r="3" spans="1:65" s="32" customFormat="1" ht="72.75" hidden="1" customHeight="1" x14ac:dyDescent="0.25">
      <c r="A3" s="28" t="s">
        <v>100</v>
      </c>
      <c r="B3" s="13" t="s">
        <v>131</v>
      </c>
      <c r="C3" s="119"/>
      <c r="D3" s="117"/>
      <c r="E3" s="123" t="s">
        <v>104</v>
      </c>
      <c r="F3" s="37" t="s">
        <v>105</v>
      </c>
      <c r="G3" s="37"/>
      <c r="H3" s="37" t="s">
        <v>106</v>
      </c>
      <c r="I3" s="1"/>
      <c r="J3" s="36" t="s">
        <v>104</v>
      </c>
      <c r="K3" s="37" t="s">
        <v>109</v>
      </c>
      <c r="L3" s="37"/>
      <c r="M3" s="37" t="s">
        <v>106</v>
      </c>
      <c r="N3" s="19"/>
      <c r="O3" s="36" t="s">
        <v>107</v>
      </c>
      <c r="P3" s="37" t="s">
        <v>109</v>
      </c>
      <c r="Q3" s="37"/>
      <c r="R3" s="37" t="s">
        <v>106</v>
      </c>
      <c r="S3" s="19"/>
      <c r="T3" s="38" t="s">
        <v>108</v>
      </c>
      <c r="U3" s="37" t="s">
        <v>109</v>
      </c>
      <c r="V3" s="37"/>
      <c r="W3" s="37"/>
      <c r="X3" s="38" t="s">
        <v>108</v>
      </c>
      <c r="Y3" s="38"/>
      <c r="Z3" s="38"/>
      <c r="AA3" s="38" t="s">
        <v>108</v>
      </c>
      <c r="AB3" s="38" t="s">
        <v>108</v>
      </c>
      <c r="AC3" s="37" t="s">
        <v>109</v>
      </c>
      <c r="AD3" s="37"/>
      <c r="AE3" s="19"/>
      <c r="AF3" s="38" t="s">
        <v>108</v>
      </c>
      <c r="AG3" s="37" t="s">
        <v>109</v>
      </c>
      <c r="AH3" s="37"/>
      <c r="AI3" s="19"/>
      <c r="AJ3" s="38" t="s">
        <v>108</v>
      </c>
      <c r="AK3" s="38" t="s">
        <v>108</v>
      </c>
      <c r="AL3" s="38" t="s">
        <v>108</v>
      </c>
      <c r="AM3" s="38" t="s">
        <v>108</v>
      </c>
      <c r="AN3" s="37" t="s">
        <v>109</v>
      </c>
      <c r="AO3" s="37"/>
      <c r="AP3" s="19"/>
      <c r="AQ3" s="38" t="s">
        <v>108</v>
      </c>
      <c r="AR3" s="37" t="s">
        <v>109</v>
      </c>
      <c r="AS3" s="37"/>
      <c r="AT3" s="19"/>
      <c r="AU3" s="38" t="s">
        <v>108</v>
      </c>
      <c r="AV3" s="37" t="s">
        <v>109</v>
      </c>
      <c r="AW3" s="37"/>
      <c r="AX3" s="19"/>
      <c r="AY3" s="38" t="s">
        <v>108</v>
      </c>
      <c r="AZ3" s="37" t="s">
        <v>109</v>
      </c>
      <c r="BA3" s="37"/>
      <c r="BB3" s="19"/>
      <c r="BC3" s="38" t="s">
        <v>108</v>
      </c>
      <c r="BD3" s="37" t="s">
        <v>109</v>
      </c>
      <c r="BE3" s="37"/>
      <c r="BF3" s="19"/>
      <c r="BG3" s="38" t="s">
        <v>108</v>
      </c>
      <c r="BH3" s="37" t="s">
        <v>109</v>
      </c>
      <c r="BI3" s="37"/>
      <c r="BJ3" s="20"/>
      <c r="BK3" s="38" t="s">
        <v>108</v>
      </c>
      <c r="BL3" s="46"/>
      <c r="BM3" s="37" t="s">
        <v>110</v>
      </c>
    </row>
    <row r="4" spans="1:65" ht="90" customHeight="1" x14ac:dyDescent="0.25">
      <c r="A4" s="2" t="s">
        <v>0</v>
      </c>
      <c r="B4" s="21">
        <v>123.09574468085107</v>
      </c>
      <c r="C4" s="57">
        <f>B4/$B$9</f>
        <v>0.31597487711632982</v>
      </c>
      <c r="D4" s="180" t="s">
        <v>71</v>
      </c>
      <c r="E4" s="17">
        <v>16038</v>
      </c>
      <c r="F4" s="8">
        <v>2</v>
      </c>
      <c r="G4" s="8">
        <f>F4*B4</f>
        <v>246.19148936170214</v>
      </c>
      <c r="H4" s="8">
        <v>3</v>
      </c>
      <c r="I4" s="17">
        <f>B4*(E4/H4)*F4</f>
        <v>1316139.7021276597</v>
      </c>
      <c r="J4" s="17">
        <v>11955</v>
      </c>
      <c r="K4" s="8">
        <v>2</v>
      </c>
      <c r="L4" s="8">
        <f>K4*(B4*80%/100%)</f>
        <v>196.95319148936173</v>
      </c>
      <c r="M4" s="8">
        <v>3</v>
      </c>
      <c r="N4" s="17">
        <f>B4*K4*(J4/3)</f>
        <v>981073.08510638308</v>
      </c>
      <c r="O4" s="17"/>
      <c r="P4" s="26"/>
      <c r="Q4" s="26"/>
      <c r="R4" s="26"/>
      <c r="S4" s="17"/>
      <c r="T4" s="17"/>
      <c r="U4" s="27"/>
      <c r="V4" s="27"/>
      <c r="W4" s="17"/>
      <c r="X4" s="17"/>
      <c r="Y4" s="17"/>
      <c r="Z4" s="17"/>
      <c r="AA4" s="17">
        <v>4367</v>
      </c>
      <c r="AB4" s="17">
        <v>19075</v>
      </c>
      <c r="AC4" s="8">
        <v>1</v>
      </c>
      <c r="AD4" s="8">
        <f>AC4*B4</f>
        <v>123.09574468085107</v>
      </c>
      <c r="AE4" s="17">
        <f>(SUM(AB4+AA4)*AC4)*B4</f>
        <v>2885610.4468085109</v>
      </c>
      <c r="AF4" s="17">
        <v>11491</v>
      </c>
      <c r="AG4" s="8">
        <v>1</v>
      </c>
      <c r="AH4" s="8">
        <f>AG4*B4</f>
        <v>123.09574468085107</v>
      </c>
      <c r="AI4" s="17">
        <f>(AF4*AG4)*B4</f>
        <v>1414493.2021276597</v>
      </c>
      <c r="AJ4" s="17">
        <v>19305</v>
      </c>
      <c r="AK4" s="17">
        <v>22752</v>
      </c>
      <c r="AL4" s="17">
        <v>23441</v>
      </c>
      <c r="AM4" s="17">
        <v>12869.808000000001</v>
      </c>
      <c r="AN4" s="8">
        <v>1</v>
      </c>
      <c r="AO4" s="8">
        <f>AN4*B4</f>
        <v>123.09574468085107</v>
      </c>
      <c r="AP4" s="17">
        <f t="shared" ref="AP4:AP22" si="0">(SUM(AJ4+AK4+AL4+AM4)*AN4)*B4</f>
        <v>9646743.6847659592</v>
      </c>
      <c r="AQ4" s="17">
        <v>12180</v>
      </c>
      <c r="AR4" s="8">
        <v>1</v>
      </c>
      <c r="AS4" s="8">
        <f>AR4*B4</f>
        <v>123.09574468085107</v>
      </c>
      <c r="AT4" s="17">
        <f>(AQ4*AR4)*B4</f>
        <v>1499306.1702127659</v>
      </c>
      <c r="AU4" s="17">
        <v>11031</v>
      </c>
      <c r="AV4" s="8">
        <v>1</v>
      </c>
      <c r="AW4" s="8">
        <f>AV4*B4</f>
        <v>123.09574468085107</v>
      </c>
      <c r="AX4" s="17">
        <f>B4*AU4*AV4</f>
        <v>1357869.1595744682</v>
      </c>
      <c r="AY4" s="17">
        <v>37690</v>
      </c>
      <c r="AZ4" s="8">
        <v>1</v>
      </c>
      <c r="BA4" s="8">
        <f>AZ4*B4</f>
        <v>123.09574468085107</v>
      </c>
      <c r="BB4" s="17">
        <f>(AY4*AZ4)*B4</f>
        <v>4639478.6170212766</v>
      </c>
      <c r="BC4" s="17">
        <v>19722</v>
      </c>
      <c r="BD4" s="8">
        <v>1</v>
      </c>
      <c r="BE4" s="8">
        <f>BD4*B4</f>
        <v>123.09574468085107</v>
      </c>
      <c r="BF4" s="17">
        <f>B4*BC4*BD4</f>
        <v>2427694.2765957448</v>
      </c>
      <c r="BG4" s="17">
        <v>19522</v>
      </c>
      <c r="BH4" s="8"/>
      <c r="BI4" s="8"/>
      <c r="BJ4" s="17"/>
      <c r="BK4" s="17"/>
      <c r="BL4" s="27"/>
      <c r="BM4" s="17"/>
    </row>
    <row r="5" spans="1:65" x14ac:dyDescent="0.25">
      <c r="A5" s="2" t="s">
        <v>1</v>
      </c>
      <c r="B5" s="21">
        <v>189.59574468085108</v>
      </c>
      <c r="C5" s="57">
        <f t="shared" ref="C5:C8" si="1">B5/$B$9</f>
        <v>0.48667394866193336</v>
      </c>
      <c r="D5" s="181"/>
      <c r="E5" s="17">
        <v>16038</v>
      </c>
      <c r="F5" s="8">
        <v>2</v>
      </c>
      <c r="G5" s="8">
        <f t="shared" ref="G5:G27" si="2">F5*B5</f>
        <v>379.19148936170217</v>
      </c>
      <c r="H5" s="8">
        <v>3</v>
      </c>
      <c r="I5" s="17">
        <f>B5*(E5/H5)*F5</f>
        <v>2027157.7021276597</v>
      </c>
      <c r="J5" s="17">
        <v>11955</v>
      </c>
      <c r="K5" s="8">
        <v>2</v>
      </c>
      <c r="L5" s="8">
        <f>K5*(B5*80%/100%)</f>
        <v>303.35319148936173</v>
      </c>
      <c r="M5" s="8">
        <v>3</v>
      </c>
      <c r="N5" s="17">
        <f>B5*K5*(J5/3)</f>
        <v>1511078.0851063831</v>
      </c>
      <c r="O5" s="17"/>
      <c r="P5" s="26"/>
      <c r="Q5" s="26"/>
      <c r="R5" s="26"/>
      <c r="S5" s="17"/>
      <c r="T5" s="17"/>
      <c r="U5" s="27"/>
      <c r="V5" s="27"/>
      <c r="W5" s="17"/>
      <c r="X5" s="17"/>
      <c r="Y5" s="17"/>
      <c r="Z5" s="17"/>
      <c r="AA5" s="17">
        <v>4367</v>
      </c>
      <c r="AB5" s="17">
        <v>19075</v>
      </c>
      <c r="AC5" s="8">
        <v>1</v>
      </c>
      <c r="AD5" s="8">
        <f t="shared" ref="AD5:AD7" si="3">AC5*B5</f>
        <v>189.59574468085108</v>
      </c>
      <c r="AE5" s="17">
        <f>(SUM(AB5+AA5)*AC5)*B5</f>
        <v>4444503.4468085114</v>
      </c>
      <c r="AF5" s="17">
        <v>11491</v>
      </c>
      <c r="AG5" s="8">
        <v>1</v>
      </c>
      <c r="AH5" s="8">
        <f t="shared" ref="AH5:AH22" si="4">AG5*B5</f>
        <v>189.59574468085108</v>
      </c>
      <c r="AI5" s="17">
        <f>(AF5*AG5)*B5</f>
        <v>2178644.7021276597</v>
      </c>
      <c r="AJ5" s="17">
        <v>19305</v>
      </c>
      <c r="AK5" s="17">
        <v>22752</v>
      </c>
      <c r="AL5" s="17">
        <v>23441</v>
      </c>
      <c r="AM5" s="17">
        <v>12869.808000000001</v>
      </c>
      <c r="AN5" s="8">
        <v>1</v>
      </c>
      <c r="AO5" s="8">
        <f t="shared" ref="AO5:AO22" si="5">AN5*B5</f>
        <v>189.59574468085108</v>
      </c>
      <c r="AP5" s="17">
        <f t="shared" si="0"/>
        <v>14858202.91676596</v>
      </c>
      <c r="AQ5" s="17">
        <v>12180</v>
      </c>
      <c r="AR5" s="8">
        <v>1</v>
      </c>
      <c r="AS5" s="8">
        <f t="shared" ref="AS5:AS22" si="6">AR5*B5</f>
        <v>189.59574468085108</v>
      </c>
      <c r="AT5" s="17">
        <f>(AQ5*AR5)*B5</f>
        <v>2309276.1702127662</v>
      </c>
      <c r="AU5" s="17">
        <v>11031</v>
      </c>
      <c r="AV5" s="8">
        <v>1</v>
      </c>
      <c r="AW5" s="8">
        <f t="shared" ref="AW5:AW22" si="7">AV5*B5</f>
        <v>189.59574468085108</v>
      </c>
      <c r="AX5" s="17">
        <f>B5*AU5*AV5</f>
        <v>2091430.6595744684</v>
      </c>
      <c r="AY5" s="17">
        <v>37690</v>
      </c>
      <c r="AZ5" s="8">
        <v>1</v>
      </c>
      <c r="BA5" s="8">
        <f t="shared" ref="BA5:BA22" si="8">AZ5*B5</f>
        <v>189.59574468085108</v>
      </c>
      <c r="BB5" s="17">
        <f>(AY5*AZ5)*B5</f>
        <v>7145863.6170212775</v>
      </c>
      <c r="BC5" s="17">
        <v>19722</v>
      </c>
      <c r="BD5" s="8">
        <v>1</v>
      </c>
      <c r="BE5" s="8">
        <f t="shared" ref="BE5:BE22" si="9">BD5*B5</f>
        <v>189.59574468085108</v>
      </c>
      <c r="BF5" s="17">
        <f>B5*BC5*BD5</f>
        <v>3739207.2765957452</v>
      </c>
      <c r="BG5" s="17">
        <v>19522</v>
      </c>
      <c r="BH5" s="8"/>
      <c r="BI5" s="8"/>
      <c r="BJ5" s="17"/>
      <c r="BK5" s="17"/>
      <c r="BL5" s="27"/>
      <c r="BM5" s="17"/>
    </row>
    <row r="6" spans="1:65" x14ac:dyDescent="0.25">
      <c r="A6" s="2" t="s">
        <v>2</v>
      </c>
      <c r="B6" s="21">
        <v>50</v>
      </c>
      <c r="C6" s="57">
        <f t="shared" si="1"/>
        <v>0.12834516657564171</v>
      </c>
      <c r="D6" s="181"/>
      <c r="E6" s="17">
        <v>16038</v>
      </c>
      <c r="F6" s="8">
        <v>6</v>
      </c>
      <c r="G6" s="8">
        <f t="shared" si="2"/>
        <v>300</v>
      </c>
      <c r="H6" s="8">
        <v>3</v>
      </c>
      <c r="I6" s="17">
        <f>B6*(E6/H6)*F6</f>
        <v>1603800</v>
      </c>
      <c r="J6" s="17">
        <v>11955</v>
      </c>
      <c r="K6" s="8"/>
      <c r="L6" s="8"/>
      <c r="M6" s="8"/>
      <c r="N6" s="17"/>
      <c r="O6" s="17"/>
      <c r="P6" s="26"/>
      <c r="Q6" s="26"/>
      <c r="R6" s="26"/>
      <c r="S6" s="17"/>
      <c r="T6" s="17"/>
      <c r="U6" s="27"/>
      <c r="V6" s="27"/>
      <c r="W6" s="17"/>
      <c r="X6" s="17"/>
      <c r="Y6" s="17"/>
      <c r="Z6" s="17"/>
      <c r="AA6" s="17">
        <v>4367</v>
      </c>
      <c r="AB6" s="17">
        <v>19075</v>
      </c>
      <c r="AC6" s="8">
        <v>1</v>
      </c>
      <c r="AD6" s="8">
        <f t="shared" si="3"/>
        <v>50</v>
      </c>
      <c r="AE6" s="17">
        <f>(SUM(AB6+AA6)*AC6)*B6</f>
        <v>1172100</v>
      </c>
      <c r="AF6" s="17">
        <v>11491</v>
      </c>
      <c r="AG6" s="8">
        <v>1</v>
      </c>
      <c r="AH6" s="8">
        <f t="shared" si="4"/>
        <v>50</v>
      </c>
      <c r="AI6" s="17">
        <f>(AF6*AG6)*B6</f>
        <v>574550</v>
      </c>
      <c r="AJ6" s="17">
        <v>19305</v>
      </c>
      <c r="AK6" s="17">
        <v>22752</v>
      </c>
      <c r="AL6" s="17">
        <v>23441</v>
      </c>
      <c r="AM6" s="17">
        <v>12869.808000000001</v>
      </c>
      <c r="AN6" s="8">
        <v>1</v>
      </c>
      <c r="AO6" s="8">
        <f t="shared" si="5"/>
        <v>50</v>
      </c>
      <c r="AP6" s="17">
        <f t="shared" si="0"/>
        <v>3918390.4000000004</v>
      </c>
      <c r="AQ6" s="17">
        <v>12180</v>
      </c>
      <c r="AR6" s="8">
        <v>1</v>
      </c>
      <c r="AS6" s="8">
        <f t="shared" si="6"/>
        <v>50</v>
      </c>
      <c r="AT6" s="17">
        <f>(AQ6*AR6)*B6</f>
        <v>609000</v>
      </c>
      <c r="AU6" s="17">
        <v>11031</v>
      </c>
      <c r="AV6" s="8">
        <v>1</v>
      </c>
      <c r="AW6" s="8">
        <f t="shared" si="7"/>
        <v>50</v>
      </c>
      <c r="AX6" s="17">
        <f>B6*AU6*AV6</f>
        <v>551550</v>
      </c>
      <c r="AY6" s="17">
        <v>37690</v>
      </c>
      <c r="AZ6" s="8">
        <v>1</v>
      </c>
      <c r="BA6" s="8">
        <f t="shared" si="8"/>
        <v>50</v>
      </c>
      <c r="BB6" s="17">
        <f>(AY6*AZ6)*B6</f>
        <v>1884500</v>
      </c>
      <c r="BC6" s="17">
        <v>19722</v>
      </c>
      <c r="BD6" s="8">
        <v>1</v>
      </c>
      <c r="BE6" s="8">
        <f t="shared" si="9"/>
        <v>50</v>
      </c>
      <c r="BF6" s="17">
        <f>B6*BC6*BD6</f>
        <v>986100</v>
      </c>
      <c r="BG6" s="17">
        <v>19522</v>
      </c>
      <c r="BH6" s="8"/>
      <c r="BI6" s="8"/>
      <c r="BJ6" s="17"/>
      <c r="BK6" s="17"/>
      <c r="BL6" s="27"/>
      <c r="BM6" s="17"/>
    </row>
    <row r="7" spans="1:65" s="3" customFormat="1" x14ac:dyDescent="0.25">
      <c r="A7" s="2" t="s">
        <v>3</v>
      </c>
      <c r="B7" s="21"/>
      <c r="C7" s="57"/>
      <c r="D7" s="181"/>
      <c r="E7" s="17"/>
      <c r="F7" s="8"/>
      <c r="G7" s="8">
        <f t="shared" si="2"/>
        <v>0</v>
      </c>
      <c r="H7" s="8"/>
      <c r="I7" s="17"/>
      <c r="J7" s="17"/>
      <c r="K7" s="8"/>
      <c r="L7" s="8"/>
      <c r="M7" s="8"/>
      <c r="N7" s="17"/>
      <c r="O7" s="17"/>
      <c r="P7" s="26"/>
      <c r="Q7" s="26"/>
      <c r="R7" s="26"/>
      <c r="S7" s="17"/>
      <c r="T7" s="17"/>
      <c r="U7" s="27"/>
      <c r="V7" s="27"/>
      <c r="W7" s="17"/>
      <c r="X7" s="17"/>
      <c r="Y7" s="17"/>
      <c r="Z7" s="17"/>
      <c r="AA7" s="17">
        <v>4367</v>
      </c>
      <c r="AB7" s="17">
        <v>19075</v>
      </c>
      <c r="AC7" s="8">
        <v>1</v>
      </c>
      <c r="AD7" s="8">
        <f t="shared" si="3"/>
        <v>0</v>
      </c>
      <c r="AE7" s="17">
        <f>(SUM(AB7+AA7)*AC7)*B7</f>
        <v>0</v>
      </c>
      <c r="AF7" s="17">
        <v>11491</v>
      </c>
      <c r="AG7" s="8">
        <v>1</v>
      </c>
      <c r="AH7" s="8">
        <f t="shared" si="4"/>
        <v>0</v>
      </c>
      <c r="AI7" s="17">
        <f>(AF7*AG7)*B7</f>
        <v>0</v>
      </c>
      <c r="AJ7" s="17">
        <v>19305</v>
      </c>
      <c r="AK7" s="17">
        <v>22752</v>
      </c>
      <c r="AL7" s="17">
        <v>23441</v>
      </c>
      <c r="AM7" s="17">
        <v>12869.808000000001</v>
      </c>
      <c r="AN7" s="8">
        <v>1</v>
      </c>
      <c r="AO7" s="8">
        <f t="shared" si="5"/>
        <v>0</v>
      </c>
      <c r="AP7" s="17">
        <f t="shared" si="0"/>
        <v>0</v>
      </c>
      <c r="AQ7" s="17">
        <v>12180</v>
      </c>
      <c r="AR7" s="8">
        <v>1</v>
      </c>
      <c r="AS7" s="8">
        <f t="shared" si="6"/>
        <v>0</v>
      </c>
      <c r="AT7" s="17">
        <f>(AQ7*AR7)*B7</f>
        <v>0</v>
      </c>
      <c r="AU7" s="17">
        <v>11031</v>
      </c>
      <c r="AV7" s="8">
        <v>1</v>
      </c>
      <c r="AW7" s="8">
        <f t="shared" si="7"/>
        <v>0</v>
      </c>
      <c r="AX7" s="17">
        <f>B7*AU7*AV7</f>
        <v>0</v>
      </c>
      <c r="AY7" s="17">
        <v>37690</v>
      </c>
      <c r="AZ7" s="8">
        <v>1</v>
      </c>
      <c r="BA7" s="8">
        <f t="shared" si="8"/>
        <v>0</v>
      </c>
      <c r="BB7" s="17">
        <f>(AY7*AZ7)*B7</f>
        <v>0</v>
      </c>
      <c r="BC7" s="17">
        <v>19722</v>
      </c>
      <c r="BD7" s="8">
        <v>1</v>
      </c>
      <c r="BE7" s="8">
        <f t="shared" si="9"/>
        <v>0</v>
      </c>
      <c r="BF7" s="17">
        <f>B7*BC7*BD7</f>
        <v>0</v>
      </c>
      <c r="BG7" s="17">
        <v>19522</v>
      </c>
      <c r="BH7" s="8"/>
      <c r="BI7" s="8"/>
      <c r="BJ7" s="17"/>
      <c r="BK7" s="17"/>
      <c r="BL7" s="27"/>
      <c r="BM7" s="17"/>
    </row>
    <row r="8" spans="1:65" s="9" customFormat="1" x14ac:dyDescent="0.25">
      <c r="A8" s="2" t="s">
        <v>48</v>
      </c>
      <c r="B8" s="21">
        <v>26.882978723404257</v>
      </c>
      <c r="C8" s="57">
        <f t="shared" si="1"/>
        <v>6.9006007646095019E-2</v>
      </c>
      <c r="D8" s="181"/>
      <c r="E8" s="17"/>
      <c r="F8" s="8"/>
      <c r="G8" s="8">
        <f t="shared" si="2"/>
        <v>0</v>
      </c>
      <c r="H8" s="8"/>
      <c r="I8" s="17"/>
      <c r="J8" s="17"/>
      <c r="K8" s="8"/>
      <c r="L8" s="8"/>
      <c r="M8" s="8"/>
      <c r="N8" s="17"/>
      <c r="O8" s="17"/>
      <c r="P8" s="26"/>
      <c r="Q8" s="26"/>
      <c r="R8" s="26"/>
      <c r="S8" s="17"/>
      <c r="T8" s="17"/>
      <c r="U8" s="27"/>
      <c r="V8" s="27"/>
      <c r="W8" s="17"/>
      <c r="X8" s="17"/>
      <c r="Y8" s="17"/>
      <c r="Z8" s="17"/>
      <c r="AA8" s="17"/>
      <c r="AB8" s="17"/>
      <c r="AC8" s="8"/>
      <c r="AD8" s="8"/>
      <c r="AE8" s="17"/>
      <c r="AF8" s="17"/>
      <c r="AG8" s="8"/>
      <c r="AH8" s="8"/>
      <c r="AI8" s="17"/>
      <c r="AJ8" s="17"/>
      <c r="AK8" s="17"/>
      <c r="AL8" s="17"/>
      <c r="AM8" s="17"/>
      <c r="AN8" s="8"/>
      <c r="AO8" s="8"/>
      <c r="AP8" s="17">
        <f t="shared" si="0"/>
        <v>0</v>
      </c>
      <c r="AQ8" s="17"/>
      <c r="AR8" s="8"/>
      <c r="AS8" s="8"/>
      <c r="AT8" s="17"/>
      <c r="AU8" s="17"/>
      <c r="AV8" s="8"/>
      <c r="AW8" s="8"/>
      <c r="AX8" s="17"/>
      <c r="AY8" s="17"/>
      <c r="AZ8" s="8"/>
      <c r="BA8" s="8"/>
      <c r="BB8" s="17"/>
      <c r="BC8" s="17"/>
      <c r="BD8" s="8"/>
      <c r="BE8" s="8"/>
      <c r="BF8" s="17"/>
      <c r="BG8" s="17"/>
      <c r="BH8" s="8"/>
      <c r="BI8" s="8"/>
      <c r="BJ8" s="17"/>
      <c r="BK8" s="17"/>
      <c r="BL8" s="27"/>
      <c r="BM8" s="17"/>
    </row>
    <row r="9" spans="1:65" ht="15" customHeight="1" x14ac:dyDescent="0.25">
      <c r="A9" s="2" t="s">
        <v>47</v>
      </c>
      <c r="B9" s="21">
        <f>SUM(B4:B8)</f>
        <v>389.57446808510645</v>
      </c>
      <c r="C9" s="57">
        <f>B9/B13</f>
        <v>0.9763771129952542</v>
      </c>
      <c r="D9" s="181"/>
      <c r="E9" s="17"/>
      <c r="F9" s="8"/>
      <c r="G9" s="8">
        <f t="shared" si="2"/>
        <v>0</v>
      </c>
      <c r="H9" s="8"/>
      <c r="I9" s="17"/>
      <c r="J9" s="17"/>
      <c r="K9" s="8"/>
      <c r="L9" s="8"/>
      <c r="M9" s="8"/>
      <c r="N9" s="17"/>
      <c r="O9" s="17"/>
      <c r="P9" s="26"/>
      <c r="Q9" s="26"/>
      <c r="R9" s="26"/>
      <c r="S9" s="17"/>
      <c r="T9" s="17"/>
      <c r="U9" s="27"/>
      <c r="V9" s="27"/>
      <c r="W9" s="17"/>
      <c r="X9" s="17"/>
      <c r="Y9" s="17"/>
      <c r="Z9" s="17"/>
      <c r="AA9" s="17"/>
      <c r="AB9" s="17"/>
      <c r="AC9" s="8"/>
      <c r="AD9" s="8"/>
      <c r="AE9" s="17"/>
      <c r="AF9" s="17"/>
      <c r="AG9" s="8"/>
      <c r="AH9" s="8"/>
      <c r="AI9" s="17"/>
      <c r="AJ9" s="17"/>
      <c r="AK9" s="17"/>
      <c r="AL9" s="17"/>
      <c r="AM9" s="17"/>
      <c r="AN9" s="8"/>
      <c r="AO9" s="8"/>
      <c r="AP9" s="17">
        <f t="shared" si="0"/>
        <v>0</v>
      </c>
      <c r="AQ9" s="17"/>
      <c r="AR9" s="8"/>
      <c r="AS9" s="8"/>
      <c r="AT9" s="17"/>
      <c r="AU9" s="17"/>
      <c r="AV9" s="8"/>
      <c r="AW9" s="8"/>
      <c r="AX9" s="17"/>
      <c r="AY9" s="17"/>
      <c r="AZ9" s="8"/>
      <c r="BA9" s="8"/>
      <c r="BB9" s="17"/>
      <c r="BC9" s="17"/>
      <c r="BD9" s="8"/>
      <c r="BE9" s="8"/>
      <c r="BF9" s="17"/>
      <c r="BG9" s="17"/>
      <c r="BH9" s="8"/>
      <c r="BI9" s="8"/>
      <c r="BJ9" s="17"/>
      <c r="BK9" s="17"/>
      <c r="BL9" s="27"/>
      <c r="BM9" s="17"/>
    </row>
    <row r="10" spans="1:65" x14ac:dyDescent="0.25">
      <c r="A10" s="2" t="s">
        <v>42</v>
      </c>
      <c r="B10" s="21">
        <v>16.8</v>
      </c>
      <c r="C10" s="57">
        <f>B10/$B$12</f>
        <v>0.8</v>
      </c>
      <c r="D10" s="181"/>
      <c r="E10" s="17">
        <v>16038</v>
      </c>
      <c r="F10" s="8">
        <v>8</v>
      </c>
      <c r="G10" s="8">
        <f t="shared" si="2"/>
        <v>134.4</v>
      </c>
      <c r="H10" s="8">
        <v>2</v>
      </c>
      <c r="I10" s="17">
        <f>B10*(E10/H10)*F10</f>
        <v>1077753.6000000001</v>
      </c>
      <c r="J10" s="17">
        <v>11955</v>
      </c>
      <c r="K10" s="8"/>
      <c r="L10" s="8"/>
      <c r="M10" s="8"/>
      <c r="N10" s="17"/>
      <c r="O10" s="17"/>
      <c r="P10" s="26"/>
      <c r="Q10" s="26"/>
      <c r="R10" s="26"/>
      <c r="S10" s="17"/>
      <c r="T10" s="17"/>
      <c r="U10" s="27"/>
      <c r="V10" s="27"/>
      <c r="W10" s="17"/>
      <c r="X10" s="17">
        <v>3651</v>
      </c>
      <c r="Y10" s="40">
        <f>3*B10</f>
        <v>50.400000000000006</v>
      </c>
      <c r="Z10" s="17">
        <f>(X10*3)*B10</f>
        <v>184010.4</v>
      </c>
      <c r="AA10" s="17">
        <v>4367</v>
      </c>
      <c r="AB10" s="17">
        <v>19075</v>
      </c>
      <c r="AC10" s="8">
        <v>1</v>
      </c>
      <c r="AD10" s="8">
        <f t="shared" ref="AD10:AD22" si="10">AC10*B10</f>
        <v>16.8</v>
      </c>
      <c r="AE10" s="17">
        <f>(SUM(AB10+AA10)*AC10)*B10</f>
        <v>393825.60000000003</v>
      </c>
      <c r="AF10" s="17">
        <v>11491</v>
      </c>
      <c r="AG10" s="8">
        <v>1</v>
      </c>
      <c r="AH10" s="8">
        <f t="shared" si="4"/>
        <v>16.8</v>
      </c>
      <c r="AI10" s="17">
        <f>(AF10*AG10)*B10</f>
        <v>193048.80000000002</v>
      </c>
      <c r="AJ10" s="17">
        <v>19305</v>
      </c>
      <c r="AK10" s="17">
        <v>22752</v>
      </c>
      <c r="AL10" s="17">
        <v>23441</v>
      </c>
      <c r="AM10" s="17">
        <v>12869.808000000001</v>
      </c>
      <c r="AN10" s="8">
        <v>1</v>
      </c>
      <c r="AO10" s="8">
        <f t="shared" si="5"/>
        <v>16.8</v>
      </c>
      <c r="AP10" s="17">
        <f t="shared" si="0"/>
        <v>1316579.1744000001</v>
      </c>
      <c r="AQ10" s="17">
        <v>12180</v>
      </c>
      <c r="AR10" s="8">
        <v>1</v>
      </c>
      <c r="AS10" s="8">
        <f t="shared" si="6"/>
        <v>16.8</v>
      </c>
      <c r="AT10" s="17">
        <f>(AQ10*AR10)*B10</f>
        <v>204624</v>
      </c>
      <c r="AU10" s="17">
        <v>11031</v>
      </c>
      <c r="AV10" s="8">
        <v>1</v>
      </c>
      <c r="AW10" s="8">
        <f t="shared" si="7"/>
        <v>16.8</v>
      </c>
      <c r="AX10" s="17">
        <f>B10*AU10*AV10</f>
        <v>185320.80000000002</v>
      </c>
      <c r="AY10" s="17">
        <v>37690</v>
      </c>
      <c r="AZ10" s="8">
        <v>1</v>
      </c>
      <c r="BA10" s="8">
        <f t="shared" si="8"/>
        <v>16.8</v>
      </c>
      <c r="BB10" s="17">
        <f>(AY10*AZ10)*B10</f>
        <v>633192</v>
      </c>
      <c r="BC10" s="17">
        <v>19722</v>
      </c>
      <c r="BD10" s="8">
        <v>1</v>
      </c>
      <c r="BE10" s="8">
        <f t="shared" si="9"/>
        <v>16.8</v>
      </c>
      <c r="BF10" s="17">
        <f>B10*BC10*BD10</f>
        <v>331329.60000000003</v>
      </c>
      <c r="BG10" s="17">
        <v>19522</v>
      </c>
      <c r="BH10" s="8"/>
      <c r="BI10" s="8"/>
      <c r="BJ10" s="17"/>
      <c r="BK10" s="17"/>
      <c r="BL10" s="27"/>
      <c r="BM10" s="17"/>
    </row>
    <row r="11" spans="1:65" x14ac:dyDescent="0.25">
      <c r="A11" s="2" t="s">
        <v>15</v>
      </c>
      <c r="B11" s="21">
        <v>4.2</v>
      </c>
      <c r="C11" s="57">
        <f t="shared" ref="C11" si="11">B11/$B$12</f>
        <v>0.2</v>
      </c>
      <c r="D11" s="181"/>
      <c r="E11" s="17">
        <v>16038</v>
      </c>
      <c r="F11" s="8">
        <v>12</v>
      </c>
      <c r="G11" s="8">
        <f t="shared" si="2"/>
        <v>50.400000000000006</v>
      </c>
      <c r="H11" s="8">
        <v>2</v>
      </c>
      <c r="I11" s="17">
        <f>B11*(E11/H11)*F11</f>
        <v>404157.60000000003</v>
      </c>
      <c r="J11" s="17">
        <v>11955</v>
      </c>
      <c r="K11" s="8"/>
      <c r="L11" s="8"/>
      <c r="M11" s="8"/>
      <c r="N11" s="17"/>
      <c r="O11" s="17"/>
      <c r="P11" s="26"/>
      <c r="Q11" s="26"/>
      <c r="R11" s="26"/>
      <c r="S11" s="17"/>
      <c r="T11" s="17"/>
      <c r="U11" s="27"/>
      <c r="V11" s="27"/>
      <c r="W11" s="17"/>
      <c r="X11" s="17">
        <v>3651</v>
      </c>
      <c r="Y11" s="40">
        <f>3*B11</f>
        <v>12.600000000000001</v>
      </c>
      <c r="Z11" s="17">
        <f>(X11*3)*B11</f>
        <v>46002.6</v>
      </c>
      <c r="AA11" s="17">
        <v>4367</v>
      </c>
      <c r="AB11" s="17">
        <v>19075</v>
      </c>
      <c r="AC11" s="8">
        <v>1</v>
      </c>
      <c r="AD11" s="8">
        <f t="shared" si="10"/>
        <v>4.2</v>
      </c>
      <c r="AE11" s="17">
        <f>(SUM(AB11+AA11)*AC11)*B11</f>
        <v>98456.400000000009</v>
      </c>
      <c r="AF11" s="17">
        <v>11491</v>
      </c>
      <c r="AG11" s="8">
        <v>1</v>
      </c>
      <c r="AH11" s="8">
        <f t="shared" si="4"/>
        <v>4.2</v>
      </c>
      <c r="AI11" s="17">
        <f>(AF11*AG11)*B11</f>
        <v>48262.200000000004</v>
      </c>
      <c r="AJ11" s="17">
        <v>19305</v>
      </c>
      <c r="AK11" s="17">
        <v>22752</v>
      </c>
      <c r="AL11" s="17">
        <v>23441</v>
      </c>
      <c r="AM11" s="17">
        <v>12869.808000000001</v>
      </c>
      <c r="AN11" s="8">
        <v>1</v>
      </c>
      <c r="AO11" s="8">
        <f t="shared" si="5"/>
        <v>4.2</v>
      </c>
      <c r="AP11" s="17">
        <f t="shared" si="0"/>
        <v>329144.79360000003</v>
      </c>
      <c r="AQ11" s="17">
        <v>12180</v>
      </c>
      <c r="AR11" s="8">
        <v>1</v>
      </c>
      <c r="AS11" s="8">
        <f t="shared" si="6"/>
        <v>4.2</v>
      </c>
      <c r="AT11" s="17">
        <f>(AQ11*AR11)*B11</f>
        <v>51156</v>
      </c>
      <c r="AU11" s="17">
        <v>11031</v>
      </c>
      <c r="AV11" s="8">
        <v>1</v>
      </c>
      <c r="AW11" s="8">
        <f t="shared" si="7"/>
        <v>4.2</v>
      </c>
      <c r="AX11" s="17">
        <f>B11*AU11*AV11</f>
        <v>46330.200000000004</v>
      </c>
      <c r="AY11" s="17">
        <v>37690</v>
      </c>
      <c r="AZ11" s="8">
        <v>1</v>
      </c>
      <c r="BA11" s="8">
        <f t="shared" si="8"/>
        <v>4.2</v>
      </c>
      <c r="BB11" s="17">
        <f>(AY11*AZ11)*B11</f>
        <v>158298</v>
      </c>
      <c r="BC11" s="17">
        <v>19722</v>
      </c>
      <c r="BD11" s="8">
        <v>1</v>
      </c>
      <c r="BE11" s="8">
        <f t="shared" si="9"/>
        <v>4.2</v>
      </c>
      <c r="BF11" s="17">
        <f>B11*BC11*BD11</f>
        <v>82832.400000000009</v>
      </c>
      <c r="BG11" s="17">
        <v>19522</v>
      </c>
      <c r="BH11" s="8"/>
      <c r="BI11" s="8"/>
      <c r="BJ11" s="17"/>
      <c r="BK11" s="17"/>
      <c r="BL11" s="27"/>
      <c r="BM11" s="17"/>
    </row>
    <row r="12" spans="1:65" s="10" customFormat="1" x14ac:dyDescent="0.25">
      <c r="A12" s="2" t="s">
        <v>49</v>
      </c>
      <c r="B12" s="21">
        <v>21</v>
      </c>
      <c r="C12" s="57">
        <f>B12/B13</f>
        <v>5.2631578947368418E-2</v>
      </c>
      <c r="D12" s="181"/>
      <c r="E12" s="17"/>
      <c r="F12" s="8"/>
      <c r="G12" s="8">
        <f t="shared" si="2"/>
        <v>0</v>
      </c>
      <c r="H12" s="8"/>
      <c r="I12" s="17"/>
      <c r="J12" s="17"/>
      <c r="K12" s="8"/>
      <c r="L12" s="8"/>
      <c r="M12" s="8"/>
      <c r="N12" s="17"/>
      <c r="O12" s="17"/>
      <c r="P12" s="26"/>
      <c r="Q12" s="26"/>
      <c r="R12" s="26"/>
      <c r="S12" s="17"/>
      <c r="T12" s="17"/>
      <c r="U12" s="27"/>
      <c r="V12" s="27"/>
      <c r="W12" s="17"/>
      <c r="X12" s="17"/>
      <c r="Y12" s="17"/>
      <c r="Z12" s="17"/>
      <c r="AA12" s="17"/>
      <c r="AB12" s="17"/>
      <c r="AC12" s="8"/>
      <c r="AD12" s="8"/>
      <c r="AE12" s="17"/>
      <c r="AF12" s="17"/>
      <c r="AG12" s="8"/>
      <c r="AH12" s="8"/>
      <c r="AI12" s="17"/>
      <c r="AJ12" s="17"/>
      <c r="AK12" s="17"/>
      <c r="AL12" s="17"/>
      <c r="AM12" s="17"/>
      <c r="AN12" s="8"/>
      <c r="AO12" s="8"/>
      <c r="AP12" s="17">
        <f t="shared" si="0"/>
        <v>0</v>
      </c>
      <c r="AQ12" s="17"/>
      <c r="AR12" s="8"/>
      <c r="AS12" s="8"/>
      <c r="AT12" s="17"/>
      <c r="AU12" s="17"/>
      <c r="AV12" s="8"/>
      <c r="AW12" s="8"/>
      <c r="AX12" s="17"/>
      <c r="AY12" s="17"/>
      <c r="AZ12" s="8"/>
      <c r="BA12" s="8"/>
      <c r="BB12" s="17"/>
      <c r="BC12" s="17"/>
      <c r="BD12" s="8"/>
      <c r="BE12" s="8"/>
      <c r="BF12" s="17"/>
      <c r="BG12" s="17"/>
      <c r="BH12" s="8"/>
      <c r="BI12" s="8"/>
      <c r="BJ12" s="17"/>
      <c r="BK12" s="17"/>
      <c r="BL12" s="27"/>
      <c r="BM12" s="17"/>
    </row>
    <row r="13" spans="1:65" s="10" customFormat="1" ht="18" customHeight="1" x14ac:dyDescent="0.25">
      <c r="A13" s="2" t="s">
        <v>53</v>
      </c>
      <c r="B13" s="21">
        <v>399</v>
      </c>
      <c r="C13" s="57">
        <f>B13/B26</f>
        <v>0.92575406032482599</v>
      </c>
      <c r="D13" s="182"/>
      <c r="E13" s="17"/>
      <c r="F13" s="8"/>
      <c r="G13" s="8">
        <f t="shared" si="2"/>
        <v>0</v>
      </c>
      <c r="H13" s="8"/>
      <c r="I13" s="17"/>
      <c r="J13" s="17"/>
      <c r="K13" s="8"/>
      <c r="L13" s="8"/>
      <c r="M13" s="8"/>
      <c r="N13" s="17"/>
      <c r="O13" s="17"/>
      <c r="P13" s="26"/>
      <c r="Q13" s="26"/>
      <c r="R13" s="26"/>
      <c r="S13" s="17"/>
      <c r="T13" s="17"/>
      <c r="U13" s="27"/>
      <c r="V13" s="27"/>
      <c r="W13" s="17"/>
      <c r="X13" s="17"/>
      <c r="Y13" s="17"/>
      <c r="Z13" s="17"/>
      <c r="AA13" s="17"/>
      <c r="AB13" s="17"/>
      <c r="AC13" s="8"/>
      <c r="AD13" s="8"/>
      <c r="AE13" s="17"/>
      <c r="AF13" s="17"/>
      <c r="AG13" s="8"/>
      <c r="AH13" s="8"/>
      <c r="AI13" s="17"/>
      <c r="AJ13" s="17"/>
      <c r="AK13" s="17"/>
      <c r="AL13" s="17"/>
      <c r="AM13" s="17"/>
      <c r="AN13" s="8"/>
      <c r="AO13" s="8"/>
      <c r="AP13" s="17">
        <f t="shared" si="0"/>
        <v>0</v>
      </c>
      <c r="AQ13" s="17"/>
      <c r="AR13" s="8"/>
      <c r="AS13" s="8"/>
      <c r="AT13" s="17"/>
      <c r="AU13" s="17"/>
      <c r="AV13" s="8"/>
      <c r="AW13" s="8"/>
      <c r="AX13" s="17"/>
      <c r="AY13" s="17"/>
      <c r="AZ13" s="8"/>
      <c r="BA13" s="8"/>
      <c r="BB13" s="17"/>
      <c r="BC13" s="17"/>
      <c r="BD13" s="8"/>
      <c r="BE13" s="8"/>
      <c r="BF13" s="17"/>
      <c r="BG13" s="17"/>
      <c r="BH13" s="8"/>
      <c r="BI13" s="8"/>
      <c r="BJ13" s="17"/>
      <c r="BK13" s="17"/>
      <c r="BL13" s="27"/>
      <c r="BM13" s="17"/>
    </row>
    <row r="14" spans="1:65" s="3" customFormat="1" x14ac:dyDescent="0.25">
      <c r="A14" s="2" t="s">
        <v>5</v>
      </c>
      <c r="B14" s="21">
        <v>0</v>
      </c>
      <c r="C14" s="57">
        <f>B14/$B$16</f>
        <v>0</v>
      </c>
      <c r="D14" s="180" t="s">
        <v>72</v>
      </c>
      <c r="E14" s="17">
        <v>16038</v>
      </c>
      <c r="F14" s="8">
        <v>4</v>
      </c>
      <c r="G14" s="8">
        <f t="shared" si="2"/>
        <v>0</v>
      </c>
      <c r="H14" s="8">
        <v>3</v>
      </c>
      <c r="I14" s="17">
        <f>B14*(E14/H14)*F14</f>
        <v>0</v>
      </c>
      <c r="J14" s="17">
        <v>11955</v>
      </c>
      <c r="K14" s="8"/>
      <c r="L14" s="8"/>
      <c r="M14" s="8"/>
      <c r="N14" s="17"/>
      <c r="O14" s="17">
        <v>9013</v>
      </c>
      <c r="P14" s="27">
        <v>1</v>
      </c>
      <c r="Q14" s="27">
        <f>P14*B14</f>
        <v>0</v>
      </c>
      <c r="R14" s="27">
        <v>3</v>
      </c>
      <c r="S14" s="17">
        <f>(P14/R14)*O14*B14</f>
        <v>0</v>
      </c>
      <c r="T14" s="17">
        <v>18800</v>
      </c>
      <c r="U14" s="27">
        <v>1</v>
      </c>
      <c r="V14" s="27">
        <f>U14*B14</f>
        <v>0</v>
      </c>
      <c r="W14" s="17">
        <f>B14*T14*U14</f>
        <v>0</v>
      </c>
      <c r="X14" s="17"/>
      <c r="Y14" s="17"/>
      <c r="Z14" s="17"/>
      <c r="AA14" s="17">
        <v>4367</v>
      </c>
      <c r="AB14" s="17">
        <v>19075</v>
      </c>
      <c r="AC14" s="8">
        <v>1</v>
      </c>
      <c r="AD14" s="8">
        <f t="shared" si="10"/>
        <v>0</v>
      </c>
      <c r="AE14" s="17">
        <f>(SUM(AB14+AA14)*AC14)*B14</f>
        <v>0</v>
      </c>
      <c r="AF14" s="17">
        <v>11491</v>
      </c>
      <c r="AG14" s="8">
        <v>4</v>
      </c>
      <c r="AH14" s="8">
        <f t="shared" si="4"/>
        <v>0</v>
      </c>
      <c r="AI14" s="17">
        <f>(AF14*AG14)*B14</f>
        <v>0</v>
      </c>
      <c r="AJ14" s="17">
        <v>19305</v>
      </c>
      <c r="AK14" s="17">
        <v>22752</v>
      </c>
      <c r="AL14" s="17">
        <v>23441</v>
      </c>
      <c r="AM14" s="17">
        <v>12869.808000000001</v>
      </c>
      <c r="AN14" s="8">
        <v>1</v>
      </c>
      <c r="AO14" s="8">
        <f t="shared" si="5"/>
        <v>0</v>
      </c>
      <c r="AP14" s="17">
        <f t="shared" si="0"/>
        <v>0</v>
      </c>
      <c r="AQ14" s="17">
        <v>12180</v>
      </c>
      <c r="AR14" s="8">
        <v>1</v>
      </c>
      <c r="AS14" s="8">
        <f t="shared" si="6"/>
        <v>0</v>
      </c>
      <c r="AT14" s="17">
        <f>(AQ14*AR14)*B14</f>
        <v>0</v>
      </c>
      <c r="AU14" s="17">
        <v>11031</v>
      </c>
      <c r="AV14" s="8">
        <v>1</v>
      </c>
      <c r="AW14" s="8">
        <f t="shared" si="7"/>
        <v>0</v>
      </c>
      <c r="AX14" s="17">
        <f>B14*AU14*AV14</f>
        <v>0</v>
      </c>
      <c r="AY14" s="17">
        <v>37690</v>
      </c>
      <c r="AZ14" s="8">
        <v>1</v>
      </c>
      <c r="BA14" s="8">
        <f t="shared" si="8"/>
        <v>0</v>
      </c>
      <c r="BB14" s="17">
        <f>(AY14*AZ14)*B14</f>
        <v>0</v>
      </c>
      <c r="BC14" s="17">
        <v>19722</v>
      </c>
      <c r="BD14" s="8">
        <v>1</v>
      </c>
      <c r="BE14" s="8">
        <f t="shared" si="9"/>
        <v>0</v>
      </c>
      <c r="BF14" s="17">
        <f>B14*BC14*BD14</f>
        <v>0</v>
      </c>
      <c r="BG14" s="17">
        <v>19522</v>
      </c>
      <c r="BH14" s="8">
        <v>4</v>
      </c>
      <c r="BI14" s="8">
        <f>BH14*B14</f>
        <v>0</v>
      </c>
      <c r="BJ14" s="17">
        <f>B14*BG14*BH14</f>
        <v>0</v>
      </c>
      <c r="BK14" s="17"/>
      <c r="BL14" s="27"/>
      <c r="BM14" s="17"/>
    </row>
    <row r="15" spans="1:65" x14ac:dyDescent="0.25">
      <c r="A15" s="2" t="s">
        <v>6</v>
      </c>
      <c r="B15" s="21">
        <v>0</v>
      </c>
      <c r="C15" s="57">
        <f>B15/$B$16</f>
        <v>0</v>
      </c>
      <c r="D15" s="181"/>
      <c r="E15" s="17">
        <v>16038</v>
      </c>
      <c r="F15" s="8">
        <v>6</v>
      </c>
      <c r="G15" s="8">
        <f t="shared" si="2"/>
        <v>0</v>
      </c>
      <c r="H15" s="8">
        <v>3</v>
      </c>
      <c r="I15" s="17">
        <f>B15*(E15/H15)*F15</f>
        <v>0</v>
      </c>
      <c r="J15" s="17">
        <v>11955</v>
      </c>
      <c r="K15" s="8"/>
      <c r="L15" s="8"/>
      <c r="M15" s="8"/>
      <c r="N15" s="17"/>
      <c r="O15" s="17">
        <v>9013</v>
      </c>
      <c r="P15" s="27">
        <v>1</v>
      </c>
      <c r="Q15" s="27">
        <f>P15*B15</f>
        <v>0</v>
      </c>
      <c r="R15" s="27">
        <v>3</v>
      </c>
      <c r="S15" s="17">
        <f>(P15/R15)*O15*B15</f>
        <v>0</v>
      </c>
      <c r="T15" s="17">
        <v>18800</v>
      </c>
      <c r="U15" s="27">
        <v>1</v>
      </c>
      <c r="V15" s="27">
        <f t="shared" ref="V15:V22" si="12">U15*B15</f>
        <v>0</v>
      </c>
      <c r="W15" s="17">
        <f>B15*T15*U15</f>
        <v>0</v>
      </c>
      <c r="X15" s="17"/>
      <c r="Y15" s="17"/>
      <c r="Z15" s="17"/>
      <c r="AA15" s="17">
        <v>4367</v>
      </c>
      <c r="AB15" s="17">
        <v>19075</v>
      </c>
      <c r="AC15" s="8">
        <v>1</v>
      </c>
      <c r="AD15" s="8">
        <f t="shared" si="10"/>
        <v>0</v>
      </c>
      <c r="AE15" s="17">
        <f>(SUM(AB15+AA15)*AC15)*B15</f>
        <v>0</v>
      </c>
      <c r="AF15" s="17">
        <v>11491</v>
      </c>
      <c r="AG15" s="8">
        <v>4</v>
      </c>
      <c r="AH15" s="8">
        <f t="shared" si="4"/>
        <v>0</v>
      </c>
      <c r="AI15" s="17">
        <f>(AF15*AG15)*B15</f>
        <v>0</v>
      </c>
      <c r="AJ15" s="17">
        <v>19305</v>
      </c>
      <c r="AK15" s="17">
        <v>22752</v>
      </c>
      <c r="AL15" s="17">
        <v>23441</v>
      </c>
      <c r="AM15" s="17">
        <v>12869.808000000001</v>
      </c>
      <c r="AN15" s="8">
        <v>1</v>
      </c>
      <c r="AO15" s="8">
        <f t="shared" si="5"/>
        <v>0</v>
      </c>
      <c r="AP15" s="17">
        <f t="shared" si="0"/>
        <v>0</v>
      </c>
      <c r="AQ15" s="17">
        <v>12180</v>
      </c>
      <c r="AR15" s="8">
        <v>1</v>
      </c>
      <c r="AS15" s="8">
        <f t="shared" si="6"/>
        <v>0</v>
      </c>
      <c r="AT15" s="17">
        <f>(AQ15*AR15)*B15</f>
        <v>0</v>
      </c>
      <c r="AU15" s="17">
        <v>11031</v>
      </c>
      <c r="AV15" s="8">
        <v>1</v>
      </c>
      <c r="AW15" s="8">
        <f t="shared" si="7"/>
        <v>0</v>
      </c>
      <c r="AX15" s="17">
        <f>B15*AU15*AV15</f>
        <v>0</v>
      </c>
      <c r="AY15" s="17">
        <v>37690</v>
      </c>
      <c r="AZ15" s="8">
        <v>1</v>
      </c>
      <c r="BA15" s="8">
        <f t="shared" si="8"/>
        <v>0</v>
      </c>
      <c r="BB15" s="17">
        <f>(AY15*AZ15)*B15</f>
        <v>0</v>
      </c>
      <c r="BC15" s="17">
        <v>19722</v>
      </c>
      <c r="BD15" s="8">
        <v>1</v>
      </c>
      <c r="BE15" s="8">
        <f t="shared" si="9"/>
        <v>0</v>
      </c>
      <c r="BF15" s="17">
        <f>B15*BC15*BD15</f>
        <v>0</v>
      </c>
      <c r="BG15" s="17">
        <v>19522</v>
      </c>
      <c r="BH15" s="8">
        <v>4</v>
      </c>
      <c r="BI15" s="8">
        <f t="shared" ref="BI15:BI22" si="13">BH15*B15</f>
        <v>0</v>
      </c>
      <c r="BJ15" s="17">
        <f>B15*BG15*BH15</f>
        <v>0</v>
      </c>
      <c r="BK15" s="17"/>
      <c r="BL15" s="27"/>
      <c r="BM15" s="17"/>
    </row>
    <row r="16" spans="1:65" x14ac:dyDescent="0.25">
      <c r="A16" s="2" t="s">
        <v>51</v>
      </c>
      <c r="B16" s="21">
        <v>17</v>
      </c>
      <c r="C16" s="57">
        <f>B16/B20</f>
        <v>0.53125</v>
      </c>
      <c r="D16" s="181"/>
      <c r="E16" s="17"/>
      <c r="F16" s="8"/>
      <c r="G16" s="8">
        <f t="shared" si="2"/>
        <v>0</v>
      </c>
      <c r="H16" s="8"/>
      <c r="I16" s="17"/>
      <c r="J16" s="17"/>
      <c r="K16" s="8"/>
      <c r="L16" s="8"/>
      <c r="M16" s="8"/>
      <c r="N16" s="17"/>
      <c r="O16" s="17"/>
      <c r="P16" s="26"/>
      <c r="Q16" s="27"/>
      <c r="R16" s="26"/>
      <c r="S16" s="17"/>
      <c r="T16" s="17"/>
      <c r="U16" s="27"/>
      <c r="V16" s="27"/>
      <c r="W16" s="17"/>
      <c r="X16" s="17"/>
      <c r="Y16" s="17"/>
      <c r="Z16" s="17"/>
      <c r="AA16" s="17"/>
      <c r="AB16" s="17"/>
      <c r="AC16" s="8"/>
      <c r="AD16" s="8"/>
      <c r="AE16" s="17"/>
      <c r="AF16" s="17"/>
      <c r="AG16" s="8"/>
      <c r="AH16" s="8"/>
      <c r="AI16" s="17"/>
      <c r="AJ16" s="17"/>
      <c r="AK16" s="17"/>
      <c r="AL16" s="17"/>
      <c r="AM16" s="17"/>
      <c r="AN16" s="8"/>
      <c r="AO16" s="8"/>
      <c r="AP16" s="17">
        <f t="shared" si="0"/>
        <v>0</v>
      </c>
      <c r="AQ16" s="17"/>
      <c r="AR16" s="8"/>
      <c r="AS16" s="8"/>
      <c r="AT16" s="17"/>
      <c r="AU16" s="17"/>
      <c r="AV16" s="8"/>
      <c r="AW16" s="8"/>
      <c r="AX16" s="17"/>
      <c r="AY16" s="17"/>
      <c r="AZ16" s="8"/>
      <c r="BA16" s="8"/>
      <c r="BB16" s="17"/>
      <c r="BC16" s="17"/>
      <c r="BD16" s="8"/>
      <c r="BE16" s="8"/>
      <c r="BF16" s="17"/>
      <c r="BG16" s="17"/>
      <c r="BH16" s="8"/>
      <c r="BI16" s="8"/>
      <c r="BJ16" s="17"/>
      <c r="BK16" s="17"/>
      <c r="BL16" s="27"/>
      <c r="BM16" s="17"/>
    </row>
    <row r="17" spans="1:66" x14ac:dyDescent="0.25">
      <c r="A17" s="2" t="s">
        <v>43</v>
      </c>
      <c r="B17" s="21">
        <v>12</v>
      </c>
      <c r="C17" s="57">
        <f>B17/$B$19</f>
        <v>0.8</v>
      </c>
      <c r="D17" s="181"/>
      <c r="E17" s="17">
        <v>16038</v>
      </c>
      <c r="F17" s="21">
        <v>6</v>
      </c>
      <c r="G17" s="8">
        <f t="shared" si="2"/>
        <v>72</v>
      </c>
      <c r="H17" s="21">
        <v>2</v>
      </c>
      <c r="I17" s="17">
        <f>B17*(E17/H17)*F17</f>
        <v>577368</v>
      </c>
      <c r="J17" s="17">
        <v>11955</v>
      </c>
      <c r="K17" s="8"/>
      <c r="L17" s="8"/>
      <c r="M17" s="8"/>
      <c r="N17" s="17"/>
      <c r="O17" s="17">
        <v>9013</v>
      </c>
      <c r="P17" s="27">
        <v>1</v>
      </c>
      <c r="Q17" s="27">
        <f t="shared" ref="Q17:Q25" si="14">P17*B17</f>
        <v>12</v>
      </c>
      <c r="R17" s="27">
        <v>3</v>
      </c>
      <c r="S17" s="17">
        <f>(P17/R17)*O17*B17</f>
        <v>36052</v>
      </c>
      <c r="T17" s="17">
        <v>18800</v>
      </c>
      <c r="U17" s="27">
        <v>1</v>
      </c>
      <c r="V17" s="27">
        <f t="shared" si="12"/>
        <v>12</v>
      </c>
      <c r="W17" s="17">
        <f>B17*T17*U17</f>
        <v>225600</v>
      </c>
      <c r="X17" s="17"/>
      <c r="Y17" s="17"/>
      <c r="Z17" s="17"/>
      <c r="AA17" s="17">
        <v>4367</v>
      </c>
      <c r="AB17" s="17">
        <v>19075</v>
      </c>
      <c r="AC17" s="8">
        <v>1</v>
      </c>
      <c r="AD17" s="8">
        <f t="shared" si="10"/>
        <v>12</v>
      </c>
      <c r="AE17" s="17">
        <f>(SUM(AB17+AA17)*AC17)*B17</f>
        <v>281304</v>
      </c>
      <c r="AF17" s="17">
        <v>11491</v>
      </c>
      <c r="AG17" s="8">
        <v>4</v>
      </c>
      <c r="AH17" s="8">
        <f t="shared" si="4"/>
        <v>48</v>
      </c>
      <c r="AI17" s="17">
        <f>(AF17*AG17)*B17</f>
        <v>551568</v>
      </c>
      <c r="AJ17" s="17">
        <v>19305</v>
      </c>
      <c r="AK17" s="17">
        <v>22752</v>
      </c>
      <c r="AL17" s="17">
        <v>23441</v>
      </c>
      <c r="AM17" s="17">
        <v>12869.808000000001</v>
      </c>
      <c r="AN17" s="8">
        <v>1</v>
      </c>
      <c r="AO17" s="8">
        <f t="shared" si="5"/>
        <v>12</v>
      </c>
      <c r="AP17" s="17">
        <f t="shared" si="0"/>
        <v>940413.696</v>
      </c>
      <c r="AQ17" s="17">
        <v>12180</v>
      </c>
      <c r="AR17" s="8">
        <v>1</v>
      </c>
      <c r="AS17" s="8">
        <f t="shared" si="6"/>
        <v>12</v>
      </c>
      <c r="AT17" s="17">
        <f>(AQ17*AR17)*B17</f>
        <v>146160</v>
      </c>
      <c r="AU17" s="17">
        <v>11031</v>
      </c>
      <c r="AV17" s="8">
        <v>1</v>
      </c>
      <c r="AW17" s="8">
        <f t="shared" si="7"/>
        <v>12</v>
      </c>
      <c r="AX17" s="17">
        <f>B17*AU17*AV17</f>
        <v>132372</v>
      </c>
      <c r="AY17" s="17">
        <v>37690</v>
      </c>
      <c r="AZ17" s="8">
        <v>1</v>
      </c>
      <c r="BA17" s="8">
        <f t="shared" si="8"/>
        <v>12</v>
      </c>
      <c r="BB17" s="17">
        <f>(AY17*AZ17)*B17</f>
        <v>452280</v>
      </c>
      <c r="BC17" s="17">
        <v>19722</v>
      </c>
      <c r="BD17" s="8">
        <v>1</v>
      </c>
      <c r="BE17" s="8">
        <f t="shared" si="9"/>
        <v>12</v>
      </c>
      <c r="BF17" s="17">
        <f>B17*BC17*BD17</f>
        <v>236664</v>
      </c>
      <c r="BG17" s="17">
        <v>19522</v>
      </c>
      <c r="BH17" s="8">
        <v>4</v>
      </c>
      <c r="BI17" s="8">
        <f t="shared" si="13"/>
        <v>48</v>
      </c>
      <c r="BJ17" s="17">
        <f>B17*BG17*BH17</f>
        <v>937056</v>
      </c>
      <c r="BK17" s="17"/>
      <c r="BL17" s="27"/>
      <c r="BM17" s="17"/>
    </row>
    <row r="18" spans="1:66" x14ac:dyDescent="0.25">
      <c r="A18" s="2" t="s">
        <v>16</v>
      </c>
      <c r="B18" s="21">
        <v>3</v>
      </c>
      <c r="C18" s="57">
        <f t="shared" ref="C18" si="15">B18/$B$19</f>
        <v>0.2</v>
      </c>
      <c r="D18" s="181"/>
      <c r="E18" s="17">
        <v>16038</v>
      </c>
      <c r="F18" s="21">
        <v>8</v>
      </c>
      <c r="G18" s="8">
        <f t="shared" si="2"/>
        <v>24</v>
      </c>
      <c r="H18" s="21">
        <v>2</v>
      </c>
      <c r="I18" s="17">
        <f>B18*(E18/H18)*F18</f>
        <v>192456</v>
      </c>
      <c r="J18" s="17">
        <v>11955</v>
      </c>
      <c r="K18" s="8"/>
      <c r="L18" s="8"/>
      <c r="M18" s="8"/>
      <c r="N18" s="17"/>
      <c r="O18" s="17">
        <v>9013</v>
      </c>
      <c r="P18" s="27">
        <v>1</v>
      </c>
      <c r="Q18" s="27">
        <f t="shared" si="14"/>
        <v>3</v>
      </c>
      <c r="R18" s="27">
        <v>3</v>
      </c>
      <c r="S18" s="17">
        <f>(P18/R18)*O18*B18</f>
        <v>9013</v>
      </c>
      <c r="T18" s="17">
        <v>18800</v>
      </c>
      <c r="U18" s="27">
        <v>1</v>
      </c>
      <c r="V18" s="27">
        <f t="shared" si="12"/>
        <v>3</v>
      </c>
      <c r="W18" s="17">
        <f>B18*T18*U18</f>
        <v>56400</v>
      </c>
      <c r="X18" s="17"/>
      <c r="Y18" s="17"/>
      <c r="Z18" s="17"/>
      <c r="AA18" s="17">
        <v>4367</v>
      </c>
      <c r="AB18" s="17">
        <v>19075</v>
      </c>
      <c r="AC18" s="8">
        <v>1</v>
      </c>
      <c r="AD18" s="8">
        <f t="shared" si="10"/>
        <v>3</v>
      </c>
      <c r="AE18" s="17">
        <f>(SUM(AB18+AA18)*AC18)*B18</f>
        <v>70326</v>
      </c>
      <c r="AF18" s="17">
        <v>11491</v>
      </c>
      <c r="AG18" s="8">
        <v>4</v>
      </c>
      <c r="AH18" s="8">
        <f t="shared" si="4"/>
        <v>12</v>
      </c>
      <c r="AI18" s="17">
        <f>(AF18*AG18)*B18</f>
        <v>137892</v>
      </c>
      <c r="AJ18" s="17">
        <v>19305</v>
      </c>
      <c r="AK18" s="17">
        <v>22752</v>
      </c>
      <c r="AL18" s="17">
        <v>23441</v>
      </c>
      <c r="AM18" s="17">
        <v>12869.808000000001</v>
      </c>
      <c r="AN18" s="8">
        <v>1</v>
      </c>
      <c r="AO18" s="8">
        <f t="shared" si="5"/>
        <v>3</v>
      </c>
      <c r="AP18" s="17">
        <f t="shared" si="0"/>
        <v>235103.424</v>
      </c>
      <c r="AQ18" s="17">
        <v>12180</v>
      </c>
      <c r="AR18" s="8">
        <v>1</v>
      </c>
      <c r="AS18" s="8">
        <f t="shared" si="6"/>
        <v>3</v>
      </c>
      <c r="AT18" s="17">
        <f>(AQ18*AR18)*B18</f>
        <v>36540</v>
      </c>
      <c r="AU18" s="17">
        <v>11031</v>
      </c>
      <c r="AV18" s="8">
        <v>1</v>
      </c>
      <c r="AW18" s="8">
        <f t="shared" si="7"/>
        <v>3</v>
      </c>
      <c r="AX18" s="17">
        <f>B18*AU18*AV18</f>
        <v>33093</v>
      </c>
      <c r="AY18" s="17">
        <v>37690</v>
      </c>
      <c r="AZ18" s="8">
        <v>1</v>
      </c>
      <c r="BA18" s="8">
        <f t="shared" si="8"/>
        <v>3</v>
      </c>
      <c r="BB18" s="17">
        <f>(AY18*AZ18)*B18</f>
        <v>113070</v>
      </c>
      <c r="BC18" s="17">
        <v>19722</v>
      </c>
      <c r="BD18" s="8">
        <v>1</v>
      </c>
      <c r="BE18" s="8">
        <f t="shared" si="9"/>
        <v>3</v>
      </c>
      <c r="BF18" s="17">
        <f>B18*BC18*BD18</f>
        <v>59166</v>
      </c>
      <c r="BG18" s="17">
        <v>19522</v>
      </c>
      <c r="BH18" s="8">
        <v>4</v>
      </c>
      <c r="BI18" s="8">
        <f t="shared" si="13"/>
        <v>12</v>
      </c>
      <c r="BJ18" s="17">
        <f>B18*BG18*BH18</f>
        <v>234264</v>
      </c>
      <c r="BK18" s="17"/>
      <c r="BL18" s="27"/>
      <c r="BM18" s="17"/>
    </row>
    <row r="19" spans="1:66" s="10" customFormat="1" x14ac:dyDescent="0.25">
      <c r="A19" s="2" t="s">
        <v>50</v>
      </c>
      <c r="B19" s="21">
        <v>15</v>
      </c>
      <c r="C19" s="57">
        <f>B19/B20</f>
        <v>0.46875</v>
      </c>
      <c r="D19" s="181"/>
      <c r="E19" s="17"/>
      <c r="F19" s="21"/>
      <c r="G19" s="8">
        <f t="shared" si="2"/>
        <v>0</v>
      </c>
      <c r="H19" s="21"/>
      <c r="I19" s="17"/>
      <c r="J19" s="17"/>
      <c r="K19" s="8"/>
      <c r="L19" s="8"/>
      <c r="M19" s="8"/>
      <c r="N19" s="17"/>
      <c r="O19" s="17"/>
      <c r="P19" s="27"/>
      <c r="Q19" s="27"/>
      <c r="R19" s="27"/>
      <c r="S19" s="17"/>
      <c r="T19" s="17"/>
      <c r="U19" s="27"/>
      <c r="V19" s="27"/>
      <c r="W19" s="17"/>
      <c r="X19" s="17"/>
      <c r="Y19" s="17"/>
      <c r="Z19" s="17"/>
      <c r="AA19" s="17"/>
      <c r="AB19" s="17"/>
      <c r="AC19" s="8"/>
      <c r="AD19" s="8"/>
      <c r="AE19" s="17"/>
      <c r="AF19" s="17"/>
      <c r="AG19" s="8"/>
      <c r="AH19" s="8"/>
      <c r="AI19" s="17"/>
      <c r="AJ19" s="17"/>
      <c r="AK19" s="17"/>
      <c r="AL19" s="17"/>
      <c r="AM19" s="17"/>
      <c r="AN19" s="8"/>
      <c r="AO19" s="8"/>
      <c r="AP19" s="17">
        <f t="shared" si="0"/>
        <v>0</v>
      </c>
      <c r="AQ19" s="17"/>
      <c r="AR19" s="8"/>
      <c r="AS19" s="8"/>
      <c r="AT19" s="17"/>
      <c r="AU19" s="17"/>
      <c r="AV19" s="8"/>
      <c r="AW19" s="8"/>
      <c r="AX19" s="17"/>
      <c r="AY19" s="17"/>
      <c r="AZ19" s="8"/>
      <c r="BA19" s="8"/>
      <c r="BB19" s="17"/>
      <c r="BC19" s="17"/>
      <c r="BD19" s="8"/>
      <c r="BE19" s="8"/>
      <c r="BF19" s="17"/>
      <c r="BG19" s="17"/>
      <c r="BH19" s="8"/>
      <c r="BI19" s="8"/>
      <c r="BJ19" s="17"/>
      <c r="BK19" s="17"/>
      <c r="BL19" s="27"/>
      <c r="BM19" s="17"/>
    </row>
    <row r="20" spans="1:66" s="10" customFormat="1" x14ac:dyDescent="0.25">
      <c r="A20" s="2" t="s">
        <v>55</v>
      </c>
      <c r="B20" s="21">
        <v>32</v>
      </c>
      <c r="C20" s="57">
        <f>B20/B26</f>
        <v>7.4245939675174011E-2</v>
      </c>
      <c r="D20" s="182"/>
      <c r="E20" s="17"/>
      <c r="F20" s="21"/>
      <c r="G20" s="8">
        <f t="shared" si="2"/>
        <v>0</v>
      </c>
      <c r="H20" s="21"/>
      <c r="I20" s="17"/>
      <c r="J20" s="17"/>
      <c r="K20" s="8"/>
      <c r="L20" s="8"/>
      <c r="M20" s="8"/>
      <c r="N20" s="17"/>
      <c r="O20" s="17"/>
      <c r="P20" s="27"/>
      <c r="Q20" s="27"/>
      <c r="R20" s="27"/>
      <c r="S20" s="17"/>
      <c r="T20" s="17"/>
      <c r="U20" s="27"/>
      <c r="V20" s="27"/>
      <c r="W20" s="17"/>
      <c r="X20" s="17"/>
      <c r="Y20" s="17"/>
      <c r="Z20" s="17"/>
      <c r="AA20" s="17"/>
      <c r="AB20" s="17"/>
      <c r="AC20" s="8"/>
      <c r="AD20" s="8"/>
      <c r="AE20" s="17"/>
      <c r="AF20" s="17"/>
      <c r="AG20" s="8"/>
      <c r="AH20" s="8"/>
      <c r="AI20" s="17"/>
      <c r="AJ20" s="17"/>
      <c r="AK20" s="17"/>
      <c r="AL20" s="17"/>
      <c r="AM20" s="17"/>
      <c r="AN20" s="8"/>
      <c r="AO20" s="8"/>
      <c r="AP20" s="17">
        <f t="shared" si="0"/>
        <v>0</v>
      </c>
      <c r="AQ20" s="17"/>
      <c r="AR20" s="8"/>
      <c r="AS20" s="8"/>
      <c r="AT20" s="17"/>
      <c r="AU20" s="17"/>
      <c r="AV20" s="8"/>
      <c r="AW20" s="8"/>
      <c r="AX20" s="17"/>
      <c r="AY20" s="17"/>
      <c r="AZ20" s="8"/>
      <c r="BA20" s="8"/>
      <c r="BB20" s="17"/>
      <c r="BC20" s="17"/>
      <c r="BD20" s="8"/>
      <c r="BE20" s="8"/>
      <c r="BF20" s="17"/>
      <c r="BG20" s="17"/>
      <c r="BH20" s="8"/>
      <c r="BI20" s="8"/>
      <c r="BJ20" s="17"/>
      <c r="BK20" s="17"/>
      <c r="BL20" s="27"/>
      <c r="BM20" s="17"/>
    </row>
    <row r="21" spans="1:66" x14ac:dyDescent="0.25">
      <c r="A21" s="2" t="s">
        <v>57</v>
      </c>
      <c r="B21" s="21"/>
      <c r="C21" s="57"/>
      <c r="D21" s="180" t="s">
        <v>73</v>
      </c>
      <c r="E21" s="17"/>
      <c r="F21" s="8"/>
      <c r="G21" s="8">
        <f t="shared" si="2"/>
        <v>0</v>
      </c>
      <c r="H21" s="8"/>
      <c r="I21" s="17"/>
      <c r="J21" s="17"/>
      <c r="K21" s="8"/>
      <c r="L21" s="8"/>
      <c r="M21" s="8"/>
      <c r="N21" s="17"/>
      <c r="O21" s="17"/>
      <c r="P21" s="27"/>
      <c r="Q21" s="27"/>
      <c r="R21" s="27"/>
      <c r="S21" s="17"/>
      <c r="T21" s="17"/>
      <c r="U21" s="27"/>
      <c r="V21" s="27"/>
      <c r="W21" s="17"/>
      <c r="X21" s="17"/>
      <c r="Y21" s="17"/>
      <c r="Z21" s="17"/>
      <c r="AA21" s="17">
        <v>4367</v>
      </c>
      <c r="AB21" s="17">
        <v>19075</v>
      </c>
      <c r="AC21" s="8">
        <v>1</v>
      </c>
      <c r="AD21" s="8">
        <f t="shared" si="10"/>
        <v>0</v>
      </c>
      <c r="AE21" s="17">
        <f>(SUM(AB21+AA21)*AC21)*B21</f>
        <v>0</v>
      </c>
      <c r="AF21" s="17">
        <v>11491</v>
      </c>
      <c r="AG21" s="8">
        <v>4</v>
      </c>
      <c r="AH21" s="8">
        <f t="shared" si="4"/>
        <v>0</v>
      </c>
      <c r="AI21" s="17">
        <f>(AF21*AG21)*B21</f>
        <v>0</v>
      </c>
      <c r="AJ21" s="17">
        <v>19305</v>
      </c>
      <c r="AK21" s="17">
        <v>22752</v>
      </c>
      <c r="AL21" s="17">
        <v>23441</v>
      </c>
      <c r="AM21" s="17">
        <v>12869.808000000001</v>
      </c>
      <c r="AN21" s="8">
        <v>1</v>
      </c>
      <c r="AO21" s="8">
        <f t="shared" si="5"/>
        <v>0</v>
      </c>
      <c r="AP21" s="17">
        <f t="shared" si="0"/>
        <v>0</v>
      </c>
      <c r="AQ21" s="17">
        <v>12180</v>
      </c>
      <c r="AR21" s="8">
        <v>1</v>
      </c>
      <c r="AS21" s="8">
        <f t="shared" si="6"/>
        <v>0</v>
      </c>
      <c r="AT21" s="17">
        <f>(AQ21*AR21)*B21</f>
        <v>0</v>
      </c>
      <c r="AU21" s="17">
        <v>11031</v>
      </c>
      <c r="AV21" s="8">
        <v>1</v>
      </c>
      <c r="AW21" s="8">
        <f t="shared" si="7"/>
        <v>0</v>
      </c>
      <c r="AX21" s="17">
        <f>B21*AU21*AV21</f>
        <v>0</v>
      </c>
      <c r="AY21" s="17">
        <v>37690</v>
      </c>
      <c r="AZ21" s="8">
        <v>1</v>
      </c>
      <c r="BA21" s="8">
        <f t="shared" si="8"/>
        <v>0</v>
      </c>
      <c r="BB21" s="17">
        <f>(AY21*AZ21)*B21</f>
        <v>0</v>
      </c>
      <c r="BC21" s="17">
        <v>19722</v>
      </c>
      <c r="BD21" s="8">
        <v>1</v>
      </c>
      <c r="BE21" s="8">
        <f t="shared" si="9"/>
        <v>0</v>
      </c>
      <c r="BF21" s="17">
        <f>B21*BC21*BD21</f>
        <v>0</v>
      </c>
      <c r="BG21" s="17">
        <v>19522</v>
      </c>
      <c r="BH21" s="8">
        <v>4</v>
      </c>
      <c r="BI21" s="8">
        <f t="shared" si="13"/>
        <v>0</v>
      </c>
      <c r="BJ21" s="17">
        <f>B21*BG21*BH21</f>
        <v>0</v>
      </c>
      <c r="BK21" s="17"/>
      <c r="BL21" s="27"/>
      <c r="BM21" s="17"/>
    </row>
    <row r="22" spans="1:66" s="10" customFormat="1" x14ac:dyDescent="0.25">
      <c r="A22" s="2" t="s">
        <v>58</v>
      </c>
      <c r="B22" s="21"/>
      <c r="C22" s="57"/>
      <c r="D22" s="181"/>
      <c r="E22" s="17">
        <v>16038</v>
      </c>
      <c r="F22" s="8">
        <v>1</v>
      </c>
      <c r="G22" s="8">
        <f t="shared" si="2"/>
        <v>0</v>
      </c>
      <c r="H22" s="8">
        <v>2</v>
      </c>
      <c r="I22" s="17">
        <f>B22*(E22/H22)*F22</f>
        <v>0</v>
      </c>
      <c r="J22" s="17">
        <v>11959</v>
      </c>
      <c r="K22" s="8"/>
      <c r="L22" s="8"/>
      <c r="M22" s="8"/>
      <c r="N22" s="17"/>
      <c r="O22" s="17">
        <v>9013</v>
      </c>
      <c r="P22" s="27">
        <v>1</v>
      </c>
      <c r="Q22" s="27">
        <f t="shared" si="14"/>
        <v>0</v>
      </c>
      <c r="R22" s="27">
        <v>3</v>
      </c>
      <c r="S22" s="17">
        <f>(P22/R22)*O22*B22</f>
        <v>0</v>
      </c>
      <c r="T22" s="17">
        <v>18800</v>
      </c>
      <c r="U22" s="27">
        <v>1</v>
      </c>
      <c r="V22" s="27">
        <f t="shared" si="12"/>
        <v>0</v>
      </c>
      <c r="W22" s="17">
        <f>B22*T22*U22</f>
        <v>0</v>
      </c>
      <c r="X22" s="17">
        <v>3651</v>
      </c>
      <c r="Y22" s="27">
        <f>3*B22</f>
        <v>0</v>
      </c>
      <c r="Z22" s="17">
        <f>(X22*3)*B22</f>
        <v>0</v>
      </c>
      <c r="AA22" s="17">
        <v>4367</v>
      </c>
      <c r="AB22" s="17">
        <v>19075</v>
      </c>
      <c r="AC22" s="8">
        <v>1</v>
      </c>
      <c r="AD22" s="8">
        <f t="shared" si="10"/>
        <v>0</v>
      </c>
      <c r="AE22" s="17">
        <f>(SUM(AB22+AA22)*AC22)*B22</f>
        <v>0</v>
      </c>
      <c r="AF22" s="17">
        <v>11491</v>
      </c>
      <c r="AG22" s="8">
        <v>4</v>
      </c>
      <c r="AH22" s="8">
        <f t="shared" si="4"/>
        <v>0</v>
      </c>
      <c r="AI22" s="17">
        <f>(AF22*AG22)*B22</f>
        <v>0</v>
      </c>
      <c r="AJ22" s="17">
        <v>19305</v>
      </c>
      <c r="AK22" s="17">
        <v>22752</v>
      </c>
      <c r="AL22" s="17">
        <v>23441</v>
      </c>
      <c r="AM22" s="17">
        <v>12869.808000000001</v>
      </c>
      <c r="AN22" s="8">
        <v>1</v>
      </c>
      <c r="AO22" s="8">
        <f t="shared" si="5"/>
        <v>0</v>
      </c>
      <c r="AP22" s="17">
        <f t="shared" si="0"/>
        <v>0</v>
      </c>
      <c r="AQ22" s="17">
        <v>12180</v>
      </c>
      <c r="AR22" s="8">
        <v>1</v>
      </c>
      <c r="AS22" s="8">
        <f t="shared" si="6"/>
        <v>0</v>
      </c>
      <c r="AT22" s="17">
        <f>(AQ22*AR22)*B22</f>
        <v>0</v>
      </c>
      <c r="AU22" s="17">
        <v>11031</v>
      </c>
      <c r="AV22" s="8">
        <v>1</v>
      </c>
      <c r="AW22" s="8">
        <f t="shared" si="7"/>
        <v>0</v>
      </c>
      <c r="AX22" s="17">
        <f>B22*AU22*AV22</f>
        <v>0</v>
      </c>
      <c r="AY22" s="17">
        <v>37690</v>
      </c>
      <c r="AZ22" s="8">
        <v>1</v>
      </c>
      <c r="BA22" s="8">
        <f t="shared" si="8"/>
        <v>0</v>
      </c>
      <c r="BB22" s="17">
        <f>(AY22*AZ22)*B22</f>
        <v>0</v>
      </c>
      <c r="BC22" s="17">
        <v>19722</v>
      </c>
      <c r="BD22" s="8">
        <v>1</v>
      </c>
      <c r="BE22" s="8">
        <f t="shared" si="9"/>
        <v>0</v>
      </c>
      <c r="BF22" s="17">
        <f>B22*BC22*BD22</f>
        <v>0</v>
      </c>
      <c r="BG22" s="17">
        <v>19522</v>
      </c>
      <c r="BH22" s="8">
        <v>4</v>
      </c>
      <c r="BI22" s="8">
        <f t="shared" si="13"/>
        <v>0</v>
      </c>
      <c r="BJ22" s="17">
        <f>B22*BG22*BH22</f>
        <v>0</v>
      </c>
      <c r="BK22" s="17"/>
      <c r="BL22" s="27"/>
      <c r="BM22" s="17"/>
    </row>
    <row r="23" spans="1:66" s="10" customFormat="1" x14ac:dyDescent="0.25">
      <c r="A23" s="2" t="s">
        <v>85</v>
      </c>
      <c r="B23" s="21"/>
      <c r="C23" s="57"/>
      <c r="D23" s="182"/>
      <c r="E23" s="17"/>
      <c r="F23" s="8"/>
      <c r="G23" s="8">
        <f t="shared" si="2"/>
        <v>0</v>
      </c>
      <c r="H23" s="8"/>
      <c r="I23" s="4"/>
      <c r="J23" s="17"/>
      <c r="K23" s="8"/>
      <c r="L23" s="8"/>
      <c r="M23" s="8"/>
      <c r="N23" s="17"/>
      <c r="O23" s="17"/>
      <c r="P23" s="26"/>
      <c r="Q23" s="27"/>
      <c r="R23" s="26"/>
      <c r="S23" s="17"/>
      <c r="T23" s="17"/>
      <c r="U23" s="27"/>
      <c r="V23" s="27"/>
      <c r="W23" s="17"/>
      <c r="X23" s="17"/>
      <c r="Y23" s="17"/>
      <c r="Z23" s="17"/>
      <c r="AA23" s="17"/>
      <c r="AB23" s="17"/>
      <c r="AC23" s="8"/>
      <c r="AD23" s="8"/>
      <c r="AE23" s="17"/>
      <c r="AF23" s="17"/>
      <c r="AG23" s="8"/>
      <c r="AH23" s="8"/>
      <c r="AI23" s="17"/>
      <c r="AJ23" s="17"/>
      <c r="AK23" s="17"/>
      <c r="AL23" s="17"/>
      <c r="AM23" s="17"/>
      <c r="AN23" s="8"/>
      <c r="AO23" s="8"/>
      <c r="AP23" s="17"/>
      <c r="AQ23" s="17"/>
      <c r="AR23" s="8"/>
      <c r="AS23" s="8"/>
      <c r="AT23" s="17"/>
      <c r="AU23" s="17"/>
      <c r="AV23" s="8"/>
      <c r="AW23" s="8"/>
      <c r="AX23" s="17"/>
      <c r="AY23" s="17"/>
      <c r="AZ23" s="8"/>
      <c r="BA23" s="8"/>
      <c r="BB23" s="17"/>
      <c r="BC23" s="17"/>
      <c r="BD23" s="8"/>
      <c r="BE23" s="8"/>
      <c r="BF23" s="17"/>
      <c r="BG23" s="17"/>
      <c r="BH23" s="8"/>
      <c r="BI23" s="8"/>
      <c r="BJ23" s="17"/>
      <c r="BK23" s="17"/>
      <c r="BL23" s="27"/>
      <c r="BM23" s="17"/>
    </row>
    <row r="24" spans="1:66" ht="60" x14ac:dyDescent="0.25">
      <c r="A24" s="6" t="s">
        <v>29</v>
      </c>
      <c r="B24" s="14">
        <v>0</v>
      </c>
      <c r="C24" s="15">
        <f>B24/B26</f>
        <v>0</v>
      </c>
      <c r="D24" s="118" t="s">
        <v>74</v>
      </c>
      <c r="E24" s="17"/>
      <c r="F24" s="8"/>
      <c r="G24" s="8">
        <f t="shared" si="2"/>
        <v>0</v>
      </c>
      <c r="H24" s="8"/>
      <c r="I24" s="4"/>
      <c r="J24" s="17"/>
      <c r="K24" s="8"/>
      <c r="L24" s="8"/>
      <c r="M24" s="8"/>
      <c r="N24" s="17"/>
      <c r="O24" s="17">
        <v>9013</v>
      </c>
      <c r="P24" s="27">
        <v>1</v>
      </c>
      <c r="Q24" s="27">
        <f t="shared" si="14"/>
        <v>0</v>
      </c>
      <c r="R24" s="27">
        <v>3</v>
      </c>
      <c r="S24" s="17">
        <f>(P24/R24)*O24*B24</f>
        <v>0</v>
      </c>
      <c r="T24" s="17"/>
      <c r="U24" s="27"/>
      <c r="V24" s="27"/>
      <c r="W24" s="17"/>
      <c r="X24" s="17"/>
      <c r="Y24" s="17"/>
      <c r="Z24" s="17"/>
      <c r="AA24" s="17"/>
      <c r="AB24" s="17"/>
      <c r="AC24" s="8"/>
      <c r="AD24" s="8"/>
      <c r="AE24" s="17"/>
      <c r="AF24" s="17"/>
      <c r="AG24" s="8"/>
      <c r="AH24" s="8"/>
      <c r="AI24" s="17"/>
      <c r="AJ24" s="17"/>
      <c r="AK24" s="17"/>
      <c r="AL24" s="17"/>
      <c r="AM24" s="17"/>
      <c r="AN24" s="8"/>
      <c r="AO24" s="8"/>
      <c r="AP24" s="17"/>
      <c r="AQ24" s="17"/>
      <c r="AR24" s="8"/>
      <c r="AS24" s="8"/>
      <c r="AT24" s="17"/>
      <c r="AU24" s="17"/>
      <c r="AV24" s="8"/>
      <c r="AW24" s="8"/>
      <c r="AX24" s="17">
        <f>B24*AU24*AV24</f>
        <v>0</v>
      </c>
      <c r="AY24" s="17"/>
      <c r="AZ24" s="8"/>
      <c r="BA24" s="8"/>
      <c r="BB24" s="17"/>
      <c r="BC24" s="17"/>
      <c r="BD24" s="8"/>
      <c r="BE24" s="8"/>
      <c r="BF24" s="17"/>
      <c r="BG24" s="17"/>
      <c r="BH24" s="8"/>
      <c r="BI24" s="8"/>
      <c r="BJ24" s="17"/>
      <c r="BK24" s="17">
        <v>19911</v>
      </c>
      <c r="BL24" s="27">
        <f>1*B24</f>
        <v>0</v>
      </c>
      <c r="BM24" s="17">
        <f>BK24*B24</f>
        <v>0</v>
      </c>
    </row>
    <row r="25" spans="1:66" s="32" customFormat="1" ht="135" x14ac:dyDescent="0.25">
      <c r="A25" s="6" t="s">
        <v>93</v>
      </c>
      <c r="B25" s="14">
        <v>106</v>
      </c>
      <c r="C25" s="15">
        <f>B25/B26</f>
        <v>0.24593967517401391</v>
      </c>
      <c r="D25" s="31" t="s">
        <v>94</v>
      </c>
      <c r="E25" s="17"/>
      <c r="F25" s="8"/>
      <c r="G25" s="8">
        <f t="shared" si="2"/>
        <v>0</v>
      </c>
      <c r="H25" s="8"/>
      <c r="I25" s="4"/>
      <c r="J25" s="17"/>
      <c r="K25" s="8"/>
      <c r="L25" s="8"/>
      <c r="M25" s="8"/>
      <c r="N25" s="17"/>
      <c r="O25" s="17">
        <v>9013</v>
      </c>
      <c r="P25" s="27">
        <v>1</v>
      </c>
      <c r="Q25" s="27">
        <f t="shared" si="14"/>
        <v>106</v>
      </c>
      <c r="R25" s="27">
        <v>3</v>
      </c>
      <c r="S25" s="17">
        <f>(P25/R25)*O25*B25</f>
        <v>318459.33333333331</v>
      </c>
      <c r="T25" s="17"/>
      <c r="U25" s="27"/>
      <c r="V25" s="27"/>
      <c r="W25" s="17"/>
      <c r="X25" s="17"/>
      <c r="Y25" s="17"/>
      <c r="Z25" s="17"/>
      <c r="AA25" s="17"/>
      <c r="AB25" s="17"/>
      <c r="AC25" s="8"/>
      <c r="AD25" s="8"/>
      <c r="AE25" s="17"/>
      <c r="AF25" s="17"/>
      <c r="AG25" s="8"/>
      <c r="AH25" s="8"/>
      <c r="AI25" s="17"/>
      <c r="AJ25" s="17"/>
      <c r="AK25" s="17"/>
      <c r="AL25" s="17"/>
      <c r="AM25" s="17"/>
      <c r="AN25" s="8"/>
      <c r="AO25" s="8"/>
      <c r="AP25" s="17"/>
      <c r="AQ25" s="17"/>
      <c r="AR25" s="8"/>
      <c r="AS25" s="8"/>
      <c r="AT25" s="17"/>
      <c r="AU25" s="17"/>
      <c r="AV25" s="8"/>
      <c r="AW25" s="8"/>
      <c r="AX25" s="17"/>
      <c r="AY25" s="17"/>
      <c r="AZ25" s="8"/>
      <c r="BA25" s="8"/>
      <c r="BB25" s="17"/>
      <c r="BC25" s="17"/>
      <c r="BD25" s="8"/>
      <c r="BE25" s="8"/>
      <c r="BF25" s="17"/>
      <c r="BG25" s="17"/>
      <c r="BH25" s="8"/>
      <c r="BI25" s="8"/>
      <c r="BJ25" s="17"/>
      <c r="BK25" s="17"/>
      <c r="BL25" s="27"/>
      <c r="BM25" s="17"/>
    </row>
    <row r="26" spans="1:66" s="10" customFormat="1" ht="105" x14ac:dyDescent="0.25">
      <c r="A26" s="6" t="s">
        <v>56</v>
      </c>
      <c r="B26" s="21">
        <f>SUM(B13+B20)</f>
        <v>431</v>
      </c>
      <c r="C26" s="57"/>
      <c r="D26" s="118" t="s">
        <v>95</v>
      </c>
      <c r="E26" s="17"/>
      <c r="F26" s="8"/>
      <c r="G26" s="8">
        <f t="shared" si="2"/>
        <v>0</v>
      </c>
      <c r="H26" s="8"/>
      <c r="I26" s="4"/>
      <c r="J26" s="17"/>
      <c r="K26" s="8"/>
      <c r="L26" s="8"/>
      <c r="M26" s="8"/>
      <c r="N26" s="17"/>
      <c r="O26" s="17"/>
      <c r="P26" s="26"/>
      <c r="Q26" s="26"/>
      <c r="R26" s="26"/>
      <c r="S26" s="17"/>
      <c r="T26" s="17"/>
      <c r="U26" s="27"/>
      <c r="V26" s="27"/>
      <c r="W26" s="17"/>
      <c r="X26" s="17"/>
      <c r="Y26" s="17"/>
      <c r="Z26" s="17"/>
      <c r="AA26" s="17"/>
      <c r="AB26" s="17"/>
      <c r="AC26" s="8"/>
      <c r="AD26" s="8"/>
      <c r="AE26" s="17"/>
      <c r="AF26" s="17"/>
      <c r="AG26" s="8"/>
      <c r="AH26" s="8"/>
      <c r="AI26" s="17"/>
      <c r="AJ26" s="17"/>
      <c r="AK26" s="17"/>
      <c r="AL26" s="17"/>
      <c r="AM26" s="17"/>
      <c r="AN26" s="8"/>
      <c r="AO26" s="8"/>
      <c r="AP26" s="17"/>
      <c r="AQ26" s="17"/>
      <c r="AR26" s="8"/>
      <c r="AS26" s="8"/>
      <c r="AT26" s="17"/>
      <c r="AU26" s="17"/>
      <c r="AV26" s="8"/>
      <c r="AW26" s="8"/>
      <c r="AX26" s="17"/>
      <c r="AY26" s="17"/>
      <c r="AZ26" s="8"/>
      <c r="BA26" s="8"/>
      <c r="BB26" s="17"/>
      <c r="BC26" s="17"/>
      <c r="BD26" s="8"/>
      <c r="BE26" s="8"/>
      <c r="BF26" s="17"/>
      <c r="BG26" s="17"/>
      <c r="BH26" s="8"/>
      <c r="BI26" s="8"/>
      <c r="BJ26" s="17"/>
      <c r="BK26" s="17"/>
      <c r="BL26" s="27"/>
      <c r="BM26" s="17"/>
    </row>
    <row r="27" spans="1:66" x14ac:dyDescent="0.25">
      <c r="A27" s="16" t="s">
        <v>75</v>
      </c>
      <c r="B27" s="8"/>
      <c r="C27" s="120"/>
      <c r="D27" s="4"/>
      <c r="E27" s="17"/>
      <c r="F27" s="8"/>
      <c r="G27" s="8">
        <f t="shared" si="2"/>
        <v>0</v>
      </c>
      <c r="H27" s="8"/>
      <c r="I27" s="4"/>
      <c r="J27" s="17"/>
      <c r="K27" s="8"/>
      <c r="L27" s="8"/>
      <c r="M27" s="8"/>
      <c r="N27" s="17"/>
      <c r="O27" s="17"/>
      <c r="P27" s="26"/>
      <c r="Q27" s="26"/>
      <c r="R27" s="26"/>
      <c r="S27" s="17"/>
      <c r="T27" s="17"/>
      <c r="U27" s="27"/>
      <c r="V27" s="27"/>
      <c r="W27" s="17"/>
      <c r="X27" s="17"/>
      <c r="Y27" s="17"/>
      <c r="Z27" s="17"/>
      <c r="AA27" s="17"/>
      <c r="AB27" s="17"/>
      <c r="AC27" s="8"/>
      <c r="AD27" s="8"/>
      <c r="AE27" s="17"/>
      <c r="AF27" s="17"/>
      <c r="AG27" s="8"/>
      <c r="AH27" s="8"/>
      <c r="AI27" s="17"/>
      <c r="AJ27" s="17"/>
      <c r="AK27" s="17"/>
      <c r="AL27" s="17"/>
      <c r="AM27" s="17"/>
      <c r="AN27" s="8"/>
      <c r="AO27" s="8"/>
      <c r="AP27" s="17"/>
      <c r="AQ27" s="17"/>
      <c r="AR27" s="8"/>
      <c r="AS27" s="8"/>
      <c r="AT27" s="17"/>
      <c r="AU27" s="17"/>
      <c r="AV27" s="8"/>
      <c r="AW27" s="8"/>
      <c r="AX27" s="17"/>
      <c r="AY27" s="17"/>
      <c r="AZ27" s="8"/>
      <c r="BA27" s="8"/>
      <c r="BB27" s="17"/>
      <c r="BC27" s="17"/>
      <c r="BD27" s="8"/>
      <c r="BE27" s="8"/>
      <c r="BF27" s="17"/>
      <c r="BG27" s="17"/>
      <c r="BH27" s="8"/>
      <c r="BI27" s="8"/>
      <c r="BJ27" s="17"/>
      <c r="BK27" s="17"/>
      <c r="BL27" s="27"/>
      <c r="BM27" s="17"/>
    </row>
    <row r="28" spans="1:66" s="10" customFormat="1" x14ac:dyDescent="0.25">
      <c r="A28" s="24" t="s">
        <v>70</v>
      </c>
      <c r="B28" s="55"/>
      <c r="C28" s="121"/>
      <c r="D28" s="42"/>
      <c r="E28" s="22">
        <f>SUM(E4:E27)</f>
        <v>160380</v>
      </c>
      <c r="F28" s="39">
        <f>SUM(F4:F27)</f>
        <v>55</v>
      </c>
      <c r="G28" s="39">
        <f t="shared" ref="G28:BM28" si="16">SUM(G4:G27)</f>
        <v>1206.1829787234044</v>
      </c>
      <c r="H28" s="39">
        <f t="shared" si="16"/>
        <v>25</v>
      </c>
      <c r="I28" s="22">
        <f t="shared" si="16"/>
        <v>7198832.6042553186</v>
      </c>
      <c r="J28" s="22">
        <f t="shared" si="16"/>
        <v>119554</v>
      </c>
      <c r="K28" s="39">
        <f t="shared" si="16"/>
        <v>4</v>
      </c>
      <c r="L28" s="39">
        <f t="shared" si="16"/>
        <v>500.30638297872349</v>
      </c>
      <c r="M28" s="39">
        <f t="shared" si="16"/>
        <v>6</v>
      </c>
      <c r="N28" s="22">
        <f t="shared" si="16"/>
        <v>2492151.1702127662</v>
      </c>
      <c r="O28" s="22">
        <f t="shared" si="16"/>
        <v>63091</v>
      </c>
      <c r="P28" s="39">
        <f t="shared" si="16"/>
        <v>7</v>
      </c>
      <c r="Q28" s="39">
        <f t="shared" si="16"/>
        <v>121</v>
      </c>
      <c r="R28" s="39">
        <f t="shared" si="16"/>
        <v>21</v>
      </c>
      <c r="S28" s="22">
        <f t="shared" si="16"/>
        <v>363524.33333333331</v>
      </c>
      <c r="T28" s="22">
        <f t="shared" si="16"/>
        <v>94000</v>
      </c>
      <c r="U28" s="39">
        <f t="shared" si="16"/>
        <v>5</v>
      </c>
      <c r="V28" s="39">
        <f t="shared" si="16"/>
        <v>15</v>
      </c>
      <c r="W28" s="22">
        <f t="shared" si="16"/>
        <v>282000</v>
      </c>
      <c r="X28" s="22">
        <f t="shared" si="16"/>
        <v>10953</v>
      </c>
      <c r="Y28" s="41">
        <f t="shared" si="16"/>
        <v>63.000000000000007</v>
      </c>
      <c r="Z28" s="22">
        <f t="shared" si="16"/>
        <v>230013</v>
      </c>
      <c r="AA28" s="22">
        <f t="shared" si="16"/>
        <v>52404</v>
      </c>
      <c r="AB28" s="22">
        <f t="shared" si="16"/>
        <v>228900</v>
      </c>
      <c r="AC28" s="39">
        <f t="shared" si="16"/>
        <v>12</v>
      </c>
      <c r="AD28" s="39">
        <f t="shared" si="16"/>
        <v>398.69148936170217</v>
      </c>
      <c r="AE28" s="22">
        <f t="shared" si="16"/>
        <v>9346125.8936170228</v>
      </c>
      <c r="AF28" s="22">
        <f t="shared" si="16"/>
        <v>137892</v>
      </c>
      <c r="AG28" s="39">
        <f t="shared" si="16"/>
        <v>30</v>
      </c>
      <c r="AH28" s="39">
        <f t="shared" si="16"/>
        <v>443.69148936170217</v>
      </c>
      <c r="AI28" s="22">
        <f t="shared" si="16"/>
        <v>5098458.9042553194</v>
      </c>
      <c r="AJ28" s="22">
        <f t="shared" si="16"/>
        <v>231660</v>
      </c>
      <c r="AK28" s="22">
        <f t="shared" si="16"/>
        <v>273024</v>
      </c>
      <c r="AL28" s="22">
        <f t="shared" si="16"/>
        <v>281292</v>
      </c>
      <c r="AM28" s="22">
        <f t="shared" si="16"/>
        <v>154437.69600000003</v>
      </c>
      <c r="AN28" s="39">
        <f t="shared" si="16"/>
        <v>12</v>
      </c>
      <c r="AO28" s="39">
        <f t="shared" si="16"/>
        <v>398.69148936170217</v>
      </c>
      <c r="AP28" s="22">
        <f t="shared" si="16"/>
        <v>31244578.089531921</v>
      </c>
      <c r="AQ28" s="22">
        <f t="shared" si="16"/>
        <v>146160</v>
      </c>
      <c r="AR28" s="39">
        <f t="shared" si="16"/>
        <v>12</v>
      </c>
      <c r="AS28" s="39">
        <f t="shared" si="16"/>
        <v>398.69148936170217</v>
      </c>
      <c r="AT28" s="22">
        <f t="shared" si="16"/>
        <v>4856062.3404255323</v>
      </c>
      <c r="AU28" s="22">
        <f t="shared" si="16"/>
        <v>132372</v>
      </c>
      <c r="AV28" s="39">
        <f t="shared" si="16"/>
        <v>12</v>
      </c>
      <c r="AW28" s="39">
        <f t="shared" si="16"/>
        <v>398.69148936170217</v>
      </c>
      <c r="AX28" s="22">
        <f t="shared" si="16"/>
        <v>4397965.8191489363</v>
      </c>
      <c r="AY28" s="22">
        <f t="shared" si="16"/>
        <v>452280</v>
      </c>
      <c r="AZ28" s="39">
        <f t="shared" si="16"/>
        <v>12</v>
      </c>
      <c r="BA28" s="39">
        <f t="shared" si="16"/>
        <v>398.69148936170217</v>
      </c>
      <c r="BB28" s="22">
        <f t="shared" si="16"/>
        <v>15026682.234042555</v>
      </c>
      <c r="BC28" s="22">
        <f t="shared" si="16"/>
        <v>236664</v>
      </c>
      <c r="BD28" s="39">
        <f t="shared" si="16"/>
        <v>12</v>
      </c>
      <c r="BE28" s="39">
        <f t="shared" si="16"/>
        <v>398.69148936170217</v>
      </c>
      <c r="BF28" s="22">
        <f t="shared" si="16"/>
        <v>7862993.5531914905</v>
      </c>
      <c r="BG28" s="22">
        <f t="shared" si="16"/>
        <v>234264</v>
      </c>
      <c r="BH28" s="39">
        <f t="shared" si="16"/>
        <v>24</v>
      </c>
      <c r="BI28" s="39">
        <f t="shared" si="16"/>
        <v>60</v>
      </c>
      <c r="BJ28" s="22">
        <f t="shared" si="16"/>
        <v>1171320</v>
      </c>
      <c r="BK28" s="22">
        <f t="shared" si="16"/>
        <v>19911</v>
      </c>
      <c r="BL28" s="39">
        <f>BL24</f>
        <v>0</v>
      </c>
      <c r="BM28" s="22">
        <f t="shared" si="16"/>
        <v>0</v>
      </c>
      <c r="BN28" s="43"/>
    </row>
    <row r="29" spans="1:66" s="32" customFormat="1" x14ac:dyDescent="0.25">
      <c r="A29" s="23"/>
      <c r="B29" s="56"/>
      <c r="C29" s="122"/>
      <c r="D29" s="47"/>
      <c r="E29" s="48"/>
      <c r="F29" s="49"/>
      <c r="G29" s="49"/>
      <c r="H29" s="49"/>
      <c r="I29" s="48"/>
      <c r="J29" s="48"/>
      <c r="K29" s="48"/>
      <c r="L29" s="48"/>
      <c r="M29" s="48"/>
      <c r="N29" s="48"/>
      <c r="O29" s="48"/>
      <c r="P29" s="48"/>
      <c r="Q29" s="49"/>
      <c r="R29" s="48"/>
      <c r="S29" s="48"/>
      <c r="T29" s="48"/>
      <c r="U29" s="48"/>
      <c r="V29" s="49"/>
      <c r="W29" s="48"/>
      <c r="X29" s="48"/>
      <c r="Y29" s="50"/>
      <c r="Z29" s="48"/>
      <c r="AA29" s="48"/>
      <c r="AB29" s="48"/>
      <c r="AC29" s="49"/>
      <c r="AD29" s="49"/>
      <c r="AE29" s="48"/>
      <c r="AF29" s="48"/>
      <c r="AG29" s="48"/>
      <c r="AH29" s="48"/>
      <c r="AI29" s="48"/>
      <c r="AJ29" s="48"/>
      <c r="AK29" s="48"/>
      <c r="AL29" s="48"/>
      <c r="AM29" s="48"/>
      <c r="AN29" s="49"/>
      <c r="AO29" s="49"/>
      <c r="AP29" s="48"/>
      <c r="AQ29" s="48"/>
      <c r="AR29" s="51"/>
      <c r="AS29" s="51"/>
      <c r="AT29" s="48"/>
      <c r="AU29" s="48"/>
      <c r="AV29" s="51"/>
      <c r="AW29" s="51"/>
      <c r="AX29" s="48"/>
      <c r="AY29" s="48"/>
      <c r="AZ29" s="51"/>
      <c r="BA29" s="51"/>
      <c r="BB29" s="48"/>
      <c r="BC29" s="48"/>
      <c r="BD29" s="51"/>
      <c r="BE29" s="51"/>
      <c r="BF29" s="48"/>
      <c r="BG29" s="48"/>
      <c r="BH29" s="51"/>
      <c r="BI29" s="51"/>
      <c r="BJ29" s="48"/>
      <c r="BK29" s="48"/>
      <c r="BL29" s="51"/>
      <c r="BM29" s="48"/>
      <c r="BN29" s="43"/>
    </row>
    <row r="30" spans="1:66" s="10" customFormat="1" ht="45" x14ac:dyDescent="0.25">
      <c r="A30" s="91" t="s">
        <v>127</v>
      </c>
      <c r="B30" s="128" t="s">
        <v>129</v>
      </c>
      <c r="C30" s="93" t="s">
        <v>193</v>
      </c>
      <c r="D30" s="91" t="s">
        <v>128</v>
      </c>
      <c r="E30" s="129" t="s">
        <v>194</v>
      </c>
      <c r="F30" s="12"/>
      <c r="G30" s="12"/>
      <c r="H30" s="12"/>
      <c r="J30" s="18"/>
      <c r="K30" s="12"/>
      <c r="L30" s="12"/>
      <c r="M30" s="12"/>
      <c r="N30" s="18"/>
      <c r="O30" s="18"/>
      <c r="P30" s="25"/>
      <c r="Q30" s="25"/>
      <c r="R30" s="25"/>
      <c r="S30" s="18"/>
      <c r="T30" s="18"/>
      <c r="U30" s="30"/>
      <c r="V30" s="30"/>
      <c r="W30" s="18"/>
      <c r="X30" s="18"/>
      <c r="Y30" s="18"/>
      <c r="Z30" s="18"/>
      <c r="AA30" s="18"/>
      <c r="AB30" s="18"/>
      <c r="AC30" s="12"/>
      <c r="AD30" s="12"/>
      <c r="AE30" s="18"/>
      <c r="AF30" s="18"/>
      <c r="AG30" s="12"/>
      <c r="AH30" s="12"/>
      <c r="AI30" s="18"/>
      <c r="AJ30" s="18"/>
      <c r="AK30" s="18"/>
      <c r="AL30" s="18"/>
      <c r="AM30" s="18"/>
      <c r="AN30" s="12"/>
      <c r="AO30" s="12"/>
      <c r="AP30" s="18"/>
      <c r="AQ30" s="18"/>
      <c r="AR30" s="12"/>
      <c r="AS30" s="12"/>
      <c r="AT30" s="18"/>
      <c r="AU30" s="18"/>
      <c r="AV30" s="12"/>
      <c r="AW30" s="12"/>
      <c r="AX30" s="18"/>
      <c r="AY30" s="18"/>
      <c r="AZ30" s="12"/>
      <c r="BA30" s="12"/>
      <c r="BB30" s="18"/>
      <c r="BC30" s="18"/>
      <c r="BD30" s="12"/>
      <c r="BE30" s="12"/>
      <c r="BF30" s="18"/>
      <c r="BG30" s="18"/>
      <c r="BH30" s="12"/>
      <c r="BI30" s="12"/>
      <c r="BJ30" s="18"/>
      <c r="BK30" s="18"/>
      <c r="BL30" s="30"/>
      <c r="BM30" s="18"/>
    </row>
    <row r="31" spans="1:66" x14ac:dyDescent="0.25">
      <c r="A31" s="52" t="s">
        <v>76</v>
      </c>
      <c r="B31" s="125">
        <f>SUM(B32:B35)</f>
        <v>1842.489361702128</v>
      </c>
      <c r="C31" s="126">
        <f>B31/$B$50</f>
        <v>0.38374563784412569</v>
      </c>
      <c r="D31" s="53">
        <f>SUM(D32:D35)</f>
        <v>10336508.107801419</v>
      </c>
      <c r="E31" s="126">
        <f>D31/D50</f>
        <v>0.11540054048130345</v>
      </c>
    </row>
    <row r="32" spans="1:66" ht="30" x14ac:dyDescent="0.25">
      <c r="A32" s="130" t="str">
        <f>I2</f>
        <v>VALOR PROYECTADO HORAS MEDICAS ANUALES 2016</v>
      </c>
      <c r="B32" s="125">
        <f>G28</f>
        <v>1206.1829787234044</v>
      </c>
      <c r="C32" s="126">
        <f>B32/$B$31</f>
        <v>0.65464854440685005</v>
      </c>
      <c r="D32" s="54">
        <f>I28</f>
        <v>7198832.6042553186</v>
      </c>
      <c r="E32" s="126">
        <f>D32/$D$31</f>
        <v>0.69644724593424756</v>
      </c>
    </row>
    <row r="33" spans="1:65" ht="30" x14ac:dyDescent="0.25">
      <c r="A33" s="131" t="str">
        <f>N2</f>
        <v>VALOR PROYECTADO HORAS ENFERMERÍA ANUALES 2016</v>
      </c>
      <c r="B33" s="125">
        <f>L28</f>
        <v>500.30638297872349</v>
      </c>
      <c r="C33" s="126">
        <f>B33/$B$31</f>
        <v>0.27153827499797917</v>
      </c>
      <c r="D33" s="54">
        <f>N28</f>
        <v>2492151.1702127662</v>
      </c>
      <c r="E33" s="126">
        <f t="shared" ref="E33:E35" si="17">D33/$D$31</f>
        <v>0.24110184447413432</v>
      </c>
    </row>
    <row r="34" spans="1:65" ht="30" x14ac:dyDescent="0.25">
      <c r="A34" s="131" t="str">
        <f>S2</f>
        <v>VALOR PROYECTADO HORAS NUTRICIÓN ANUALES 2016</v>
      </c>
      <c r="B34" s="125">
        <f>Q28</f>
        <v>121</v>
      </c>
      <c r="C34" s="126">
        <f>B34/$B$31</f>
        <v>6.5672020970703363E-2</v>
      </c>
      <c r="D34" s="54">
        <f>S28</f>
        <v>363524.33333333331</v>
      </c>
      <c r="E34" s="126">
        <f t="shared" si="17"/>
        <v>3.5168969011785081E-2</v>
      </c>
    </row>
    <row r="35" spans="1:65" ht="30" x14ac:dyDescent="0.25">
      <c r="A35" s="131" t="str">
        <f>W2</f>
        <v>VALOR PROYECTADO HORAS PSICOLOGÍA ANUALES 2016</v>
      </c>
      <c r="B35" s="125">
        <f>V28</f>
        <v>15</v>
      </c>
      <c r="C35" s="126">
        <f>B35/$B$31</f>
        <v>8.1411596244673583E-3</v>
      </c>
      <c r="D35" s="54">
        <f>W28</f>
        <v>282000</v>
      </c>
      <c r="E35" s="126">
        <f t="shared" si="17"/>
        <v>2.7281940579832967E-2</v>
      </c>
    </row>
    <row r="36" spans="1:65" x14ac:dyDescent="0.25">
      <c r="A36" s="132" t="s">
        <v>102</v>
      </c>
      <c r="B36" s="125">
        <f>SUM(B37:B38)</f>
        <v>461.69148936170217</v>
      </c>
      <c r="C36" s="126">
        <f>B36/$B$50</f>
        <v>9.615908713233258E-2</v>
      </c>
      <c r="D36" s="54">
        <f>SUM(D37:D38)</f>
        <v>15256695.234042555</v>
      </c>
      <c r="E36" s="126">
        <f>D36/D50</f>
        <v>0.17033130120975878</v>
      </c>
    </row>
    <row r="37" spans="1:65" ht="30" x14ac:dyDescent="0.25">
      <c r="A37" s="131" t="str">
        <f>Z2</f>
        <v>VALOR TOTAL PROYECTADO MONITORIO PA (3) 2016</v>
      </c>
      <c r="B37" s="125">
        <f>Y28</f>
        <v>63.000000000000007</v>
      </c>
      <c r="C37" s="126">
        <f>B37/$B$36</f>
        <v>0.1364547570220512</v>
      </c>
      <c r="D37" s="54">
        <f>Z28</f>
        <v>230013</v>
      </c>
      <c r="E37" s="126">
        <f>D37/$D$36</f>
        <v>1.5076200741479558E-2</v>
      </c>
    </row>
    <row r="38" spans="1:65" s="32" customFormat="1" x14ac:dyDescent="0.25">
      <c r="A38" s="131" t="str">
        <f>BB2</f>
        <v>EKG VALOR ANUAL</v>
      </c>
      <c r="B38" s="125">
        <f>BA28</f>
        <v>398.69148936170217</v>
      </c>
      <c r="C38" s="126">
        <f>B38/$B$36</f>
        <v>0.86354524297794877</v>
      </c>
      <c r="D38" s="54">
        <f>BB28</f>
        <v>15026682.234042555</v>
      </c>
      <c r="E38" s="126">
        <f>D38/$D$36</f>
        <v>0.98492379925852047</v>
      </c>
      <c r="F38" s="12"/>
      <c r="G38" s="12"/>
      <c r="H38" s="12"/>
      <c r="J38" s="18"/>
      <c r="K38" s="12"/>
      <c r="L38" s="12"/>
      <c r="M38" s="12"/>
      <c r="N38" s="18"/>
      <c r="O38" s="18"/>
      <c r="P38" s="25"/>
      <c r="Q38" s="25"/>
      <c r="R38" s="25"/>
      <c r="S38" s="18"/>
      <c r="T38" s="18"/>
      <c r="U38" s="30"/>
      <c r="V38" s="30"/>
      <c r="W38" s="18"/>
      <c r="X38" s="18"/>
      <c r="Y38" s="18"/>
      <c r="Z38" s="18"/>
      <c r="AA38" s="18"/>
      <c r="AB38" s="18"/>
      <c r="AC38" s="12"/>
      <c r="AD38" s="12"/>
      <c r="AE38" s="18"/>
      <c r="AF38" s="18"/>
      <c r="AG38" s="12"/>
      <c r="AH38" s="12"/>
      <c r="AI38" s="18"/>
      <c r="AJ38" s="18"/>
      <c r="AK38" s="18"/>
      <c r="AL38" s="18"/>
      <c r="AM38" s="18"/>
      <c r="AN38" s="12"/>
      <c r="AO38" s="12"/>
      <c r="AP38" s="18"/>
      <c r="AQ38" s="18"/>
      <c r="AR38" s="12"/>
      <c r="AS38" s="12"/>
      <c r="AT38" s="18"/>
      <c r="AU38" s="18"/>
      <c r="AV38" s="12"/>
      <c r="AW38" s="12"/>
      <c r="AX38" s="18"/>
      <c r="AY38" s="18"/>
      <c r="AZ38" s="12"/>
      <c r="BA38" s="12"/>
      <c r="BB38" s="18"/>
      <c r="BC38" s="18"/>
      <c r="BD38" s="12"/>
      <c r="BE38" s="12"/>
      <c r="BF38" s="18"/>
      <c r="BG38" s="18"/>
      <c r="BH38" s="12"/>
      <c r="BI38" s="12"/>
      <c r="BJ38" s="18"/>
      <c r="BK38" s="18"/>
      <c r="BL38" s="30"/>
      <c r="BM38" s="18"/>
    </row>
    <row r="39" spans="1:65" x14ac:dyDescent="0.25">
      <c r="A39" s="132" t="s">
        <v>101</v>
      </c>
      <c r="B39" s="125">
        <f>SUM(B40:B47)</f>
        <v>2497.1489361702129</v>
      </c>
      <c r="C39" s="126">
        <f>B39/$B$50</f>
        <v>0.5200952750235418</v>
      </c>
      <c r="D39" s="54">
        <f>SUM(D40:D47)</f>
        <v>63977504.600170225</v>
      </c>
      <c r="E39" s="126">
        <f>D39/D50</f>
        <v>0.71426815830893775</v>
      </c>
    </row>
    <row r="40" spans="1:65" ht="30" x14ac:dyDescent="0.25">
      <c r="A40" s="131" t="str">
        <f>AE2</f>
        <v>VALOR ANUAL PROYECTADO HEMOGRAMA Y ERITROSEDIMENTACIÓN 2016</v>
      </c>
      <c r="B40" s="125">
        <f>AD28</f>
        <v>398.69148936170217</v>
      </c>
      <c r="C40" s="126">
        <f>B40/$B$39</f>
        <v>0.15965867457355623</v>
      </c>
      <c r="D40" s="54">
        <f>AE28</f>
        <v>9346125.8936170228</v>
      </c>
      <c r="E40" s="126">
        <f>D40/$D$39</f>
        <v>0.14608456444223608</v>
      </c>
    </row>
    <row r="41" spans="1:65" x14ac:dyDescent="0.25">
      <c r="A41" s="131" t="str">
        <f>AI2</f>
        <v>GLICEMIA BASAL VALOR ANUAL</v>
      </c>
      <c r="B41" s="125">
        <f>AH28</f>
        <v>443.69148936170217</v>
      </c>
      <c r="C41" s="126">
        <f t="shared" ref="C41:C47" si="18">B41/$B$39</f>
        <v>0.17767922567012595</v>
      </c>
      <c r="D41" s="54">
        <f>AI28</f>
        <v>5098458.9042553194</v>
      </c>
      <c r="E41" s="126">
        <f t="shared" ref="E41:E47" si="19">D41/$D$39</f>
        <v>7.9691431169726393E-2</v>
      </c>
    </row>
    <row r="42" spans="1:65" x14ac:dyDescent="0.25">
      <c r="A42" s="131" t="str">
        <f>AP2</f>
        <v>PERFIL LIPIDICO VALOR ANUAL</v>
      </c>
      <c r="B42" s="125">
        <f>AO28</f>
        <v>398.69148936170217</v>
      </c>
      <c r="C42" s="126">
        <f t="shared" si="18"/>
        <v>0.15965867457355623</v>
      </c>
      <c r="D42" s="54">
        <f>AP28</f>
        <v>31244578.089531921</v>
      </c>
      <c r="E42" s="126">
        <f t="shared" si="19"/>
        <v>0.48836818948779048</v>
      </c>
    </row>
    <row r="43" spans="1:65" x14ac:dyDescent="0.25">
      <c r="A43" s="131" t="str">
        <f>AT2</f>
        <v>PARCIAL ORINA VALOR ANUAL</v>
      </c>
      <c r="B43" s="125">
        <f>AS28</f>
        <v>398.69148936170217</v>
      </c>
      <c r="C43" s="126">
        <f t="shared" si="18"/>
        <v>0.15965867457355623</v>
      </c>
      <c r="D43" s="54">
        <f>AT28</f>
        <v>4856062.3404255323</v>
      </c>
      <c r="E43" s="126">
        <f t="shared" si="19"/>
        <v>7.5902653139938381E-2</v>
      </c>
    </row>
    <row r="44" spans="1:65" x14ac:dyDescent="0.25">
      <c r="A44" s="131" t="str">
        <f>AX2</f>
        <v>CREATININA VALOR ANUAL</v>
      </c>
      <c r="B44" s="125">
        <f>AW28</f>
        <v>398.69148936170217</v>
      </c>
      <c r="C44" s="126">
        <f t="shared" si="18"/>
        <v>0.15965867457355623</v>
      </c>
      <c r="D44" s="54">
        <f>AX28</f>
        <v>4397965.8191489363</v>
      </c>
      <c r="E44" s="126">
        <f t="shared" si="19"/>
        <v>6.874237822550576E-2</v>
      </c>
    </row>
    <row r="45" spans="1:65" ht="30" x14ac:dyDescent="0.25">
      <c r="A45" s="131" t="str">
        <f>BF2</f>
        <v>VALOR PROYECTADO MICROALBUMINURIA ANUAL</v>
      </c>
      <c r="B45" s="125">
        <f>BE28</f>
        <v>398.69148936170217</v>
      </c>
      <c r="C45" s="126">
        <f t="shared" si="18"/>
        <v>0.15965867457355623</v>
      </c>
      <c r="D45" s="54">
        <f>BF28</f>
        <v>7862993.5531914905</v>
      </c>
      <c r="E45" s="126">
        <f t="shared" si="19"/>
        <v>0.12290247333545687</v>
      </c>
    </row>
    <row r="46" spans="1:65" x14ac:dyDescent="0.25">
      <c r="A46" s="131" t="str">
        <f>BJ2</f>
        <v>HEMOGLOBINA GLICOSILADA VALOR ANUAL</v>
      </c>
      <c r="B46" s="125">
        <f>BI28</f>
        <v>60</v>
      </c>
      <c r="C46" s="126">
        <f t="shared" si="18"/>
        <v>2.4027401462092937E-2</v>
      </c>
      <c r="D46" s="54">
        <f>BJ28</f>
        <v>1171320</v>
      </c>
      <c r="E46" s="126">
        <f t="shared" si="19"/>
        <v>1.8308310199345965E-2</v>
      </c>
    </row>
    <row r="47" spans="1:65" x14ac:dyDescent="0.25">
      <c r="A47" s="131" t="str">
        <f>BM2</f>
        <v>TSH VALOR 2016 (Pacientes con DLP)</v>
      </c>
      <c r="B47" s="125">
        <f>BL28</f>
        <v>0</v>
      </c>
      <c r="C47" s="126">
        <f t="shared" si="18"/>
        <v>0</v>
      </c>
      <c r="D47" s="54">
        <f>BM28</f>
        <v>0</v>
      </c>
      <c r="E47" s="126">
        <f t="shared" si="19"/>
        <v>0</v>
      </c>
    </row>
    <row r="48" spans="1:65" x14ac:dyDescent="0.25">
      <c r="A48" s="133" t="s">
        <v>103</v>
      </c>
      <c r="B48" s="125"/>
      <c r="C48" s="126"/>
      <c r="D48" s="33"/>
      <c r="E48" s="126"/>
    </row>
    <row r="49" spans="1:5" x14ac:dyDescent="0.25">
      <c r="A49" s="133" t="s">
        <v>111</v>
      </c>
      <c r="B49" s="125"/>
      <c r="C49" s="126"/>
      <c r="D49" s="33"/>
      <c r="E49" s="127"/>
    </row>
    <row r="50" spans="1:5" x14ac:dyDescent="0.25">
      <c r="A50" s="133" t="s">
        <v>195</v>
      </c>
      <c r="B50" s="125">
        <f>SUM(B31+B36+B39)</f>
        <v>4801.3297872340427</v>
      </c>
      <c r="C50" s="126"/>
      <c r="D50" s="124">
        <f>SUM(D31+D36+D39)</f>
        <v>89570707.942014202</v>
      </c>
      <c r="E50" s="127"/>
    </row>
  </sheetData>
  <mergeCells count="4">
    <mergeCell ref="AC1:BH1"/>
    <mergeCell ref="D14:D20"/>
    <mergeCell ref="D21:D23"/>
    <mergeCell ref="D4:D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7"/>
  <sheetViews>
    <sheetView zoomScale="78" zoomScaleNormal="78" workbookViewId="0">
      <pane xSplit="3" ySplit="2" topLeftCell="D20" activePane="bottomRight" state="frozen"/>
      <selection pane="topRight" activeCell="D1" sqref="D1"/>
      <selection pane="bottomLeft" activeCell="A3" sqref="A3"/>
      <selection pane="bottomRight" activeCell="B20" sqref="B20"/>
    </sheetView>
  </sheetViews>
  <sheetFormatPr baseColWidth="10" defaultRowHeight="15" x14ac:dyDescent="0.25"/>
  <cols>
    <col min="1" max="1" width="30.85546875" style="32" customWidth="1"/>
    <col min="2" max="2" width="23.7109375" style="32" customWidth="1"/>
    <col min="3" max="3" width="23.7109375" style="90" customWidth="1"/>
    <col min="4" max="4" width="17" style="18" customWidth="1"/>
    <col min="5" max="5" width="18.85546875" style="12" customWidth="1"/>
    <col min="6" max="6" width="17" style="12" customWidth="1"/>
    <col min="7" max="7" width="16.85546875" style="32" customWidth="1"/>
    <col min="8" max="8" width="25" style="18" customWidth="1"/>
    <col min="9" max="9" width="17" style="12" customWidth="1"/>
    <col min="10" max="10" width="14" style="12" customWidth="1"/>
    <col min="11" max="11" width="14.7109375" style="18" customWidth="1"/>
    <col min="12" max="12" width="19" style="18" customWidth="1"/>
    <col min="13" max="13" width="16.140625" style="25" customWidth="1"/>
    <col min="14" max="14" width="14.7109375" style="25" customWidth="1"/>
    <col min="15" max="15" width="22.140625" style="18" customWidth="1"/>
    <col min="16" max="16" width="14.7109375" style="18" customWidth="1"/>
    <col min="17" max="17" width="14.7109375" style="30" customWidth="1"/>
    <col min="18" max="18" width="18.42578125" style="18" customWidth="1"/>
    <col min="19" max="20" width="14.7109375" style="18" customWidth="1"/>
    <col min="21" max="21" width="22" style="18" customWidth="1"/>
    <col min="22" max="23" width="13" style="18" customWidth="1"/>
    <col min="24" max="24" width="17.140625" style="18" customWidth="1"/>
    <col min="25" max="26" width="14.7109375" style="18" customWidth="1"/>
    <col min="27" max="27" width="17.140625" style="12" customWidth="1"/>
    <col min="28" max="29" width="17.140625" style="18" customWidth="1"/>
    <col min="30" max="30" width="17" style="12" customWidth="1"/>
    <col min="31" max="31" width="16.7109375" style="18" customWidth="1"/>
    <col min="32" max="34" width="17.42578125" style="18" customWidth="1"/>
    <col min="35" max="37" width="16.5703125" style="18" customWidth="1"/>
    <col min="38" max="39" width="15.7109375" style="18" customWidth="1"/>
    <col min="40" max="40" width="22.5703125" style="18" customWidth="1"/>
    <col min="41" max="42" width="15.7109375" style="18" customWidth="1"/>
    <col min="43" max="43" width="19.5703125" style="18" customWidth="1"/>
    <col min="44" max="44" width="20" style="18" customWidth="1"/>
    <col min="45" max="45" width="16.7109375" style="18" customWidth="1"/>
    <col min="46" max="46" width="14.5703125" style="12" customWidth="1"/>
    <col min="47" max="47" width="19" style="18" customWidth="1"/>
    <col min="48" max="48" width="15.28515625" style="18" customWidth="1"/>
    <col min="49" max="49" width="15.28515625" style="12" customWidth="1"/>
    <col min="50" max="51" width="19" style="18" customWidth="1"/>
    <col min="52" max="52" width="16.28515625" style="12" customWidth="1"/>
    <col min="53" max="53" width="19" style="18" customWidth="1"/>
    <col min="54" max="54" width="21.42578125" style="18" customWidth="1"/>
    <col min="55" max="55" width="21.140625" style="12" customWidth="1"/>
    <col min="56" max="56" width="21.140625" style="18" customWidth="1"/>
    <col min="57" max="57" width="14.42578125" style="18" customWidth="1"/>
    <col min="58" max="58" width="17.5703125" style="12" customWidth="1"/>
    <col min="59" max="59" width="19" style="18" customWidth="1"/>
    <col min="60" max="61" width="16.28515625" style="18" customWidth="1"/>
    <col min="62" max="62" width="15.85546875" style="18" customWidth="1"/>
    <col min="63" max="16384" width="11.42578125" style="32"/>
  </cols>
  <sheetData>
    <row r="1" spans="1:62" ht="90" x14ac:dyDescent="0.25">
      <c r="A1" s="35" t="s">
        <v>4</v>
      </c>
      <c r="B1" s="63" t="s">
        <v>134</v>
      </c>
      <c r="C1" s="64" t="s">
        <v>135</v>
      </c>
      <c r="D1" s="63" t="s">
        <v>136</v>
      </c>
      <c r="E1" s="65" t="s">
        <v>137</v>
      </c>
      <c r="F1" s="65" t="s">
        <v>97</v>
      </c>
      <c r="G1" s="63" t="s">
        <v>138</v>
      </c>
      <c r="H1" s="20" t="s">
        <v>80</v>
      </c>
      <c r="I1" s="65" t="s">
        <v>139</v>
      </c>
      <c r="J1" s="65" t="s">
        <v>98</v>
      </c>
      <c r="K1" s="20" t="s">
        <v>140</v>
      </c>
      <c r="L1" s="20" t="s">
        <v>81</v>
      </c>
      <c r="M1" s="66" t="s">
        <v>141</v>
      </c>
      <c r="N1" s="65" t="s">
        <v>99</v>
      </c>
      <c r="O1" s="20" t="s">
        <v>142</v>
      </c>
      <c r="P1" s="20" t="s">
        <v>96</v>
      </c>
      <c r="Q1" s="65" t="s">
        <v>143</v>
      </c>
      <c r="R1" s="20" t="s">
        <v>144</v>
      </c>
      <c r="S1" s="20" t="s">
        <v>36</v>
      </c>
      <c r="T1" s="20" t="s">
        <v>145</v>
      </c>
      <c r="U1" s="20" t="s">
        <v>146</v>
      </c>
      <c r="V1" s="20" t="s">
        <v>40</v>
      </c>
      <c r="W1" s="20" t="s">
        <v>147</v>
      </c>
      <c r="X1" s="20" t="s">
        <v>148</v>
      </c>
      <c r="Y1" s="20" t="s">
        <v>39</v>
      </c>
      <c r="Z1" s="20" t="s">
        <v>149</v>
      </c>
      <c r="AA1" s="65" t="s">
        <v>150</v>
      </c>
      <c r="AB1" s="65" t="s">
        <v>151</v>
      </c>
      <c r="AC1" s="20" t="s">
        <v>41</v>
      </c>
      <c r="AD1" s="65" t="s">
        <v>152</v>
      </c>
      <c r="AE1" s="20" t="s">
        <v>17</v>
      </c>
      <c r="AF1" s="20" t="s">
        <v>24</v>
      </c>
      <c r="AG1" s="20" t="s">
        <v>153</v>
      </c>
      <c r="AH1" s="20" t="s">
        <v>154</v>
      </c>
      <c r="AI1" s="20" t="s">
        <v>25</v>
      </c>
      <c r="AJ1" s="20" t="s">
        <v>155</v>
      </c>
      <c r="AK1" s="20" t="s">
        <v>156</v>
      </c>
      <c r="AL1" s="20" t="s">
        <v>26</v>
      </c>
      <c r="AM1" s="20" t="s">
        <v>157</v>
      </c>
      <c r="AN1" s="20" t="s">
        <v>158</v>
      </c>
      <c r="AO1" s="20" t="s">
        <v>27</v>
      </c>
      <c r="AP1" s="20" t="s">
        <v>159</v>
      </c>
      <c r="AQ1" s="20" t="s">
        <v>160</v>
      </c>
      <c r="AR1" s="20" t="s">
        <v>18</v>
      </c>
      <c r="AS1" s="20" t="s">
        <v>19</v>
      </c>
      <c r="AT1" s="65" t="s">
        <v>161</v>
      </c>
      <c r="AU1" s="20" t="s">
        <v>20</v>
      </c>
      <c r="AV1" s="20" t="s">
        <v>21</v>
      </c>
      <c r="AW1" s="65" t="s">
        <v>162</v>
      </c>
      <c r="AX1" s="20" t="s">
        <v>77</v>
      </c>
      <c r="AY1" s="20" t="s">
        <v>22</v>
      </c>
      <c r="AZ1" s="65" t="s">
        <v>163</v>
      </c>
      <c r="BA1" s="20" t="s">
        <v>23</v>
      </c>
      <c r="BB1" s="20" t="s">
        <v>164</v>
      </c>
      <c r="BC1" s="65" t="s">
        <v>165</v>
      </c>
      <c r="BD1" s="20" t="s">
        <v>44</v>
      </c>
      <c r="BE1" s="20" t="s">
        <v>166</v>
      </c>
      <c r="BF1" s="65" t="s">
        <v>167</v>
      </c>
      <c r="BG1" s="20" t="s">
        <v>168</v>
      </c>
      <c r="BH1" s="20" t="s">
        <v>30</v>
      </c>
      <c r="BI1" s="20" t="s">
        <v>169</v>
      </c>
      <c r="BJ1" s="20" t="s">
        <v>31</v>
      </c>
    </row>
    <row r="2" spans="1:62" ht="72.75" customHeight="1" x14ac:dyDescent="0.25">
      <c r="A2" s="28" t="s">
        <v>100</v>
      </c>
      <c r="B2" s="63" t="s">
        <v>170</v>
      </c>
      <c r="C2" s="64" t="s">
        <v>170</v>
      </c>
      <c r="D2" s="67" t="s">
        <v>104</v>
      </c>
      <c r="E2" s="68" t="s">
        <v>171</v>
      </c>
      <c r="F2" s="68" t="s">
        <v>106</v>
      </c>
      <c r="G2" s="63"/>
      <c r="H2" s="67" t="s">
        <v>104</v>
      </c>
      <c r="I2" s="68" t="s">
        <v>171</v>
      </c>
      <c r="J2" s="68" t="s">
        <v>106</v>
      </c>
      <c r="K2" s="20"/>
      <c r="L2" s="67" t="s">
        <v>107</v>
      </c>
      <c r="M2" s="68" t="s">
        <v>171</v>
      </c>
      <c r="N2" s="68" t="s">
        <v>106</v>
      </c>
      <c r="O2" s="20"/>
      <c r="P2" s="69" t="s">
        <v>108</v>
      </c>
      <c r="Q2" s="68" t="s">
        <v>171</v>
      </c>
      <c r="R2" s="68"/>
      <c r="S2" s="69" t="s">
        <v>108</v>
      </c>
      <c r="T2" s="69"/>
      <c r="U2" s="69" t="s">
        <v>172</v>
      </c>
      <c r="V2" s="69" t="s">
        <v>108</v>
      </c>
      <c r="W2" s="68" t="s">
        <v>171</v>
      </c>
      <c r="X2" s="68"/>
      <c r="Y2" s="69" t="s">
        <v>108</v>
      </c>
      <c r="Z2" s="68" t="s">
        <v>171</v>
      </c>
      <c r="AA2" s="68" t="s">
        <v>109</v>
      </c>
      <c r="AB2" s="68" t="s">
        <v>171</v>
      </c>
      <c r="AC2" s="69" t="s">
        <v>108</v>
      </c>
      <c r="AD2" s="68" t="s">
        <v>171</v>
      </c>
      <c r="AE2" s="20"/>
      <c r="AF2" s="69" t="s">
        <v>108</v>
      </c>
      <c r="AG2" s="68" t="s">
        <v>171</v>
      </c>
      <c r="AH2" s="69"/>
      <c r="AI2" s="69" t="s">
        <v>108</v>
      </c>
      <c r="AJ2" s="68" t="s">
        <v>171</v>
      </c>
      <c r="AK2" s="69"/>
      <c r="AL2" s="69" t="s">
        <v>108</v>
      </c>
      <c r="AM2" s="68" t="s">
        <v>171</v>
      </c>
      <c r="AN2" s="69"/>
      <c r="AO2" s="69" t="s">
        <v>108</v>
      </c>
      <c r="AP2" s="68" t="s">
        <v>171</v>
      </c>
      <c r="AQ2" s="69"/>
      <c r="AR2" s="68" t="s">
        <v>171</v>
      </c>
      <c r="AS2" s="69" t="s">
        <v>108</v>
      </c>
      <c r="AT2" s="68" t="s">
        <v>171</v>
      </c>
      <c r="AU2" s="20"/>
      <c r="AV2" s="69" t="s">
        <v>108</v>
      </c>
      <c r="AW2" s="68" t="s">
        <v>171</v>
      </c>
      <c r="AX2" s="20"/>
      <c r="AY2" s="69" t="s">
        <v>108</v>
      </c>
      <c r="AZ2" s="68" t="s">
        <v>171</v>
      </c>
      <c r="BA2" s="20"/>
      <c r="BB2" s="69" t="s">
        <v>108</v>
      </c>
      <c r="BC2" s="68" t="s">
        <v>171</v>
      </c>
      <c r="BD2" s="20"/>
      <c r="BE2" s="69" t="s">
        <v>108</v>
      </c>
      <c r="BF2" s="68" t="s">
        <v>171</v>
      </c>
      <c r="BG2" s="20"/>
      <c r="BH2" s="69" t="s">
        <v>108</v>
      </c>
      <c r="BI2" s="69"/>
      <c r="BJ2" s="68" t="s">
        <v>171</v>
      </c>
    </row>
    <row r="3" spans="1:62" ht="90" customHeight="1" x14ac:dyDescent="0.25">
      <c r="A3" s="2" t="s">
        <v>0</v>
      </c>
      <c r="B3" s="21">
        <v>87</v>
      </c>
      <c r="C3" s="57">
        <f>B3*100%/$B$12</f>
        <v>0.28712871287128711</v>
      </c>
      <c r="D3" s="70"/>
      <c r="E3" s="21"/>
      <c r="F3" s="21"/>
      <c r="G3" s="70"/>
      <c r="H3" s="70"/>
      <c r="I3" s="21"/>
      <c r="J3" s="21"/>
      <c r="K3" s="70"/>
      <c r="L3" s="70"/>
      <c r="M3" s="71"/>
      <c r="N3" s="71"/>
      <c r="O3" s="70"/>
      <c r="P3" s="70"/>
      <c r="Q3" s="72"/>
      <c r="R3" s="70"/>
      <c r="S3" s="70"/>
      <c r="T3" s="70"/>
      <c r="U3" s="70"/>
      <c r="V3" s="70"/>
      <c r="W3" s="70"/>
      <c r="X3" s="70"/>
      <c r="Y3" s="70"/>
      <c r="Z3" s="70"/>
      <c r="AA3" s="21"/>
      <c r="AB3" s="70"/>
      <c r="AC3" s="70"/>
      <c r="AD3" s="21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21"/>
      <c r="AU3" s="70"/>
      <c r="AV3" s="70"/>
      <c r="AW3" s="21"/>
      <c r="AX3" s="70"/>
      <c r="AY3" s="70"/>
      <c r="AZ3" s="21"/>
      <c r="BA3" s="70"/>
      <c r="BB3" s="70"/>
      <c r="BC3" s="21"/>
      <c r="BD3" s="70"/>
      <c r="BE3" s="70"/>
      <c r="BF3" s="21"/>
      <c r="BG3" s="70"/>
      <c r="BH3" s="70"/>
      <c r="BI3" s="70"/>
      <c r="BJ3" s="70"/>
    </row>
    <row r="4" spans="1:62" x14ac:dyDescent="0.25">
      <c r="A4" s="2" t="s">
        <v>1</v>
      </c>
      <c r="B4" s="21">
        <v>134</v>
      </c>
      <c r="C4" s="57">
        <f>B4*100%/$B$12</f>
        <v>0.44224422442244227</v>
      </c>
      <c r="D4" s="70"/>
      <c r="E4" s="21"/>
      <c r="F4" s="21"/>
      <c r="G4" s="70"/>
      <c r="H4" s="70"/>
      <c r="I4" s="21"/>
      <c r="J4" s="21"/>
      <c r="K4" s="70"/>
      <c r="L4" s="70"/>
      <c r="M4" s="71"/>
      <c r="N4" s="71"/>
      <c r="O4" s="70"/>
      <c r="P4" s="70"/>
      <c r="Q4" s="72"/>
      <c r="R4" s="70"/>
      <c r="S4" s="70"/>
      <c r="T4" s="70"/>
      <c r="U4" s="70"/>
      <c r="V4" s="70"/>
      <c r="W4" s="70"/>
      <c r="X4" s="70"/>
      <c r="Y4" s="70"/>
      <c r="Z4" s="70"/>
      <c r="AA4" s="21"/>
      <c r="AB4" s="70"/>
      <c r="AC4" s="70"/>
      <c r="AD4" s="21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21"/>
      <c r="AU4" s="70"/>
      <c r="AV4" s="70"/>
      <c r="AW4" s="21"/>
      <c r="AX4" s="70"/>
      <c r="AY4" s="70"/>
      <c r="AZ4" s="21"/>
      <c r="BA4" s="70"/>
      <c r="BB4" s="70"/>
      <c r="BC4" s="21"/>
      <c r="BD4" s="70"/>
      <c r="BE4" s="70"/>
      <c r="BF4" s="21"/>
      <c r="BG4" s="70"/>
      <c r="BH4" s="70"/>
      <c r="BI4" s="70"/>
      <c r="BJ4" s="70"/>
    </row>
    <row r="5" spans="1:62" x14ac:dyDescent="0.25">
      <c r="A5" s="2" t="s">
        <v>2</v>
      </c>
      <c r="B5" s="21">
        <v>35</v>
      </c>
      <c r="C5" s="57">
        <f>B5*100%/$B$12</f>
        <v>0.11551155115511551</v>
      </c>
      <c r="D5" s="70"/>
      <c r="E5" s="21"/>
      <c r="F5" s="21"/>
      <c r="G5" s="70"/>
      <c r="H5" s="70"/>
      <c r="I5" s="21"/>
      <c r="J5" s="21"/>
      <c r="K5" s="70"/>
      <c r="L5" s="70"/>
      <c r="M5" s="71"/>
      <c r="N5" s="71"/>
      <c r="O5" s="70"/>
      <c r="P5" s="70"/>
      <c r="Q5" s="72"/>
      <c r="R5" s="70"/>
      <c r="S5" s="70"/>
      <c r="T5" s="70"/>
      <c r="U5" s="70"/>
      <c r="V5" s="70"/>
      <c r="W5" s="70"/>
      <c r="X5" s="70"/>
      <c r="Y5" s="70"/>
      <c r="Z5" s="70"/>
      <c r="AA5" s="21"/>
      <c r="AB5" s="70"/>
      <c r="AC5" s="70"/>
      <c r="AD5" s="21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21"/>
      <c r="AU5" s="70"/>
      <c r="AV5" s="70"/>
      <c r="AW5" s="21"/>
      <c r="AX5" s="70"/>
      <c r="AY5" s="70"/>
      <c r="AZ5" s="21"/>
      <c r="BA5" s="70"/>
      <c r="BB5" s="70"/>
      <c r="BC5" s="21"/>
      <c r="BD5" s="70"/>
      <c r="BE5" s="70"/>
      <c r="BF5" s="21"/>
      <c r="BG5" s="70"/>
      <c r="BH5" s="70"/>
      <c r="BI5" s="70"/>
      <c r="BJ5" s="70"/>
    </row>
    <row r="6" spans="1:62" x14ac:dyDescent="0.25">
      <c r="A6" s="2" t="s">
        <v>3</v>
      </c>
      <c r="B6" s="21">
        <v>7</v>
      </c>
      <c r="C6" s="57">
        <f>B6*100%/$B$12</f>
        <v>2.3102310231023101E-2</v>
      </c>
      <c r="D6" s="70"/>
      <c r="E6" s="21"/>
      <c r="F6" s="21"/>
      <c r="G6" s="70"/>
      <c r="H6" s="70"/>
      <c r="I6" s="21"/>
      <c r="J6" s="21"/>
      <c r="K6" s="70"/>
      <c r="L6" s="70"/>
      <c r="M6" s="71"/>
      <c r="N6" s="71"/>
      <c r="O6" s="70"/>
      <c r="P6" s="70"/>
      <c r="Q6" s="72"/>
      <c r="R6" s="70"/>
      <c r="S6" s="70"/>
      <c r="T6" s="70"/>
      <c r="U6" s="70"/>
      <c r="V6" s="70"/>
      <c r="W6" s="70"/>
      <c r="X6" s="70"/>
      <c r="Y6" s="70"/>
      <c r="Z6" s="70"/>
      <c r="AA6" s="21"/>
      <c r="AB6" s="70"/>
      <c r="AC6" s="70"/>
      <c r="AD6" s="21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21"/>
      <c r="AU6" s="70"/>
      <c r="AV6" s="70"/>
      <c r="AW6" s="21"/>
      <c r="AX6" s="70"/>
      <c r="AY6" s="70"/>
      <c r="AZ6" s="21"/>
      <c r="BA6" s="70"/>
      <c r="BB6" s="70"/>
      <c r="BC6" s="21"/>
      <c r="BD6" s="70"/>
      <c r="BE6" s="70"/>
      <c r="BF6" s="21"/>
      <c r="BG6" s="70"/>
      <c r="BH6" s="70"/>
      <c r="BI6" s="70"/>
      <c r="BJ6" s="70"/>
    </row>
    <row r="7" spans="1:62" x14ac:dyDescent="0.25">
      <c r="A7" s="2" t="s">
        <v>48</v>
      </c>
      <c r="B7" s="21">
        <v>19</v>
      </c>
      <c r="C7" s="57">
        <f>B7*100%/$B$12</f>
        <v>6.2706270627062702E-2</v>
      </c>
      <c r="D7" s="70"/>
      <c r="E7" s="21"/>
      <c r="F7" s="21"/>
      <c r="G7" s="70"/>
      <c r="H7" s="70"/>
      <c r="I7" s="21"/>
      <c r="J7" s="21"/>
      <c r="K7" s="70"/>
      <c r="L7" s="70"/>
      <c r="M7" s="71"/>
      <c r="N7" s="71"/>
      <c r="O7" s="70"/>
      <c r="P7" s="70"/>
      <c r="Q7" s="72"/>
      <c r="R7" s="70"/>
      <c r="S7" s="70"/>
      <c r="T7" s="70"/>
      <c r="U7" s="70"/>
      <c r="V7" s="70"/>
      <c r="W7" s="70"/>
      <c r="X7" s="70"/>
      <c r="Y7" s="70"/>
      <c r="Z7" s="70"/>
      <c r="AA7" s="21"/>
      <c r="AB7" s="70"/>
      <c r="AC7" s="70"/>
      <c r="AD7" s="21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21"/>
      <c r="AU7" s="70"/>
      <c r="AV7" s="70"/>
      <c r="AW7" s="21"/>
      <c r="AX7" s="70"/>
      <c r="AY7" s="70"/>
      <c r="AZ7" s="21"/>
      <c r="BA7" s="70"/>
      <c r="BB7" s="70"/>
      <c r="BC7" s="21"/>
      <c r="BD7" s="70"/>
      <c r="BE7" s="70"/>
      <c r="BF7" s="21"/>
      <c r="BG7" s="70"/>
      <c r="BH7" s="70"/>
      <c r="BI7" s="70"/>
      <c r="BJ7" s="70"/>
    </row>
    <row r="8" spans="1:62" ht="15" customHeight="1" x14ac:dyDescent="0.25">
      <c r="A8" s="2" t="s">
        <v>47</v>
      </c>
      <c r="B8" s="73">
        <v>282</v>
      </c>
      <c r="C8" s="62"/>
      <c r="D8" s="70">
        <v>16038</v>
      </c>
      <c r="E8" s="143">
        <v>831</v>
      </c>
      <c r="F8" s="21">
        <v>3</v>
      </c>
      <c r="G8" s="70">
        <f t="shared" ref="G8:G21" si="0">D8*(E8/F8)</f>
        <v>4442526</v>
      </c>
      <c r="H8" s="70">
        <v>11955</v>
      </c>
      <c r="I8" s="146">
        <v>15</v>
      </c>
      <c r="J8" s="21">
        <v>3</v>
      </c>
      <c r="K8" s="70">
        <f>H8*(I8/J8)</f>
        <v>59775</v>
      </c>
      <c r="L8" s="70">
        <v>9013</v>
      </c>
      <c r="M8" s="72">
        <v>1</v>
      </c>
      <c r="N8" s="72">
        <v>3</v>
      </c>
      <c r="O8" s="70">
        <f t="shared" ref="O8" si="1">L8*(M8/N8)</f>
        <v>3004.333333333333</v>
      </c>
      <c r="P8" s="70"/>
      <c r="Q8" s="72"/>
      <c r="R8" s="70"/>
      <c r="S8" s="70"/>
      <c r="T8" s="70"/>
      <c r="U8" s="70"/>
      <c r="V8" s="70"/>
      <c r="W8" s="70"/>
      <c r="X8" s="70"/>
      <c r="Y8" s="70"/>
      <c r="Z8" s="70"/>
      <c r="AA8" s="21"/>
      <c r="AB8" s="70"/>
      <c r="AC8" s="70"/>
      <c r="AD8" s="21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21"/>
      <c r="AU8" s="70"/>
      <c r="AV8" s="70"/>
      <c r="AW8" s="21"/>
      <c r="AX8" s="70"/>
      <c r="AY8" s="70"/>
      <c r="AZ8" s="21"/>
      <c r="BA8" s="70"/>
      <c r="BB8" s="70"/>
      <c r="BC8" s="21"/>
      <c r="BD8" s="70"/>
      <c r="BE8" s="70"/>
      <c r="BF8" s="21"/>
      <c r="BG8" s="70"/>
      <c r="BH8" s="70"/>
      <c r="BI8" s="70"/>
      <c r="BJ8" s="70"/>
    </row>
    <row r="9" spans="1:62" x14ac:dyDescent="0.25">
      <c r="A9" s="2" t="s">
        <v>42</v>
      </c>
      <c r="B9" s="5">
        <v>17</v>
      </c>
      <c r="C9" s="57">
        <v>0.8</v>
      </c>
      <c r="D9" s="70"/>
      <c r="E9" s="21"/>
      <c r="F9" s="21"/>
      <c r="G9" s="70"/>
      <c r="H9" s="70"/>
      <c r="I9" s="21"/>
      <c r="J9" s="21"/>
      <c r="K9" s="70"/>
      <c r="L9" s="70"/>
      <c r="M9" s="71"/>
      <c r="N9" s="71"/>
      <c r="O9" s="70"/>
      <c r="P9" s="70"/>
      <c r="Q9" s="72"/>
      <c r="R9" s="70"/>
      <c r="S9" s="70"/>
      <c r="T9" s="70"/>
      <c r="U9" s="70"/>
      <c r="V9" s="70"/>
      <c r="W9" s="70"/>
      <c r="X9" s="70"/>
      <c r="Y9" s="70"/>
      <c r="Z9" s="70"/>
      <c r="AA9" s="21"/>
      <c r="AB9" s="70"/>
      <c r="AC9" s="70"/>
      <c r="AD9" s="21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21"/>
      <c r="AU9" s="70"/>
      <c r="AV9" s="70"/>
      <c r="AW9" s="21"/>
      <c r="AX9" s="70"/>
      <c r="AY9" s="70"/>
      <c r="AZ9" s="21"/>
      <c r="BA9" s="70"/>
      <c r="BB9" s="70"/>
      <c r="BC9" s="21"/>
      <c r="BD9" s="70"/>
      <c r="BE9" s="70"/>
      <c r="BF9" s="21"/>
      <c r="BG9" s="70"/>
      <c r="BH9" s="70"/>
      <c r="BI9" s="70"/>
      <c r="BJ9" s="70"/>
    </row>
    <row r="10" spans="1:62" ht="15" customHeight="1" x14ac:dyDescent="0.25">
      <c r="A10" s="2" t="s">
        <v>15</v>
      </c>
      <c r="B10" s="5">
        <v>4</v>
      </c>
      <c r="C10" s="57">
        <v>0.2</v>
      </c>
      <c r="D10" s="70"/>
      <c r="E10" s="21"/>
      <c r="F10" s="21"/>
      <c r="G10" s="70"/>
      <c r="H10" s="70"/>
      <c r="I10" s="21"/>
      <c r="J10" s="21"/>
      <c r="K10" s="70"/>
      <c r="L10" s="70"/>
      <c r="M10" s="71"/>
      <c r="N10" s="71"/>
      <c r="O10" s="70"/>
      <c r="P10" s="70"/>
      <c r="Q10" s="72"/>
      <c r="R10" s="70"/>
      <c r="S10" s="70"/>
      <c r="T10" s="70"/>
      <c r="U10" s="70"/>
      <c r="V10" s="70"/>
      <c r="W10" s="70"/>
      <c r="X10" s="70"/>
      <c r="Y10" s="70"/>
      <c r="Z10" s="70"/>
      <c r="AA10" s="21"/>
      <c r="AB10" s="70"/>
      <c r="AC10" s="70"/>
      <c r="AD10" s="21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21"/>
      <c r="AU10" s="70"/>
      <c r="AV10" s="70"/>
      <c r="AW10" s="21"/>
      <c r="AX10" s="70"/>
      <c r="AY10" s="70"/>
      <c r="AZ10" s="21"/>
      <c r="BA10" s="70"/>
      <c r="BB10" s="70"/>
      <c r="BC10" s="21"/>
      <c r="BD10" s="70"/>
      <c r="BE10" s="70"/>
      <c r="BF10" s="21"/>
      <c r="BG10" s="70"/>
      <c r="BH10" s="70"/>
      <c r="BI10" s="70"/>
      <c r="BJ10" s="70"/>
    </row>
    <row r="11" spans="1:62" ht="15" customHeight="1" x14ac:dyDescent="0.25">
      <c r="A11" s="2" t="s">
        <v>49</v>
      </c>
      <c r="B11" s="5">
        <v>21</v>
      </c>
      <c r="C11" s="57"/>
      <c r="D11" s="70">
        <v>16038</v>
      </c>
      <c r="E11" s="143">
        <v>142</v>
      </c>
      <c r="F11" s="21">
        <v>2</v>
      </c>
      <c r="G11" s="70">
        <f t="shared" si="0"/>
        <v>1138698</v>
      </c>
      <c r="H11" s="70"/>
      <c r="I11" s="21"/>
      <c r="J11" s="21"/>
      <c r="K11" s="70"/>
      <c r="L11" s="70">
        <v>9013</v>
      </c>
      <c r="M11" s="74">
        <v>11</v>
      </c>
      <c r="N11" s="72">
        <v>3</v>
      </c>
      <c r="O11" s="70">
        <f>L11*(M11/N11)</f>
        <v>33047.666666666664</v>
      </c>
      <c r="P11" s="70"/>
      <c r="Q11" s="72"/>
      <c r="R11" s="70"/>
      <c r="S11" s="70"/>
      <c r="T11" s="70"/>
      <c r="U11" s="70"/>
      <c r="V11" s="70"/>
      <c r="W11" s="70"/>
      <c r="X11" s="70"/>
      <c r="Y11" s="70"/>
      <c r="Z11" s="70"/>
      <c r="AA11" s="21"/>
      <c r="AB11" s="70"/>
      <c r="AC11" s="70"/>
      <c r="AD11" s="21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21"/>
      <c r="AU11" s="70"/>
      <c r="AV11" s="70"/>
      <c r="AW11" s="21"/>
      <c r="AX11" s="70"/>
      <c r="AY11" s="70"/>
      <c r="AZ11" s="21"/>
      <c r="BA11" s="70"/>
      <c r="BB11" s="70"/>
      <c r="BC11" s="21"/>
      <c r="BD11" s="70"/>
      <c r="BE11" s="70"/>
      <c r="BF11" s="21"/>
      <c r="BG11" s="70"/>
      <c r="BH11" s="70"/>
      <c r="BI11" s="70"/>
      <c r="BJ11" s="70"/>
    </row>
    <row r="12" spans="1:62" ht="18" customHeight="1" x14ac:dyDescent="0.25">
      <c r="A12" s="2" t="s">
        <v>173</v>
      </c>
      <c r="B12" s="21">
        <v>303</v>
      </c>
      <c r="C12" s="57">
        <f>B12/$B$25</f>
        <v>0.56954887218045114</v>
      </c>
      <c r="D12" s="70"/>
      <c r="E12" s="21"/>
      <c r="F12" s="21"/>
      <c r="G12" s="70"/>
      <c r="H12" s="70"/>
      <c r="I12" s="21"/>
      <c r="J12" s="21"/>
      <c r="K12" s="70"/>
      <c r="L12" s="70"/>
      <c r="M12" s="71"/>
      <c r="N12" s="71"/>
      <c r="O12" s="70"/>
      <c r="P12" s="70"/>
      <c r="Q12" s="72"/>
      <c r="R12" s="70"/>
      <c r="S12" s="70">
        <v>3651</v>
      </c>
      <c r="T12" s="74">
        <v>66</v>
      </c>
      <c r="U12" s="70">
        <f>S12*T12</f>
        <v>240966</v>
      </c>
      <c r="V12" s="70">
        <v>4367</v>
      </c>
      <c r="W12" s="74">
        <v>16</v>
      </c>
      <c r="X12" s="75">
        <f>V12*W12</f>
        <v>69872</v>
      </c>
      <c r="Y12" s="70">
        <v>19075</v>
      </c>
      <c r="Z12" s="74">
        <v>282</v>
      </c>
      <c r="AA12" s="70">
        <f>Y12*Z12</f>
        <v>5379150</v>
      </c>
      <c r="AB12" s="70">
        <f>X12+AA12</f>
        <v>5449022</v>
      </c>
      <c r="AC12" s="70">
        <v>11491</v>
      </c>
      <c r="AD12" s="74">
        <v>118</v>
      </c>
      <c r="AE12" s="70">
        <f>AC12*AD12</f>
        <v>1355938</v>
      </c>
      <c r="AF12" s="70">
        <v>19305</v>
      </c>
      <c r="AG12" s="74">
        <v>16</v>
      </c>
      <c r="AH12" s="70">
        <f>AF12*AG12</f>
        <v>308880</v>
      </c>
      <c r="AI12" s="70">
        <v>22752</v>
      </c>
      <c r="AJ12" s="74">
        <v>6</v>
      </c>
      <c r="AK12" s="70">
        <f>AI12*AJ12</f>
        <v>136512</v>
      </c>
      <c r="AL12" s="70">
        <v>23441</v>
      </c>
      <c r="AM12" s="74">
        <v>15</v>
      </c>
      <c r="AN12" s="70">
        <f>AL12*AM12</f>
        <v>351615</v>
      </c>
      <c r="AO12" s="70">
        <v>12869.808000000001</v>
      </c>
      <c r="AP12" s="74">
        <v>16</v>
      </c>
      <c r="AQ12" s="70">
        <f>AO12*AP12</f>
        <v>205916.92800000001</v>
      </c>
      <c r="AR12" s="70">
        <f>AH12+AK12+AN12+AQ12</f>
        <v>1002923.9280000001</v>
      </c>
      <c r="AS12" s="70">
        <v>12180</v>
      </c>
      <c r="AT12" s="74">
        <v>22</v>
      </c>
      <c r="AU12" s="70">
        <f>AS12*AT12</f>
        <v>267960</v>
      </c>
      <c r="AV12" s="70">
        <v>11031</v>
      </c>
      <c r="AW12" s="74">
        <v>19</v>
      </c>
      <c r="AX12" s="70">
        <f>AV12*AW12</f>
        <v>209589</v>
      </c>
      <c r="AY12" s="70">
        <v>37690</v>
      </c>
      <c r="AZ12" s="74">
        <v>207</v>
      </c>
      <c r="BA12" s="70">
        <f>AZ12*AY12</f>
        <v>7801830</v>
      </c>
      <c r="BB12" s="70">
        <v>19722</v>
      </c>
      <c r="BC12" s="21"/>
      <c r="BD12" s="70"/>
      <c r="BE12" s="70"/>
      <c r="BF12" s="21"/>
      <c r="BG12" s="70"/>
      <c r="BH12" s="70"/>
      <c r="BI12" s="70"/>
      <c r="BJ12" s="70"/>
    </row>
    <row r="13" spans="1:62" ht="15" customHeight="1" x14ac:dyDescent="0.25">
      <c r="A13" s="2" t="s">
        <v>5</v>
      </c>
      <c r="B13" s="76">
        <v>20</v>
      </c>
      <c r="C13" s="57">
        <f>B13/$B$19</f>
        <v>0.5714285714285714</v>
      </c>
      <c r="D13" s="70"/>
      <c r="E13" s="21"/>
      <c r="F13" s="21"/>
      <c r="G13" s="70"/>
      <c r="H13" s="70"/>
      <c r="I13" s="21"/>
      <c r="J13" s="21"/>
      <c r="K13" s="70"/>
      <c r="L13" s="70"/>
      <c r="M13" s="72"/>
      <c r="N13" s="72"/>
      <c r="O13" s="70"/>
      <c r="P13" s="70"/>
      <c r="Q13" s="72"/>
      <c r="R13" s="70"/>
      <c r="S13" s="70"/>
      <c r="T13" s="70"/>
      <c r="U13" s="70"/>
      <c r="V13" s="70"/>
      <c r="W13" s="70"/>
      <c r="X13" s="70"/>
      <c r="Y13" s="70"/>
      <c r="Z13" s="70"/>
      <c r="AA13" s="21"/>
      <c r="AB13" s="70"/>
      <c r="AC13" s="70"/>
      <c r="AD13" s="21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21"/>
      <c r="AU13" s="70"/>
      <c r="AV13" s="70"/>
      <c r="AW13" s="21"/>
      <c r="AX13" s="70"/>
      <c r="AY13" s="70"/>
      <c r="AZ13" s="21"/>
      <c r="BA13" s="70"/>
      <c r="BB13" s="70"/>
      <c r="BC13" s="21"/>
      <c r="BD13" s="70"/>
      <c r="BE13" s="70"/>
      <c r="BF13" s="21"/>
      <c r="BG13" s="70"/>
      <c r="BH13" s="70"/>
      <c r="BI13" s="70"/>
      <c r="BJ13" s="70"/>
    </row>
    <row r="14" spans="1:62" x14ac:dyDescent="0.25">
      <c r="A14" s="2" t="s">
        <v>6</v>
      </c>
      <c r="B14" s="76">
        <v>0</v>
      </c>
      <c r="C14" s="57">
        <f t="shared" ref="C14" si="2">B14/$B$19</f>
        <v>0</v>
      </c>
      <c r="D14" s="70"/>
      <c r="E14" s="21"/>
      <c r="F14" s="21"/>
      <c r="G14" s="70"/>
      <c r="H14" s="70"/>
      <c r="I14" s="21"/>
      <c r="J14" s="21"/>
      <c r="K14" s="70"/>
      <c r="L14" s="70"/>
      <c r="M14" s="72"/>
      <c r="N14" s="72"/>
      <c r="O14" s="70"/>
      <c r="P14" s="70"/>
      <c r="Q14" s="72"/>
      <c r="R14" s="70"/>
      <c r="S14" s="70"/>
      <c r="T14" s="70"/>
      <c r="U14" s="70"/>
      <c r="V14" s="70"/>
      <c r="W14" s="70"/>
      <c r="X14" s="70"/>
      <c r="Y14" s="70"/>
      <c r="Z14" s="70"/>
      <c r="AA14" s="21"/>
      <c r="AB14" s="70"/>
      <c r="AC14" s="70"/>
      <c r="AD14" s="21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21"/>
      <c r="AU14" s="70"/>
      <c r="AV14" s="70"/>
      <c r="AW14" s="21"/>
      <c r="AX14" s="70"/>
      <c r="AY14" s="70"/>
      <c r="AZ14" s="21"/>
      <c r="BA14" s="70"/>
      <c r="BB14" s="70"/>
      <c r="BC14" s="21"/>
      <c r="BD14" s="70"/>
      <c r="BE14" s="70"/>
      <c r="BF14" s="21"/>
      <c r="BG14" s="70"/>
      <c r="BH14" s="70"/>
      <c r="BI14" s="70"/>
      <c r="BJ14" s="70"/>
    </row>
    <row r="15" spans="1:62" x14ac:dyDescent="0.25">
      <c r="A15" s="2" t="s">
        <v>51</v>
      </c>
      <c r="B15" s="77">
        <v>20</v>
      </c>
      <c r="C15" s="57"/>
      <c r="D15" s="70">
        <v>16038</v>
      </c>
      <c r="E15" s="143">
        <v>48</v>
      </c>
      <c r="F15" s="21">
        <v>3</v>
      </c>
      <c r="G15" s="70">
        <f t="shared" si="0"/>
        <v>256608</v>
      </c>
      <c r="H15" s="70"/>
      <c r="I15" s="21"/>
      <c r="J15" s="21"/>
      <c r="K15" s="70"/>
      <c r="L15" s="70">
        <v>9013</v>
      </c>
      <c r="M15" s="72"/>
      <c r="N15" s="72">
        <v>3</v>
      </c>
      <c r="O15" s="70">
        <f>L15*(M15/N15)</f>
        <v>0</v>
      </c>
      <c r="P15" s="70"/>
      <c r="Q15" s="72"/>
      <c r="R15" s="70"/>
      <c r="S15" s="70"/>
      <c r="T15" s="70"/>
      <c r="U15" s="70"/>
      <c r="V15" s="70"/>
      <c r="W15" s="70"/>
      <c r="X15" s="70"/>
      <c r="Y15" s="70"/>
      <c r="Z15" s="70"/>
      <c r="AA15" s="21"/>
      <c r="AB15" s="70"/>
      <c r="AC15" s="70"/>
      <c r="AD15" s="21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21"/>
      <c r="AU15" s="70"/>
      <c r="AV15" s="70"/>
      <c r="AW15" s="21"/>
      <c r="AX15" s="70"/>
      <c r="AY15" s="70"/>
      <c r="AZ15" s="21"/>
      <c r="BA15" s="70"/>
      <c r="BB15" s="70"/>
      <c r="BC15" s="21"/>
      <c r="BD15" s="70"/>
      <c r="BE15" s="70"/>
      <c r="BF15" s="21"/>
      <c r="BG15" s="70"/>
      <c r="BH15" s="70"/>
      <c r="BI15" s="70"/>
      <c r="BJ15" s="70"/>
    </row>
    <row r="16" spans="1:62" x14ac:dyDescent="0.25">
      <c r="A16" s="2" t="s">
        <v>43</v>
      </c>
      <c r="B16" s="76">
        <v>12</v>
      </c>
      <c r="C16" s="57"/>
      <c r="D16" s="70"/>
      <c r="E16" s="21"/>
      <c r="F16" s="21"/>
      <c r="G16" s="70"/>
      <c r="H16" s="70"/>
      <c r="I16" s="21"/>
      <c r="J16" s="21"/>
      <c r="K16" s="70"/>
      <c r="L16" s="70"/>
      <c r="M16" s="72"/>
      <c r="N16" s="72"/>
      <c r="O16" s="70"/>
      <c r="P16" s="70"/>
      <c r="Q16" s="72"/>
      <c r="R16" s="70"/>
      <c r="S16" s="70"/>
      <c r="T16" s="70"/>
      <c r="U16" s="70"/>
      <c r="V16" s="70"/>
      <c r="W16" s="70"/>
      <c r="X16" s="70"/>
      <c r="Y16" s="70"/>
      <c r="Z16" s="70"/>
      <c r="AA16" s="21"/>
      <c r="AB16" s="70"/>
      <c r="AC16" s="70"/>
      <c r="AD16" s="21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21"/>
      <c r="AU16" s="70"/>
      <c r="AV16" s="70"/>
      <c r="AW16" s="21"/>
      <c r="AX16" s="70"/>
      <c r="AY16" s="70"/>
      <c r="AZ16" s="21"/>
      <c r="BA16" s="70"/>
      <c r="BB16" s="70"/>
      <c r="BC16" s="21"/>
      <c r="BD16" s="70"/>
      <c r="BE16" s="70"/>
      <c r="BF16" s="21"/>
      <c r="BG16" s="70"/>
      <c r="BH16" s="70"/>
      <c r="BI16" s="70"/>
      <c r="BJ16" s="70"/>
    </row>
    <row r="17" spans="1:62" x14ac:dyDescent="0.25">
      <c r="A17" s="2" t="s">
        <v>16</v>
      </c>
      <c r="B17" s="76">
        <v>3</v>
      </c>
      <c r="C17" s="57"/>
      <c r="D17" s="70"/>
      <c r="E17" s="21"/>
      <c r="F17" s="21"/>
      <c r="G17" s="70"/>
      <c r="H17" s="70"/>
      <c r="I17" s="21"/>
      <c r="J17" s="21"/>
      <c r="K17" s="70"/>
      <c r="L17" s="70"/>
      <c r="M17" s="72"/>
      <c r="N17" s="72"/>
      <c r="O17" s="70"/>
      <c r="P17" s="70"/>
      <c r="Q17" s="72"/>
      <c r="R17" s="70"/>
      <c r="S17" s="70"/>
      <c r="T17" s="70"/>
      <c r="U17" s="70"/>
      <c r="V17" s="70"/>
      <c r="W17" s="70"/>
      <c r="X17" s="70"/>
      <c r="Y17" s="70"/>
      <c r="Z17" s="70"/>
      <c r="AA17" s="21"/>
      <c r="AB17" s="70"/>
      <c r="AC17" s="70"/>
      <c r="AD17" s="21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21"/>
      <c r="AU17" s="70"/>
      <c r="AV17" s="70"/>
      <c r="AW17" s="21"/>
      <c r="AX17" s="70"/>
      <c r="AY17" s="70"/>
      <c r="AZ17" s="21"/>
      <c r="BA17" s="70"/>
      <c r="BB17" s="70"/>
      <c r="BC17" s="21"/>
      <c r="BD17" s="70"/>
      <c r="BE17" s="70"/>
      <c r="BF17" s="21"/>
      <c r="BG17" s="70"/>
      <c r="BH17" s="70"/>
      <c r="BI17" s="70"/>
      <c r="BJ17" s="70"/>
    </row>
    <row r="18" spans="1:62" x14ac:dyDescent="0.25">
      <c r="A18" s="2" t="s">
        <v>50</v>
      </c>
      <c r="B18" s="77">
        <v>15</v>
      </c>
      <c r="C18" s="57"/>
      <c r="D18" s="70">
        <v>16038</v>
      </c>
      <c r="E18" s="144">
        <v>19</v>
      </c>
      <c r="F18" s="21">
        <v>2</v>
      </c>
      <c r="G18" s="70">
        <f t="shared" si="0"/>
        <v>152361</v>
      </c>
      <c r="H18" s="70"/>
      <c r="I18" s="21"/>
      <c r="J18" s="21"/>
      <c r="K18" s="70"/>
      <c r="L18" s="70"/>
      <c r="M18" s="72"/>
      <c r="N18" s="72"/>
      <c r="O18" s="70"/>
      <c r="P18" s="70"/>
      <c r="Q18" s="72"/>
      <c r="R18" s="70"/>
      <c r="S18" s="70"/>
      <c r="T18" s="70"/>
      <c r="U18" s="70"/>
      <c r="V18" s="70"/>
      <c r="W18" s="70"/>
      <c r="X18" s="70"/>
      <c r="Y18" s="70"/>
      <c r="Z18" s="70"/>
      <c r="AA18" s="21"/>
      <c r="AB18" s="70"/>
      <c r="AC18" s="70"/>
      <c r="AD18" s="21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21"/>
      <c r="AU18" s="70"/>
      <c r="AV18" s="70"/>
      <c r="AW18" s="21"/>
      <c r="AX18" s="70"/>
      <c r="AY18" s="70"/>
      <c r="AZ18" s="21"/>
      <c r="BA18" s="70"/>
      <c r="BB18" s="70"/>
      <c r="BC18" s="21"/>
      <c r="BD18" s="70"/>
      <c r="BE18" s="70"/>
      <c r="BF18" s="21"/>
      <c r="BG18" s="70"/>
      <c r="BH18" s="70"/>
      <c r="BI18" s="70"/>
      <c r="BJ18" s="70"/>
    </row>
    <row r="19" spans="1:62" x14ac:dyDescent="0.25">
      <c r="A19" s="2" t="s">
        <v>174</v>
      </c>
      <c r="B19" s="76">
        <v>35</v>
      </c>
      <c r="C19" s="57">
        <f>B19/$B$25</f>
        <v>6.5789473684210523E-2</v>
      </c>
      <c r="D19" s="70"/>
      <c r="E19" s="21"/>
      <c r="F19" s="21"/>
      <c r="G19" s="70"/>
      <c r="H19" s="70"/>
      <c r="I19" s="21"/>
      <c r="J19" s="21"/>
      <c r="K19" s="70"/>
      <c r="L19" s="70">
        <v>9013</v>
      </c>
      <c r="M19" s="78">
        <v>5</v>
      </c>
      <c r="N19" s="72">
        <v>3</v>
      </c>
      <c r="O19" s="70">
        <f>L19*(M19/N19)</f>
        <v>15021.666666666668</v>
      </c>
      <c r="P19" s="70"/>
      <c r="Q19" s="72"/>
      <c r="R19" s="70"/>
      <c r="S19" s="70"/>
      <c r="T19" s="70"/>
      <c r="U19" s="70"/>
      <c r="V19" s="70"/>
      <c r="W19" s="70"/>
      <c r="X19" s="70"/>
      <c r="Y19" s="70"/>
      <c r="Z19" s="70"/>
      <c r="AA19" s="21"/>
      <c r="AB19" s="70"/>
      <c r="AC19" s="70">
        <v>11491</v>
      </c>
      <c r="AD19" s="74">
        <v>326</v>
      </c>
      <c r="AE19" s="70">
        <f>AC19*AD19</f>
        <v>3746066</v>
      </c>
      <c r="AF19" s="70">
        <v>19305</v>
      </c>
      <c r="AG19" s="79">
        <v>32</v>
      </c>
      <c r="AH19" s="70">
        <f>AF19*AG19</f>
        <v>617760</v>
      </c>
      <c r="AI19" s="70">
        <v>22752</v>
      </c>
      <c r="AJ19" s="79">
        <v>12</v>
      </c>
      <c r="AK19" s="70">
        <f>AI19*AJ19</f>
        <v>273024</v>
      </c>
      <c r="AL19" s="70">
        <v>23441</v>
      </c>
      <c r="AM19" s="79">
        <v>32</v>
      </c>
      <c r="AN19" s="70">
        <f>AL19*AM19</f>
        <v>750112</v>
      </c>
      <c r="AO19" s="70">
        <v>12869.808000000001</v>
      </c>
      <c r="AP19" s="79">
        <v>35</v>
      </c>
      <c r="AQ19" s="80">
        <f>AO19*AP19</f>
        <v>450443.28</v>
      </c>
      <c r="AR19" s="70">
        <f>AH19+AK19+AN19+AQ19</f>
        <v>2091339.28</v>
      </c>
      <c r="AS19" s="70">
        <v>12180</v>
      </c>
      <c r="AT19" s="79">
        <v>45</v>
      </c>
      <c r="AU19" s="70">
        <f>AS19*AT19</f>
        <v>548100</v>
      </c>
      <c r="AV19" s="70">
        <v>11031</v>
      </c>
      <c r="AW19" s="21">
        <v>37</v>
      </c>
      <c r="AX19" s="70">
        <f>AV19*AW19</f>
        <v>408147</v>
      </c>
      <c r="AY19" s="70">
        <v>37690</v>
      </c>
      <c r="AZ19" s="21">
        <v>5</v>
      </c>
      <c r="BA19" s="70">
        <f>AY19*AZ19</f>
        <v>188450</v>
      </c>
      <c r="BB19" s="70"/>
      <c r="BC19" s="21"/>
      <c r="BD19" s="70"/>
      <c r="BE19" s="70">
        <v>19522</v>
      </c>
      <c r="BF19" s="21"/>
      <c r="BG19" s="70"/>
      <c r="BH19" s="70"/>
      <c r="BI19" s="70"/>
      <c r="BJ19" s="70"/>
    </row>
    <row r="20" spans="1:62" x14ac:dyDescent="0.25">
      <c r="A20" s="2" t="s">
        <v>57</v>
      </c>
      <c r="B20" s="76">
        <v>86</v>
      </c>
      <c r="C20" s="57"/>
      <c r="D20" s="70">
        <v>16038</v>
      </c>
      <c r="E20" s="142">
        <v>243</v>
      </c>
      <c r="F20" s="21">
        <v>2</v>
      </c>
      <c r="G20" s="70">
        <f>D18*(E20/F20)</f>
        <v>1948617</v>
      </c>
      <c r="H20" s="70"/>
      <c r="I20" s="21"/>
      <c r="J20" s="21"/>
      <c r="K20" s="70"/>
      <c r="L20" s="70"/>
      <c r="M20" s="72"/>
      <c r="N20" s="72"/>
      <c r="O20" s="70"/>
      <c r="P20" s="70"/>
      <c r="Q20" s="72"/>
      <c r="R20" s="70"/>
      <c r="S20" s="70"/>
      <c r="T20" s="70"/>
      <c r="U20" s="70"/>
      <c r="V20" s="70"/>
      <c r="W20" s="70"/>
      <c r="X20" s="70"/>
      <c r="Y20" s="70"/>
      <c r="Z20" s="70"/>
      <c r="AA20" s="21"/>
      <c r="AB20" s="70"/>
      <c r="AC20" s="70"/>
      <c r="AD20" s="21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21"/>
      <c r="AU20" s="70"/>
      <c r="AV20" s="70"/>
      <c r="AW20" s="21"/>
      <c r="AX20" s="70"/>
      <c r="AY20" s="70"/>
      <c r="AZ20" s="21"/>
      <c r="BA20" s="70"/>
      <c r="BB20" s="70"/>
      <c r="BC20" s="21"/>
      <c r="BD20" s="70"/>
      <c r="BE20" s="70"/>
      <c r="BF20" s="21"/>
      <c r="BG20" s="70"/>
      <c r="BH20" s="70"/>
      <c r="BI20" s="70"/>
      <c r="BJ20" s="70"/>
    </row>
    <row r="21" spans="1:62" x14ac:dyDescent="0.25">
      <c r="A21" s="2" t="s">
        <v>58</v>
      </c>
      <c r="B21" s="77">
        <v>15</v>
      </c>
      <c r="C21" s="57"/>
      <c r="D21" s="70">
        <v>16038</v>
      </c>
      <c r="E21" s="144">
        <v>18</v>
      </c>
      <c r="F21" s="21">
        <v>2</v>
      </c>
      <c r="G21" s="70">
        <f t="shared" si="0"/>
        <v>144342</v>
      </c>
      <c r="H21" s="70"/>
      <c r="I21" s="21"/>
      <c r="J21" s="21"/>
      <c r="K21" s="70"/>
      <c r="L21" s="70"/>
      <c r="M21" s="72"/>
      <c r="N21" s="72"/>
      <c r="O21" s="70"/>
      <c r="P21" s="70"/>
      <c r="Q21" s="72"/>
      <c r="R21" s="70"/>
      <c r="S21" s="70"/>
      <c r="T21" s="70"/>
      <c r="U21" s="70"/>
      <c r="V21" s="70"/>
      <c r="W21" s="70"/>
      <c r="X21" s="70"/>
      <c r="Y21" s="70"/>
      <c r="Z21" s="70"/>
      <c r="AA21" s="21"/>
      <c r="AB21" s="70"/>
      <c r="AC21" s="70"/>
      <c r="AD21" s="21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21"/>
      <c r="AU21" s="70"/>
      <c r="AV21" s="70"/>
      <c r="AW21" s="21"/>
      <c r="AX21" s="70"/>
      <c r="AY21" s="70"/>
      <c r="AZ21" s="21"/>
      <c r="BA21" s="70"/>
      <c r="BB21" s="70"/>
      <c r="BC21" s="21"/>
      <c r="BD21" s="70"/>
      <c r="BE21" s="70"/>
      <c r="BF21" s="21"/>
      <c r="BG21" s="70"/>
      <c r="BH21" s="70"/>
      <c r="BI21" s="70"/>
      <c r="BJ21" s="70"/>
    </row>
    <row r="22" spans="1:62" x14ac:dyDescent="0.25">
      <c r="A22" s="2" t="s">
        <v>85</v>
      </c>
      <c r="B22" s="74">
        <v>101</v>
      </c>
      <c r="C22" s="82">
        <f>B22/$B$25</f>
        <v>0.18984962406015038</v>
      </c>
      <c r="E22" s="81"/>
      <c r="F22" s="21"/>
      <c r="G22" s="70"/>
      <c r="H22" s="70"/>
      <c r="I22" s="21"/>
      <c r="J22" s="21"/>
      <c r="K22" s="70"/>
      <c r="L22" s="70"/>
      <c r="M22" s="71"/>
      <c r="N22" s="71"/>
      <c r="O22" s="70"/>
      <c r="P22" s="70"/>
      <c r="Q22" s="72"/>
      <c r="R22" s="70"/>
      <c r="S22" s="70"/>
      <c r="T22" s="70"/>
      <c r="U22" s="70"/>
      <c r="V22" s="70"/>
      <c r="W22" s="70"/>
      <c r="X22" s="70"/>
      <c r="Y22" s="70"/>
      <c r="Z22" s="70"/>
      <c r="AA22" s="21"/>
      <c r="AB22" s="70"/>
      <c r="AC22" s="70"/>
      <c r="AD22" s="21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21"/>
      <c r="AU22" s="70"/>
      <c r="AV22" s="70"/>
      <c r="AW22" s="21"/>
      <c r="AX22" s="70"/>
      <c r="AY22" s="70"/>
      <c r="AZ22" s="21"/>
      <c r="BA22" s="70"/>
      <c r="BB22" s="70">
        <v>19722</v>
      </c>
      <c r="BC22" s="21"/>
      <c r="BD22" s="70"/>
      <c r="BE22" s="70">
        <v>19522</v>
      </c>
      <c r="BF22" s="21"/>
      <c r="BG22" s="70"/>
      <c r="BH22" s="70"/>
      <c r="BI22" s="70"/>
      <c r="BJ22" s="70"/>
    </row>
    <row r="23" spans="1:62" ht="30" x14ac:dyDescent="0.25">
      <c r="A23" s="6" t="s">
        <v>29</v>
      </c>
      <c r="B23" s="83">
        <v>0</v>
      </c>
      <c r="C23" s="15"/>
      <c r="D23" s="70"/>
      <c r="E23" s="21"/>
      <c r="F23" s="21"/>
      <c r="G23" s="70"/>
      <c r="H23" s="70"/>
      <c r="I23" s="21"/>
      <c r="J23" s="21"/>
      <c r="K23" s="70"/>
      <c r="L23" s="70"/>
      <c r="M23" s="72"/>
      <c r="N23" s="72"/>
      <c r="O23" s="70"/>
      <c r="P23" s="70"/>
      <c r="Q23" s="72"/>
      <c r="R23" s="70"/>
      <c r="S23" s="70"/>
      <c r="T23" s="70"/>
      <c r="U23" s="70"/>
      <c r="V23" s="70"/>
      <c r="W23" s="70"/>
      <c r="X23" s="70"/>
      <c r="Y23" s="70"/>
      <c r="Z23" s="70"/>
      <c r="AA23" s="21"/>
      <c r="AB23" s="70"/>
      <c r="AC23" s="70"/>
      <c r="AD23" s="21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21"/>
      <c r="AU23" s="70"/>
      <c r="AV23" s="70"/>
      <c r="AW23" s="21"/>
      <c r="AX23" s="70"/>
      <c r="AY23" s="70"/>
      <c r="AZ23" s="21"/>
      <c r="BA23" s="70"/>
      <c r="BB23" s="70"/>
      <c r="BC23" s="21"/>
      <c r="BD23" s="70"/>
      <c r="BE23" s="70"/>
      <c r="BF23" s="21"/>
      <c r="BG23" s="70"/>
      <c r="BH23" s="70">
        <v>19911</v>
      </c>
      <c r="BI23" s="70"/>
      <c r="BJ23" s="70">
        <f>BH23*B23</f>
        <v>0</v>
      </c>
    </row>
    <row r="24" spans="1:62" ht="60" x14ac:dyDescent="0.25">
      <c r="A24" s="6" t="s">
        <v>93</v>
      </c>
      <c r="B24" s="83">
        <v>0</v>
      </c>
      <c r="C24" s="15"/>
      <c r="D24" s="70"/>
      <c r="E24" s="21"/>
      <c r="F24" s="21"/>
      <c r="G24" s="70"/>
      <c r="H24" s="70"/>
      <c r="I24" s="21"/>
      <c r="J24" s="21"/>
      <c r="K24" s="70"/>
      <c r="L24" s="70"/>
      <c r="M24" s="72"/>
      <c r="N24" s="72"/>
      <c r="O24" s="70"/>
      <c r="P24" s="70"/>
      <c r="Q24" s="72"/>
      <c r="R24" s="70"/>
      <c r="S24" s="70"/>
      <c r="T24" s="70"/>
      <c r="U24" s="70"/>
      <c r="V24" s="70"/>
      <c r="W24" s="70"/>
      <c r="X24" s="70"/>
      <c r="Y24" s="70"/>
      <c r="Z24" s="70"/>
      <c r="AA24" s="21"/>
      <c r="AB24" s="70"/>
      <c r="AC24" s="70"/>
      <c r="AD24" s="21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21"/>
      <c r="AU24" s="70"/>
      <c r="AV24" s="70"/>
      <c r="AW24" s="21"/>
      <c r="AX24" s="70"/>
      <c r="AY24" s="70"/>
      <c r="AZ24" s="21"/>
      <c r="BA24" s="70"/>
      <c r="BB24" s="70"/>
      <c r="BC24" s="21"/>
      <c r="BD24" s="70"/>
      <c r="BE24" s="70"/>
      <c r="BF24" s="21"/>
      <c r="BG24" s="70"/>
      <c r="BH24" s="70"/>
      <c r="BI24" s="70"/>
      <c r="BJ24" s="70"/>
    </row>
    <row r="25" spans="1:62" x14ac:dyDescent="0.25">
      <c r="A25" s="6" t="s">
        <v>56</v>
      </c>
      <c r="B25" s="77">
        <v>532</v>
      </c>
      <c r="C25" s="57"/>
      <c r="D25" s="70"/>
      <c r="E25" s="21"/>
      <c r="F25" s="21"/>
      <c r="G25" s="70"/>
      <c r="H25" s="70"/>
      <c r="I25" s="21"/>
      <c r="J25" s="21"/>
      <c r="K25" s="70"/>
      <c r="L25" s="70"/>
      <c r="M25" s="71"/>
      <c r="N25" s="71"/>
      <c r="O25" s="70"/>
      <c r="P25" s="70"/>
      <c r="Q25" s="72"/>
      <c r="R25" s="70"/>
      <c r="S25" s="70"/>
      <c r="T25" s="70"/>
      <c r="U25" s="70"/>
      <c r="V25" s="70"/>
      <c r="W25" s="70"/>
      <c r="X25" s="70"/>
      <c r="Y25" s="70"/>
      <c r="Z25" s="70"/>
      <c r="AA25" s="21"/>
      <c r="AB25" s="70"/>
      <c r="AC25" s="70"/>
      <c r="AD25" s="21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21"/>
      <c r="AU25" s="70"/>
      <c r="AV25" s="70"/>
      <c r="AW25" s="21"/>
      <c r="AX25" s="70"/>
      <c r="AY25" s="70"/>
      <c r="AZ25" s="21"/>
      <c r="BA25" s="70"/>
      <c r="BB25" s="70"/>
      <c r="BC25" s="21"/>
      <c r="BD25" s="70"/>
      <c r="BE25" s="70"/>
      <c r="BF25" s="21"/>
      <c r="BG25" s="70"/>
      <c r="BH25" s="70"/>
      <c r="BI25" s="70"/>
      <c r="BJ25" s="70"/>
    </row>
    <row r="26" spans="1:62" x14ac:dyDescent="0.25">
      <c r="A26" s="16" t="s">
        <v>75</v>
      </c>
      <c r="B26" s="77"/>
      <c r="C26" s="57"/>
      <c r="D26" s="70"/>
      <c r="E26" s="21"/>
      <c r="F26" s="21"/>
      <c r="G26" s="70"/>
      <c r="H26" s="70"/>
      <c r="I26" s="21"/>
      <c r="J26" s="21"/>
      <c r="K26" s="70"/>
      <c r="L26" s="70"/>
      <c r="M26" s="71"/>
      <c r="N26" s="71"/>
      <c r="O26" s="70"/>
      <c r="P26" s="70"/>
      <c r="Q26" s="72"/>
      <c r="R26" s="70"/>
      <c r="S26" s="70"/>
      <c r="T26" s="70"/>
      <c r="U26" s="70"/>
      <c r="V26" s="70"/>
      <c r="W26" s="70"/>
      <c r="X26" s="70"/>
      <c r="Y26" s="70"/>
      <c r="Z26" s="70"/>
      <c r="AA26" s="21"/>
      <c r="AB26" s="70"/>
      <c r="AC26" s="70"/>
      <c r="AD26" s="21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21"/>
      <c r="AU26" s="70"/>
      <c r="AV26" s="70"/>
      <c r="AW26" s="21"/>
      <c r="AX26" s="70"/>
      <c r="AY26" s="70"/>
      <c r="AZ26" s="21"/>
      <c r="BA26" s="70"/>
      <c r="BB26" s="70"/>
      <c r="BC26" s="21"/>
      <c r="BD26" s="70"/>
      <c r="BE26" s="70"/>
      <c r="BF26" s="21"/>
      <c r="BG26" s="70"/>
      <c r="BH26" s="70"/>
      <c r="BI26" s="70"/>
      <c r="BJ26" s="70"/>
    </row>
    <row r="27" spans="1:62" ht="15.75" customHeight="1" x14ac:dyDescent="0.25">
      <c r="A27" s="24" t="s">
        <v>70</v>
      </c>
      <c r="B27" s="84"/>
      <c r="C27" s="82"/>
      <c r="D27" s="70"/>
      <c r="E27" s="78">
        <f>SUM(E3:E26)</f>
        <v>1301</v>
      </c>
      <c r="F27" s="78"/>
      <c r="G27" s="85">
        <f>SUM(G3:G26)</f>
        <v>8083152</v>
      </c>
      <c r="H27" s="86"/>
      <c r="I27" s="78">
        <f t="shared" ref="I27:M27" si="3">SUM(I3:I26)</f>
        <v>15</v>
      </c>
      <c r="J27" s="86"/>
      <c r="K27" s="86">
        <f t="shared" si="3"/>
        <v>59775</v>
      </c>
      <c r="L27" s="86"/>
      <c r="M27" s="73">
        <f t="shared" si="3"/>
        <v>17</v>
      </c>
      <c r="N27" s="86"/>
      <c r="O27" s="86">
        <f t="shared" ref="O27" si="4">SUM(O3:O26)</f>
        <v>51073.666666666672</v>
      </c>
      <c r="P27" s="86"/>
      <c r="Q27" s="87"/>
      <c r="R27" s="86"/>
      <c r="S27" s="86"/>
      <c r="T27" s="88">
        <f>SUM(T3:T26)</f>
        <v>66</v>
      </c>
      <c r="U27" s="86">
        <f>SUM(U3:U26)</f>
        <v>240966</v>
      </c>
      <c r="V27" s="86"/>
      <c r="W27" s="78">
        <f>SUM(W3:W26)</f>
        <v>16</v>
      </c>
      <c r="X27" s="89">
        <f>SUM(X3:X26)</f>
        <v>69872</v>
      </c>
      <c r="Y27" s="86"/>
      <c r="Z27" s="78">
        <f>SUM(Z3:Z26)</f>
        <v>282</v>
      </c>
      <c r="AA27" s="86">
        <f t="shared" ref="AA27:AH27" si="5">SUM(AA3:AA26)</f>
        <v>5379150</v>
      </c>
      <c r="AB27" s="86">
        <f t="shared" si="5"/>
        <v>5449022</v>
      </c>
      <c r="AC27" s="86"/>
      <c r="AD27" s="78">
        <f t="shared" si="5"/>
        <v>444</v>
      </c>
      <c r="AE27" s="86">
        <f t="shared" si="5"/>
        <v>5102004</v>
      </c>
      <c r="AF27" s="86"/>
      <c r="AG27" s="78">
        <f t="shared" si="5"/>
        <v>48</v>
      </c>
      <c r="AH27" s="86">
        <f t="shared" si="5"/>
        <v>926640</v>
      </c>
      <c r="AI27" s="86"/>
      <c r="AJ27" s="78">
        <f>SUM(AJ3:AJ26)</f>
        <v>18</v>
      </c>
      <c r="AK27" s="86">
        <f t="shared" ref="AK27" si="6">SUM(AK3:AK26)</f>
        <v>409536</v>
      </c>
      <c r="AL27" s="86"/>
      <c r="AM27" s="78">
        <f>SUM(AM3:AM26)</f>
        <v>47</v>
      </c>
      <c r="AN27" s="86">
        <f>SUM(AN3:AN26)</f>
        <v>1101727</v>
      </c>
      <c r="AO27" s="86">
        <f>SUM(AO3:AO26)</f>
        <v>25739.616000000002</v>
      </c>
      <c r="AP27" s="87">
        <f>SUM(AP3:AP26)</f>
        <v>51</v>
      </c>
      <c r="AQ27" s="86">
        <f>SUM(AQ3:AQ26)</f>
        <v>656360.2080000001</v>
      </c>
      <c r="AR27" s="86">
        <f t="shared" ref="AR27:BA27" si="7">SUM(AR3:AR26)</f>
        <v>3094263.2080000001</v>
      </c>
      <c r="AS27" s="86"/>
      <c r="AT27" s="73">
        <f t="shared" si="7"/>
        <v>67</v>
      </c>
      <c r="AU27" s="86">
        <f t="shared" si="7"/>
        <v>816060</v>
      </c>
      <c r="AV27" s="86"/>
      <c r="AW27" s="78">
        <f t="shared" si="7"/>
        <v>56</v>
      </c>
      <c r="AX27" s="86">
        <f t="shared" si="7"/>
        <v>617736</v>
      </c>
      <c r="AY27" s="86"/>
      <c r="AZ27" s="78">
        <f t="shared" si="7"/>
        <v>212</v>
      </c>
      <c r="BA27" s="86">
        <f t="shared" si="7"/>
        <v>7990280</v>
      </c>
      <c r="BB27" s="86"/>
      <c r="BC27" s="87">
        <f>SUM(BC3-BC26)</f>
        <v>0</v>
      </c>
      <c r="BD27" s="86">
        <f>SUM(BD3-BD26)</f>
        <v>0</v>
      </c>
      <c r="BE27" s="87"/>
      <c r="BF27" s="87">
        <f t="shared" ref="BF27:BG27" si="8">SUM(BF3-BF26)</f>
        <v>0</v>
      </c>
      <c r="BG27" s="86">
        <f t="shared" si="8"/>
        <v>0</v>
      </c>
      <c r="BH27" s="86"/>
      <c r="BI27" s="87">
        <f>SUM(BI3:BI26)</f>
        <v>0</v>
      </c>
      <c r="BJ27" s="86">
        <f>SUM(BJ3:BJ26)</f>
        <v>0</v>
      </c>
    </row>
    <row r="28" spans="1:62" x14ac:dyDescent="0.25">
      <c r="A28" s="23"/>
      <c r="D28" s="32"/>
      <c r="E28" s="32"/>
      <c r="F28" s="32"/>
      <c r="G28" s="12"/>
    </row>
    <row r="29" spans="1:62" x14ac:dyDescent="0.25">
      <c r="A29" s="185" t="s">
        <v>175</v>
      </c>
      <c r="B29" s="186" t="s">
        <v>176</v>
      </c>
      <c r="C29" s="187" t="s">
        <v>177</v>
      </c>
      <c r="D29" s="186" t="s">
        <v>178</v>
      </c>
      <c r="E29" s="188" t="s">
        <v>179</v>
      </c>
      <c r="F29" s="188"/>
      <c r="G29" s="188"/>
      <c r="H29" s="188"/>
      <c r="I29" s="183" t="s">
        <v>180</v>
      </c>
      <c r="J29" s="183"/>
      <c r="K29" s="183"/>
      <c r="L29" s="184"/>
      <c r="M29" s="94"/>
      <c r="N29" s="32"/>
    </row>
    <row r="30" spans="1:62" x14ac:dyDescent="0.25">
      <c r="A30" s="185"/>
      <c r="B30" s="186"/>
      <c r="C30" s="187"/>
      <c r="D30" s="186"/>
      <c r="E30" s="147" t="s">
        <v>181</v>
      </c>
      <c r="F30" s="19" t="s">
        <v>182</v>
      </c>
      <c r="G30" s="1" t="s">
        <v>183</v>
      </c>
      <c r="H30" s="149" t="s">
        <v>184</v>
      </c>
      <c r="I30" s="147" t="s">
        <v>181</v>
      </c>
      <c r="J30" s="150" t="s">
        <v>182</v>
      </c>
      <c r="K30" s="1" t="s">
        <v>183</v>
      </c>
      <c r="L30" s="149" t="s">
        <v>184</v>
      </c>
      <c r="M30" s="94"/>
      <c r="N30" s="32"/>
    </row>
    <row r="31" spans="1:62" x14ac:dyDescent="0.25">
      <c r="A31" s="136" t="s">
        <v>76</v>
      </c>
      <c r="B31" s="95">
        <f>SUM(B32:B35)</f>
        <v>1333</v>
      </c>
      <c r="C31" s="96">
        <f>SUM(C32:C35)</f>
        <v>8194000.666666667</v>
      </c>
      <c r="D31" s="97"/>
      <c r="E31" s="98"/>
      <c r="F31" s="98"/>
      <c r="G31" s="99"/>
      <c r="H31" s="100"/>
      <c r="I31" s="98"/>
      <c r="J31" s="101"/>
      <c r="K31" s="99"/>
      <c r="L31" s="100"/>
      <c r="M31" s="102"/>
    </row>
    <row r="32" spans="1:62" ht="30" x14ac:dyDescent="0.25">
      <c r="A32" s="137" t="str">
        <f>G1</f>
        <v>VALOR HORAS MEDICAS ANUALES 2016</v>
      </c>
      <c r="B32" s="103">
        <f>E27</f>
        <v>1301</v>
      </c>
      <c r="C32" s="104">
        <f>G27</f>
        <v>8083152</v>
      </c>
      <c r="D32" s="97"/>
      <c r="E32" s="103"/>
      <c r="F32" s="103"/>
      <c r="G32" s="99"/>
      <c r="H32" s="100"/>
      <c r="I32" s="98"/>
      <c r="J32" s="105"/>
      <c r="K32" s="99"/>
      <c r="L32" s="100"/>
      <c r="M32" s="102"/>
    </row>
    <row r="33" spans="1:14" ht="30" x14ac:dyDescent="0.25">
      <c r="A33" s="138" t="str">
        <f>K1</f>
        <v>VALOR HORAS ENFERMERÍA ANUALES 2016</v>
      </c>
      <c r="B33" s="103">
        <f>I27</f>
        <v>15</v>
      </c>
      <c r="C33" s="104">
        <f>K27</f>
        <v>59775</v>
      </c>
      <c r="D33" s="97"/>
      <c r="E33" s="103"/>
      <c r="F33" s="103"/>
      <c r="G33" s="99"/>
      <c r="H33" s="100"/>
      <c r="I33" s="98"/>
      <c r="J33" s="105"/>
      <c r="K33" s="99"/>
      <c r="L33" s="100"/>
      <c r="M33" s="102"/>
    </row>
    <row r="34" spans="1:14" ht="30" x14ac:dyDescent="0.25">
      <c r="A34" s="138" t="str">
        <f>O1</f>
        <v>VALOR HORAS NUTRICIÓN ANUALES 2016</v>
      </c>
      <c r="B34" s="103">
        <f>M27</f>
        <v>17</v>
      </c>
      <c r="C34" s="104">
        <f>O27</f>
        <v>51073.666666666672</v>
      </c>
      <c r="D34" s="97"/>
      <c r="E34" s="103"/>
      <c r="F34" s="103"/>
      <c r="G34" s="99"/>
      <c r="H34" s="100"/>
      <c r="I34" s="98"/>
      <c r="J34" s="105"/>
      <c r="K34" s="99"/>
      <c r="L34" s="100"/>
      <c r="M34" s="102"/>
    </row>
    <row r="35" spans="1:14" ht="30.75" thickBot="1" x14ac:dyDescent="0.3">
      <c r="A35" s="139" t="str">
        <f>R1</f>
        <v>VALOR HORAS PSICOLOGÍA ANUALES 2016</v>
      </c>
      <c r="B35" s="103">
        <f>Q27</f>
        <v>0</v>
      </c>
      <c r="C35" s="104">
        <f>R27</f>
        <v>0</v>
      </c>
      <c r="D35" s="97"/>
      <c r="E35" s="103"/>
      <c r="F35" s="103"/>
      <c r="G35" s="99"/>
      <c r="H35" s="100"/>
      <c r="I35" s="98"/>
      <c r="J35" s="105"/>
      <c r="K35" s="99"/>
      <c r="L35" s="100"/>
      <c r="M35" s="102"/>
    </row>
    <row r="36" spans="1:14" x14ac:dyDescent="0.25">
      <c r="A36" s="140" t="s">
        <v>102</v>
      </c>
      <c r="B36" s="103">
        <f>SUM(B37:B38)</f>
        <v>278</v>
      </c>
      <c r="C36" s="104">
        <f>SUM(C37:C38)</f>
        <v>8231246</v>
      </c>
      <c r="D36" s="97"/>
      <c r="E36" s="97"/>
      <c r="F36" s="98"/>
      <c r="G36" s="98"/>
      <c r="H36" s="99"/>
      <c r="I36" s="100"/>
      <c r="J36" s="98"/>
      <c r="K36" s="101"/>
      <c r="L36" s="99"/>
      <c r="M36" s="106"/>
    </row>
    <row r="37" spans="1:14" ht="30" x14ac:dyDescent="0.25">
      <c r="A37" s="138" t="str">
        <f>U1</f>
        <v>VALOR TOTAL MONITORIO PA (3) 2016</v>
      </c>
      <c r="B37" s="103">
        <f>T27</f>
        <v>66</v>
      </c>
      <c r="C37" s="104">
        <f>U27</f>
        <v>240966</v>
      </c>
      <c r="D37" s="107">
        <f>S12</f>
        <v>3651</v>
      </c>
      <c r="E37" s="103">
        <v>60</v>
      </c>
      <c r="F37" s="103">
        <v>6</v>
      </c>
      <c r="G37" s="99">
        <f>F37/(E37+F37)</f>
        <v>9.0909090909090912E-2</v>
      </c>
      <c r="H37" s="100">
        <f>F37*D37</f>
        <v>21906</v>
      </c>
      <c r="I37" s="98"/>
      <c r="J37" s="105"/>
      <c r="K37" s="99"/>
      <c r="L37" s="100"/>
      <c r="M37" s="102"/>
    </row>
    <row r="38" spans="1:14" ht="15.75" thickBot="1" x14ac:dyDescent="0.3">
      <c r="A38" s="139" t="str">
        <f>BA1</f>
        <v>EKG VALOR ANUAL</v>
      </c>
      <c r="B38" s="103">
        <f>AZ27</f>
        <v>212</v>
      </c>
      <c r="C38" s="104">
        <f>BA27</f>
        <v>7990280</v>
      </c>
      <c r="D38" s="107">
        <f>AY19</f>
        <v>37690</v>
      </c>
      <c r="E38" s="103">
        <v>200</v>
      </c>
      <c r="F38" s="103">
        <v>7</v>
      </c>
      <c r="G38" s="99">
        <f t="shared" ref="G38:G57" si="9">F38/(E38+F38)</f>
        <v>3.3816425120772944E-2</v>
      </c>
      <c r="H38" s="100">
        <f t="shared" ref="H38:H48" si="10">F38*D38</f>
        <v>263830</v>
      </c>
      <c r="I38" s="103">
        <v>5</v>
      </c>
      <c r="J38" s="101">
        <v>0</v>
      </c>
      <c r="K38" s="99">
        <f t="shared" ref="K38:K57" si="11">J38/(I38+J38)</f>
        <v>0</v>
      </c>
      <c r="L38" s="100">
        <f t="shared" ref="L38:L50" si="12">J38*D38</f>
        <v>0</v>
      </c>
      <c r="M38" s="94"/>
      <c r="N38" s="32"/>
    </row>
    <row r="39" spans="1:14" x14ac:dyDescent="0.25">
      <c r="A39" s="140" t="s">
        <v>101</v>
      </c>
      <c r="B39" s="103">
        <f>SUM(B40:B53)</f>
        <v>1014</v>
      </c>
      <c r="C39" s="104">
        <f>SUM(C40:C53)</f>
        <v>20176492.208000001</v>
      </c>
      <c r="D39" s="97"/>
      <c r="E39" s="97"/>
      <c r="F39" s="98"/>
      <c r="G39" s="99"/>
      <c r="H39" s="99"/>
      <c r="I39" s="100"/>
      <c r="J39" s="98"/>
      <c r="K39" s="99"/>
      <c r="L39" s="100"/>
      <c r="M39" s="106"/>
    </row>
    <row r="40" spans="1:14" ht="45" x14ac:dyDescent="0.25">
      <c r="A40" s="138" t="str">
        <f>AB1</f>
        <v>CONTROL HEMOGRAMA Y ERITROSEDIMENTACIÓN ANUAL   2016</v>
      </c>
      <c r="B40" s="103"/>
      <c r="C40" s="104">
        <f>AB27</f>
        <v>5449022</v>
      </c>
      <c r="D40" s="97"/>
      <c r="E40" s="103"/>
      <c r="F40" s="103"/>
      <c r="G40" s="99"/>
      <c r="H40" s="100"/>
      <c r="I40" s="98"/>
      <c r="J40" s="105"/>
      <c r="K40" s="99"/>
      <c r="L40" s="100"/>
      <c r="M40" s="102"/>
    </row>
    <row r="41" spans="1:14" x14ac:dyDescent="0.25">
      <c r="A41" s="138" t="s">
        <v>185</v>
      </c>
      <c r="B41" s="103">
        <f>Z27</f>
        <v>282</v>
      </c>
      <c r="C41" s="104">
        <f>AA27</f>
        <v>5379150</v>
      </c>
      <c r="D41" s="107">
        <f>Y12</f>
        <v>19075</v>
      </c>
      <c r="E41" s="103">
        <v>215</v>
      </c>
      <c r="F41" s="103">
        <v>67</v>
      </c>
      <c r="G41" s="99">
        <f t="shared" si="9"/>
        <v>0.23758865248226951</v>
      </c>
      <c r="H41" s="100">
        <f t="shared" si="10"/>
        <v>1278025</v>
      </c>
      <c r="I41" s="98"/>
      <c r="J41" s="105"/>
      <c r="K41" s="99"/>
      <c r="L41" s="100"/>
      <c r="M41" s="94"/>
      <c r="N41" s="32"/>
    </row>
    <row r="42" spans="1:14" x14ac:dyDescent="0.25">
      <c r="A42" s="138" t="s">
        <v>186</v>
      </c>
      <c r="B42" s="103">
        <f>W27</f>
        <v>16</v>
      </c>
      <c r="C42" s="104">
        <f>X27</f>
        <v>69872</v>
      </c>
      <c r="D42" s="107">
        <f>V12</f>
        <v>4367</v>
      </c>
      <c r="E42" s="103">
        <v>14</v>
      </c>
      <c r="F42" s="103">
        <v>2</v>
      </c>
      <c r="G42" s="99">
        <f t="shared" si="9"/>
        <v>0.125</v>
      </c>
      <c r="H42" s="100">
        <f t="shared" si="10"/>
        <v>8734</v>
      </c>
      <c r="I42" s="108"/>
      <c r="J42" s="109"/>
      <c r="K42" s="99"/>
      <c r="L42" s="100"/>
      <c r="M42" s="94"/>
      <c r="N42" s="32"/>
    </row>
    <row r="43" spans="1:14" x14ac:dyDescent="0.25">
      <c r="A43" s="138" t="str">
        <f>AE1</f>
        <v>GLICEMIA BASAL VALOR ANUAL</v>
      </c>
      <c r="B43" s="103">
        <f>AD27</f>
        <v>444</v>
      </c>
      <c r="C43" s="104">
        <f>AE27</f>
        <v>5102004</v>
      </c>
      <c r="D43" s="107">
        <f>AC12</f>
        <v>11491</v>
      </c>
      <c r="E43" s="103">
        <v>216</v>
      </c>
      <c r="F43" s="103">
        <v>94</v>
      </c>
      <c r="G43" s="99">
        <f t="shared" si="9"/>
        <v>0.3032258064516129</v>
      </c>
      <c r="H43" s="100">
        <f t="shared" si="10"/>
        <v>1080154</v>
      </c>
      <c r="I43" s="101">
        <v>32</v>
      </c>
      <c r="J43" s="103">
        <v>86</v>
      </c>
      <c r="K43" s="99">
        <f t="shared" si="11"/>
        <v>0.72881355932203384</v>
      </c>
      <c r="L43" s="100">
        <f t="shared" si="12"/>
        <v>988226</v>
      </c>
      <c r="M43" s="102"/>
    </row>
    <row r="44" spans="1:14" x14ac:dyDescent="0.25">
      <c r="A44" s="138" t="str">
        <f>AR1</f>
        <v>PERFIL LIPIDICO VALOR ANUAL</v>
      </c>
      <c r="B44" s="103"/>
      <c r="C44" s="104"/>
      <c r="D44" s="97"/>
      <c r="E44" s="103"/>
      <c r="F44" s="103"/>
      <c r="G44" s="99"/>
      <c r="H44" s="100"/>
      <c r="I44" s="98"/>
      <c r="J44" s="105"/>
      <c r="K44" s="99"/>
      <c r="L44" s="100"/>
      <c r="M44" s="102"/>
    </row>
    <row r="45" spans="1:14" x14ac:dyDescent="0.25">
      <c r="A45" s="138" t="s">
        <v>187</v>
      </c>
      <c r="B45" s="103">
        <f>AG27</f>
        <v>48</v>
      </c>
      <c r="C45" s="104">
        <f>AH27</f>
        <v>926640</v>
      </c>
      <c r="D45" s="107">
        <f>AF12</f>
        <v>19305</v>
      </c>
      <c r="E45" s="110">
        <v>220</v>
      </c>
      <c r="F45" s="103">
        <v>75</v>
      </c>
      <c r="G45" s="99">
        <f t="shared" si="9"/>
        <v>0.25423728813559321</v>
      </c>
      <c r="H45" s="100">
        <f t="shared" si="10"/>
        <v>1447875</v>
      </c>
      <c r="I45" s="98">
        <v>14</v>
      </c>
      <c r="J45" s="105">
        <v>2</v>
      </c>
      <c r="K45" s="99">
        <f t="shared" si="11"/>
        <v>0.125</v>
      </c>
      <c r="L45" s="100">
        <f t="shared" si="12"/>
        <v>38610</v>
      </c>
      <c r="M45" s="94"/>
      <c r="N45" s="32"/>
    </row>
    <row r="46" spans="1:14" x14ac:dyDescent="0.25">
      <c r="A46" s="138" t="s">
        <v>188</v>
      </c>
      <c r="B46" s="103">
        <f>AJ27</f>
        <v>18</v>
      </c>
      <c r="C46" s="104">
        <f>AK27</f>
        <v>409536</v>
      </c>
      <c r="D46" s="107">
        <f>AI12</f>
        <v>22752</v>
      </c>
      <c r="E46" s="103">
        <v>94</v>
      </c>
      <c r="F46" s="103">
        <v>14</v>
      </c>
      <c r="G46" s="99">
        <f t="shared" si="9"/>
        <v>0.12962962962962962</v>
      </c>
      <c r="H46" s="100">
        <f t="shared" si="10"/>
        <v>318528</v>
      </c>
      <c r="I46" s="98">
        <v>6</v>
      </c>
      <c r="J46" s="105">
        <v>0</v>
      </c>
      <c r="K46" s="99">
        <f t="shared" si="11"/>
        <v>0</v>
      </c>
      <c r="L46" s="100">
        <f t="shared" si="12"/>
        <v>0</v>
      </c>
      <c r="M46" s="94"/>
      <c r="N46" s="32"/>
    </row>
    <row r="47" spans="1:14" x14ac:dyDescent="0.25">
      <c r="A47" s="138" t="s">
        <v>189</v>
      </c>
      <c r="B47" s="103">
        <f>AM19</f>
        <v>32</v>
      </c>
      <c r="C47" s="104">
        <f>AN19</f>
        <v>750112</v>
      </c>
      <c r="D47" s="107">
        <f>AL12</f>
        <v>23441</v>
      </c>
      <c r="E47" s="103">
        <v>219</v>
      </c>
      <c r="F47" s="103">
        <v>72</v>
      </c>
      <c r="G47" s="99">
        <f t="shared" si="9"/>
        <v>0.24742268041237114</v>
      </c>
      <c r="H47" s="100">
        <f t="shared" si="10"/>
        <v>1687752</v>
      </c>
      <c r="I47" s="98">
        <v>13</v>
      </c>
      <c r="J47" s="105">
        <v>2</v>
      </c>
      <c r="K47" s="99">
        <f t="shared" si="11"/>
        <v>0.13333333333333333</v>
      </c>
      <c r="L47" s="100">
        <f t="shared" si="12"/>
        <v>46882</v>
      </c>
      <c r="M47" s="94"/>
      <c r="N47" s="32"/>
    </row>
    <row r="48" spans="1:14" x14ac:dyDescent="0.25">
      <c r="A48" s="138" t="s">
        <v>190</v>
      </c>
      <c r="B48" s="103">
        <f>AP27</f>
        <v>51</v>
      </c>
      <c r="C48" s="104">
        <f>AQ27</f>
        <v>656360.2080000001</v>
      </c>
      <c r="D48" s="107">
        <f>AO12</f>
        <v>12869.808000000001</v>
      </c>
      <c r="E48" s="111">
        <v>218</v>
      </c>
      <c r="F48" s="103">
        <v>71</v>
      </c>
      <c r="G48" s="99">
        <f t="shared" si="9"/>
        <v>0.24567474048442905</v>
      </c>
      <c r="H48" s="100">
        <f t="shared" si="10"/>
        <v>913756.36800000002</v>
      </c>
      <c r="I48" s="98">
        <v>14</v>
      </c>
      <c r="J48" s="105">
        <v>2</v>
      </c>
      <c r="K48" s="99">
        <f t="shared" si="11"/>
        <v>0.125</v>
      </c>
      <c r="L48" s="100">
        <f t="shared" si="12"/>
        <v>25739.616000000002</v>
      </c>
      <c r="M48" s="94"/>
      <c r="N48" s="32"/>
    </row>
    <row r="49" spans="1:62" x14ac:dyDescent="0.25">
      <c r="A49" s="138" t="str">
        <f>AU1</f>
        <v>PARCIAL ORINA VALOR ANUAL</v>
      </c>
      <c r="B49" s="103">
        <f>AT27</f>
        <v>67</v>
      </c>
      <c r="C49" s="104">
        <f>AU27</f>
        <v>816060</v>
      </c>
      <c r="D49" s="107">
        <f>AS12</f>
        <v>12180</v>
      </c>
      <c r="E49" s="111">
        <v>219</v>
      </c>
      <c r="F49" s="103">
        <v>72</v>
      </c>
      <c r="G49" s="99">
        <f t="shared" si="9"/>
        <v>0.24742268041237114</v>
      </c>
      <c r="H49" s="100">
        <f>D49*F49</f>
        <v>876960</v>
      </c>
      <c r="I49" s="98">
        <v>16</v>
      </c>
      <c r="J49" s="105">
        <v>6</v>
      </c>
      <c r="K49" s="99">
        <f t="shared" si="11"/>
        <v>0.27272727272727271</v>
      </c>
      <c r="L49" s="100">
        <f t="shared" si="12"/>
        <v>73080</v>
      </c>
      <c r="M49" s="102"/>
    </row>
    <row r="50" spans="1:62" x14ac:dyDescent="0.25">
      <c r="A50" s="138" t="str">
        <f>AX1</f>
        <v>CREATININA VALOR ANUAL</v>
      </c>
      <c r="B50" s="103">
        <f>AW27</f>
        <v>56</v>
      </c>
      <c r="C50" s="104">
        <f>AX27</f>
        <v>617736</v>
      </c>
      <c r="D50" s="107">
        <f>AV12</f>
        <v>11031</v>
      </c>
      <c r="E50" s="110">
        <v>214</v>
      </c>
      <c r="F50" s="103">
        <v>78</v>
      </c>
      <c r="G50" s="99">
        <f>F47/(E47+F47)</f>
        <v>0.24742268041237114</v>
      </c>
      <c r="H50" s="100">
        <f>F47*D50</f>
        <v>794232</v>
      </c>
      <c r="I50" s="103">
        <v>17</v>
      </c>
      <c r="J50" s="101">
        <v>2</v>
      </c>
      <c r="K50" s="99">
        <f t="shared" si="11"/>
        <v>0.10526315789473684</v>
      </c>
      <c r="L50" s="100">
        <f t="shared" si="12"/>
        <v>22062</v>
      </c>
      <c r="M50" s="102"/>
    </row>
    <row r="51" spans="1:62" ht="30" x14ac:dyDescent="0.25">
      <c r="A51" s="138" t="str">
        <f>BD1</f>
        <v>VALOR PROYECTADO MICROALBUMINURIA ANUAL</v>
      </c>
      <c r="B51" s="103">
        <f>BC27</f>
        <v>0</v>
      </c>
      <c r="C51" s="104">
        <f>BD27</f>
        <v>0</v>
      </c>
      <c r="D51" s="97"/>
      <c r="E51" s="103"/>
      <c r="F51" s="103"/>
      <c r="G51" s="99">
        <f t="shared" ref="G51:G53" si="13">F48/(E48+F48)</f>
        <v>0.24567474048442905</v>
      </c>
      <c r="H51" s="100"/>
      <c r="I51" s="98"/>
      <c r="J51" s="105"/>
      <c r="K51" s="99"/>
      <c r="L51" s="100"/>
    </row>
    <row r="52" spans="1:62" ht="30" x14ac:dyDescent="0.25">
      <c r="A52" s="138" t="str">
        <f>BG1</f>
        <v>HEMOGLOBINA GLICADA VALOR ANUAL</v>
      </c>
      <c r="B52" s="103">
        <f>BF27</f>
        <v>0</v>
      </c>
      <c r="C52" s="104">
        <f>BG27</f>
        <v>0</v>
      </c>
      <c r="D52" s="97"/>
      <c r="E52" s="103"/>
      <c r="F52" s="103"/>
      <c r="G52" s="99">
        <f t="shared" si="13"/>
        <v>0.24742268041237114</v>
      </c>
      <c r="H52" s="100"/>
      <c r="I52" s="98"/>
      <c r="J52" s="105"/>
      <c r="K52" s="99"/>
      <c r="L52" s="100"/>
    </row>
    <row r="53" spans="1:62" ht="30" x14ac:dyDescent="0.25">
      <c r="A53" s="141" t="str">
        <f>BJ1</f>
        <v>TSH VALOR 2016 (Pacientes con DLP)</v>
      </c>
      <c r="B53" s="103">
        <f>BI27</f>
        <v>0</v>
      </c>
      <c r="C53" s="104">
        <f>BJ27</f>
        <v>0</v>
      </c>
      <c r="D53" s="97"/>
      <c r="E53" s="103"/>
      <c r="F53" s="103"/>
      <c r="G53" s="99">
        <f t="shared" si="13"/>
        <v>0.26712328767123289</v>
      </c>
      <c r="H53" s="100"/>
      <c r="I53" s="98"/>
      <c r="J53" s="105"/>
      <c r="K53" s="99"/>
      <c r="L53" s="100"/>
    </row>
    <row r="54" spans="1:62" x14ac:dyDescent="0.25">
      <c r="A54" s="133" t="s">
        <v>103</v>
      </c>
      <c r="B54" s="103"/>
      <c r="C54" s="96"/>
      <c r="D54" s="97"/>
      <c r="E54" s="97"/>
      <c r="F54" s="98"/>
      <c r="G54" s="99"/>
      <c r="H54" s="99"/>
      <c r="I54" s="100"/>
      <c r="J54" s="98"/>
      <c r="K54" s="99"/>
      <c r="L54" s="100"/>
      <c r="M54" s="106"/>
    </row>
    <row r="55" spans="1:62" x14ac:dyDescent="0.25">
      <c r="A55" s="133" t="s">
        <v>111</v>
      </c>
      <c r="B55" s="103"/>
      <c r="C55" s="104">
        <f>B87</f>
        <v>101748930</v>
      </c>
      <c r="D55" s="97"/>
      <c r="E55" s="97"/>
      <c r="F55" s="98"/>
      <c r="G55" s="99"/>
      <c r="H55" s="99"/>
      <c r="I55" s="100"/>
      <c r="J55" s="98"/>
      <c r="K55" s="99"/>
      <c r="L55" s="100"/>
      <c r="M55" s="106"/>
    </row>
    <row r="56" spans="1:62" s="145" customFormat="1" ht="30" x14ac:dyDescent="0.25">
      <c r="A56" s="133" t="s">
        <v>199</v>
      </c>
      <c r="B56" s="103"/>
      <c r="C56" s="104"/>
      <c r="D56" s="97"/>
      <c r="E56" s="109">
        <f>SUM(E41:E50)</f>
        <v>1629</v>
      </c>
      <c r="F56" s="101">
        <f>SUM(F41:F50)</f>
        <v>545</v>
      </c>
      <c r="G56" s="99">
        <f>F56/(E56+F56)</f>
        <v>0.25068997240110397</v>
      </c>
      <c r="H56" s="100">
        <f t="shared" ref="H56:L56" si="14">SUM(H41:H50)</f>
        <v>8406016.3680000007</v>
      </c>
      <c r="I56" s="109">
        <f t="shared" si="14"/>
        <v>112</v>
      </c>
      <c r="J56" s="101">
        <f t="shared" si="14"/>
        <v>100</v>
      </c>
      <c r="K56" s="148">
        <f>J56/(I56+J56)</f>
        <v>0.47169811320754718</v>
      </c>
      <c r="L56" s="100">
        <f t="shared" si="14"/>
        <v>1194599.6159999999</v>
      </c>
      <c r="M56" s="18">
        <f>SUM(H56+L56)</f>
        <v>9600615.9840000011</v>
      </c>
      <c r="N56" s="25"/>
      <c r="O56" s="18"/>
      <c r="P56" s="18"/>
      <c r="Q56" s="30"/>
      <c r="R56" s="18"/>
      <c r="S56" s="18"/>
      <c r="T56" s="18"/>
      <c r="U56" s="18"/>
      <c r="V56" s="18"/>
      <c r="W56" s="18"/>
      <c r="X56" s="18"/>
      <c r="Y56" s="18"/>
      <c r="Z56" s="18"/>
      <c r="AA56" s="12"/>
      <c r="AB56" s="18"/>
      <c r="AC56" s="18"/>
      <c r="AD56" s="12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2"/>
      <c r="AU56" s="18"/>
      <c r="AV56" s="18"/>
      <c r="AW56" s="12"/>
      <c r="AX56" s="18"/>
      <c r="AY56" s="18"/>
      <c r="AZ56" s="12"/>
      <c r="BA56" s="18"/>
      <c r="BB56" s="18"/>
      <c r="BC56" s="12"/>
      <c r="BD56" s="18"/>
      <c r="BE56" s="18"/>
      <c r="BF56" s="12"/>
      <c r="BG56" s="18"/>
      <c r="BH56" s="18"/>
      <c r="BI56" s="18"/>
      <c r="BJ56" s="18"/>
    </row>
    <row r="57" spans="1:62" x14ac:dyDescent="0.25">
      <c r="A57" s="133" t="s">
        <v>191</v>
      </c>
      <c r="B57" s="103">
        <v>255</v>
      </c>
      <c r="C57" s="104">
        <f>SUM(C31+C36+C39+C54+C55)</f>
        <v>138350668.87466666</v>
      </c>
      <c r="D57" s="97"/>
      <c r="E57" s="105">
        <f>SUM(E31:E55)</f>
        <v>1889</v>
      </c>
      <c r="F57" s="105">
        <f t="shared" ref="F57:L57" si="15">SUM(F31:F55)</f>
        <v>558</v>
      </c>
      <c r="G57" s="99">
        <f t="shared" si="9"/>
        <v>0.22803432774826318</v>
      </c>
      <c r="H57" s="104">
        <f t="shared" si="15"/>
        <v>8691752.3680000007</v>
      </c>
      <c r="I57" s="105">
        <f t="shared" si="15"/>
        <v>117</v>
      </c>
      <c r="J57" s="105">
        <f t="shared" si="15"/>
        <v>100</v>
      </c>
      <c r="K57" s="99">
        <f t="shared" si="11"/>
        <v>0.46082949308755761</v>
      </c>
      <c r="L57" s="100">
        <f t="shared" si="15"/>
        <v>1194599.6159999999</v>
      </c>
      <c r="M57" s="102"/>
    </row>
    <row r="60" spans="1:62" x14ac:dyDescent="0.25">
      <c r="A60" s="151" t="s">
        <v>200</v>
      </c>
      <c r="B60" s="151" t="s">
        <v>201</v>
      </c>
    </row>
    <row r="61" spans="1:62" x14ac:dyDescent="0.25">
      <c r="A61" s="152" t="s">
        <v>202</v>
      </c>
      <c r="B61" s="153">
        <v>5056159</v>
      </c>
    </row>
    <row r="62" spans="1:62" x14ac:dyDescent="0.25">
      <c r="A62" s="152" t="s">
        <v>203</v>
      </c>
      <c r="B62" s="153">
        <v>3847864</v>
      </c>
    </row>
    <row r="63" spans="1:62" x14ac:dyDescent="0.25">
      <c r="A63" s="152" t="s">
        <v>204</v>
      </c>
      <c r="B63" s="153">
        <v>3102874</v>
      </c>
    </row>
    <row r="64" spans="1:62" x14ac:dyDescent="0.25">
      <c r="A64" s="152" t="s">
        <v>205</v>
      </c>
      <c r="B64" s="153">
        <v>4800404</v>
      </c>
    </row>
    <row r="65" spans="1:2" x14ac:dyDescent="0.25">
      <c r="A65" s="152" t="s">
        <v>206</v>
      </c>
      <c r="B65" s="153">
        <v>4347728</v>
      </c>
    </row>
    <row r="66" spans="1:2" x14ac:dyDescent="0.25">
      <c r="A66" s="152" t="s">
        <v>207</v>
      </c>
      <c r="B66" s="153">
        <v>12950860</v>
      </c>
    </row>
    <row r="67" spans="1:2" x14ac:dyDescent="0.25">
      <c r="A67" s="152" t="s">
        <v>208</v>
      </c>
      <c r="B67" s="153">
        <v>246817</v>
      </c>
    </row>
    <row r="68" spans="1:2" x14ac:dyDescent="0.25">
      <c r="A68" s="152" t="s">
        <v>209</v>
      </c>
      <c r="B68" s="153">
        <v>635356</v>
      </c>
    </row>
    <row r="69" spans="1:2" x14ac:dyDescent="0.25">
      <c r="A69" s="152" t="s">
        <v>210</v>
      </c>
      <c r="B69" s="153">
        <v>1552261</v>
      </c>
    </row>
    <row r="70" spans="1:2" x14ac:dyDescent="0.25">
      <c r="A70" s="152" t="s">
        <v>211</v>
      </c>
      <c r="B70" s="153">
        <v>15341067</v>
      </c>
    </row>
    <row r="71" spans="1:2" x14ac:dyDescent="0.25">
      <c r="A71" s="152" t="s">
        <v>212</v>
      </c>
      <c r="B71" s="153">
        <v>3403123</v>
      </c>
    </row>
    <row r="72" spans="1:2" x14ac:dyDescent="0.25">
      <c r="A72" s="152" t="s">
        <v>213</v>
      </c>
      <c r="B72" s="153">
        <v>1511825</v>
      </c>
    </row>
    <row r="73" spans="1:2" x14ac:dyDescent="0.25">
      <c r="A73" s="152" t="s">
        <v>214</v>
      </c>
      <c r="B73" s="153">
        <v>472797</v>
      </c>
    </row>
    <row r="74" spans="1:2" x14ac:dyDescent="0.25">
      <c r="A74" s="152" t="s">
        <v>215</v>
      </c>
      <c r="B74" s="153">
        <v>16848256</v>
      </c>
    </row>
    <row r="75" spans="1:2" x14ac:dyDescent="0.25">
      <c r="A75" s="152" t="s">
        <v>216</v>
      </c>
      <c r="B75" s="153">
        <v>11521873</v>
      </c>
    </row>
    <row r="76" spans="1:2" x14ac:dyDescent="0.25">
      <c r="A76" s="152" t="s">
        <v>217</v>
      </c>
      <c r="B76" s="153">
        <v>403533</v>
      </c>
    </row>
    <row r="77" spans="1:2" x14ac:dyDescent="0.25">
      <c r="A77" s="152" t="s">
        <v>218</v>
      </c>
      <c r="B77" s="153">
        <v>122342</v>
      </c>
    </row>
    <row r="78" spans="1:2" x14ac:dyDescent="0.25">
      <c r="A78" s="152" t="s">
        <v>219</v>
      </c>
      <c r="B78" s="153">
        <v>7054293</v>
      </c>
    </row>
    <row r="79" spans="1:2" x14ac:dyDescent="0.25">
      <c r="A79" s="152" t="s">
        <v>220</v>
      </c>
      <c r="B79" s="153">
        <v>95294</v>
      </c>
    </row>
    <row r="80" spans="1:2" x14ac:dyDescent="0.25">
      <c r="A80" s="152" t="s">
        <v>221</v>
      </c>
      <c r="B80" s="153">
        <v>3651787</v>
      </c>
    </row>
    <row r="81" spans="1:2" x14ac:dyDescent="0.25">
      <c r="A81" s="152" t="s">
        <v>222</v>
      </c>
      <c r="B81" s="153">
        <v>457365</v>
      </c>
    </row>
    <row r="82" spans="1:2" x14ac:dyDescent="0.25">
      <c r="A82" s="152" t="s">
        <v>223</v>
      </c>
      <c r="B82" s="153">
        <v>1074448</v>
      </c>
    </row>
    <row r="83" spans="1:2" x14ac:dyDescent="0.25">
      <c r="A83" s="152" t="s">
        <v>224</v>
      </c>
      <c r="B83" s="153">
        <v>814994</v>
      </c>
    </row>
    <row r="84" spans="1:2" x14ac:dyDescent="0.25">
      <c r="A84" s="152" t="s">
        <v>225</v>
      </c>
      <c r="B84" s="153">
        <v>86390</v>
      </c>
    </row>
    <row r="85" spans="1:2" x14ac:dyDescent="0.25">
      <c r="A85" s="152" t="s">
        <v>226</v>
      </c>
      <c r="B85" s="153">
        <v>1230868</v>
      </c>
    </row>
    <row r="86" spans="1:2" x14ac:dyDescent="0.25">
      <c r="A86" s="152" t="s">
        <v>227</v>
      </c>
      <c r="B86" s="153">
        <v>1118352</v>
      </c>
    </row>
    <row r="87" spans="1:2" x14ac:dyDescent="0.25">
      <c r="A87" s="154" t="s">
        <v>228</v>
      </c>
      <c r="B87" s="155">
        <f>SUM(B61:B86)</f>
        <v>101748930</v>
      </c>
    </row>
  </sheetData>
  <autoFilter ref="A1:BJ27"/>
  <mergeCells count="6">
    <mergeCell ref="I29:L29"/>
    <mergeCell ref="A29:A30"/>
    <mergeCell ref="B29:B30"/>
    <mergeCell ref="C29:C30"/>
    <mergeCell ref="D29:D30"/>
    <mergeCell ref="E29:H2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C30" sqref="C30"/>
    </sheetView>
  </sheetViews>
  <sheetFormatPr baseColWidth="10" defaultRowHeight="15" x14ac:dyDescent="0.25"/>
  <cols>
    <col min="1" max="1" width="40.28515625" customWidth="1"/>
    <col min="2" max="2" width="13.42578125" customWidth="1"/>
    <col min="4" max="4" width="13.42578125" customWidth="1"/>
    <col min="6" max="6" width="59.28515625" customWidth="1"/>
    <col min="7" max="7" width="14" customWidth="1"/>
    <col min="8" max="9" width="12.42578125" style="145" customWidth="1"/>
    <col min="10" max="10" width="16.7109375" style="145" customWidth="1"/>
    <col min="11" max="11" width="20.42578125" customWidth="1"/>
    <col min="12" max="12" width="22.7109375" customWidth="1"/>
    <col min="13" max="13" width="20.140625" customWidth="1"/>
  </cols>
  <sheetData>
    <row r="1" spans="1:13" ht="60" x14ac:dyDescent="0.25">
      <c r="A1" s="92" t="s">
        <v>4</v>
      </c>
      <c r="B1" s="13" t="s">
        <v>46</v>
      </c>
      <c r="C1" s="91" t="s">
        <v>134</v>
      </c>
      <c r="D1" s="92" t="s">
        <v>196</v>
      </c>
      <c r="F1" s="162" t="s">
        <v>127</v>
      </c>
      <c r="G1" s="160" t="s">
        <v>197</v>
      </c>
      <c r="H1" s="160" t="s">
        <v>198</v>
      </c>
      <c r="I1" s="160" t="s">
        <v>196</v>
      </c>
      <c r="J1" s="160" t="s">
        <v>229</v>
      </c>
      <c r="K1" s="160" t="s">
        <v>231</v>
      </c>
      <c r="L1" s="160" t="s">
        <v>232</v>
      </c>
      <c r="M1" s="160" t="s">
        <v>196</v>
      </c>
    </row>
    <row r="2" spans="1:13" x14ac:dyDescent="0.25">
      <c r="A2" s="4" t="s">
        <v>0</v>
      </c>
      <c r="B2" s="21">
        <v>123.09574468085107</v>
      </c>
      <c r="C2" s="21">
        <v>87</v>
      </c>
      <c r="D2" s="125">
        <f>B2-C2</f>
        <v>36.09574468085107</v>
      </c>
      <c r="F2" s="156" t="s">
        <v>76</v>
      </c>
      <c r="G2" s="167">
        <v>1842.489361702128</v>
      </c>
      <c r="H2" s="171">
        <v>1333</v>
      </c>
      <c r="I2" s="167">
        <f>H2-G2</f>
        <v>-509.48936170212801</v>
      </c>
      <c r="J2" s="165">
        <f>H2/G2</f>
        <v>0.72347771862766597</v>
      </c>
      <c r="K2" s="168">
        <v>10336508.107801419</v>
      </c>
      <c r="L2" s="166">
        <v>8194000.666666667</v>
      </c>
      <c r="M2" s="168">
        <f>L2-K2</f>
        <v>-2142507.4411347518</v>
      </c>
    </row>
    <row r="3" spans="1:13" x14ac:dyDescent="0.25">
      <c r="A3" s="4" t="s">
        <v>1</v>
      </c>
      <c r="B3" s="21">
        <v>189.59574468085108</v>
      </c>
      <c r="C3" s="21">
        <v>134</v>
      </c>
      <c r="D3" s="125">
        <f t="shared" ref="D3:D24" si="0">B3-C3</f>
        <v>55.595744680851084</v>
      </c>
      <c r="F3" s="169" t="s">
        <v>33</v>
      </c>
      <c r="G3" s="167">
        <v>1206.1829787234044</v>
      </c>
      <c r="H3" s="167">
        <v>1301</v>
      </c>
      <c r="I3" s="167">
        <f t="shared" ref="I3:I24" si="1">H3-G3</f>
        <v>94.817021276595597</v>
      </c>
      <c r="J3" s="165">
        <f t="shared" ref="J3:J29" si="2">H3/G3</f>
        <v>1.0786091521345689</v>
      </c>
      <c r="K3" s="168">
        <v>7198832.6042553186</v>
      </c>
      <c r="L3" s="166">
        <v>8083152</v>
      </c>
      <c r="M3" s="168">
        <f t="shared" ref="M3:M27" si="3">L3-K3</f>
        <v>884319.39574468136</v>
      </c>
    </row>
    <row r="4" spans="1:13" x14ac:dyDescent="0.25">
      <c r="A4" s="4" t="s">
        <v>2</v>
      </c>
      <c r="B4" s="21">
        <v>50</v>
      </c>
      <c r="C4" s="21">
        <v>35</v>
      </c>
      <c r="D4" s="125">
        <f t="shared" si="0"/>
        <v>15</v>
      </c>
      <c r="F4" s="170" t="s">
        <v>35</v>
      </c>
      <c r="G4" s="167">
        <v>500.30638297872349</v>
      </c>
      <c r="H4" s="167">
        <v>15</v>
      </c>
      <c r="I4" s="167">
        <f t="shared" si="1"/>
        <v>-485.30638297872349</v>
      </c>
      <c r="J4" s="165">
        <f t="shared" si="2"/>
        <v>2.9981628278841897E-2</v>
      </c>
      <c r="K4" s="168">
        <v>2492151.1702127662</v>
      </c>
      <c r="L4" s="166">
        <v>59775</v>
      </c>
      <c r="M4" s="168">
        <f t="shared" si="3"/>
        <v>-2432376.1702127662</v>
      </c>
    </row>
    <row r="5" spans="1:13" x14ac:dyDescent="0.25">
      <c r="A5" s="4" t="s">
        <v>3</v>
      </c>
      <c r="B5" s="21"/>
      <c r="C5" s="21">
        <v>7</v>
      </c>
      <c r="D5" s="125">
        <f t="shared" si="0"/>
        <v>-7</v>
      </c>
      <c r="F5" s="170" t="s">
        <v>82</v>
      </c>
      <c r="G5" s="167">
        <v>121</v>
      </c>
      <c r="H5" s="167">
        <v>17</v>
      </c>
      <c r="I5" s="167">
        <f t="shared" si="1"/>
        <v>-104</v>
      </c>
      <c r="J5" s="165">
        <f t="shared" si="2"/>
        <v>0.14049586776859505</v>
      </c>
      <c r="K5" s="168">
        <v>363524.33333333331</v>
      </c>
      <c r="L5" s="166">
        <v>51073.666666666672</v>
      </c>
      <c r="M5" s="168">
        <f t="shared" si="3"/>
        <v>-312450.66666666663</v>
      </c>
    </row>
    <row r="6" spans="1:13" x14ac:dyDescent="0.25">
      <c r="A6" s="4" t="s">
        <v>48</v>
      </c>
      <c r="B6" s="21">
        <v>26.882978723404257</v>
      </c>
      <c r="C6" s="21">
        <v>19</v>
      </c>
      <c r="D6" s="125">
        <f t="shared" si="0"/>
        <v>7.882978723404257</v>
      </c>
      <c r="F6" s="170" t="s">
        <v>84</v>
      </c>
      <c r="G6" s="167">
        <v>15</v>
      </c>
      <c r="H6" s="167">
        <v>0</v>
      </c>
      <c r="I6" s="167">
        <f t="shared" si="1"/>
        <v>-15</v>
      </c>
      <c r="J6" s="165">
        <f t="shared" si="2"/>
        <v>0</v>
      </c>
      <c r="K6" s="168">
        <v>282000</v>
      </c>
      <c r="L6" s="166">
        <v>0</v>
      </c>
      <c r="M6" s="168">
        <f t="shared" si="3"/>
        <v>-282000</v>
      </c>
    </row>
    <row r="7" spans="1:13" x14ac:dyDescent="0.25">
      <c r="A7" s="4" t="s">
        <v>47</v>
      </c>
      <c r="B7" s="21">
        <f>SUM(B2:B6)</f>
        <v>389.57446808510645</v>
      </c>
      <c r="C7" s="73">
        <v>282</v>
      </c>
      <c r="D7" s="125">
        <f t="shared" si="0"/>
        <v>107.57446808510645</v>
      </c>
      <c r="F7" s="164" t="s">
        <v>102</v>
      </c>
      <c r="G7" s="167">
        <v>461.69148936170217</v>
      </c>
      <c r="H7" s="167">
        <v>278</v>
      </c>
      <c r="I7" s="167">
        <f t="shared" si="1"/>
        <v>-183.69148936170217</v>
      </c>
      <c r="J7" s="165">
        <f t="shared" si="2"/>
        <v>0.60213368971635284</v>
      </c>
      <c r="K7" s="168">
        <v>15256695.234042555</v>
      </c>
      <c r="L7" s="166">
        <v>8231246</v>
      </c>
      <c r="M7" s="168">
        <f t="shared" si="3"/>
        <v>-7025449.2340425551</v>
      </c>
    </row>
    <row r="8" spans="1:13" x14ac:dyDescent="0.25">
      <c r="A8" s="4" t="s">
        <v>42</v>
      </c>
      <c r="B8" s="21">
        <v>16.8</v>
      </c>
      <c r="C8" s="5">
        <v>17</v>
      </c>
      <c r="D8" s="125">
        <f t="shared" si="0"/>
        <v>-0.19999999999999929</v>
      </c>
      <c r="F8" s="170" t="s">
        <v>37</v>
      </c>
      <c r="G8" s="167">
        <v>63.000000000000007</v>
      </c>
      <c r="H8" s="167">
        <v>66</v>
      </c>
      <c r="I8" s="167">
        <f t="shared" si="1"/>
        <v>2.9999999999999929</v>
      </c>
      <c r="J8" s="165">
        <f t="shared" si="2"/>
        <v>1.0476190476190474</v>
      </c>
      <c r="K8" s="168">
        <v>230013</v>
      </c>
      <c r="L8" s="166">
        <v>240966</v>
      </c>
      <c r="M8" s="168">
        <f t="shared" si="3"/>
        <v>10953</v>
      </c>
    </row>
    <row r="9" spans="1:13" x14ac:dyDescent="0.25">
      <c r="A9" s="4" t="s">
        <v>15</v>
      </c>
      <c r="B9" s="21">
        <v>4.2</v>
      </c>
      <c r="C9" s="5">
        <v>4</v>
      </c>
      <c r="D9" s="125">
        <f t="shared" si="0"/>
        <v>0.20000000000000018</v>
      </c>
      <c r="F9" s="170" t="s">
        <v>23</v>
      </c>
      <c r="G9" s="167">
        <v>398.69148936170217</v>
      </c>
      <c r="H9" s="167">
        <v>212</v>
      </c>
      <c r="I9" s="167">
        <f t="shared" si="1"/>
        <v>-186.69148936170217</v>
      </c>
      <c r="J9" s="165">
        <f t="shared" si="2"/>
        <v>0.53173946687301543</v>
      </c>
      <c r="K9" s="168">
        <v>15026682.234042555</v>
      </c>
      <c r="L9" s="166">
        <v>7990280</v>
      </c>
      <c r="M9" s="168">
        <f t="shared" si="3"/>
        <v>-7036402.2340425551</v>
      </c>
    </row>
    <row r="10" spans="1:13" x14ac:dyDescent="0.25">
      <c r="A10" s="4" t="s">
        <v>49</v>
      </c>
      <c r="B10" s="21">
        <v>21</v>
      </c>
      <c r="C10" s="5">
        <v>21</v>
      </c>
      <c r="D10" s="125">
        <f t="shared" si="0"/>
        <v>0</v>
      </c>
      <c r="F10" s="164" t="s">
        <v>101</v>
      </c>
      <c r="G10" s="167">
        <f>SUM(G11:G24)</f>
        <v>4091.9148936170218</v>
      </c>
      <c r="H10" s="167">
        <f>SUM(H11:H24)</f>
        <v>1014</v>
      </c>
      <c r="I10" s="167">
        <f t="shared" si="1"/>
        <v>-3077.9148936170218</v>
      </c>
      <c r="J10" s="165">
        <f t="shared" si="2"/>
        <v>0.24780574043261228</v>
      </c>
      <c r="K10" s="168">
        <f>SUM(K12:K24)</f>
        <v>63977504.600170225</v>
      </c>
      <c r="L10" s="168">
        <f>SUM(L12:L24)</f>
        <v>14727470.208000001</v>
      </c>
      <c r="M10" s="168">
        <f t="shared" si="3"/>
        <v>-49250034.392170221</v>
      </c>
    </row>
    <row r="11" spans="1:13" x14ac:dyDescent="0.25">
      <c r="A11" s="134" t="s">
        <v>53</v>
      </c>
      <c r="B11" s="21">
        <v>399</v>
      </c>
      <c r="C11" s="21">
        <v>303</v>
      </c>
      <c r="D11" s="125">
        <f t="shared" si="0"/>
        <v>96</v>
      </c>
      <c r="F11" s="170" t="s">
        <v>151</v>
      </c>
      <c r="G11" s="167"/>
      <c r="H11" s="167"/>
      <c r="I11" s="167"/>
      <c r="J11" s="165"/>
      <c r="K11" s="168"/>
      <c r="L11" s="166"/>
      <c r="M11" s="168"/>
    </row>
    <row r="12" spans="1:13" x14ac:dyDescent="0.25">
      <c r="A12" s="134" t="s">
        <v>5</v>
      </c>
      <c r="B12" s="21">
        <v>0</v>
      </c>
      <c r="C12" s="21">
        <v>20</v>
      </c>
      <c r="D12" s="125">
        <f t="shared" si="0"/>
        <v>-20</v>
      </c>
      <c r="F12" s="170" t="s">
        <v>185</v>
      </c>
      <c r="G12" s="167">
        <v>398.69148936170217</v>
      </c>
      <c r="H12" s="167">
        <v>282</v>
      </c>
      <c r="I12" s="167">
        <f t="shared" si="1"/>
        <v>-116.69148936170217</v>
      </c>
      <c r="J12" s="165">
        <f t="shared" si="2"/>
        <v>0.70731381914240732</v>
      </c>
      <c r="K12" s="168">
        <f>G12*'COSTOS REALES DLS'!D41</f>
        <v>7605040.1595744686</v>
      </c>
      <c r="L12" s="166">
        <v>5379150</v>
      </c>
      <c r="M12" s="168">
        <f t="shared" si="3"/>
        <v>-2225890.1595744686</v>
      </c>
    </row>
    <row r="13" spans="1:13" x14ac:dyDescent="0.25">
      <c r="A13" s="134" t="s">
        <v>6</v>
      </c>
      <c r="B13" s="21">
        <v>0</v>
      </c>
      <c r="C13" s="21">
        <v>0</v>
      </c>
      <c r="D13" s="125">
        <f t="shared" si="0"/>
        <v>0</v>
      </c>
      <c r="F13" s="170" t="s">
        <v>186</v>
      </c>
      <c r="G13" s="167">
        <v>398.69148936170217</v>
      </c>
      <c r="H13" s="167">
        <v>16</v>
      </c>
      <c r="I13" s="167">
        <f t="shared" si="1"/>
        <v>-382.69148936170217</v>
      </c>
      <c r="J13" s="165">
        <f t="shared" si="2"/>
        <v>4.0131280518718143E-2</v>
      </c>
      <c r="K13" s="168">
        <f>G13*'COSTOS REALES DLS'!D42</f>
        <v>1741085.7340425535</v>
      </c>
      <c r="L13" s="166">
        <v>69872</v>
      </c>
      <c r="M13" s="168">
        <f t="shared" si="3"/>
        <v>-1671213.7340425535</v>
      </c>
    </row>
    <row r="14" spans="1:13" x14ac:dyDescent="0.25">
      <c r="A14" s="134" t="s">
        <v>51</v>
      </c>
      <c r="B14" s="21">
        <v>17</v>
      </c>
      <c r="C14" s="5">
        <v>20</v>
      </c>
      <c r="D14" s="125">
        <f t="shared" si="0"/>
        <v>-3</v>
      </c>
      <c r="F14" s="170" t="s">
        <v>17</v>
      </c>
      <c r="G14" s="167">
        <v>443.69148936170217</v>
      </c>
      <c r="H14" s="167">
        <v>444</v>
      </c>
      <c r="I14" s="167">
        <f t="shared" si="1"/>
        <v>0.30851063829783243</v>
      </c>
      <c r="J14" s="165">
        <f t="shared" si="2"/>
        <v>1.0006953269235379</v>
      </c>
      <c r="K14" s="168">
        <v>5098458.9042553194</v>
      </c>
      <c r="L14" s="166">
        <v>5102004</v>
      </c>
      <c r="M14" s="168">
        <f t="shared" si="3"/>
        <v>3545.0957446806133</v>
      </c>
    </row>
    <row r="15" spans="1:13" x14ac:dyDescent="0.25">
      <c r="A15" s="134" t="s">
        <v>43</v>
      </c>
      <c r="B15" s="21">
        <v>12</v>
      </c>
      <c r="C15" s="21">
        <v>12</v>
      </c>
      <c r="D15" s="125">
        <f t="shared" si="0"/>
        <v>0</v>
      </c>
      <c r="F15" s="170" t="s">
        <v>18</v>
      </c>
      <c r="G15" s="167"/>
      <c r="H15" s="167"/>
      <c r="I15" s="167"/>
      <c r="J15" s="165"/>
      <c r="K15" s="168"/>
      <c r="L15" s="166"/>
      <c r="M15" s="168"/>
    </row>
    <row r="16" spans="1:13" x14ac:dyDescent="0.25">
      <c r="A16" s="134" t="s">
        <v>16</v>
      </c>
      <c r="B16" s="21">
        <v>3</v>
      </c>
      <c r="C16" s="21">
        <v>3</v>
      </c>
      <c r="D16" s="125">
        <f t="shared" si="0"/>
        <v>0</v>
      </c>
      <c r="F16" s="170" t="s">
        <v>187</v>
      </c>
      <c r="G16" s="167">
        <v>398.69148936170217</v>
      </c>
      <c r="H16" s="167">
        <v>48</v>
      </c>
      <c r="I16" s="167">
        <f t="shared" si="1"/>
        <v>-350.69148936170217</v>
      </c>
      <c r="J16" s="165">
        <f t="shared" si="2"/>
        <v>0.12039384155615443</v>
      </c>
      <c r="K16" s="168">
        <f>G16*'COSTOS REALES DLS'!D45</f>
        <v>7696739.2021276606</v>
      </c>
      <c r="L16" s="166">
        <v>926640</v>
      </c>
      <c r="M16" s="168">
        <f t="shared" si="3"/>
        <v>-6770099.2021276606</v>
      </c>
    </row>
    <row r="17" spans="1:13" x14ac:dyDescent="0.25">
      <c r="A17" s="134" t="s">
        <v>50</v>
      </c>
      <c r="B17" s="21">
        <v>15</v>
      </c>
      <c r="C17" s="5">
        <v>15</v>
      </c>
      <c r="D17" s="125">
        <f t="shared" si="0"/>
        <v>0</v>
      </c>
      <c r="F17" s="170" t="s">
        <v>188</v>
      </c>
      <c r="G17" s="167">
        <v>398.69148936170217</v>
      </c>
      <c r="H17" s="167">
        <v>18</v>
      </c>
      <c r="I17" s="167">
        <f t="shared" si="1"/>
        <v>-380.69148936170217</v>
      </c>
      <c r="J17" s="165">
        <f t="shared" si="2"/>
        <v>4.5147690583557908E-2</v>
      </c>
      <c r="K17" s="168">
        <f>G17*'COSTOS REALES DLS'!D46</f>
        <v>9071028.7659574486</v>
      </c>
      <c r="L17" s="166">
        <v>409536</v>
      </c>
      <c r="M17" s="168">
        <f t="shared" si="3"/>
        <v>-8661492.7659574486</v>
      </c>
    </row>
    <row r="18" spans="1:13" x14ac:dyDescent="0.25">
      <c r="A18" s="134" t="s">
        <v>55</v>
      </c>
      <c r="B18" s="21">
        <v>32</v>
      </c>
      <c r="C18" s="21">
        <v>35</v>
      </c>
      <c r="D18" s="125">
        <f t="shared" si="0"/>
        <v>-3</v>
      </c>
      <c r="F18" s="170" t="s">
        <v>189</v>
      </c>
      <c r="G18" s="167">
        <v>398.69148936170217</v>
      </c>
      <c r="H18" s="167">
        <v>32</v>
      </c>
      <c r="I18" s="167">
        <f t="shared" si="1"/>
        <v>-366.69148936170217</v>
      </c>
      <c r="J18" s="165">
        <f t="shared" si="2"/>
        <v>8.0262561037436286E-2</v>
      </c>
      <c r="K18" s="168">
        <f>G18*'COSTOS REALES DLS'!D47</f>
        <v>9345727.2021276597</v>
      </c>
      <c r="L18" s="166">
        <v>750112</v>
      </c>
      <c r="M18" s="168">
        <f t="shared" si="3"/>
        <v>-8595615.2021276597</v>
      </c>
    </row>
    <row r="19" spans="1:13" x14ac:dyDescent="0.25">
      <c r="A19" s="134" t="s">
        <v>57</v>
      </c>
      <c r="B19" s="21"/>
      <c r="C19" s="21">
        <v>86</v>
      </c>
      <c r="D19" s="125">
        <f t="shared" si="0"/>
        <v>-86</v>
      </c>
      <c r="F19" s="170" t="s">
        <v>190</v>
      </c>
      <c r="G19" s="167">
        <v>398.69148936170217</v>
      </c>
      <c r="H19" s="167">
        <v>51</v>
      </c>
      <c r="I19" s="167">
        <f t="shared" si="1"/>
        <v>-347.69148936170217</v>
      </c>
      <c r="J19" s="165">
        <f t="shared" si="2"/>
        <v>0.12791845665341409</v>
      </c>
      <c r="K19" s="168">
        <f>G19*'COSTOS REALES DLS'!D48</f>
        <v>5131082.91931915</v>
      </c>
      <c r="L19" s="166">
        <v>656360.2080000001</v>
      </c>
      <c r="M19" s="168">
        <f t="shared" si="3"/>
        <v>-4474722.7113191504</v>
      </c>
    </row>
    <row r="20" spans="1:13" x14ac:dyDescent="0.25">
      <c r="A20" s="134" t="s">
        <v>58</v>
      </c>
      <c r="B20" s="21"/>
      <c r="C20" s="5">
        <v>15</v>
      </c>
      <c r="D20" s="125">
        <f t="shared" si="0"/>
        <v>-15</v>
      </c>
      <c r="F20" s="170" t="s">
        <v>20</v>
      </c>
      <c r="G20" s="167">
        <v>398.69148936170217</v>
      </c>
      <c r="H20" s="167">
        <v>67</v>
      </c>
      <c r="I20" s="167">
        <f t="shared" si="1"/>
        <v>-331.69148936170217</v>
      </c>
      <c r="J20" s="165">
        <f t="shared" si="2"/>
        <v>0.16804973717213223</v>
      </c>
      <c r="K20" s="166">
        <v>4856062.3404255323</v>
      </c>
      <c r="L20" s="166">
        <v>816060</v>
      </c>
      <c r="M20" s="168">
        <f t="shared" si="3"/>
        <v>-4040002.3404255323</v>
      </c>
    </row>
    <row r="21" spans="1:13" x14ac:dyDescent="0.25">
      <c r="A21" s="134" t="s">
        <v>85</v>
      </c>
      <c r="B21" s="21"/>
      <c r="C21" s="81">
        <v>101</v>
      </c>
      <c r="D21" s="125">
        <f t="shared" si="0"/>
        <v>-101</v>
      </c>
      <c r="F21" s="170" t="s">
        <v>77</v>
      </c>
      <c r="G21" s="167">
        <v>398.69148936170217</v>
      </c>
      <c r="H21" s="167">
        <v>56</v>
      </c>
      <c r="I21" s="167">
        <f t="shared" si="1"/>
        <v>-342.69148936170217</v>
      </c>
      <c r="J21" s="165">
        <f t="shared" si="2"/>
        <v>0.14045948181551349</v>
      </c>
      <c r="K21" s="166">
        <v>4397965.8191489363</v>
      </c>
      <c r="L21" s="166">
        <v>617736</v>
      </c>
      <c r="M21" s="168">
        <f t="shared" si="3"/>
        <v>-3780229.8191489363</v>
      </c>
    </row>
    <row r="22" spans="1:13" ht="17.25" customHeight="1" x14ac:dyDescent="0.25">
      <c r="A22" s="135" t="s">
        <v>29</v>
      </c>
      <c r="B22" s="14">
        <v>0</v>
      </c>
      <c r="C22" s="14">
        <v>0</v>
      </c>
      <c r="D22" s="125">
        <f t="shared" si="0"/>
        <v>0</v>
      </c>
      <c r="F22" s="170" t="s">
        <v>44</v>
      </c>
      <c r="G22" s="167">
        <v>398.69148936170217</v>
      </c>
      <c r="H22" s="167">
        <v>0</v>
      </c>
      <c r="I22" s="167">
        <f t="shared" si="1"/>
        <v>-398.69148936170217</v>
      </c>
      <c r="J22" s="165">
        <f t="shared" si="2"/>
        <v>0</v>
      </c>
      <c r="K22" s="166">
        <v>7862993.5531914905</v>
      </c>
      <c r="L22" s="166">
        <v>0</v>
      </c>
      <c r="M22" s="168">
        <f t="shared" si="3"/>
        <v>-7862993.5531914905</v>
      </c>
    </row>
    <row r="23" spans="1:13" ht="20.25" customHeight="1" x14ac:dyDescent="0.25">
      <c r="A23" s="135" t="s">
        <v>93</v>
      </c>
      <c r="B23" s="14">
        <v>106</v>
      </c>
      <c r="C23" s="14">
        <v>0</v>
      </c>
      <c r="D23" s="8">
        <f t="shared" si="0"/>
        <v>106</v>
      </c>
      <c r="F23" s="170" t="s">
        <v>168</v>
      </c>
      <c r="G23" s="171">
        <v>60</v>
      </c>
      <c r="H23" s="167">
        <v>0</v>
      </c>
      <c r="I23" s="167">
        <f t="shared" si="1"/>
        <v>-60</v>
      </c>
      <c r="J23" s="165">
        <f t="shared" si="2"/>
        <v>0</v>
      </c>
      <c r="K23" s="166">
        <v>1171320</v>
      </c>
      <c r="L23" s="166">
        <v>0</v>
      </c>
      <c r="M23" s="168">
        <f t="shared" si="3"/>
        <v>-1171320</v>
      </c>
    </row>
    <row r="24" spans="1:13" x14ac:dyDescent="0.25">
      <c r="A24" s="135" t="s">
        <v>56</v>
      </c>
      <c r="B24" s="21">
        <f>SUM(B11+B18)</f>
        <v>431</v>
      </c>
      <c r="C24" s="5">
        <v>532</v>
      </c>
      <c r="D24" s="125">
        <f t="shared" si="0"/>
        <v>-101</v>
      </c>
      <c r="F24" s="170" t="s">
        <v>31</v>
      </c>
      <c r="G24" s="163">
        <v>0</v>
      </c>
      <c r="H24" s="167">
        <v>0</v>
      </c>
      <c r="I24" s="167">
        <f t="shared" si="1"/>
        <v>0</v>
      </c>
      <c r="J24" s="165">
        <v>0</v>
      </c>
      <c r="K24" s="166">
        <v>0</v>
      </c>
      <c r="L24" s="166">
        <v>0</v>
      </c>
      <c r="M24" s="168">
        <f t="shared" si="3"/>
        <v>0</v>
      </c>
    </row>
    <row r="25" spans="1:13" x14ac:dyDescent="0.25">
      <c r="F25" s="164" t="s">
        <v>111</v>
      </c>
      <c r="G25" s="171"/>
      <c r="H25" s="167"/>
      <c r="I25" s="171"/>
      <c r="J25" s="165"/>
      <c r="K25" s="166">
        <v>101748930</v>
      </c>
      <c r="L25" s="166">
        <v>101748930</v>
      </c>
      <c r="M25" s="168">
        <f t="shared" si="3"/>
        <v>0</v>
      </c>
    </row>
    <row r="26" spans="1:13" s="145" customFormat="1" x14ac:dyDescent="0.25">
      <c r="F26" s="164" t="s">
        <v>103</v>
      </c>
      <c r="G26" s="171"/>
      <c r="H26" s="167"/>
      <c r="I26" s="171"/>
      <c r="J26" s="165"/>
      <c r="K26" s="166">
        <v>0</v>
      </c>
      <c r="L26" s="124">
        <v>3693065</v>
      </c>
      <c r="M26" s="168">
        <f t="shared" si="3"/>
        <v>3693065</v>
      </c>
    </row>
    <row r="27" spans="1:13" x14ac:dyDescent="0.25">
      <c r="F27" s="158" t="s">
        <v>230</v>
      </c>
      <c r="G27" s="171"/>
      <c r="H27" s="167"/>
      <c r="I27" s="171"/>
      <c r="J27" s="165"/>
      <c r="K27" s="166">
        <v>0</v>
      </c>
      <c r="L27" s="159">
        <v>29581556</v>
      </c>
      <c r="M27" s="168">
        <f t="shared" si="3"/>
        <v>29581556</v>
      </c>
    </row>
    <row r="28" spans="1:13" x14ac:dyDescent="0.25">
      <c r="F28" s="172" t="s">
        <v>233</v>
      </c>
      <c r="G28" s="161"/>
      <c r="H28" s="161"/>
      <c r="I28" s="161"/>
      <c r="J28" s="161"/>
      <c r="K28" s="124">
        <v>0</v>
      </c>
      <c r="L28" s="124">
        <f>SUM(L26+L27)</f>
        <v>33274621</v>
      </c>
      <c r="M28" s="124">
        <f>SUM(M26+M27)</f>
        <v>33274621</v>
      </c>
    </row>
    <row r="29" spans="1:13" x14ac:dyDescent="0.25">
      <c r="F29" s="164" t="s">
        <v>234</v>
      </c>
      <c r="G29" s="167">
        <f>SUM(G2+G7+G10)</f>
        <v>6396.0957446808516</v>
      </c>
      <c r="H29" s="167">
        <f t="shared" ref="H29:I29" si="4">SUM(H2+H7+H10)</f>
        <v>2625</v>
      </c>
      <c r="I29" s="167">
        <f t="shared" si="4"/>
        <v>-3771.095744680852</v>
      </c>
      <c r="J29" s="165">
        <f t="shared" si="2"/>
        <v>0.41040661440739279</v>
      </c>
      <c r="K29" s="166">
        <f>SUM(K2+K7+K10+K25+K26+K27)</f>
        <v>191319637.94201422</v>
      </c>
      <c r="L29" s="166">
        <f t="shared" ref="L29:M29" si="5">SUM(L2+L7+L10+L25+L26+L27)</f>
        <v>166176267.87466666</v>
      </c>
      <c r="M29" s="166">
        <f t="shared" si="5"/>
        <v>-25143370.067347527</v>
      </c>
    </row>
    <row r="30" spans="1:13" x14ac:dyDescent="0.25">
      <c r="K30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CARACTERIZACIÓN DLS</vt:lpstr>
      <vt:lpstr>PROYECCIÓN DLS</vt:lpstr>
      <vt:lpstr>COSTOS REALES DLS</vt:lpstr>
      <vt:lpstr>COMPARATIVO DLS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2017-04-11T15:20:07Z</dcterms:created>
  <dcterms:modified xsi:type="dcterms:W3CDTF">2017-07-16T22:59:49Z</dcterms:modified>
</cp:coreProperties>
</file>