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Informe final\"/>
    </mc:Choice>
  </mc:AlternateContent>
  <xr:revisionPtr revIDLastSave="0" documentId="13_ncr:1_{44B298D6-0DA2-4B2F-8AB2-8755325980E4}" xr6:coauthVersionLast="47" xr6:coauthVersionMax="47" xr10:uidLastSave="{00000000-0000-0000-0000-000000000000}"/>
  <bookViews>
    <workbookView xWindow="20370" yWindow="-120" windowWidth="29040" windowHeight="15840" xr2:uid="{690E8518-2B37-41A5-8906-21AD6CB89EAF}"/>
  </bookViews>
  <sheets>
    <sheet name="Datos y resultados del sistema" sheetId="1" r:id="rId1"/>
    <sheet name="Sobretenciones del sistema" sheetId="3" r:id="rId2"/>
    <sheet name="Tablas" sheetId="2" r:id="rId3"/>
  </sheets>
  <definedNames>
    <definedName name="Falla">Tablas!$S$3:$S$7</definedName>
    <definedName name="M_100">'Sobretenciones del sistema'!$C$49:$C$50</definedName>
    <definedName name="M_12">'Sobretenciones del sistema'!$C$43</definedName>
    <definedName name="M_123">'Sobretenciones del sistema'!$C$51:$C$52</definedName>
    <definedName name="M_145">'Sobretenciones del sistema'!$C$53:$C$55</definedName>
    <definedName name="M_17.5">'Sobretenciones del sistema'!$C$44</definedName>
    <definedName name="M_170">'Sobretenciones del sistema'!$C$56:$C$58</definedName>
    <definedName name="M_24">'Sobretenciones del sistema'!$C$45</definedName>
    <definedName name="M_245">'Sobretenciones del sistema'!$C$59:$C$63</definedName>
    <definedName name="M_3.6">'Sobretenciones del sistema'!$C$41</definedName>
    <definedName name="M_300">'Sobretenciones del sistema'!$C$64:$C$65</definedName>
    <definedName name="M_36">'Sobretenciones del sistema'!$C$46</definedName>
    <definedName name="M_362">'Sobretenciones del sistema'!$C$66:$C$67</definedName>
    <definedName name="M_420">'Sobretenciones del sistema'!$C$68:$C$70</definedName>
    <definedName name="M_52">'Sobretenciones del sistema'!$C$47</definedName>
    <definedName name="M_550">'Sobretenciones del sistema'!$C$71:$C$73</definedName>
    <definedName name="M_7.2">'Sobretenciones del sistema'!$C$42</definedName>
    <definedName name="M_72.5">'Sobretenciones del sistema'!$C$48</definedName>
    <definedName name="M_800">'Sobretenciones del sistema'!$C$74:$C$76</definedName>
    <definedName name="NivelCont">Tablas!$L$3:$L$7</definedName>
    <definedName name="R_100">Tablas!$D$19:$D$20</definedName>
    <definedName name="R_100_150">Tablas!$D$19</definedName>
    <definedName name="R_100_185">Tablas!$D$20</definedName>
    <definedName name="R_12">Tablas!$D$7:$D$9</definedName>
    <definedName name="R_12_28">Tablas!$D$7:$D$9</definedName>
    <definedName name="R_123">Tablas!$D$21:$D$22</definedName>
    <definedName name="R_123_185">Tablas!$D$21</definedName>
    <definedName name="R_123_230">Tablas!$D$22</definedName>
    <definedName name="R_145">Tablas!$D$23:$D$25</definedName>
    <definedName name="R_145_185">Tablas!$D$23</definedName>
    <definedName name="R_145_275">Tablas!$D$25</definedName>
    <definedName name="R_145_550">Tablas!$D$24</definedName>
    <definedName name="R_17.5">Tablas!$D$10:$D$11</definedName>
    <definedName name="R_17.5_38">Tablas!$D$10:$D$11</definedName>
    <definedName name="R_170">Tablas!$D$26:$D$28</definedName>
    <definedName name="R_170_275">Tablas!$D$27</definedName>
    <definedName name="R_170_325">Tablas!$D$28</definedName>
    <definedName name="R_170_550">Tablas!$D$26</definedName>
    <definedName name="R_24">Tablas!$D$12:$D$14</definedName>
    <definedName name="R_24_50">Tablas!$D$12:$D$14</definedName>
    <definedName name="R_245">Tablas!$D$29:$D$33</definedName>
    <definedName name="R_245_275">Tablas!$D$29</definedName>
    <definedName name="R_245_325">Tablas!$D$30</definedName>
    <definedName name="R_245_360">Tablas!$D$31</definedName>
    <definedName name="R_245_395">Tablas!$D$32</definedName>
    <definedName name="R_245_460">Tablas!$D$33</definedName>
    <definedName name="R_250">Tablas!$D$17</definedName>
    <definedName name="R_3.6">Tablas!$D$3:$D$4</definedName>
    <definedName name="R_3.6_10">Tablas!$D$3:$D$4</definedName>
    <definedName name="R_300_750">Tablas!$H$3:$H$4</definedName>
    <definedName name="R_300_850">Tablas!$H$5:$H$6</definedName>
    <definedName name="R_36">Tablas!$D$15:$D$16</definedName>
    <definedName name="R_36_70">Tablas!$D$15:$D$16</definedName>
    <definedName name="R_362_850">Tablas!$H$7:$H$8</definedName>
    <definedName name="R_362_950">Tablas!$H$9:$H$10</definedName>
    <definedName name="R_420_1050">Tablas!$H$15:$H$16</definedName>
    <definedName name="R_420_850">Tablas!$H$11:$H$12</definedName>
    <definedName name="R_420_950">Tablas!$H$13:$H$14</definedName>
    <definedName name="R_52">Tablas!$D$17</definedName>
    <definedName name="R_52_95">Tablas!$D$17</definedName>
    <definedName name="R_550_1050">Tablas!$H$19:$H$20</definedName>
    <definedName name="R_550_1175">Tablas!$H$21:$H$22</definedName>
    <definedName name="R_550_950">Tablas!$H$17:$H$18</definedName>
    <definedName name="R_7.2">Tablas!$D$5:$D$6</definedName>
    <definedName name="R_7.2_20">Tablas!$D$5:$D$6</definedName>
    <definedName name="R_72.5">Tablas!$D$18</definedName>
    <definedName name="R_72.5_140">Tablas!$D$18</definedName>
    <definedName name="R_800_1300">Tablas!$H$23:$H$24</definedName>
    <definedName name="R_800_1425">Tablas!$H$25:$H$26</definedName>
    <definedName name="R_800_1550">Tablas!$H$27:$H$28</definedName>
    <definedName name="RangoZ">Tablas!$O$3:$O$7</definedName>
    <definedName name="Um">Tablas!$J$3:$J$20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L11" i="1"/>
  <c r="I25" i="3"/>
  <c r="I33" i="3" l="1"/>
  <c r="I27" i="3"/>
  <c r="E47" i="1"/>
  <c r="I20" i="3"/>
  <c r="I10" i="3"/>
  <c r="I16" i="3"/>
  <c r="I5" i="3"/>
  <c r="E33" i="1"/>
  <c r="L5" i="1" l="1"/>
  <c r="L6" i="1"/>
  <c r="M6" i="1" s="1"/>
  <c r="L7" i="1"/>
  <c r="M7" i="1" s="1"/>
  <c r="L8" i="1"/>
  <c r="L9" i="1"/>
  <c r="L10" i="1"/>
  <c r="L4" i="1"/>
  <c r="L3" i="1"/>
  <c r="E18" i="1" l="1"/>
  <c r="E27" i="1"/>
  <c r="E28" i="1" s="1"/>
  <c r="E19" i="1"/>
  <c r="E11" i="1"/>
  <c r="E5" i="1"/>
  <c r="E29" i="1" l="1"/>
  <c r="E6" i="1" l="1"/>
  <c r="E7" i="1" s="1"/>
  <c r="I37" i="3" l="1"/>
  <c r="I38" i="3" s="1"/>
  <c r="N21" i="3" s="1"/>
  <c r="N22" i="3" s="1"/>
  <c r="N23" i="3" s="1"/>
  <c r="K12" i="1" s="1"/>
  <c r="K3" i="1"/>
  <c r="E36" i="1"/>
  <c r="E38" i="1" s="1"/>
  <c r="E30" i="1"/>
  <c r="K13" i="1" s="1"/>
  <c r="L13" i="1" s="1"/>
  <c r="E35" i="1"/>
  <c r="E10" i="1"/>
  <c r="M3" i="1" l="1"/>
  <c r="K5" i="1"/>
  <c r="M5" i="1" s="1"/>
  <c r="E39" i="1"/>
  <c r="K4" i="1" s="1"/>
  <c r="M4" i="1" s="1"/>
  <c r="M12" i="1"/>
  <c r="E31" i="1"/>
  <c r="E32" i="1" s="1"/>
  <c r="K14" i="1" s="1"/>
  <c r="L14" i="1" l="1"/>
  <c r="M14" i="1" s="1"/>
  <c r="I17" i="3"/>
  <c r="I18" i="3" s="1"/>
  <c r="I21" i="3" s="1"/>
  <c r="I6" i="3"/>
  <c r="I8" i="3" s="1"/>
  <c r="I11" i="3" s="1"/>
  <c r="N16" i="3" s="1"/>
  <c r="I7" i="3"/>
  <c r="M13" i="1"/>
  <c r="N4" i="3" l="1"/>
  <c r="I28" i="3"/>
  <c r="I29" i="3" s="1"/>
  <c r="N6" i="3" s="1"/>
  <c r="N5" i="3"/>
  <c r="N10" i="3"/>
  <c r="N11" i="3"/>
  <c r="I30" i="3"/>
  <c r="I31" i="3" s="1"/>
  <c r="N12" i="3" s="1"/>
  <c r="N17" i="3" l="1"/>
  <c r="K11" i="1" s="1"/>
  <c r="M11" i="1" s="1"/>
  <c r="K10" i="1"/>
  <c r="M10" i="1" s="1"/>
  <c r="K9" i="1"/>
  <c r="M9" i="1" s="1"/>
  <c r="K8" i="1"/>
  <c r="M8" i="1" s="1"/>
</calcChain>
</file>

<file path=xl/sharedStrings.xml><?xml version="1.0" encoding="utf-8"?>
<sst xmlns="http://schemas.openxmlformats.org/spreadsheetml/2006/main" count="409" uniqueCount="218">
  <si>
    <t xml:space="preserve">Definición </t>
  </si>
  <si>
    <t>Símbolo</t>
  </si>
  <si>
    <t xml:space="preserve">Unidad </t>
  </si>
  <si>
    <t xml:space="preserve">Valor </t>
  </si>
  <si>
    <t>Tensión nominal del sistema</t>
  </si>
  <si>
    <t>Aumentar tensión máxima del sistema</t>
  </si>
  <si>
    <t>-</t>
  </si>
  <si>
    <t>Tensión máxima del equipo</t>
  </si>
  <si>
    <t>Tensión máxima del sistema</t>
  </si>
  <si>
    <t>Usystem</t>
  </si>
  <si>
    <t>Factor de falla a tierra</t>
  </si>
  <si>
    <t>Factor de rechazo de carga</t>
  </si>
  <si>
    <t>Altitud sobre el nivel del mar</t>
  </si>
  <si>
    <t>H</t>
  </si>
  <si>
    <t>m</t>
  </si>
  <si>
    <t xml:space="preserve">Nivel de contaminación </t>
  </si>
  <si>
    <t>Muy Pesado</t>
  </si>
  <si>
    <t>Valor calculado</t>
  </si>
  <si>
    <t>Valor comercial</t>
  </si>
  <si>
    <t>Uc</t>
  </si>
  <si>
    <t>Corriente nominal de descarga</t>
  </si>
  <si>
    <t>Corriente maniobra</t>
  </si>
  <si>
    <t>Tensión residual  8/20 𝝁s</t>
  </si>
  <si>
    <t>Tensión residual  30/60 𝝁s</t>
  </si>
  <si>
    <t>Carga</t>
  </si>
  <si>
    <t xml:space="preserve">Disipación de energía </t>
  </si>
  <si>
    <t>Distancia de fuga mínima</t>
  </si>
  <si>
    <t>Distancia de arco</t>
  </si>
  <si>
    <t>Cuenta con dato de impedancia de linea</t>
  </si>
  <si>
    <t>L</t>
  </si>
  <si>
    <t>C</t>
  </si>
  <si>
    <t>Impedancia de línea</t>
  </si>
  <si>
    <t>Capacitancia de línea</t>
  </si>
  <si>
    <t>Henrios</t>
  </si>
  <si>
    <t>Faradios</t>
  </si>
  <si>
    <t>Tabla 1 - Distancia de fuga recomendada</t>
  </si>
  <si>
    <t>Tensión máxima del equipo (Um) 
kV
(valor r.m.s.)</t>
  </si>
  <si>
    <t xml:space="preserve">Soportabilidad ante sobrevoltajes a frecuencia nominal 
kV
(valor r.m.s.) </t>
  </si>
  <si>
    <t xml:space="preserve">Soportabilidad ante sobrevoltajes por impulso de rayo
kV
(valor pico) </t>
  </si>
  <si>
    <t xml:space="preserve">Soportabilidad ante sobrevoltajes por maniobra
kV
(valor pico) </t>
  </si>
  <si>
    <t>Mínima distancia de fuga nominal [mm/kV]</t>
  </si>
  <si>
    <t>Ligero</t>
  </si>
  <si>
    <t>Medio</t>
  </si>
  <si>
    <t>Pesado</t>
  </si>
  <si>
    <t>Número conductores en un haz</t>
  </si>
  <si>
    <t>Us- Sistema
[kV]</t>
  </si>
  <si>
    <r>
      <t>Z</t>
    </r>
    <r>
      <rPr>
        <vertAlign val="subscript"/>
        <sz val="11"/>
        <color theme="1"/>
        <rFont val="Calibri"/>
        <family val="2"/>
        <scheme val="minor"/>
      </rPr>
      <t>linea</t>
    </r>
  </si>
  <si>
    <t>3 - 150</t>
  </si>
  <si>
    <t>151 - 325</t>
  </si>
  <si>
    <t>326 - 400</t>
  </si>
  <si>
    <t>400 - 800</t>
  </si>
  <si>
    <t>&gt; 800</t>
  </si>
  <si>
    <t>3 o 4</t>
  </si>
  <si>
    <t>6 o 8</t>
  </si>
  <si>
    <t>Tipo de sistema</t>
  </si>
  <si>
    <t>Solido</t>
  </si>
  <si>
    <t>Tensión continua del sistema</t>
  </si>
  <si>
    <t>No</t>
  </si>
  <si>
    <t xml:space="preserve">Aproximación 1: Tensión nóminal Descaragdor </t>
  </si>
  <si>
    <t>Sobretensión temporal</t>
  </si>
  <si>
    <t>Tensión nominal del Descargador</t>
  </si>
  <si>
    <t>Constante TOV (10 segundos)</t>
  </si>
  <si>
    <t xml:space="preserve">Aproximación 2: Tensión nóminal Descaragdor </t>
  </si>
  <si>
    <t>Tres hilos simple aterrizado</t>
  </si>
  <si>
    <t>Nombre del sitema</t>
  </si>
  <si>
    <t>Tres hilos con impedanciaa tierra</t>
  </si>
  <si>
    <t>Delta</t>
  </si>
  <si>
    <t>Cuatro hilos multi-aterrizado</t>
  </si>
  <si>
    <t>wye</t>
  </si>
  <si>
    <t>Configuración del sistema</t>
  </si>
  <si>
    <t>Rango de tensión nominal del sistema</t>
  </si>
  <si>
    <t>Número de campos de linea</t>
  </si>
  <si>
    <t>Factor de correción por altura</t>
  </si>
  <si>
    <t>Perfil del aislador de prueba</t>
  </si>
  <si>
    <t>Diametro Dt aislador de prueba</t>
  </si>
  <si>
    <t>Diametro Ds1 aislador de prueba</t>
  </si>
  <si>
    <t>Diametro Ds2 aislador de prueba</t>
  </si>
  <si>
    <t>Diametro promedio</t>
  </si>
  <si>
    <t>Factor de correción por diametro de aislador de prueba</t>
  </si>
  <si>
    <t>Distancia de fuga mínima normalizada de referencia</t>
  </si>
  <si>
    <t>Distancia de fuga</t>
  </si>
  <si>
    <t>Distancia de  fuga unitaria aislador de prueba</t>
  </si>
  <si>
    <t>Distancia de  arco unitaria aislador de prueba</t>
  </si>
  <si>
    <t>Muy ligero</t>
  </si>
  <si>
    <t>Distancia de fuga mínima normalizada USCD</t>
  </si>
  <si>
    <t>Ur</t>
  </si>
  <si>
    <t>Descargador de prueba</t>
  </si>
  <si>
    <t xml:space="preserve">Tensión máxima del sistema </t>
  </si>
  <si>
    <t xml:space="preserve">Tensión nominal </t>
  </si>
  <si>
    <t xml:space="preserve">Tensión máxima de operación </t>
  </si>
  <si>
    <t>In 8/20 µs</t>
  </si>
  <si>
    <t>In 30/60 µs</t>
  </si>
  <si>
    <t>Energía térmica</t>
  </si>
  <si>
    <t>Check</t>
  </si>
  <si>
    <t>Tensión nominal</t>
  </si>
  <si>
    <t>Distancia de arco mínima</t>
  </si>
  <si>
    <t>Distancia de arco final</t>
  </si>
  <si>
    <t>Número de aisladores</t>
  </si>
  <si>
    <t>Nivel básico de aislamiento BIL aislador de prueba</t>
  </si>
  <si>
    <t>CFO estadístico</t>
  </si>
  <si>
    <t>CFO Bajo condiciones estandar: CFO +</t>
  </si>
  <si>
    <t>CFO Bajo condiciones estandar: CFO -</t>
  </si>
  <si>
    <t>𝜎/CFO</t>
  </si>
  <si>
    <t xml:space="preserve">CFO Bajo condiciones estandar: CFO </t>
  </si>
  <si>
    <t>Factor de Gap</t>
  </si>
  <si>
    <t>Sobretensión entrante: Maniobra CFO +</t>
  </si>
  <si>
    <t>Sobretensión entrante: Rayo CFO +</t>
  </si>
  <si>
    <t>Calcular sobretensión entrante con el CFO -</t>
  </si>
  <si>
    <t>Sobretensión entrante: Rayo CFO -</t>
  </si>
  <si>
    <t>Sobretensión entrante: Maniobra CFO -</t>
  </si>
  <si>
    <t>Caso 1: Descargador ubicado en extremo de línea abierta</t>
  </si>
  <si>
    <t>Caso 2: Descargador ubicado frente a transformador</t>
  </si>
  <si>
    <t>Longitud de vano</t>
  </si>
  <si>
    <t>Ts</t>
  </si>
  <si>
    <t>τ</t>
  </si>
  <si>
    <t>n</t>
  </si>
  <si>
    <t>Numero de lineas fuera de servicio o en mantenimiento</t>
  </si>
  <si>
    <t xml:space="preserve">Caso 3: Falla de apanatallamiento con reflexiones </t>
  </si>
  <si>
    <t>CFO para rayo</t>
  </si>
  <si>
    <t>CFO para maniobra</t>
  </si>
  <si>
    <t>N para rayo</t>
  </si>
  <si>
    <t>Número aproximado de refelexiones  Rayo</t>
  </si>
  <si>
    <t>Número aproximado de refelexiones  Maniobra</t>
  </si>
  <si>
    <t>N para maniobra</t>
  </si>
  <si>
    <t>Carga transferida</t>
  </si>
  <si>
    <t>Ti</t>
  </si>
  <si>
    <t>Energia transferidad</t>
  </si>
  <si>
    <t>Ue2</t>
  </si>
  <si>
    <t xml:space="preserve">Ue2*Us </t>
  </si>
  <si>
    <t>Urp</t>
  </si>
  <si>
    <t>Velocidad de la luz</t>
  </si>
  <si>
    <t>Energia termica</t>
  </si>
  <si>
    <t>Disipación de energía térmica</t>
  </si>
  <si>
    <t>Cuenta con Distancia de fuga y arco del descaragdor</t>
  </si>
  <si>
    <t>Q</t>
  </si>
  <si>
    <t>W</t>
  </si>
  <si>
    <r>
      <t>W</t>
    </r>
    <r>
      <rPr>
        <vertAlign val="subscript"/>
        <sz val="11"/>
        <color theme="1"/>
        <rFont val="Calibri"/>
        <family val="2"/>
        <scheme val="minor"/>
      </rPr>
      <t>th</t>
    </r>
  </si>
  <si>
    <r>
      <t>K</t>
    </r>
    <r>
      <rPr>
        <vertAlign val="subscript"/>
        <sz val="11"/>
        <color theme="1"/>
        <rFont val="Calibri"/>
        <family val="2"/>
        <scheme val="minor"/>
      </rPr>
      <t>ad</t>
    </r>
  </si>
  <si>
    <r>
      <t>K</t>
    </r>
    <r>
      <rPr>
        <vertAlign val="subscript"/>
        <sz val="11"/>
        <color theme="1"/>
        <rFont val="Calibri"/>
        <family val="2"/>
        <scheme val="minor"/>
      </rPr>
      <t>a</t>
    </r>
  </si>
  <si>
    <r>
      <t>U</t>
    </r>
    <r>
      <rPr>
        <vertAlign val="subscript"/>
        <sz val="11"/>
        <color theme="1"/>
        <rFont val="Calibri"/>
        <family val="2"/>
        <scheme val="minor"/>
      </rPr>
      <t>n</t>
    </r>
  </si>
  <si>
    <r>
      <t>U</t>
    </r>
    <r>
      <rPr>
        <vertAlign val="subscript"/>
        <sz val="11"/>
        <color theme="1"/>
        <rFont val="Calibri"/>
        <family val="2"/>
        <scheme val="minor"/>
      </rPr>
      <t>m</t>
    </r>
  </si>
  <si>
    <r>
      <t>U</t>
    </r>
    <r>
      <rPr>
        <vertAlign val="subscript"/>
        <sz val="11"/>
        <color theme="1"/>
        <rFont val="Calibri"/>
        <family val="2"/>
        <scheme val="minor"/>
      </rPr>
      <t>s</t>
    </r>
  </si>
  <si>
    <r>
      <t>U</t>
    </r>
    <r>
      <rPr>
        <vertAlign val="subscript"/>
        <sz val="11"/>
        <color theme="1"/>
        <rFont val="Calibri"/>
        <family val="2"/>
        <scheme val="minor"/>
      </rPr>
      <t>c</t>
    </r>
  </si>
  <si>
    <r>
      <t>K</t>
    </r>
    <r>
      <rPr>
        <vertAlign val="subscript"/>
        <sz val="11"/>
        <color theme="1"/>
        <rFont val="Calibri"/>
        <family val="2"/>
        <scheme val="minor"/>
      </rPr>
      <t>g</t>
    </r>
  </si>
  <si>
    <r>
      <t>K</t>
    </r>
    <r>
      <rPr>
        <vertAlign val="subscript"/>
        <sz val="11"/>
        <color theme="1"/>
        <rFont val="Calibri"/>
        <family val="2"/>
        <scheme val="minor"/>
      </rPr>
      <t>d</t>
    </r>
  </si>
  <si>
    <r>
      <t>BIL</t>
    </r>
    <r>
      <rPr>
        <vertAlign val="subscript"/>
        <sz val="11"/>
        <color theme="1"/>
        <rFont val="Calibri"/>
        <family val="2"/>
        <scheme val="minor"/>
      </rPr>
      <t>aislador</t>
    </r>
  </si>
  <si>
    <t>Dt</t>
  </si>
  <si>
    <t>RUSCD</t>
  </si>
  <si>
    <t>SPS</t>
  </si>
  <si>
    <t>USCD</t>
  </si>
  <si>
    <t>kV (valor pico)</t>
  </si>
  <si>
    <t>kg</t>
  </si>
  <si>
    <r>
      <t>CFO</t>
    </r>
    <r>
      <rPr>
        <vertAlign val="subscript"/>
        <sz val="11"/>
        <color theme="1"/>
        <rFont val="Calibri"/>
        <family val="2"/>
        <scheme val="minor"/>
      </rPr>
      <t>L</t>
    </r>
  </si>
  <si>
    <r>
      <t>CFO</t>
    </r>
    <r>
      <rPr>
        <vertAlign val="subscript"/>
        <sz val="11"/>
        <color theme="1"/>
        <rFont val="Calibri"/>
        <family val="2"/>
        <scheme val="minor"/>
      </rPr>
      <t>M</t>
    </r>
  </si>
  <si>
    <t>kA(peak value)</t>
  </si>
  <si>
    <t xml:space="preserve">Rayo </t>
  </si>
  <si>
    <t xml:space="preserve"> Rayo</t>
  </si>
  <si>
    <t>Rayo</t>
  </si>
  <si>
    <t>Maniobra</t>
  </si>
  <si>
    <t>Sobretensiones</t>
  </si>
  <si>
    <r>
      <t>I</t>
    </r>
    <r>
      <rPr>
        <vertAlign val="subscript"/>
        <sz val="11"/>
        <color theme="1"/>
        <rFont val="Calibri"/>
        <family val="2"/>
        <scheme val="minor"/>
      </rPr>
      <t>DPS1</t>
    </r>
  </si>
  <si>
    <r>
      <t>I</t>
    </r>
    <r>
      <rPr>
        <vertAlign val="subscript"/>
        <sz val="11"/>
        <color theme="1"/>
        <rFont val="Calibri"/>
        <family val="2"/>
        <scheme val="minor"/>
      </rPr>
      <t>DPS2</t>
    </r>
  </si>
  <si>
    <r>
      <t>I</t>
    </r>
    <r>
      <rPr>
        <vertAlign val="subscript"/>
        <sz val="11"/>
        <color theme="1"/>
        <rFont val="Calibri"/>
        <family val="2"/>
        <scheme val="minor"/>
      </rPr>
      <t>DPS3</t>
    </r>
  </si>
  <si>
    <r>
      <t>Q</t>
    </r>
    <r>
      <rPr>
        <vertAlign val="subscript"/>
        <sz val="11"/>
        <color theme="1"/>
        <rFont val="Calibri"/>
        <family val="2"/>
        <scheme val="minor"/>
      </rPr>
      <t>s</t>
    </r>
  </si>
  <si>
    <t>Ω</t>
  </si>
  <si>
    <r>
      <t>kV</t>
    </r>
    <r>
      <rPr>
        <vertAlign val="subscript"/>
        <sz val="11"/>
        <color theme="1"/>
        <rFont val="Calibri"/>
        <family val="2"/>
        <scheme val="minor"/>
      </rPr>
      <t>p-p</t>
    </r>
    <r>
      <rPr>
        <sz val="11"/>
        <color theme="1"/>
        <rFont val="Calibri"/>
        <family val="2"/>
        <scheme val="minor"/>
      </rPr>
      <t xml:space="preserve"> (valor r.m.s)</t>
    </r>
  </si>
  <si>
    <r>
      <t>D</t>
    </r>
    <r>
      <rPr>
        <vertAlign val="subscript"/>
        <sz val="11"/>
        <color theme="1"/>
        <rFont val="Calibri"/>
        <family val="2"/>
        <scheme val="minor"/>
      </rPr>
      <t>a</t>
    </r>
  </si>
  <si>
    <r>
      <t>D</t>
    </r>
    <r>
      <rPr>
        <vertAlign val="subscript"/>
        <sz val="11"/>
        <color theme="1"/>
        <rFont val="Calibri"/>
        <family val="2"/>
        <scheme val="minor"/>
      </rPr>
      <t>min,arc</t>
    </r>
  </si>
  <si>
    <r>
      <t>U</t>
    </r>
    <r>
      <rPr>
        <vertAlign val="subscript"/>
        <sz val="11"/>
        <color theme="1"/>
        <rFont val="Calibri"/>
        <family val="2"/>
        <scheme val="minor"/>
      </rPr>
      <t>r1</t>
    </r>
  </si>
  <si>
    <r>
      <t>U</t>
    </r>
    <r>
      <rPr>
        <vertAlign val="subscript"/>
        <sz val="11"/>
        <color theme="1"/>
        <rFont val="Calibri"/>
        <family val="2"/>
        <scheme val="minor"/>
      </rPr>
      <t>tov</t>
    </r>
  </si>
  <si>
    <r>
      <t>K</t>
    </r>
    <r>
      <rPr>
        <vertAlign val="subscript"/>
        <sz val="11"/>
        <color theme="1"/>
        <rFont val="Calibri"/>
        <family val="2"/>
        <scheme val="minor"/>
      </rPr>
      <t>tov</t>
    </r>
  </si>
  <si>
    <r>
      <t>U</t>
    </r>
    <r>
      <rPr>
        <vertAlign val="subscript"/>
        <sz val="11"/>
        <color theme="1"/>
        <rFont val="Calibri"/>
        <family val="2"/>
        <scheme val="minor"/>
      </rPr>
      <t>r2</t>
    </r>
  </si>
  <si>
    <r>
      <t>U</t>
    </r>
    <r>
      <rPr>
        <vertAlign val="subscript"/>
        <sz val="11"/>
        <color theme="1"/>
        <rFont val="Calibri"/>
        <family val="2"/>
        <scheme val="minor"/>
      </rPr>
      <t>r</t>
    </r>
  </si>
  <si>
    <r>
      <t>U</t>
    </r>
    <r>
      <rPr>
        <vertAlign val="subscript"/>
        <sz val="11"/>
        <color theme="1"/>
        <rFont val="Calibri"/>
        <family val="2"/>
        <scheme val="minor"/>
      </rPr>
      <t>s-test</t>
    </r>
  </si>
  <si>
    <r>
      <t>U</t>
    </r>
    <r>
      <rPr>
        <vertAlign val="subscript"/>
        <sz val="11"/>
        <color theme="1"/>
        <rFont val="Calibri"/>
        <family val="2"/>
        <scheme val="minor"/>
      </rPr>
      <t>r-test</t>
    </r>
  </si>
  <si>
    <r>
      <t>U</t>
    </r>
    <r>
      <rPr>
        <vertAlign val="subscript"/>
        <sz val="11"/>
        <color theme="1"/>
        <rFont val="Calibri"/>
        <family val="2"/>
        <scheme val="minor"/>
      </rPr>
      <t>c-test</t>
    </r>
  </si>
  <si>
    <r>
      <t>U</t>
    </r>
    <r>
      <rPr>
        <vertAlign val="subscript"/>
        <sz val="11"/>
        <color theme="1"/>
        <rFont val="Calibri"/>
        <family val="2"/>
        <scheme val="minor"/>
      </rPr>
      <t>pl-test</t>
    </r>
  </si>
  <si>
    <r>
      <t>U</t>
    </r>
    <r>
      <rPr>
        <vertAlign val="subscript"/>
        <sz val="11"/>
        <color theme="1"/>
        <rFont val="Calibri"/>
        <family val="2"/>
        <scheme val="minor"/>
      </rPr>
      <t>ps-test</t>
    </r>
  </si>
  <si>
    <r>
      <t>I</t>
    </r>
    <r>
      <rPr>
        <vertAlign val="subscript"/>
        <sz val="11"/>
        <color theme="1"/>
        <rFont val="Calibri"/>
        <family val="2"/>
        <scheme val="minor"/>
      </rPr>
      <t>n-Ltest</t>
    </r>
  </si>
  <si>
    <r>
      <t>I</t>
    </r>
    <r>
      <rPr>
        <vertAlign val="subscript"/>
        <sz val="11"/>
        <color theme="1"/>
        <rFont val="Calibri"/>
        <family val="2"/>
        <scheme val="minor"/>
      </rPr>
      <t>n-Stest</t>
    </r>
  </si>
  <si>
    <r>
      <t>Q</t>
    </r>
    <r>
      <rPr>
        <vertAlign val="subscript"/>
        <sz val="11"/>
        <color theme="1"/>
        <rFont val="Calibri"/>
        <family val="2"/>
        <scheme val="minor"/>
      </rPr>
      <t>rs-test</t>
    </r>
  </si>
  <si>
    <r>
      <t>W</t>
    </r>
    <r>
      <rPr>
        <vertAlign val="subscript"/>
        <sz val="11"/>
        <color theme="1"/>
        <rFont val="Calibri"/>
        <family val="2"/>
        <scheme val="minor"/>
      </rPr>
      <t>th-test</t>
    </r>
  </si>
  <si>
    <r>
      <t>kV</t>
    </r>
    <r>
      <rPr>
        <vertAlign val="subscript"/>
        <sz val="11"/>
        <color theme="1"/>
        <rFont val="Calibri"/>
        <family val="2"/>
        <scheme val="minor"/>
      </rPr>
      <t>p-e</t>
    </r>
    <r>
      <rPr>
        <sz val="11"/>
        <color theme="1"/>
        <rFont val="Calibri"/>
        <family val="2"/>
        <scheme val="minor"/>
      </rPr>
      <t xml:space="preserve"> (valor r.m.s)</t>
    </r>
  </si>
  <si>
    <r>
      <t>kV</t>
    </r>
    <r>
      <rPr>
        <vertAlign val="subscript"/>
        <sz val="11"/>
        <color theme="1"/>
        <rFont val="Calibri"/>
        <family val="2"/>
        <scheme val="minor"/>
      </rPr>
      <t>p-e</t>
    </r>
    <r>
      <rPr>
        <sz val="11"/>
        <color theme="1"/>
        <rFont val="Calibri"/>
        <family val="2"/>
        <scheme val="minor"/>
      </rPr>
      <t xml:space="preserve">  (valor pico)</t>
    </r>
  </si>
  <si>
    <t>kA (valor pico)</t>
  </si>
  <si>
    <r>
      <t xml:space="preserve">kV </t>
    </r>
    <r>
      <rPr>
        <vertAlign val="subscript"/>
        <sz val="11"/>
        <color theme="1"/>
        <rFont val="Arial"/>
        <family val="2"/>
      </rPr>
      <t xml:space="preserve">p-e </t>
    </r>
    <r>
      <rPr>
        <sz val="11"/>
        <color theme="1"/>
        <rFont val="Arial"/>
        <family val="2"/>
      </rPr>
      <t>(valor pico)</t>
    </r>
  </si>
  <si>
    <r>
      <t>kV</t>
    </r>
    <r>
      <rPr>
        <vertAlign val="subscript"/>
        <sz val="11"/>
        <color theme="1"/>
        <rFont val="Calibri"/>
        <family val="2"/>
        <scheme val="minor"/>
      </rPr>
      <t xml:space="preserve">p-e </t>
    </r>
    <r>
      <rPr>
        <sz val="11"/>
        <color theme="1"/>
        <rFont val="Calibri"/>
        <family val="2"/>
        <scheme val="minor"/>
      </rPr>
      <t>(valor r.m.s)</t>
    </r>
  </si>
  <si>
    <r>
      <t>kJ/kV</t>
    </r>
    <r>
      <rPr>
        <vertAlign val="subscript"/>
        <sz val="11"/>
        <color theme="1"/>
        <rFont val="Calibri"/>
        <family val="2"/>
        <scheme val="minor"/>
      </rPr>
      <t xml:space="preserve">p-e </t>
    </r>
    <r>
      <rPr>
        <sz val="11"/>
        <color theme="1"/>
        <rFont val="Calibri"/>
        <family val="2"/>
        <scheme val="minor"/>
      </rPr>
      <t>(valor r.m.s)</t>
    </r>
  </si>
  <si>
    <t>kVp-p (valor r.m.s)</t>
  </si>
  <si>
    <t>mm</t>
  </si>
  <si>
    <r>
      <t>mm/kV</t>
    </r>
    <r>
      <rPr>
        <vertAlign val="subscript"/>
        <sz val="11"/>
        <color theme="1"/>
        <rFont val="Calibri"/>
        <family val="2"/>
        <scheme val="minor"/>
      </rPr>
      <t>p-p</t>
    </r>
    <r>
      <rPr>
        <sz val="11"/>
        <color theme="1"/>
        <rFont val="Calibri"/>
        <family val="2"/>
        <scheme val="minor"/>
      </rPr>
      <t xml:space="preserve"> (valor r.m.s)</t>
    </r>
  </si>
  <si>
    <t>µs</t>
  </si>
  <si>
    <t>N</t>
  </si>
  <si>
    <t>Nm</t>
  </si>
  <si>
    <t>Número de lineas conectadas maniobra</t>
  </si>
  <si>
    <t>s</t>
  </si>
  <si>
    <t>km</t>
  </si>
  <si>
    <t>Longitud de linea o subestación remota</t>
  </si>
  <si>
    <t>m/s</t>
  </si>
  <si>
    <t>Estándar</t>
  </si>
  <si>
    <r>
      <t>D</t>
    </r>
    <r>
      <rPr>
        <vertAlign val="subscript"/>
        <sz val="11"/>
        <color theme="1" tint="0.499984740745262"/>
        <rFont val="Calibri"/>
        <family val="2"/>
        <scheme val="minor"/>
      </rPr>
      <t>s1</t>
    </r>
  </si>
  <si>
    <r>
      <t>D</t>
    </r>
    <r>
      <rPr>
        <vertAlign val="subscript"/>
        <sz val="11"/>
        <color theme="1" tint="0.499984740745262"/>
        <rFont val="Calibri"/>
        <family val="2"/>
        <scheme val="minor"/>
      </rPr>
      <t>s2</t>
    </r>
  </si>
  <si>
    <t>Us</t>
  </si>
  <si>
    <t>Nivel de protección al impulso tipo maniobra (NPM)</t>
  </si>
  <si>
    <t>Nivel de protección al impulso tipo rayo (NPR)</t>
  </si>
  <si>
    <t>BIL</t>
  </si>
  <si>
    <t>BSL</t>
  </si>
  <si>
    <r>
      <t>C</t>
    </r>
    <r>
      <rPr>
        <vertAlign val="subscript"/>
        <sz val="11"/>
        <color theme="1"/>
        <rFont val="Calibri"/>
        <family val="2"/>
        <scheme val="minor"/>
      </rPr>
      <t>Ais</t>
    </r>
  </si>
  <si>
    <r>
      <t>D</t>
    </r>
    <r>
      <rPr>
        <vertAlign val="subscript"/>
        <sz val="11"/>
        <color theme="1"/>
        <rFont val="Calibri"/>
        <family val="2"/>
        <scheme val="minor"/>
      </rPr>
      <t>fug</t>
    </r>
  </si>
  <si>
    <r>
      <t>D</t>
    </r>
    <r>
      <rPr>
        <vertAlign val="subscript"/>
        <sz val="11"/>
        <color theme="1"/>
        <rFont val="Calibri"/>
        <family val="2"/>
        <scheme val="minor"/>
      </rPr>
      <t>fug_p</t>
    </r>
  </si>
  <si>
    <r>
      <t>D</t>
    </r>
    <r>
      <rPr>
        <vertAlign val="subscript"/>
        <sz val="11"/>
        <color theme="1"/>
        <rFont val="Calibri"/>
        <family val="2"/>
        <scheme val="minor"/>
      </rPr>
      <t>arc_p</t>
    </r>
  </si>
  <si>
    <r>
      <t>D</t>
    </r>
    <r>
      <rPr>
        <vertAlign val="subscript"/>
        <sz val="11"/>
        <color theme="1"/>
        <rFont val="Calibri"/>
        <family val="2"/>
        <scheme val="minor"/>
      </rPr>
      <t>arc</t>
    </r>
  </si>
  <si>
    <t>Nivel de aislamieto al impulso tipo maniobra</t>
  </si>
  <si>
    <t>Nivel de aislamiento al impulso tipo rayo</t>
  </si>
  <si>
    <r>
      <t>U</t>
    </r>
    <r>
      <rPr>
        <vertAlign val="subscript"/>
        <sz val="11"/>
        <color theme="1"/>
        <rFont val="Calibri"/>
        <family val="2"/>
        <scheme val="minor"/>
      </rPr>
      <t>pl</t>
    </r>
  </si>
  <si>
    <r>
      <t>U</t>
    </r>
    <r>
      <rPr>
        <vertAlign val="subscript"/>
        <sz val="11"/>
        <color theme="1"/>
        <rFont val="Calibri"/>
        <family val="2"/>
        <scheme val="minor"/>
      </rPr>
      <t>ps</t>
    </r>
  </si>
  <si>
    <r>
      <t>I</t>
    </r>
    <r>
      <rPr>
        <vertAlign val="subscript"/>
        <sz val="11"/>
        <color theme="1"/>
        <rFont val="Calibri"/>
        <family val="2"/>
        <scheme val="minor"/>
      </rPr>
      <t>s</t>
    </r>
  </si>
  <si>
    <r>
      <t>I</t>
    </r>
    <r>
      <rPr>
        <vertAlign val="subscript"/>
        <sz val="11"/>
        <color theme="1"/>
        <rFont val="Calibri"/>
        <family val="2"/>
        <scheme val="minor"/>
      </rPr>
      <t>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</si>
</sst>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sz val="10"/>
      <color theme="1"/>
      <name val="Calibri"/>
      <family val="2"/>
      <scheme val="minor"/>
    </font>
    <font>
      <vertAlign val="subscript"/>
      <sz val="11"/>
      <color theme="1" tint="0.499984740745262"/>
      <name val="Calibri"/>
      <family val="2"/>
      <scheme val="minor"/>
    </font>
    <font>
      <sz val="11"/>
      <color theme="1" tint="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6" xfId="0" quotePrefix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7" xfId="0" quotePrefix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7" xfId="0" quotePrefix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/>
    <xf numFmtId="0" fontId="4" fillId="0" borderId="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22" xfId="0" applyBorder="1"/>
    <xf numFmtId="164" fontId="0" fillId="0" borderId="31" xfId="0" applyNumberFormat="1" applyBorder="1" applyAlignment="1">
      <alignment horizontal="center"/>
    </xf>
    <xf numFmtId="0" fontId="1" fillId="2" borderId="7" xfId="0" applyFont="1" applyFill="1" applyBorder="1"/>
    <xf numFmtId="0" fontId="1" fillId="2" borderId="4" xfId="0" applyFont="1" applyFill="1" applyBorder="1"/>
    <xf numFmtId="164" fontId="1" fillId="2" borderId="12" xfId="0" applyNumberFormat="1" applyFont="1" applyFill="1" applyBorder="1" applyAlignment="1">
      <alignment horizontal="center"/>
    </xf>
    <xf numFmtId="0" fontId="1" fillId="2" borderId="3" xfId="0" applyFont="1" applyFill="1" applyBorder="1"/>
    <xf numFmtId="164" fontId="1" fillId="2" borderId="11" xfId="0" applyNumberFormat="1" applyFon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7" xfId="0" applyFont="1" applyFill="1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164" fontId="0" fillId="0" borderId="11" xfId="0" applyNumberForma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1" fontId="0" fillId="0" borderId="36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/>
    </xf>
    <xf numFmtId="0" fontId="0" fillId="0" borderId="13" xfId="0" applyBorder="1"/>
    <xf numFmtId="0" fontId="0" fillId="0" borderId="15" xfId="0" quotePrefix="1" applyBorder="1" applyAlignment="1">
      <alignment horizontal="center" vertical="center"/>
    </xf>
    <xf numFmtId="0" fontId="0" fillId="0" borderId="15" xfId="0" quotePrefix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3" fillId="0" borderId="38" xfId="0" applyFont="1" applyBorder="1"/>
    <xf numFmtId="0" fontId="8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8" xfId="0" quotePrefix="1" applyFont="1" applyFill="1" applyBorder="1" applyAlignment="1">
      <alignment horizontal="center" vertical="center"/>
    </xf>
    <xf numFmtId="1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1" fontId="0" fillId="0" borderId="8" xfId="0" applyNumberFormat="1" applyBorder="1" applyAlignment="1">
      <alignment horizontal="center"/>
    </xf>
    <xf numFmtId="0" fontId="3" fillId="0" borderId="37" xfId="0" applyFont="1" applyBorder="1" applyAlignment="1">
      <alignment horizontal="center" vertical="center" textRotation="90"/>
    </xf>
    <xf numFmtId="0" fontId="3" fillId="0" borderId="40" xfId="0" applyFont="1" applyBorder="1" applyAlignment="1">
      <alignment horizontal="center" vertical="center" textRotation="90"/>
    </xf>
    <xf numFmtId="0" fontId="3" fillId="0" borderId="41" xfId="0" applyFont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0" fillId="0" borderId="8" xfId="0" quotePrefix="1" applyBorder="1" applyAlignment="1">
      <alignment horizontal="center" vertical="center"/>
    </xf>
  </cellXfs>
  <cellStyles count="1">
    <cellStyle name="Normal" xfId="0" builtinId="0"/>
  </cellStyles>
  <dxfs count="7"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986F0-8CAF-4646-8E1D-AD0BA78E3128}">
  <sheetPr codeName="Hoja1"/>
  <dimension ref="B1:M61"/>
  <sheetViews>
    <sheetView tabSelected="1" topLeftCell="A34" zoomScale="85" zoomScaleNormal="85" workbookViewId="0">
      <selection activeCell="D53" sqref="D53"/>
    </sheetView>
  </sheetViews>
  <sheetFormatPr baseColWidth="10" defaultRowHeight="15" x14ac:dyDescent="0.25"/>
  <cols>
    <col min="1" max="1" width="9.140625" customWidth="1"/>
    <col min="2" max="2" width="51.85546875" customWidth="1"/>
    <col min="4" max="4" width="20.5703125" customWidth="1"/>
    <col min="5" max="5" width="28.140625" bestFit="1" customWidth="1"/>
    <col min="8" max="8" width="39.28515625" customWidth="1"/>
    <col min="9" max="9" width="9.140625" customWidth="1"/>
    <col min="10" max="10" width="18.42578125" customWidth="1"/>
    <col min="11" max="12" width="28.140625" bestFit="1" customWidth="1"/>
  </cols>
  <sheetData>
    <row r="1" spans="2:13" ht="15.75" thickBot="1" x14ac:dyDescent="0.3"/>
    <row r="2" spans="2:13" ht="15.75" thickBot="1" x14ac:dyDescent="0.3">
      <c r="B2" s="81" t="s">
        <v>0</v>
      </c>
      <c r="C2" s="82" t="s">
        <v>1</v>
      </c>
      <c r="D2" s="82" t="s">
        <v>2</v>
      </c>
      <c r="E2" s="83" t="s">
        <v>3</v>
      </c>
      <c r="H2" s="81" t="s">
        <v>0</v>
      </c>
      <c r="I2" s="82" t="s">
        <v>1</v>
      </c>
      <c r="J2" s="82" t="s">
        <v>2</v>
      </c>
      <c r="K2" s="82" t="s">
        <v>17</v>
      </c>
      <c r="L2" s="83" t="s">
        <v>18</v>
      </c>
      <c r="M2" s="42" t="s">
        <v>93</v>
      </c>
    </row>
    <row r="3" spans="2:13" ht="18" x14ac:dyDescent="0.25">
      <c r="B3" s="84" t="s">
        <v>4</v>
      </c>
      <c r="C3" s="76" t="s">
        <v>139</v>
      </c>
      <c r="D3" s="85" t="s">
        <v>165</v>
      </c>
      <c r="E3" s="86">
        <v>34.5</v>
      </c>
      <c r="H3" s="129" t="s">
        <v>8</v>
      </c>
      <c r="I3" s="130" t="s">
        <v>202</v>
      </c>
      <c r="J3" s="56" t="s">
        <v>165</v>
      </c>
      <c r="K3" s="131">
        <f>E7</f>
        <v>37.950000000000003</v>
      </c>
      <c r="L3" s="100">
        <f>E50</f>
        <v>36</v>
      </c>
      <c r="M3" s="132">
        <f>+IF(L3&gt;=K3,1,0)</f>
        <v>0</v>
      </c>
    </row>
    <row r="4" spans="2:13" ht="18" x14ac:dyDescent="0.25">
      <c r="B4" s="25" t="s">
        <v>5</v>
      </c>
      <c r="C4" s="26" t="s">
        <v>6</v>
      </c>
      <c r="D4" s="57" t="s">
        <v>6</v>
      </c>
      <c r="E4" s="27" t="s">
        <v>57</v>
      </c>
      <c r="H4" s="109" t="s">
        <v>94</v>
      </c>
      <c r="I4" s="78" t="s">
        <v>85</v>
      </c>
      <c r="J4" s="3" t="s">
        <v>186</v>
      </c>
      <c r="K4" s="106">
        <f>E39</f>
        <v>28.757456064417021</v>
      </c>
      <c r="L4" s="21">
        <f>E51</f>
        <v>30</v>
      </c>
      <c r="M4" s="87">
        <f t="shared" ref="M4:M14" si="0">+IF(L4&gt;=K4,1,0)</f>
        <v>1</v>
      </c>
    </row>
    <row r="5" spans="2:13" ht="18" x14ac:dyDescent="0.25">
      <c r="B5" s="1" t="s">
        <v>7</v>
      </c>
      <c r="C5" s="3" t="s">
        <v>140</v>
      </c>
      <c r="D5" s="3" t="s">
        <v>165</v>
      </c>
      <c r="E5" s="6">
        <f>IF(E3="","",INDEX(Um,MATCH(IF(OR(E3=115,E3=34.5,E3=110),IF(E4="Si",1.12*E3,E3),E3),Um,-1)))</f>
        <v>36</v>
      </c>
      <c r="H5" s="109" t="s">
        <v>89</v>
      </c>
      <c r="I5" s="78" t="s">
        <v>19</v>
      </c>
      <c r="J5" s="85" t="s">
        <v>182</v>
      </c>
      <c r="K5" s="106">
        <f>E10</f>
        <v>23.005964851533616</v>
      </c>
      <c r="L5" s="21">
        <f t="shared" ref="L5:L10" si="1">E52</f>
        <v>24</v>
      </c>
      <c r="M5" s="87">
        <f t="shared" si="0"/>
        <v>1</v>
      </c>
    </row>
    <row r="6" spans="2:13" ht="18" x14ac:dyDescent="0.25">
      <c r="B6" s="1" t="s">
        <v>8</v>
      </c>
      <c r="C6" s="3" t="s">
        <v>9</v>
      </c>
      <c r="D6" s="3" t="s">
        <v>165</v>
      </c>
      <c r="E6" s="6">
        <f>IF(E3&lt;500,E3*1.1,E3*1.05)</f>
        <v>37.950000000000003</v>
      </c>
      <c r="H6" s="109" t="s">
        <v>22</v>
      </c>
      <c r="I6" s="3" t="s">
        <v>214</v>
      </c>
      <c r="J6" s="3" t="s">
        <v>183</v>
      </c>
      <c r="K6" s="49" t="s">
        <v>6</v>
      </c>
      <c r="L6" s="21">
        <f t="shared" si="1"/>
        <v>77.7</v>
      </c>
      <c r="M6" s="87">
        <f>+IF(L6&gt;=0,1,0)</f>
        <v>1</v>
      </c>
    </row>
    <row r="7" spans="2:13" ht="18" x14ac:dyDescent="0.25">
      <c r="B7" s="1" t="s">
        <v>8</v>
      </c>
      <c r="C7" s="3" t="s">
        <v>141</v>
      </c>
      <c r="D7" s="3" t="s">
        <v>165</v>
      </c>
      <c r="E7" s="6">
        <f>MAX(E5,E6)</f>
        <v>37.950000000000003</v>
      </c>
      <c r="H7" s="109" t="s">
        <v>23</v>
      </c>
      <c r="I7" s="3" t="s">
        <v>215</v>
      </c>
      <c r="J7" s="3" t="s">
        <v>183</v>
      </c>
      <c r="K7" s="49" t="s">
        <v>6</v>
      </c>
      <c r="L7" s="21">
        <f t="shared" si="1"/>
        <v>59</v>
      </c>
      <c r="M7" s="87">
        <f>+IF(L7&gt;=0,1,0)</f>
        <v>1</v>
      </c>
    </row>
    <row r="8" spans="2:13" ht="18" x14ac:dyDescent="0.35">
      <c r="B8" s="1" t="s">
        <v>54</v>
      </c>
      <c r="C8" s="4" t="s">
        <v>6</v>
      </c>
      <c r="D8" s="4" t="s">
        <v>6</v>
      </c>
      <c r="E8" s="6" t="s">
        <v>55</v>
      </c>
      <c r="H8" s="109" t="s">
        <v>20</v>
      </c>
      <c r="I8" s="78" t="s">
        <v>217</v>
      </c>
      <c r="J8" s="3" t="s">
        <v>184</v>
      </c>
      <c r="K8" s="107">
        <f>MAX('Sobretenciones del sistema'!N4:N6)</f>
        <v>6.7170179999999995</v>
      </c>
      <c r="L8" s="21">
        <f t="shared" si="1"/>
        <v>10</v>
      </c>
      <c r="M8" s="87">
        <f t="shared" si="0"/>
        <v>1</v>
      </c>
    </row>
    <row r="9" spans="2:13" ht="18" x14ac:dyDescent="0.35">
      <c r="B9" s="1" t="s">
        <v>69</v>
      </c>
      <c r="C9" s="4" t="s">
        <v>6</v>
      </c>
      <c r="D9" s="4" t="s">
        <v>6</v>
      </c>
      <c r="E9" s="6" t="s">
        <v>63</v>
      </c>
      <c r="H9" s="109" t="s">
        <v>21</v>
      </c>
      <c r="I9" s="78" t="s">
        <v>216</v>
      </c>
      <c r="J9" s="3" t="s">
        <v>184</v>
      </c>
      <c r="K9" s="107">
        <f>MAX('Sobretenciones del sistema'!N10:N12)</f>
        <v>0.68417838312829504</v>
      </c>
      <c r="L9" s="21">
        <f t="shared" si="1"/>
        <v>1</v>
      </c>
      <c r="M9" s="87">
        <f t="shared" si="0"/>
        <v>1</v>
      </c>
    </row>
    <row r="10" spans="2:13" ht="18" x14ac:dyDescent="0.25">
      <c r="B10" s="1" t="s">
        <v>56</v>
      </c>
      <c r="C10" s="4" t="s">
        <v>142</v>
      </c>
      <c r="D10" s="85" t="s">
        <v>182</v>
      </c>
      <c r="E10" s="88">
        <f>IF(E8="Solido",(1.05*E7)/SQRT(3),IF(E8="Aislado",E7))</f>
        <v>23.005964851533616</v>
      </c>
      <c r="H10" s="109" t="s">
        <v>24</v>
      </c>
      <c r="I10" s="78" t="s">
        <v>134</v>
      </c>
      <c r="J10" s="3" t="s">
        <v>30</v>
      </c>
      <c r="K10" s="107">
        <f>MAX('Sobretenciones del sistema'!N16,'Sobretenciones del sistema'!N21)</f>
        <v>1.1592730500067348</v>
      </c>
      <c r="L10" s="21">
        <f t="shared" si="1"/>
        <v>1.6</v>
      </c>
      <c r="M10" s="87">
        <f t="shared" si="0"/>
        <v>1</v>
      </c>
    </row>
    <row r="11" spans="2:13" ht="18" x14ac:dyDescent="0.25">
      <c r="B11" s="1" t="s">
        <v>10</v>
      </c>
      <c r="C11" s="3" t="s">
        <v>143</v>
      </c>
      <c r="D11" s="4" t="s">
        <v>6</v>
      </c>
      <c r="E11" s="29">
        <f>VLOOKUP(E9,Tablas!S3:T7,2,FALSE)</f>
        <v>1.4</v>
      </c>
      <c r="H11" s="109" t="s">
        <v>25</v>
      </c>
      <c r="I11" s="78" t="s">
        <v>135</v>
      </c>
      <c r="J11" s="3" t="s">
        <v>187</v>
      </c>
      <c r="K11" s="106">
        <f>MAX('Sobretenciones del sistema'!N17,'Sobretenciones del sistema'!N22)</f>
        <v>3.0025171995174431</v>
      </c>
      <c r="L11" s="21">
        <f>E58</f>
        <v>4.5</v>
      </c>
      <c r="M11" s="87">
        <f t="shared" si="0"/>
        <v>1</v>
      </c>
    </row>
    <row r="12" spans="2:13" ht="18" x14ac:dyDescent="0.35">
      <c r="B12" s="1" t="s">
        <v>11</v>
      </c>
      <c r="C12" s="3" t="s">
        <v>144</v>
      </c>
      <c r="D12" s="4" t="s">
        <v>6</v>
      </c>
      <c r="E12" s="6">
        <v>1.2</v>
      </c>
      <c r="H12" s="109" t="s">
        <v>132</v>
      </c>
      <c r="I12" s="78" t="s">
        <v>136</v>
      </c>
      <c r="J12" s="3" t="s">
        <v>187</v>
      </c>
      <c r="K12" s="108">
        <f>'Sobretenciones del sistema'!N23</f>
        <v>0.37332361230259392</v>
      </c>
      <c r="L12" s="21">
        <f>E58</f>
        <v>4.5</v>
      </c>
      <c r="M12" s="87">
        <f t="shared" si="0"/>
        <v>1</v>
      </c>
    </row>
    <row r="13" spans="2:13" ht="18.75" x14ac:dyDescent="0.25">
      <c r="B13" s="1" t="s">
        <v>213</v>
      </c>
      <c r="C13" s="3" t="s">
        <v>205</v>
      </c>
      <c r="D13" s="60" t="s">
        <v>185</v>
      </c>
      <c r="E13" s="6">
        <v>70</v>
      </c>
      <c r="H13" s="109" t="s">
        <v>26</v>
      </c>
      <c r="I13" s="4" t="s">
        <v>208</v>
      </c>
      <c r="J13" s="78" t="s">
        <v>189</v>
      </c>
      <c r="K13" s="106">
        <f>E30</f>
        <v>760.29236223639668</v>
      </c>
      <c r="L13" s="50">
        <f xml:space="preserve"> IF(E59="Si",IF(E60&gt;0,E60,K13),IF(E59="No",K13))</f>
        <v>760.29236223639668</v>
      </c>
      <c r="M13" s="87">
        <f t="shared" si="0"/>
        <v>1</v>
      </c>
    </row>
    <row r="14" spans="2:13" ht="19.5" thickBot="1" x14ac:dyDescent="0.3">
      <c r="B14" s="2" t="s">
        <v>212</v>
      </c>
      <c r="C14" s="5" t="s">
        <v>206</v>
      </c>
      <c r="D14" s="77" t="s">
        <v>185</v>
      </c>
      <c r="E14" s="7">
        <v>170</v>
      </c>
      <c r="H14" s="2" t="s">
        <v>27</v>
      </c>
      <c r="I14" s="133" t="s">
        <v>211</v>
      </c>
      <c r="J14" s="79" t="s">
        <v>189</v>
      </c>
      <c r="K14" s="110">
        <f>E32</f>
        <v>438</v>
      </c>
      <c r="L14" s="23">
        <f xml:space="preserve"> IF(E59="Si",IF(E61&gt;0,E61,K14),IF(E59="No",K14))</f>
        <v>438</v>
      </c>
      <c r="M14" s="89">
        <f t="shared" si="0"/>
        <v>1</v>
      </c>
    </row>
    <row r="15" spans="2:13" ht="15.75" thickBot="1" x14ac:dyDescent="0.3">
      <c r="B15" s="90"/>
      <c r="C15" s="8"/>
      <c r="D15" s="8"/>
      <c r="E15" s="8"/>
      <c r="H15" s="9"/>
      <c r="I15" s="9"/>
      <c r="J15" s="9"/>
      <c r="K15" s="9"/>
      <c r="L15" s="9"/>
    </row>
    <row r="16" spans="2:13" x14ac:dyDescent="0.25">
      <c r="B16" s="91" t="s">
        <v>12</v>
      </c>
      <c r="C16" s="56" t="s">
        <v>13</v>
      </c>
      <c r="D16" s="56" t="s">
        <v>14</v>
      </c>
      <c r="E16" s="55">
        <v>209</v>
      </c>
      <c r="H16" s="8"/>
      <c r="I16" s="9"/>
      <c r="J16" s="9"/>
      <c r="K16" s="9"/>
      <c r="L16" s="9"/>
    </row>
    <row r="17" spans="2:8" x14ac:dyDescent="0.25">
      <c r="B17" s="1" t="s">
        <v>15</v>
      </c>
      <c r="C17" s="4" t="s">
        <v>148</v>
      </c>
      <c r="D17" s="4" t="s">
        <v>6</v>
      </c>
      <c r="E17" s="6" t="s">
        <v>42</v>
      </c>
    </row>
    <row r="18" spans="2:8" ht="18" x14ac:dyDescent="0.25">
      <c r="B18" s="1" t="s">
        <v>79</v>
      </c>
      <c r="C18" s="4" t="s">
        <v>147</v>
      </c>
      <c r="D18" s="85" t="s">
        <v>190</v>
      </c>
      <c r="E18" s="6">
        <f>VLOOKUP(E17,Tablas!L3:M7,2,FALSE)</f>
        <v>34.700000000000003</v>
      </c>
    </row>
    <row r="19" spans="2:8" ht="18" x14ac:dyDescent="0.25">
      <c r="B19" s="1" t="s">
        <v>72</v>
      </c>
      <c r="C19" s="4" t="s">
        <v>138</v>
      </c>
      <c r="D19" s="4" t="s">
        <v>6</v>
      </c>
      <c r="E19" s="88">
        <f>IF(E16&gt;=1000,EXP((E16-1000)/8150),1)</f>
        <v>1</v>
      </c>
    </row>
    <row r="20" spans="2:8" x14ac:dyDescent="0.25">
      <c r="B20" s="1" t="s">
        <v>73</v>
      </c>
      <c r="C20" s="4" t="s">
        <v>6</v>
      </c>
      <c r="D20" s="4" t="s">
        <v>6</v>
      </c>
      <c r="E20" s="6" t="s">
        <v>199</v>
      </c>
    </row>
    <row r="21" spans="2:8" ht="18" x14ac:dyDescent="0.25">
      <c r="B21" s="1" t="s">
        <v>81</v>
      </c>
      <c r="C21" s="4" t="s">
        <v>209</v>
      </c>
      <c r="D21" s="60" t="s">
        <v>189</v>
      </c>
      <c r="E21" s="21">
        <v>320</v>
      </c>
    </row>
    <row r="22" spans="2:8" ht="18" x14ac:dyDescent="0.25">
      <c r="B22" s="1" t="s">
        <v>82</v>
      </c>
      <c r="C22" s="4" t="s">
        <v>210</v>
      </c>
      <c r="D22" s="60" t="s">
        <v>189</v>
      </c>
      <c r="E22" s="21">
        <v>146</v>
      </c>
    </row>
    <row r="23" spans="2:8" ht="18.75" x14ac:dyDescent="0.25">
      <c r="B23" s="1" t="s">
        <v>98</v>
      </c>
      <c r="C23" s="4" t="s">
        <v>145</v>
      </c>
      <c r="D23" s="60" t="s">
        <v>185</v>
      </c>
      <c r="E23" s="21">
        <v>100</v>
      </c>
    </row>
    <row r="24" spans="2:8" x14ac:dyDescent="0.25">
      <c r="B24" s="1" t="s">
        <v>74</v>
      </c>
      <c r="C24" s="4" t="s">
        <v>146</v>
      </c>
      <c r="D24" s="60" t="s">
        <v>189</v>
      </c>
      <c r="E24" s="21">
        <v>255</v>
      </c>
    </row>
    <row r="25" spans="2:8" ht="18" x14ac:dyDescent="0.25">
      <c r="B25" s="53" t="s">
        <v>75</v>
      </c>
      <c r="C25" s="58" t="s">
        <v>200</v>
      </c>
      <c r="D25" s="103" t="s">
        <v>189</v>
      </c>
      <c r="E25" s="59"/>
    </row>
    <row r="26" spans="2:8" ht="18" x14ac:dyDescent="0.25">
      <c r="B26" s="53" t="s">
        <v>76</v>
      </c>
      <c r="C26" s="58" t="s">
        <v>201</v>
      </c>
      <c r="D26" s="103" t="s">
        <v>189</v>
      </c>
      <c r="E26" s="59"/>
    </row>
    <row r="27" spans="2:8" ht="18" x14ac:dyDescent="0.25">
      <c r="B27" s="1" t="s">
        <v>77</v>
      </c>
      <c r="C27" s="3" t="s">
        <v>166</v>
      </c>
      <c r="D27" s="60" t="s">
        <v>189</v>
      </c>
      <c r="E27" s="6">
        <f>IF(E20="Alternante",((2*E21)+E22+E24)/4,E24)</f>
        <v>255</v>
      </c>
      <c r="H27" s="9"/>
    </row>
    <row r="28" spans="2:8" ht="18" x14ac:dyDescent="0.25">
      <c r="B28" s="1" t="s">
        <v>78</v>
      </c>
      <c r="C28" s="4" t="s">
        <v>137</v>
      </c>
      <c r="D28" s="4" t="s">
        <v>6</v>
      </c>
      <c r="E28" s="88">
        <f>IF(E27&gt;=300, 0.0005*E27+0.85,1)</f>
        <v>1</v>
      </c>
      <c r="H28" s="9"/>
    </row>
    <row r="29" spans="2:8" ht="18" x14ac:dyDescent="0.25">
      <c r="B29" s="1" t="s">
        <v>84</v>
      </c>
      <c r="C29" s="4" t="s">
        <v>149</v>
      </c>
      <c r="D29" s="85" t="s">
        <v>190</v>
      </c>
      <c r="E29" s="92">
        <f>E18*E19*E28</f>
        <v>34.700000000000003</v>
      </c>
      <c r="H29" s="9"/>
    </row>
    <row r="30" spans="2:8" ht="18" x14ac:dyDescent="0.25">
      <c r="B30" s="1" t="s">
        <v>26</v>
      </c>
      <c r="C30" s="4" t="s">
        <v>208</v>
      </c>
      <c r="D30" s="3" t="s">
        <v>189</v>
      </c>
      <c r="E30" s="88">
        <f>(E18*E7)/SQRT(3)</f>
        <v>760.29236223639668</v>
      </c>
      <c r="H30" s="9"/>
    </row>
    <row r="31" spans="2:8" ht="18" x14ac:dyDescent="0.25">
      <c r="B31" s="93" t="s">
        <v>97</v>
      </c>
      <c r="C31" s="4" t="s">
        <v>207</v>
      </c>
      <c r="D31" s="4" t="s">
        <v>6</v>
      </c>
      <c r="E31" s="94">
        <f>ROUNDUP(E30/E21,0)</f>
        <v>3</v>
      </c>
      <c r="H31" s="9"/>
    </row>
    <row r="32" spans="2:8" ht="18" x14ac:dyDescent="0.25">
      <c r="B32" s="93" t="s">
        <v>96</v>
      </c>
      <c r="C32" s="4" t="s">
        <v>211</v>
      </c>
      <c r="D32" s="75" t="s">
        <v>189</v>
      </c>
      <c r="E32" s="94">
        <f>E31*E22</f>
        <v>438</v>
      </c>
      <c r="H32" s="9"/>
    </row>
    <row r="33" spans="2:8" ht="18.75" thickBot="1" x14ac:dyDescent="0.3">
      <c r="B33" s="2" t="s">
        <v>95</v>
      </c>
      <c r="C33" s="5" t="s">
        <v>167</v>
      </c>
      <c r="D33" s="5" t="s">
        <v>189</v>
      </c>
      <c r="E33" s="95">
        <f>(E14/E23)*E22</f>
        <v>248.2</v>
      </c>
      <c r="H33" s="9"/>
    </row>
    <row r="34" spans="2:8" ht="15.75" thickBot="1" x14ac:dyDescent="0.3">
      <c r="H34" s="9"/>
    </row>
    <row r="35" spans="2:8" ht="18" x14ac:dyDescent="0.25">
      <c r="B35" s="91" t="s">
        <v>58</v>
      </c>
      <c r="C35" s="56" t="s">
        <v>168</v>
      </c>
      <c r="D35" s="56" t="s">
        <v>186</v>
      </c>
      <c r="E35" s="96">
        <f>IF(E8="Solido",(1.25*1.05*E7)/SQRT(3),IF(E8="Aislado",1.25*E7))</f>
        <v>28.757456064417021</v>
      </c>
      <c r="H35" s="9"/>
    </row>
    <row r="36" spans="2:8" ht="18" x14ac:dyDescent="0.25">
      <c r="B36" s="1" t="s">
        <v>59</v>
      </c>
      <c r="C36" s="3" t="s">
        <v>169</v>
      </c>
      <c r="D36" s="3" t="s">
        <v>186</v>
      </c>
      <c r="E36" s="50">
        <f>(E11*E7)/SQRT(3)</f>
        <v>30.67461980204482</v>
      </c>
      <c r="H36" s="9"/>
    </row>
    <row r="37" spans="2:8" ht="18" x14ac:dyDescent="0.25">
      <c r="B37" s="1" t="s">
        <v>61</v>
      </c>
      <c r="C37" s="3" t="s">
        <v>170</v>
      </c>
      <c r="D37" s="49" t="s">
        <v>6</v>
      </c>
      <c r="E37" s="21">
        <v>1.075</v>
      </c>
      <c r="H37" s="8"/>
    </row>
    <row r="38" spans="2:8" ht="18" x14ac:dyDescent="0.25">
      <c r="B38" s="1" t="s">
        <v>62</v>
      </c>
      <c r="C38" s="3" t="s">
        <v>171</v>
      </c>
      <c r="D38" s="3" t="s">
        <v>186</v>
      </c>
      <c r="E38" s="50">
        <f>E36/E37</f>
        <v>28.534530048413789</v>
      </c>
    </row>
    <row r="39" spans="2:8" ht="18.75" thickBot="1" x14ac:dyDescent="0.3">
      <c r="B39" s="22" t="s">
        <v>60</v>
      </c>
      <c r="C39" s="5" t="s">
        <v>172</v>
      </c>
      <c r="D39" s="5" t="s">
        <v>186</v>
      </c>
      <c r="E39" s="51">
        <f>IF(E8="Solido", MAX(E35,E38),IF(E8="Aislado",1.25*E7))</f>
        <v>28.757456064417021</v>
      </c>
    </row>
    <row r="40" spans="2:8" ht="15.75" thickBot="1" x14ac:dyDescent="0.3"/>
    <row r="41" spans="2:8" x14ac:dyDescent="0.25">
      <c r="B41" s="97" t="s">
        <v>71</v>
      </c>
      <c r="C41" s="98" t="s">
        <v>6</v>
      </c>
      <c r="D41" s="99" t="s">
        <v>6</v>
      </c>
      <c r="E41" s="100">
        <v>1</v>
      </c>
    </row>
    <row r="42" spans="2:8" x14ac:dyDescent="0.25">
      <c r="B42" s="17" t="s">
        <v>112</v>
      </c>
      <c r="C42" s="4" t="s">
        <v>6</v>
      </c>
      <c r="D42" s="49" t="s">
        <v>14</v>
      </c>
      <c r="E42" s="18">
        <v>100</v>
      </c>
    </row>
    <row r="43" spans="2:8" x14ac:dyDescent="0.25">
      <c r="B43" s="20" t="s">
        <v>70</v>
      </c>
      <c r="C43" s="4" t="s">
        <v>6</v>
      </c>
      <c r="D43" s="49" t="s">
        <v>188</v>
      </c>
      <c r="E43" s="21" t="s">
        <v>48</v>
      </c>
    </row>
    <row r="44" spans="2:8" x14ac:dyDescent="0.25">
      <c r="B44" s="1" t="s">
        <v>28</v>
      </c>
      <c r="C44" s="49" t="s">
        <v>6</v>
      </c>
      <c r="D44" s="49" t="s">
        <v>6</v>
      </c>
      <c r="E44" s="21" t="s">
        <v>57</v>
      </c>
    </row>
    <row r="45" spans="2:8" x14ac:dyDescent="0.25">
      <c r="B45" s="53" t="s">
        <v>31</v>
      </c>
      <c r="C45" s="52" t="s">
        <v>29</v>
      </c>
      <c r="D45" s="52" t="s">
        <v>33</v>
      </c>
      <c r="E45" s="54">
        <v>1</v>
      </c>
    </row>
    <row r="46" spans="2:8" x14ac:dyDescent="0.25">
      <c r="B46" s="53" t="s">
        <v>32</v>
      </c>
      <c r="C46" s="52" t="s">
        <v>30</v>
      </c>
      <c r="D46" s="52" t="s">
        <v>34</v>
      </c>
      <c r="E46" s="54">
        <v>1</v>
      </c>
    </row>
    <row r="47" spans="2:8" ht="15.75" thickBot="1" x14ac:dyDescent="0.3">
      <c r="B47" s="2" t="s">
        <v>31</v>
      </c>
      <c r="C47" s="101" t="s">
        <v>6</v>
      </c>
      <c r="D47" s="101" t="s">
        <v>164</v>
      </c>
      <c r="E47" s="23">
        <f>IF(E44="No",VLOOKUP(E43,Tablas!O3:Q7,3,FALSE),IF(E44="Si",SQRT(E45/E46)))</f>
        <v>400</v>
      </c>
    </row>
    <row r="48" spans="2:8" ht="15.75" thickBot="1" x14ac:dyDescent="0.3"/>
    <row r="49" spans="2:8" ht="15.75" thickBot="1" x14ac:dyDescent="0.3">
      <c r="B49" s="73" t="s">
        <v>86</v>
      </c>
      <c r="E49" s="9"/>
    </row>
    <row r="50" spans="2:8" ht="18" x14ac:dyDescent="0.25">
      <c r="B50" s="97" t="s">
        <v>87</v>
      </c>
      <c r="C50" s="56" t="s">
        <v>173</v>
      </c>
      <c r="D50" s="56" t="s">
        <v>165</v>
      </c>
      <c r="E50" s="55">
        <v>36</v>
      </c>
      <c r="H50" s="9"/>
    </row>
    <row r="51" spans="2:8" ht="18" x14ac:dyDescent="0.25">
      <c r="B51" s="20" t="s">
        <v>88</v>
      </c>
      <c r="C51" s="3" t="s">
        <v>174</v>
      </c>
      <c r="D51" s="3" t="s">
        <v>186</v>
      </c>
      <c r="E51" s="6">
        <v>30</v>
      </c>
    </row>
    <row r="52" spans="2:8" ht="18" x14ac:dyDescent="0.25">
      <c r="B52" s="20" t="s">
        <v>89</v>
      </c>
      <c r="C52" s="3" t="s">
        <v>175</v>
      </c>
      <c r="D52" s="3" t="s">
        <v>186</v>
      </c>
      <c r="E52" s="6">
        <v>24</v>
      </c>
    </row>
    <row r="53" spans="2:8" ht="18" x14ac:dyDescent="0.25">
      <c r="B53" s="1" t="s">
        <v>204</v>
      </c>
      <c r="C53" s="3" t="s">
        <v>176</v>
      </c>
      <c r="D53" s="3" t="s">
        <v>183</v>
      </c>
      <c r="E53" s="6">
        <v>77.7</v>
      </c>
    </row>
    <row r="54" spans="2:8" ht="18" x14ac:dyDescent="0.25">
      <c r="B54" s="1" t="s">
        <v>203</v>
      </c>
      <c r="C54" s="3" t="s">
        <v>177</v>
      </c>
      <c r="D54" s="3" t="s">
        <v>183</v>
      </c>
      <c r="E54" s="6">
        <v>59</v>
      </c>
    </row>
    <row r="55" spans="2:8" ht="18" x14ac:dyDescent="0.25">
      <c r="B55" s="20" t="s">
        <v>90</v>
      </c>
      <c r="C55" s="3" t="s">
        <v>178</v>
      </c>
      <c r="D55" s="3" t="s">
        <v>184</v>
      </c>
      <c r="E55" s="6">
        <v>10</v>
      </c>
    </row>
    <row r="56" spans="2:8" ht="18" x14ac:dyDescent="0.25">
      <c r="B56" s="20" t="s">
        <v>91</v>
      </c>
      <c r="C56" s="3" t="s">
        <v>179</v>
      </c>
      <c r="D56" s="3" t="s">
        <v>184</v>
      </c>
      <c r="E56" s="6">
        <v>1</v>
      </c>
    </row>
    <row r="57" spans="2:8" ht="18" x14ac:dyDescent="0.25">
      <c r="B57" s="20" t="s">
        <v>24</v>
      </c>
      <c r="C57" s="3" t="s">
        <v>180</v>
      </c>
      <c r="D57" s="3" t="s">
        <v>30</v>
      </c>
      <c r="E57" s="6">
        <v>1.6</v>
      </c>
    </row>
    <row r="58" spans="2:8" ht="18" x14ac:dyDescent="0.25">
      <c r="B58" s="20" t="s">
        <v>92</v>
      </c>
      <c r="C58" s="3" t="s">
        <v>181</v>
      </c>
      <c r="D58" s="3" t="s">
        <v>187</v>
      </c>
      <c r="E58" s="6">
        <v>4.5</v>
      </c>
    </row>
    <row r="59" spans="2:8" x14ac:dyDescent="0.25">
      <c r="B59" s="20" t="s">
        <v>133</v>
      </c>
      <c r="C59" s="75"/>
      <c r="D59" s="75"/>
      <c r="E59" s="21" t="s">
        <v>57</v>
      </c>
    </row>
    <row r="60" spans="2:8" x14ac:dyDescent="0.25">
      <c r="B60" s="70" t="s">
        <v>80</v>
      </c>
      <c r="C60" s="57" t="s">
        <v>6</v>
      </c>
      <c r="D60" s="52" t="s">
        <v>189</v>
      </c>
      <c r="E60" s="54">
        <v>10</v>
      </c>
    </row>
    <row r="61" spans="2:8" ht="15.75" thickBot="1" x14ac:dyDescent="0.3">
      <c r="B61" s="68" t="s">
        <v>27</v>
      </c>
      <c r="C61" s="105" t="s">
        <v>6</v>
      </c>
      <c r="D61" s="104" t="s">
        <v>189</v>
      </c>
      <c r="E61" s="74">
        <v>10</v>
      </c>
    </row>
  </sheetData>
  <conditionalFormatting sqref="B4:E4">
    <cfRule type="expression" dxfId="6" priority="7">
      <formula xml:space="preserve"> OR($E$3= 34.5, $E$3=110, $E$3=115)</formula>
    </cfRule>
  </conditionalFormatting>
  <conditionalFormatting sqref="B45:E46">
    <cfRule type="expression" dxfId="5" priority="5">
      <formula>$E$44="Si"</formula>
    </cfRule>
  </conditionalFormatting>
  <conditionalFormatting sqref="B47">
    <cfRule type="expression" dxfId="4" priority="4">
      <formula>IF($E$52="Simulacion",TRUE,FALSE)</formula>
    </cfRule>
  </conditionalFormatting>
  <conditionalFormatting sqref="B25:E26">
    <cfRule type="expression" dxfId="3" priority="3">
      <formula>$E$20="Alternante"</formula>
    </cfRule>
  </conditionalFormatting>
  <conditionalFormatting sqref="M3:M14">
    <cfRule type="iconSet" priority="2">
      <iconSet iconSet="3Symbols" showValue="0">
        <cfvo type="percent" val="0"/>
        <cfvo type="num" val="1"/>
        <cfvo type="num" val="1"/>
      </iconSet>
    </cfRule>
  </conditionalFormatting>
  <conditionalFormatting sqref="B60:E61">
    <cfRule type="expression" dxfId="2" priority="1">
      <formula>$E$59="Si"</formula>
    </cfRule>
  </conditionalFormatting>
  <dataValidations count="8">
    <dataValidation type="list" allowBlank="1" showInputMessage="1" showErrorMessage="1" sqref="E17" xr:uid="{DE71AA4F-913E-473B-97A8-C1E71D052952}">
      <formula1>NivelCont</formula1>
    </dataValidation>
    <dataValidation type="list" allowBlank="1" showInputMessage="1" showErrorMessage="1" sqref="E4 E44 E59" xr:uid="{1C97F365-4A71-4C75-82E4-7D6012AE810E}">
      <formula1>"Si,No"</formula1>
    </dataValidation>
    <dataValidation type="list" allowBlank="1" showInputMessage="1" showErrorMessage="1" sqref="E8" xr:uid="{736B59C6-E25E-413F-AFC9-A5DED0CD76D8}">
      <formula1>"Solido,Aislado"</formula1>
    </dataValidation>
    <dataValidation type="list" showInputMessage="1" showErrorMessage="1" sqref="E13" xr:uid="{E71AD2DD-18E2-425B-806E-D8FBCA6609F7}">
      <formula1>INDIRECT("M_"&amp;$E$5)</formula1>
    </dataValidation>
    <dataValidation type="list" allowBlank="1" showInputMessage="1" showErrorMessage="1" sqref="E9" xr:uid="{ACE932BB-BE16-4F7C-9491-A4A079E9EE68}">
      <formula1>Falla</formula1>
    </dataValidation>
    <dataValidation type="list" showInputMessage="1" showErrorMessage="1" sqref="E14:E15" xr:uid="{46DECF6A-B2BF-46A5-B339-29F0B8E29539}">
      <formula1>INDIRECT("R_"&amp;$E$5&amp;"_"&amp;$E$13)</formula1>
    </dataValidation>
    <dataValidation type="list" allowBlank="1" showInputMessage="1" showErrorMessage="1" sqref="E43" xr:uid="{C3362B5F-7068-4B17-AB55-ACFBE9167A15}">
      <formula1>RangoZ</formula1>
    </dataValidation>
    <dataValidation type="list" allowBlank="1" showInputMessage="1" showErrorMessage="1" sqref="E20" xr:uid="{110F5A24-611E-43E9-941B-3DDB200D7E77}">
      <formula1>"Estándar,Abierto,Antiniebla,Alternante"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CA95-C68F-4C41-AA73-920863D2E1ED}">
  <sheetPr codeName="Hoja3"/>
  <dimension ref="B1:N76"/>
  <sheetViews>
    <sheetView workbookViewId="0">
      <selection activeCell="I37" sqref="I37"/>
    </sheetView>
  </sheetViews>
  <sheetFormatPr baseColWidth="10" defaultRowHeight="15" x14ac:dyDescent="0.25"/>
  <cols>
    <col min="1" max="1" width="11.7109375" customWidth="1"/>
    <col min="2" max="2" width="4.7109375" style="8" hidden="1" customWidth="1"/>
    <col min="3" max="3" width="5.5703125" style="8" hidden="1" customWidth="1"/>
    <col min="6" max="6" width="51.140625" bestFit="1" customWidth="1"/>
    <col min="8" max="8" width="19.140625" customWidth="1"/>
    <col min="9" max="9" width="28.140625" bestFit="1" customWidth="1"/>
    <col min="11" max="11" width="51.140625" bestFit="1" customWidth="1"/>
    <col min="13" max="13" width="19.140625" customWidth="1"/>
    <col min="14" max="14" width="28.140625" bestFit="1" customWidth="1"/>
  </cols>
  <sheetData>
    <row r="1" spans="5:14" ht="15.75" thickBot="1" x14ac:dyDescent="0.3"/>
    <row r="2" spans="5:14" ht="15.75" thickBot="1" x14ac:dyDescent="0.3">
      <c r="F2" t="s">
        <v>159</v>
      </c>
      <c r="K2" s="102" t="s">
        <v>155</v>
      </c>
    </row>
    <row r="3" spans="5:14" x14ac:dyDescent="0.25">
      <c r="E3" s="111" t="s">
        <v>156</v>
      </c>
      <c r="F3" s="61" t="s">
        <v>0</v>
      </c>
      <c r="G3" s="56" t="s">
        <v>1</v>
      </c>
      <c r="H3" s="56" t="s">
        <v>2</v>
      </c>
      <c r="I3" s="55" t="s">
        <v>3</v>
      </c>
      <c r="K3" s="61" t="s">
        <v>0</v>
      </c>
      <c r="L3" s="56" t="s">
        <v>1</v>
      </c>
      <c r="M3" s="56" t="s">
        <v>2</v>
      </c>
      <c r="N3" s="55" t="s">
        <v>3</v>
      </c>
    </row>
    <row r="4" spans="5:14" ht="18" x14ac:dyDescent="0.35">
      <c r="E4" s="112"/>
      <c r="F4" s="1" t="s">
        <v>102</v>
      </c>
      <c r="G4" s="4" t="s">
        <v>6</v>
      </c>
      <c r="H4" s="49" t="s">
        <v>6</v>
      </c>
      <c r="I4" s="6">
        <v>0.03</v>
      </c>
      <c r="K4" s="20" t="s">
        <v>110</v>
      </c>
      <c r="L4" s="78" t="s">
        <v>160</v>
      </c>
      <c r="M4" s="60" t="s">
        <v>154</v>
      </c>
      <c r="N4" s="64">
        <f>((2*I11)-'Datos y resultados del sistema'!E53)/'Datos y resultados del sistema'!E47</f>
        <v>1.2774300000000001</v>
      </c>
    </row>
    <row r="5" spans="5:14" ht="18" x14ac:dyDescent="0.35">
      <c r="E5" s="112"/>
      <c r="F5" s="20" t="s">
        <v>99</v>
      </c>
      <c r="G5" s="4" t="s">
        <v>6</v>
      </c>
      <c r="H5" s="78" t="s">
        <v>150</v>
      </c>
      <c r="I5" s="62">
        <f>'Datos y resultados del sistema'!E14/(1-(1.28*I4))</f>
        <v>176.78868552412646</v>
      </c>
      <c r="K5" s="20" t="s">
        <v>111</v>
      </c>
      <c r="L5" s="78" t="s">
        <v>161</v>
      </c>
      <c r="M5" s="60" t="s">
        <v>154</v>
      </c>
      <c r="N5" s="64">
        <f>1.6*(((2*I11)-'Datos y resultados del sistema'!E53)/'Datos y resultados del sistema'!E47)</f>
        <v>2.0438880000000004</v>
      </c>
    </row>
    <row r="6" spans="5:14" ht="18.75" thickBot="1" x14ac:dyDescent="0.4">
      <c r="E6" s="112"/>
      <c r="F6" s="20" t="s">
        <v>100</v>
      </c>
      <c r="G6" s="4" t="s">
        <v>6</v>
      </c>
      <c r="H6" s="78" t="s">
        <v>150</v>
      </c>
      <c r="I6" s="62">
        <f>(560*'Datos y resultados del sistema'!E32)/1000</f>
        <v>245.28</v>
      </c>
      <c r="K6" s="22" t="s">
        <v>117</v>
      </c>
      <c r="L6" s="79" t="s">
        <v>162</v>
      </c>
      <c r="M6" s="77" t="s">
        <v>154</v>
      </c>
      <c r="N6" s="63">
        <f>((2*(I29+1)*I11)/'Datos y resultados del sistema'!E47)*(1-(I29*(I25/I26)))-((((2*I29)+I27)*'Datos y resultados del sistema'!E53)/'Datos y resultados del sistema'!E47)</f>
        <v>6.7170179999999995</v>
      </c>
    </row>
    <row r="7" spans="5:14" ht="15.75" thickBot="1" x14ac:dyDescent="0.3">
      <c r="E7" s="112"/>
      <c r="F7" s="20" t="s">
        <v>101</v>
      </c>
      <c r="G7" s="4" t="s">
        <v>6</v>
      </c>
      <c r="H7" s="78" t="s">
        <v>150</v>
      </c>
      <c r="I7" s="62">
        <f>(605*'Datos y resultados del sistema'!E32)/1000</f>
        <v>264.99</v>
      </c>
    </row>
    <row r="8" spans="5:14" ht="15.75" thickBot="1" x14ac:dyDescent="0.3">
      <c r="E8" s="112"/>
      <c r="F8" s="20" t="s">
        <v>106</v>
      </c>
      <c r="G8" s="4" t="s">
        <v>6</v>
      </c>
      <c r="H8" s="78" t="s">
        <v>150</v>
      </c>
      <c r="I8" s="62">
        <f>1.2*MAX(I5:I6)</f>
        <v>294.33600000000001</v>
      </c>
      <c r="K8" s="102" t="s">
        <v>158</v>
      </c>
    </row>
    <row r="9" spans="5:14" x14ac:dyDescent="0.25">
      <c r="E9" s="112"/>
      <c r="F9" s="20" t="s">
        <v>107</v>
      </c>
      <c r="G9" s="4" t="s">
        <v>6</v>
      </c>
      <c r="H9" s="4" t="s">
        <v>6</v>
      </c>
      <c r="I9" s="62" t="s">
        <v>57</v>
      </c>
      <c r="K9" s="61" t="s">
        <v>0</v>
      </c>
      <c r="L9" s="56" t="s">
        <v>1</v>
      </c>
      <c r="M9" s="56" t="s">
        <v>2</v>
      </c>
      <c r="N9" s="55" t="s">
        <v>3</v>
      </c>
    </row>
    <row r="10" spans="5:14" ht="18.75" thickBot="1" x14ac:dyDescent="0.4">
      <c r="E10" s="112"/>
      <c r="F10" s="68" t="s">
        <v>108</v>
      </c>
      <c r="G10" s="80"/>
      <c r="H10" s="80"/>
      <c r="I10" s="69">
        <f>IF(I9="No",0,IF(I9="Si",1.2*I7))</f>
        <v>0</v>
      </c>
      <c r="K10" s="20" t="s">
        <v>110</v>
      </c>
      <c r="L10" s="78" t="s">
        <v>160</v>
      </c>
      <c r="M10" s="60" t="s">
        <v>154</v>
      </c>
      <c r="N10" s="64">
        <f>((2*I21)-'Datos y resultados del sistema'!E54)/'Datos y resultados del sistema'!E47</f>
        <v>0.31383567662565903</v>
      </c>
    </row>
    <row r="11" spans="5:14" ht="18.75" thickBot="1" x14ac:dyDescent="0.4">
      <c r="E11" s="113"/>
      <c r="F11" s="65" t="s">
        <v>118</v>
      </c>
      <c r="G11" s="79" t="s">
        <v>152</v>
      </c>
      <c r="H11" s="79" t="s">
        <v>150</v>
      </c>
      <c r="I11" s="66">
        <f>MAX(I8,I10)</f>
        <v>294.33600000000001</v>
      </c>
      <c r="K11" s="20" t="s">
        <v>111</v>
      </c>
      <c r="L11" s="78" t="s">
        <v>161</v>
      </c>
      <c r="M11" s="60" t="s">
        <v>154</v>
      </c>
      <c r="N11" s="64">
        <f>1.6*(((2*I21)-'Datos y resultados del sistema'!E54)/'Datos y resultados del sistema'!E47)</f>
        <v>0.5021370826010545</v>
      </c>
    </row>
    <row r="12" spans="5:14" ht="18.75" thickBot="1" x14ac:dyDescent="0.4">
      <c r="K12" s="22" t="s">
        <v>117</v>
      </c>
      <c r="L12" s="79" t="s">
        <v>162</v>
      </c>
      <c r="M12" s="77" t="s">
        <v>154</v>
      </c>
      <c r="N12" s="72">
        <f>((2*(I31+1)*I21)/'Datos y resultados del sistema'!E47)*(1-(I31*(I25/I26)))-(((2*I31+I27)*'Datos y resultados del sistema'!E54)/'Datos y resultados del sistema'!E47)</f>
        <v>0.68417838312829504</v>
      </c>
    </row>
    <row r="13" spans="5:14" ht="15.75" thickBot="1" x14ac:dyDescent="0.3">
      <c r="E13" s="111" t="s">
        <v>158</v>
      </c>
      <c r="F13" s="61" t="s">
        <v>0</v>
      </c>
      <c r="G13" s="56" t="s">
        <v>1</v>
      </c>
      <c r="H13" s="56" t="s">
        <v>2</v>
      </c>
      <c r="I13" s="55" t="s">
        <v>3</v>
      </c>
    </row>
    <row r="14" spans="5:14" ht="15.75" thickBot="1" x14ac:dyDescent="0.3">
      <c r="E14" s="112"/>
      <c r="F14" s="1" t="s">
        <v>102</v>
      </c>
      <c r="G14" s="4" t="s">
        <v>6</v>
      </c>
      <c r="H14" s="4" t="s">
        <v>6</v>
      </c>
      <c r="I14" s="21">
        <v>7.0000000000000007E-2</v>
      </c>
      <c r="K14" s="102" t="s">
        <v>157</v>
      </c>
    </row>
    <row r="15" spans="5:14" x14ac:dyDescent="0.25">
      <c r="E15" s="112"/>
      <c r="F15" s="1" t="s">
        <v>104</v>
      </c>
      <c r="G15" s="78" t="s">
        <v>151</v>
      </c>
      <c r="H15" s="4" t="s">
        <v>6</v>
      </c>
      <c r="I15" s="21">
        <v>0.7</v>
      </c>
      <c r="K15" s="61" t="s">
        <v>0</v>
      </c>
      <c r="L15" s="56" t="s">
        <v>1</v>
      </c>
      <c r="M15" s="56" t="s">
        <v>2</v>
      </c>
      <c r="N15" s="55" t="s">
        <v>3</v>
      </c>
    </row>
    <row r="16" spans="5:14" x14ac:dyDescent="0.25">
      <c r="E16" s="112"/>
      <c r="F16" s="20" t="s">
        <v>99</v>
      </c>
      <c r="G16" s="4" t="s">
        <v>6</v>
      </c>
      <c r="H16" s="78" t="s">
        <v>150</v>
      </c>
      <c r="I16" s="62">
        <f>'Datos y resultados del sistema'!E13/(1-(1.28*I14))</f>
        <v>76.889279437609844</v>
      </c>
      <c r="K16" s="20" t="s">
        <v>124</v>
      </c>
      <c r="L16" s="78" t="s">
        <v>134</v>
      </c>
      <c r="M16" s="78" t="s">
        <v>30</v>
      </c>
      <c r="N16" s="64">
        <f>((2*('Sobretenciones del sistema'!I11*10^3)-(('Sobretenciones del sistema'!I32*10^3)*'Datos y resultados del sistema'!E53))*(1+LN(2*('Sobretenciones del sistema'!I11/('Sobretenciones del sistema'!I32*'Datos y resultados del sistema'!E53))))*(I33/'Datos y resultados del sistema'!E47))</f>
        <v>1.1592730500067348</v>
      </c>
    </row>
    <row r="17" spans="5:14" ht="18.75" thickBot="1" x14ac:dyDescent="0.3">
      <c r="E17" s="112"/>
      <c r="F17" s="20" t="s">
        <v>103</v>
      </c>
      <c r="G17" s="4" t="s">
        <v>6</v>
      </c>
      <c r="H17" s="78" t="s">
        <v>150</v>
      </c>
      <c r="I17" s="62">
        <f>I15*(3400/(1+(8/('Datos y resultados del sistema'!E32/1000))))</f>
        <v>123.54112348897843</v>
      </c>
      <c r="K17" s="22" t="s">
        <v>126</v>
      </c>
      <c r="L17" s="79" t="s">
        <v>135</v>
      </c>
      <c r="M17" s="5" t="s">
        <v>187</v>
      </c>
      <c r="N17" s="72">
        <f>(N16*'Datos y resultados del sistema'!E53)/'Datos y resultados del sistema'!E51</f>
        <v>3.0025171995174431</v>
      </c>
    </row>
    <row r="18" spans="5:14" ht="15.75" thickBot="1" x14ac:dyDescent="0.3">
      <c r="E18" s="112"/>
      <c r="F18" s="20" t="s">
        <v>105</v>
      </c>
      <c r="G18" s="4" t="s">
        <v>6</v>
      </c>
      <c r="H18" s="78" t="s">
        <v>150</v>
      </c>
      <c r="I18" s="62">
        <f>1.2*MIN(I16,I17)</f>
        <v>92.267135325131804</v>
      </c>
    </row>
    <row r="19" spans="5:14" ht="15.75" thickBot="1" x14ac:dyDescent="0.3">
      <c r="E19" s="112"/>
      <c r="F19" s="20" t="s">
        <v>107</v>
      </c>
      <c r="G19" s="4" t="s">
        <v>6</v>
      </c>
      <c r="H19" s="4" t="s">
        <v>6</v>
      </c>
      <c r="I19" s="62" t="s">
        <v>57</v>
      </c>
      <c r="K19" s="102" t="s">
        <v>158</v>
      </c>
    </row>
    <row r="20" spans="5:14" x14ac:dyDescent="0.25">
      <c r="E20" s="112"/>
      <c r="F20" s="70" t="s">
        <v>109</v>
      </c>
      <c r="G20" s="67"/>
      <c r="H20" s="67"/>
      <c r="I20" s="71">
        <f>IF(I9="No",0,IF(I9="Si",1.2*I18))</f>
        <v>0</v>
      </c>
      <c r="K20" s="61" t="s">
        <v>0</v>
      </c>
      <c r="L20" s="56" t="s">
        <v>1</v>
      </c>
      <c r="M20" s="56" t="s">
        <v>2</v>
      </c>
      <c r="N20" s="55" t="s">
        <v>3</v>
      </c>
    </row>
    <row r="21" spans="5:14" ht="18.75" thickBot="1" x14ac:dyDescent="0.4">
      <c r="E21" s="113"/>
      <c r="F21" s="22" t="s">
        <v>119</v>
      </c>
      <c r="G21" s="79" t="s">
        <v>153</v>
      </c>
      <c r="H21" s="79" t="s">
        <v>150</v>
      </c>
      <c r="I21" s="63">
        <f>MAX(I18,I20)</f>
        <v>92.267135325131804</v>
      </c>
      <c r="K21" s="20" t="s">
        <v>124</v>
      </c>
      <c r="L21" s="3" t="s">
        <v>163</v>
      </c>
      <c r="M21" s="78" t="s">
        <v>30</v>
      </c>
      <c r="N21" s="64">
        <f>((I38-'Datos y resultados del sistema'!E54)/'Datos y resultados del sistema'!E47)*2*(I34/I35)*1000*1000</f>
        <v>9.4912782788795072E-2</v>
      </c>
    </row>
    <row r="22" spans="5:14" ht="18.75" thickBot="1" x14ac:dyDescent="0.3">
      <c r="K22" s="20" t="s">
        <v>126</v>
      </c>
      <c r="L22" s="3" t="s">
        <v>135</v>
      </c>
      <c r="M22" s="3" t="s">
        <v>187</v>
      </c>
      <c r="N22" s="64">
        <f>(N21*'Datos y resultados del sistema'!E54)/'Datos y resultados del sistema'!E51</f>
        <v>0.18666180615129696</v>
      </c>
    </row>
    <row r="23" spans="5:14" ht="18.75" thickBot="1" x14ac:dyDescent="0.3">
      <c r="F23" s="61" t="s">
        <v>0</v>
      </c>
      <c r="G23" s="56" t="s">
        <v>1</v>
      </c>
      <c r="H23" s="56" t="s">
        <v>2</v>
      </c>
      <c r="I23" s="55" t="s">
        <v>3</v>
      </c>
      <c r="K23" s="2" t="s">
        <v>131</v>
      </c>
      <c r="L23" s="5" t="s">
        <v>136</v>
      </c>
      <c r="M23" s="5" t="s">
        <v>187</v>
      </c>
      <c r="N23" s="72">
        <f>2*N22</f>
        <v>0.37332361230259392</v>
      </c>
    </row>
    <row r="24" spans="5:14" x14ac:dyDescent="0.25">
      <c r="F24" s="20" t="s">
        <v>116</v>
      </c>
      <c r="G24" s="4" t="s">
        <v>6</v>
      </c>
      <c r="H24" s="4" t="s">
        <v>6</v>
      </c>
      <c r="I24" s="21">
        <v>10</v>
      </c>
    </row>
    <row r="25" spans="5:14" x14ac:dyDescent="0.25">
      <c r="F25" s="20" t="s">
        <v>113</v>
      </c>
      <c r="G25" s="4" t="s">
        <v>113</v>
      </c>
      <c r="H25" s="60" t="s">
        <v>191</v>
      </c>
      <c r="I25" s="64">
        <f>1000000*'Datos y resultados del sistema'!E42/(300000000)</f>
        <v>0.33333333333333331</v>
      </c>
    </row>
    <row r="26" spans="5:14" x14ac:dyDescent="0.25">
      <c r="F26" s="20" t="s">
        <v>114</v>
      </c>
      <c r="G26" s="3" t="s">
        <v>114</v>
      </c>
      <c r="H26" s="60" t="s">
        <v>191</v>
      </c>
      <c r="I26" s="21">
        <v>10</v>
      </c>
    </row>
    <row r="27" spans="5:14" x14ac:dyDescent="0.25">
      <c r="F27" s="20" t="s">
        <v>115</v>
      </c>
      <c r="G27" s="4" t="s">
        <v>6</v>
      </c>
      <c r="H27" s="4" t="s">
        <v>6</v>
      </c>
      <c r="I27" s="21">
        <f>IF('Datos y resultados del sistema'!E41-I24&gt;0,'Datos y resultados del sistema'!E41-I24,IF('Datos y resultados del sistema'!E41=1,1,'Datos y resultados del sistema'!E41-1))</f>
        <v>1</v>
      </c>
    </row>
    <row r="28" spans="5:14" x14ac:dyDescent="0.25">
      <c r="F28" s="20" t="s">
        <v>121</v>
      </c>
      <c r="G28" s="3" t="s">
        <v>193</v>
      </c>
      <c r="H28" s="4" t="s">
        <v>6</v>
      </c>
      <c r="I28" s="62">
        <f>(1/2)*((I26/I25)*(1-('Datos y resultados del sistema'!E53/I11))-1)</f>
        <v>10.540239726027398</v>
      </c>
    </row>
    <row r="29" spans="5:14" x14ac:dyDescent="0.25">
      <c r="F29" s="20" t="s">
        <v>120</v>
      </c>
      <c r="G29" s="3" t="s">
        <v>192</v>
      </c>
      <c r="H29" s="4" t="s">
        <v>6</v>
      </c>
      <c r="I29" s="50">
        <f>ROUNDUP(I28,0)</f>
        <v>11</v>
      </c>
    </row>
    <row r="30" spans="5:14" x14ac:dyDescent="0.25">
      <c r="F30" s="20" t="s">
        <v>122</v>
      </c>
      <c r="G30" s="3" t="s">
        <v>193</v>
      </c>
      <c r="H30" s="4" t="s">
        <v>6</v>
      </c>
      <c r="I30" s="64">
        <f>(1/2)*((I26/I25)*(1-('Datos y resultados del sistema'!E54/I21))-1)</f>
        <v>4.9082857142857144</v>
      </c>
    </row>
    <row r="31" spans="5:14" x14ac:dyDescent="0.25">
      <c r="F31" s="20" t="s">
        <v>123</v>
      </c>
      <c r="G31" s="3" t="s">
        <v>192</v>
      </c>
      <c r="H31" s="4" t="s">
        <v>6</v>
      </c>
      <c r="I31" s="21">
        <f>ROUNDUP(I30,0)</f>
        <v>5</v>
      </c>
    </row>
    <row r="32" spans="5:14" x14ac:dyDescent="0.25">
      <c r="F32" s="20" t="s">
        <v>194</v>
      </c>
      <c r="G32" s="3" t="s">
        <v>115</v>
      </c>
      <c r="H32" s="4" t="s">
        <v>6</v>
      </c>
      <c r="I32" s="21">
        <v>1</v>
      </c>
    </row>
    <row r="33" spans="2:9" x14ac:dyDescent="0.25">
      <c r="F33" s="20" t="s">
        <v>125</v>
      </c>
      <c r="G33" s="3" t="s">
        <v>125</v>
      </c>
      <c r="H33" s="78" t="s">
        <v>195</v>
      </c>
      <c r="I33" s="21">
        <f>0.0003</f>
        <v>2.9999999999999997E-4</v>
      </c>
    </row>
    <row r="34" spans="2:9" x14ac:dyDescent="0.25">
      <c r="F34" s="20" t="s">
        <v>197</v>
      </c>
      <c r="G34" s="4" t="s">
        <v>6</v>
      </c>
      <c r="H34" s="78" t="s">
        <v>196</v>
      </c>
      <c r="I34" s="21">
        <v>100</v>
      </c>
    </row>
    <row r="35" spans="2:9" x14ac:dyDescent="0.25">
      <c r="F35" s="20" t="s">
        <v>130</v>
      </c>
      <c r="G35" s="4" t="s">
        <v>6</v>
      </c>
      <c r="H35" s="78" t="s">
        <v>198</v>
      </c>
      <c r="I35" s="21">
        <v>300000000</v>
      </c>
    </row>
    <row r="36" spans="2:9" x14ac:dyDescent="0.25">
      <c r="F36" s="20" t="s">
        <v>127</v>
      </c>
      <c r="G36" s="4" t="s">
        <v>6</v>
      </c>
      <c r="H36" s="4" t="s">
        <v>6</v>
      </c>
      <c r="I36" s="50">
        <v>3</v>
      </c>
    </row>
    <row r="37" spans="2:9" ht="18" x14ac:dyDescent="0.25">
      <c r="F37" s="20" t="s">
        <v>128</v>
      </c>
      <c r="G37" s="4" t="s">
        <v>6</v>
      </c>
      <c r="H37" s="3" t="s">
        <v>182</v>
      </c>
      <c r="I37" s="50">
        <f>I36*'Datos y resultados del sistema'!E7*SQRT(2)/SQRT(3)</f>
        <v>92.958135738621635</v>
      </c>
    </row>
    <row r="38" spans="2:9" ht="18.75" thickBot="1" x14ac:dyDescent="0.3">
      <c r="F38" s="22" t="s">
        <v>129</v>
      </c>
      <c r="G38" s="5" t="s">
        <v>129</v>
      </c>
      <c r="H38" s="5" t="s">
        <v>182</v>
      </c>
      <c r="I38" s="51">
        <f>(1.25*I37)-0.25</f>
        <v>115.94766967327705</v>
      </c>
    </row>
    <row r="39" spans="2:9" ht="15.75" thickBot="1" x14ac:dyDescent="0.3"/>
    <row r="40" spans="2:9" ht="270.75" thickBot="1" x14ac:dyDescent="0.3">
      <c r="B40" s="43" t="s">
        <v>36</v>
      </c>
      <c r="C40" s="44" t="s">
        <v>37</v>
      </c>
    </row>
    <row r="41" spans="2:9" ht="15.75" thickBot="1" x14ac:dyDescent="0.3">
      <c r="B41" s="41">
        <v>3.6</v>
      </c>
      <c r="C41" s="42">
        <v>10</v>
      </c>
    </row>
    <row r="42" spans="2:9" ht="15.75" thickBot="1" x14ac:dyDescent="0.3">
      <c r="B42" s="41">
        <v>7.2</v>
      </c>
      <c r="C42" s="42">
        <v>20</v>
      </c>
    </row>
    <row r="43" spans="2:9" ht="15.75" thickBot="1" x14ac:dyDescent="0.3">
      <c r="B43" s="41">
        <v>12</v>
      </c>
      <c r="C43" s="42">
        <v>28</v>
      </c>
    </row>
    <row r="44" spans="2:9" ht="15.75" thickBot="1" x14ac:dyDescent="0.3">
      <c r="B44" s="41">
        <v>17.5</v>
      </c>
      <c r="C44" s="42">
        <v>38</v>
      </c>
    </row>
    <row r="45" spans="2:9" ht="15.75" thickBot="1" x14ac:dyDescent="0.3">
      <c r="B45" s="41">
        <v>24</v>
      </c>
      <c r="C45" s="42">
        <v>50</v>
      </c>
    </row>
    <row r="46" spans="2:9" ht="15.75" thickBot="1" x14ac:dyDescent="0.3">
      <c r="B46" s="41">
        <v>36</v>
      </c>
      <c r="C46" s="42">
        <v>70</v>
      </c>
    </row>
    <row r="47" spans="2:9" ht="15.75" thickBot="1" x14ac:dyDescent="0.3">
      <c r="B47" s="41">
        <v>52</v>
      </c>
      <c r="C47" s="42">
        <v>95</v>
      </c>
    </row>
    <row r="48" spans="2:9" ht="15.75" thickBot="1" x14ac:dyDescent="0.3">
      <c r="B48" s="41">
        <v>72.5</v>
      </c>
      <c r="C48" s="42">
        <v>140</v>
      </c>
    </row>
    <row r="49" spans="2:3" x14ac:dyDescent="0.25">
      <c r="B49" s="39">
        <v>100</v>
      </c>
      <c r="C49" s="40">
        <v>150</v>
      </c>
    </row>
    <row r="50" spans="2:3" ht="15.75" thickBot="1" x14ac:dyDescent="0.3">
      <c r="B50" s="38"/>
      <c r="C50" s="35">
        <v>185</v>
      </c>
    </row>
    <row r="51" spans="2:3" x14ac:dyDescent="0.25">
      <c r="B51" s="39">
        <v>123</v>
      </c>
      <c r="C51" s="40">
        <v>185</v>
      </c>
    </row>
    <row r="52" spans="2:3" ht="15.75" thickBot="1" x14ac:dyDescent="0.3">
      <c r="B52" s="38"/>
      <c r="C52" s="35">
        <v>230</v>
      </c>
    </row>
    <row r="53" spans="2:3" x14ac:dyDescent="0.25">
      <c r="B53" s="39">
        <v>145</v>
      </c>
      <c r="C53" s="40">
        <v>185</v>
      </c>
    </row>
    <row r="54" spans="2:3" x14ac:dyDescent="0.25">
      <c r="B54" s="36"/>
      <c r="C54" s="37">
        <v>230</v>
      </c>
    </row>
    <row r="55" spans="2:3" ht="15.75" thickBot="1" x14ac:dyDescent="0.3">
      <c r="B55" s="38"/>
      <c r="C55" s="35">
        <v>275</v>
      </c>
    </row>
    <row r="56" spans="2:3" x14ac:dyDescent="0.25">
      <c r="B56" s="39">
        <v>170</v>
      </c>
      <c r="C56" s="40">
        <v>230</v>
      </c>
    </row>
    <row r="57" spans="2:3" x14ac:dyDescent="0.25">
      <c r="B57" s="36"/>
      <c r="C57" s="37">
        <v>275</v>
      </c>
    </row>
    <row r="58" spans="2:3" ht="15.75" thickBot="1" x14ac:dyDescent="0.3">
      <c r="B58" s="38"/>
      <c r="C58" s="35">
        <v>325</v>
      </c>
    </row>
    <row r="59" spans="2:3" x14ac:dyDescent="0.25">
      <c r="B59" s="39">
        <v>245</v>
      </c>
      <c r="C59" s="40">
        <v>275</v>
      </c>
    </row>
    <row r="60" spans="2:3" x14ac:dyDescent="0.25">
      <c r="B60" s="36"/>
      <c r="C60" s="37">
        <v>325</v>
      </c>
    </row>
    <row r="61" spans="2:3" x14ac:dyDescent="0.25">
      <c r="B61" s="36"/>
      <c r="C61" s="37">
        <v>360</v>
      </c>
    </row>
    <row r="62" spans="2:3" x14ac:dyDescent="0.25">
      <c r="B62" s="36"/>
      <c r="C62" s="37">
        <v>395</v>
      </c>
    </row>
    <row r="63" spans="2:3" ht="15.75" thickBot="1" x14ac:dyDescent="0.3">
      <c r="B63" s="38"/>
      <c r="C63" s="35">
        <v>460</v>
      </c>
    </row>
    <row r="64" spans="2:3" x14ac:dyDescent="0.25">
      <c r="B64" s="39">
        <v>300</v>
      </c>
      <c r="C64" s="40">
        <v>750</v>
      </c>
    </row>
    <row r="65" spans="2:3" ht="15.75" thickBot="1" x14ac:dyDescent="0.3">
      <c r="B65" s="38"/>
      <c r="C65" s="35">
        <v>850</v>
      </c>
    </row>
    <row r="66" spans="2:3" x14ac:dyDescent="0.25">
      <c r="B66" s="39">
        <v>362</v>
      </c>
      <c r="C66" s="40">
        <v>850</v>
      </c>
    </row>
    <row r="67" spans="2:3" ht="15.75" thickBot="1" x14ac:dyDescent="0.3">
      <c r="B67" s="38"/>
      <c r="C67" s="35">
        <v>950</v>
      </c>
    </row>
    <row r="68" spans="2:3" x14ac:dyDescent="0.25">
      <c r="B68" s="39">
        <v>420</v>
      </c>
      <c r="C68" s="40">
        <v>850</v>
      </c>
    </row>
    <row r="69" spans="2:3" x14ac:dyDescent="0.25">
      <c r="B69" s="36"/>
      <c r="C69" s="37">
        <v>950</v>
      </c>
    </row>
    <row r="70" spans="2:3" ht="15.75" thickBot="1" x14ac:dyDescent="0.3">
      <c r="B70" s="38"/>
      <c r="C70" s="35">
        <v>1050</v>
      </c>
    </row>
    <row r="71" spans="2:3" x14ac:dyDescent="0.25">
      <c r="B71" s="39">
        <v>550</v>
      </c>
      <c r="C71" s="40">
        <v>950</v>
      </c>
    </row>
    <row r="72" spans="2:3" x14ac:dyDescent="0.25">
      <c r="B72" s="36"/>
      <c r="C72" s="37">
        <v>1050</v>
      </c>
    </row>
    <row r="73" spans="2:3" ht="15.75" thickBot="1" x14ac:dyDescent="0.3">
      <c r="B73" s="38"/>
      <c r="C73" s="35">
        <v>1175</v>
      </c>
    </row>
    <row r="74" spans="2:3" x14ac:dyDescent="0.25">
      <c r="B74" s="39">
        <v>800</v>
      </c>
      <c r="C74" s="40">
        <v>1300</v>
      </c>
    </row>
    <row r="75" spans="2:3" x14ac:dyDescent="0.25">
      <c r="B75" s="36"/>
      <c r="C75" s="37">
        <v>1425</v>
      </c>
    </row>
    <row r="76" spans="2:3" ht="15.75" thickBot="1" x14ac:dyDescent="0.3">
      <c r="B76" s="38"/>
      <c r="C76" s="35">
        <v>1550</v>
      </c>
    </row>
  </sheetData>
  <mergeCells count="2">
    <mergeCell ref="E3:E11"/>
    <mergeCell ref="E13:E21"/>
  </mergeCells>
  <conditionalFormatting sqref="F10:I10">
    <cfRule type="expression" dxfId="1" priority="2">
      <formula>$I$9="Si"</formula>
    </cfRule>
  </conditionalFormatting>
  <conditionalFormatting sqref="F20:I20">
    <cfRule type="expression" dxfId="0" priority="1">
      <formula>$I$19="Si"</formula>
    </cfRule>
  </conditionalFormatting>
  <dataValidations count="4">
    <dataValidation type="list" allowBlank="1" showInputMessage="1" showErrorMessage="1" sqref="I9 I19" xr:uid="{FD03085F-240E-417E-A7E4-9A4D7EBE16AF}">
      <formula1>"Si,No"</formula1>
    </dataValidation>
    <dataValidation type="list" allowBlank="1" showInputMessage="1" showErrorMessage="1" sqref="I24" xr:uid="{AECC9AF5-3FB3-4749-AFC6-000B191C0226}">
      <formula1>"1,2,3,4,5,6,7,8,9,10"</formula1>
    </dataValidation>
    <dataValidation type="list" allowBlank="1" showInputMessage="1" showErrorMessage="1" sqref="I26" xr:uid="{1DBC6C0A-89B5-4D1A-BC64-31852627B391}">
      <formula1>"10,20"</formula1>
    </dataValidation>
    <dataValidation type="list" allowBlank="1" showInputMessage="1" showErrorMessage="1" sqref="I32" xr:uid="{EEA22A84-2C36-4653-8B91-6F4A9A2A2BC3}">
      <formula1>"1,2"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2954A-F0C6-406D-BC56-7488AECF871B}">
  <sheetPr codeName="Hoja2"/>
  <dimension ref="B1:T37"/>
  <sheetViews>
    <sheetView topLeftCell="I1" zoomScale="70" zoomScaleNormal="70" workbookViewId="0">
      <selection activeCell="B5" sqref="B5:B6"/>
    </sheetView>
  </sheetViews>
  <sheetFormatPr baseColWidth="10" defaultRowHeight="15" x14ac:dyDescent="0.25"/>
  <cols>
    <col min="2" max="2" width="18.7109375" customWidth="1"/>
    <col min="3" max="4" width="31.28515625" bestFit="1" customWidth="1"/>
    <col min="6" max="6" width="15.42578125" bestFit="1" customWidth="1"/>
    <col min="7" max="8" width="31.28515625" bestFit="1" customWidth="1"/>
    <col min="12" max="12" width="14.42578125" customWidth="1"/>
    <col min="13" max="13" width="17.42578125" customWidth="1"/>
    <col min="15" max="15" width="14.140625" customWidth="1"/>
    <col min="16" max="16" width="31.140625" customWidth="1"/>
    <col min="17" max="17" width="22.5703125" customWidth="1"/>
    <col min="19" max="19" width="31.7109375" customWidth="1"/>
    <col min="20" max="20" width="22.7109375" customWidth="1"/>
  </cols>
  <sheetData>
    <row r="1" spans="2:20" ht="15.75" thickBot="1" x14ac:dyDescent="0.3">
      <c r="L1" s="114" t="s">
        <v>35</v>
      </c>
      <c r="M1" s="115"/>
      <c r="O1" s="124"/>
      <c r="P1" s="125"/>
      <c r="Q1" s="126"/>
      <c r="S1" s="45"/>
      <c r="T1" s="46"/>
    </row>
    <row r="2" spans="2:20" ht="60.75" thickBot="1" x14ac:dyDescent="0.3">
      <c r="B2" s="10" t="s">
        <v>36</v>
      </c>
      <c r="C2" s="12" t="s">
        <v>37</v>
      </c>
      <c r="D2" s="11" t="s">
        <v>38</v>
      </c>
      <c r="E2" s="8"/>
      <c r="F2" s="10" t="s">
        <v>36</v>
      </c>
      <c r="G2" s="12" t="s">
        <v>39</v>
      </c>
      <c r="H2" s="11" t="s">
        <v>38</v>
      </c>
      <c r="I2" s="8"/>
      <c r="J2" s="8"/>
      <c r="K2" s="8"/>
      <c r="L2" s="13" t="s">
        <v>15</v>
      </c>
      <c r="M2" s="14" t="s">
        <v>40</v>
      </c>
      <c r="O2" s="33" t="s">
        <v>45</v>
      </c>
      <c r="P2" s="34" t="s">
        <v>44</v>
      </c>
      <c r="Q2" s="35" t="s">
        <v>46</v>
      </c>
      <c r="S2" s="38" t="s">
        <v>64</v>
      </c>
      <c r="T2" s="35" t="s">
        <v>10</v>
      </c>
    </row>
    <row r="3" spans="2:20" x14ac:dyDescent="0.25">
      <c r="B3" s="116">
        <v>3.6</v>
      </c>
      <c r="C3" s="117">
        <v>10</v>
      </c>
      <c r="D3" s="6">
        <v>20</v>
      </c>
      <c r="F3" s="118">
        <v>300</v>
      </c>
      <c r="G3" s="121">
        <v>750</v>
      </c>
      <c r="H3" s="6">
        <v>850</v>
      </c>
      <c r="J3" s="16">
        <v>800</v>
      </c>
      <c r="L3" s="17" t="s">
        <v>83</v>
      </c>
      <c r="M3" s="18">
        <v>22</v>
      </c>
      <c r="O3" s="28" t="s">
        <v>47</v>
      </c>
      <c r="P3" s="9">
        <v>1</v>
      </c>
      <c r="Q3" s="29">
        <v>450</v>
      </c>
      <c r="S3" s="47" t="s">
        <v>63</v>
      </c>
      <c r="T3" s="29">
        <v>1.4</v>
      </c>
    </row>
    <row r="4" spans="2:20" x14ac:dyDescent="0.25">
      <c r="B4" s="116"/>
      <c r="C4" s="117"/>
      <c r="D4" s="6">
        <v>40</v>
      </c>
      <c r="F4" s="119"/>
      <c r="G4" s="122"/>
      <c r="H4" s="6">
        <v>950</v>
      </c>
      <c r="J4" s="19">
        <v>550</v>
      </c>
      <c r="L4" s="20" t="s">
        <v>41</v>
      </c>
      <c r="M4" s="21">
        <v>27.8</v>
      </c>
      <c r="O4" s="28" t="s">
        <v>48</v>
      </c>
      <c r="P4" s="9">
        <v>1</v>
      </c>
      <c r="Q4" s="29">
        <v>400</v>
      </c>
      <c r="S4" s="47" t="s">
        <v>65</v>
      </c>
      <c r="T4" s="29">
        <v>1.73</v>
      </c>
    </row>
    <row r="5" spans="2:20" x14ac:dyDescent="0.25">
      <c r="B5" s="116">
        <v>7.2</v>
      </c>
      <c r="C5" s="117">
        <v>20</v>
      </c>
      <c r="D5" s="6">
        <v>40</v>
      </c>
      <c r="F5" s="119"/>
      <c r="G5" s="121">
        <v>850</v>
      </c>
      <c r="H5" s="6">
        <v>950</v>
      </c>
      <c r="J5" s="19">
        <v>420</v>
      </c>
      <c r="L5" s="20" t="s">
        <v>42</v>
      </c>
      <c r="M5" s="21">
        <v>34.700000000000003</v>
      </c>
      <c r="O5" s="28" t="s">
        <v>49</v>
      </c>
      <c r="P5" s="9">
        <v>2</v>
      </c>
      <c r="Q5" s="29">
        <v>350</v>
      </c>
      <c r="S5" s="47" t="s">
        <v>66</v>
      </c>
      <c r="T5" s="29">
        <v>1.73</v>
      </c>
    </row>
    <row r="6" spans="2:20" x14ac:dyDescent="0.25">
      <c r="B6" s="116"/>
      <c r="C6" s="117"/>
      <c r="D6" s="6">
        <v>60</v>
      </c>
      <c r="F6" s="120"/>
      <c r="G6" s="122"/>
      <c r="H6" s="6">
        <v>1050</v>
      </c>
      <c r="J6" s="19">
        <v>362</v>
      </c>
      <c r="L6" s="20" t="s">
        <v>43</v>
      </c>
      <c r="M6" s="21">
        <v>43.3</v>
      </c>
      <c r="O6" s="28" t="s">
        <v>50</v>
      </c>
      <c r="P6" s="9" t="s">
        <v>52</v>
      </c>
      <c r="Q6" s="29">
        <v>320</v>
      </c>
      <c r="S6" s="47" t="s">
        <v>67</v>
      </c>
      <c r="T6" s="29">
        <v>1.25</v>
      </c>
    </row>
    <row r="7" spans="2:20" ht="15.75" thickBot="1" x14ac:dyDescent="0.3">
      <c r="B7" s="116">
        <v>12</v>
      </c>
      <c r="C7" s="117">
        <v>28</v>
      </c>
      <c r="D7" s="6">
        <v>60</v>
      </c>
      <c r="F7" s="118">
        <v>362</v>
      </c>
      <c r="G7" s="121">
        <v>850</v>
      </c>
      <c r="H7" s="6">
        <v>950</v>
      </c>
      <c r="J7" s="19">
        <v>300</v>
      </c>
      <c r="L7" s="22" t="s">
        <v>16</v>
      </c>
      <c r="M7" s="23">
        <v>53.7</v>
      </c>
      <c r="O7" s="30" t="s">
        <v>51</v>
      </c>
      <c r="P7" s="31" t="s">
        <v>53</v>
      </c>
      <c r="Q7" s="32">
        <v>300</v>
      </c>
      <c r="S7" s="48" t="s">
        <v>68</v>
      </c>
      <c r="T7" s="32">
        <v>1.25</v>
      </c>
    </row>
    <row r="8" spans="2:20" x14ac:dyDescent="0.25">
      <c r="B8" s="116"/>
      <c r="C8" s="117"/>
      <c r="D8" s="6">
        <v>75</v>
      </c>
      <c r="F8" s="119"/>
      <c r="G8" s="122"/>
      <c r="H8" s="6">
        <v>1050</v>
      </c>
      <c r="J8" s="19">
        <v>245</v>
      </c>
      <c r="O8" s="9"/>
    </row>
    <row r="9" spans="2:20" x14ac:dyDescent="0.25">
      <c r="B9" s="116"/>
      <c r="C9" s="117"/>
      <c r="D9" s="6">
        <v>95</v>
      </c>
      <c r="F9" s="119"/>
      <c r="G9" s="121">
        <v>950</v>
      </c>
      <c r="H9" s="6">
        <v>1050</v>
      </c>
      <c r="J9" s="19">
        <v>170</v>
      </c>
      <c r="O9" s="9"/>
    </row>
    <row r="10" spans="2:20" x14ac:dyDescent="0.25">
      <c r="B10" s="116">
        <v>17.5</v>
      </c>
      <c r="C10" s="117">
        <v>38</v>
      </c>
      <c r="D10" s="6">
        <v>75</v>
      </c>
      <c r="F10" s="120"/>
      <c r="G10" s="122"/>
      <c r="H10" s="6">
        <v>1175</v>
      </c>
      <c r="J10" s="19">
        <v>145</v>
      </c>
    </row>
    <row r="11" spans="2:20" x14ac:dyDescent="0.25">
      <c r="B11" s="116"/>
      <c r="C11" s="117"/>
      <c r="D11" s="6">
        <v>95</v>
      </c>
      <c r="F11" s="118">
        <v>420</v>
      </c>
      <c r="G11" s="121">
        <v>850</v>
      </c>
      <c r="H11" s="6">
        <v>1050</v>
      </c>
      <c r="J11" s="19">
        <v>123</v>
      </c>
    </row>
    <row r="12" spans="2:20" x14ac:dyDescent="0.25">
      <c r="B12" s="116">
        <v>24</v>
      </c>
      <c r="C12" s="117">
        <v>50</v>
      </c>
      <c r="D12" s="6">
        <v>95</v>
      </c>
      <c r="F12" s="119"/>
      <c r="G12" s="122"/>
      <c r="H12" s="6">
        <v>1175</v>
      </c>
      <c r="J12" s="19">
        <v>100</v>
      </c>
    </row>
    <row r="13" spans="2:20" x14ac:dyDescent="0.25">
      <c r="B13" s="116"/>
      <c r="C13" s="117"/>
      <c r="D13" s="6">
        <v>125</v>
      </c>
      <c r="F13" s="119"/>
      <c r="G13" s="121">
        <v>950</v>
      </c>
      <c r="H13" s="6">
        <v>1175</v>
      </c>
      <c r="J13" s="19">
        <v>72.5</v>
      </c>
    </row>
    <row r="14" spans="2:20" x14ac:dyDescent="0.25">
      <c r="B14" s="116"/>
      <c r="C14" s="117"/>
      <c r="D14" s="6">
        <v>145</v>
      </c>
      <c r="F14" s="119"/>
      <c r="G14" s="122"/>
      <c r="H14" s="6">
        <v>1300</v>
      </c>
      <c r="J14" s="19">
        <v>52</v>
      </c>
    </row>
    <row r="15" spans="2:20" x14ac:dyDescent="0.25">
      <c r="B15" s="116">
        <v>36</v>
      </c>
      <c r="C15" s="117">
        <v>70</v>
      </c>
      <c r="D15" s="6">
        <v>145</v>
      </c>
      <c r="F15" s="119"/>
      <c r="G15" s="121">
        <v>1050</v>
      </c>
      <c r="H15" s="6">
        <v>1300</v>
      </c>
      <c r="J15" s="19">
        <v>36</v>
      </c>
    </row>
    <row r="16" spans="2:20" x14ac:dyDescent="0.25">
      <c r="B16" s="116"/>
      <c r="C16" s="117"/>
      <c r="D16" s="6">
        <v>170</v>
      </c>
      <c r="F16" s="120"/>
      <c r="G16" s="122"/>
      <c r="H16" s="6">
        <v>1425</v>
      </c>
      <c r="J16" s="19">
        <v>24</v>
      </c>
    </row>
    <row r="17" spans="2:10" x14ac:dyDescent="0.25">
      <c r="B17" s="15">
        <v>52</v>
      </c>
      <c r="C17" s="3">
        <v>95</v>
      </c>
      <c r="D17" s="6">
        <v>250</v>
      </c>
      <c r="F17" s="118">
        <v>550</v>
      </c>
      <c r="G17" s="121">
        <v>950</v>
      </c>
      <c r="H17" s="6">
        <v>1175</v>
      </c>
      <c r="J17" s="19">
        <v>17.5</v>
      </c>
    </row>
    <row r="18" spans="2:10" x14ac:dyDescent="0.25">
      <c r="B18" s="15">
        <v>72.5</v>
      </c>
      <c r="C18" s="3">
        <v>140</v>
      </c>
      <c r="D18" s="6">
        <v>325</v>
      </c>
      <c r="F18" s="119"/>
      <c r="G18" s="122"/>
      <c r="H18" s="6">
        <v>1300</v>
      </c>
      <c r="J18" s="19">
        <v>12</v>
      </c>
    </row>
    <row r="19" spans="2:10" x14ac:dyDescent="0.25">
      <c r="B19" s="116">
        <v>100</v>
      </c>
      <c r="C19" s="3">
        <v>150</v>
      </c>
      <c r="D19" s="6">
        <v>380</v>
      </c>
      <c r="F19" s="119"/>
      <c r="G19" s="121">
        <v>1050</v>
      </c>
      <c r="H19" s="6">
        <v>1300</v>
      </c>
      <c r="J19" s="19">
        <v>7.2</v>
      </c>
    </row>
    <row r="20" spans="2:10" ht="15.75" thickBot="1" x14ac:dyDescent="0.3">
      <c r="B20" s="116"/>
      <c r="C20" s="3">
        <v>185</v>
      </c>
      <c r="D20" s="6">
        <v>450</v>
      </c>
      <c r="F20" s="119"/>
      <c r="G20" s="122"/>
      <c r="H20" s="6">
        <v>1425</v>
      </c>
      <c r="J20" s="24">
        <v>3.6</v>
      </c>
    </row>
    <row r="21" spans="2:10" x14ac:dyDescent="0.25">
      <c r="B21" s="116">
        <v>123</v>
      </c>
      <c r="C21" s="3">
        <v>185</v>
      </c>
      <c r="D21" s="6">
        <v>450</v>
      </c>
      <c r="F21" s="119"/>
      <c r="G21" s="121">
        <v>1175</v>
      </c>
      <c r="H21" s="6">
        <v>1425</v>
      </c>
    </row>
    <row r="22" spans="2:10" x14ac:dyDescent="0.25">
      <c r="B22" s="116"/>
      <c r="C22" s="3">
        <v>230</v>
      </c>
      <c r="D22" s="6">
        <v>550</v>
      </c>
      <c r="F22" s="120"/>
      <c r="G22" s="122"/>
      <c r="H22" s="6">
        <v>1550</v>
      </c>
    </row>
    <row r="23" spans="2:10" x14ac:dyDescent="0.25">
      <c r="B23" s="116">
        <v>145</v>
      </c>
      <c r="C23" s="3">
        <v>185</v>
      </c>
      <c r="D23" s="6">
        <v>450</v>
      </c>
      <c r="F23" s="118">
        <v>800</v>
      </c>
      <c r="G23" s="121">
        <v>1300</v>
      </c>
      <c r="H23" s="6">
        <v>1675</v>
      </c>
    </row>
    <row r="24" spans="2:10" x14ac:dyDescent="0.25">
      <c r="B24" s="116"/>
      <c r="C24" s="3">
        <v>230</v>
      </c>
      <c r="D24" s="6">
        <v>550</v>
      </c>
      <c r="F24" s="119"/>
      <c r="G24" s="122"/>
      <c r="H24" s="6">
        <v>1800</v>
      </c>
    </row>
    <row r="25" spans="2:10" x14ac:dyDescent="0.25">
      <c r="B25" s="116"/>
      <c r="C25" s="3">
        <v>275</v>
      </c>
      <c r="D25" s="6">
        <v>650</v>
      </c>
      <c r="F25" s="119"/>
      <c r="G25" s="121">
        <v>1425</v>
      </c>
      <c r="H25" s="6">
        <v>1800</v>
      </c>
    </row>
    <row r="26" spans="2:10" x14ac:dyDescent="0.25">
      <c r="B26" s="116">
        <v>170</v>
      </c>
      <c r="C26" s="3">
        <v>230</v>
      </c>
      <c r="D26" s="6">
        <v>550</v>
      </c>
      <c r="F26" s="119"/>
      <c r="G26" s="122"/>
      <c r="H26" s="6">
        <v>1950</v>
      </c>
    </row>
    <row r="27" spans="2:10" x14ac:dyDescent="0.25">
      <c r="B27" s="116"/>
      <c r="C27" s="3">
        <v>275</v>
      </c>
      <c r="D27" s="6">
        <v>650</v>
      </c>
      <c r="F27" s="119"/>
      <c r="G27" s="121">
        <v>1550</v>
      </c>
      <c r="H27" s="6">
        <v>1950</v>
      </c>
    </row>
    <row r="28" spans="2:10" ht="15.75" thickBot="1" x14ac:dyDescent="0.3">
      <c r="B28" s="116"/>
      <c r="C28" s="3">
        <v>325</v>
      </c>
      <c r="D28" s="6">
        <v>750</v>
      </c>
      <c r="F28" s="127"/>
      <c r="G28" s="128"/>
      <c r="H28" s="7">
        <v>2100</v>
      </c>
    </row>
    <row r="29" spans="2:10" x14ac:dyDescent="0.25">
      <c r="B29" s="116">
        <v>245</v>
      </c>
      <c r="C29" s="3">
        <v>275</v>
      </c>
      <c r="D29" s="6">
        <v>650</v>
      </c>
    </row>
    <row r="30" spans="2:10" x14ac:dyDescent="0.25">
      <c r="B30" s="116"/>
      <c r="C30" s="3">
        <v>325</v>
      </c>
      <c r="D30" s="6">
        <v>750</v>
      </c>
    </row>
    <row r="31" spans="2:10" x14ac:dyDescent="0.25">
      <c r="B31" s="116"/>
      <c r="C31" s="3">
        <v>360</v>
      </c>
      <c r="D31" s="6">
        <v>850</v>
      </c>
    </row>
    <row r="32" spans="2:10" x14ac:dyDescent="0.25">
      <c r="B32" s="116"/>
      <c r="C32" s="3">
        <v>395</v>
      </c>
      <c r="D32" s="6">
        <v>950</v>
      </c>
    </row>
    <row r="33" spans="2:4" ht="15.75" thickBot="1" x14ac:dyDescent="0.3">
      <c r="B33" s="123"/>
      <c r="C33" s="5">
        <v>460</v>
      </c>
      <c r="D33" s="7">
        <v>1050</v>
      </c>
    </row>
    <row r="37" spans="2:4" ht="15.75" thickBot="1" x14ac:dyDescent="0.3">
      <c r="B37" s="24">
        <v>3.6</v>
      </c>
      <c r="C37" s="9">
        <v>10</v>
      </c>
    </row>
  </sheetData>
  <mergeCells count="37">
    <mergeCell ref="B29:B33"/>
    <mergeCell ref="O1:Q1"/>
    <mergeCell ref="G21:G22"/>
    <mergeCell ref="B23:B25"/>
    <mergeCell ref="F23:F28"/>
    <mergeCell ref="G23:G24"/>
    <mergeCell ref="G25:G26"/>
    <mergeCell ref="B26:B28"/>
    <mergeCell ref="G27:G28"/>
    <mergeCell ref="C12:C14"/>
    <mergeCell ref="G13:G14"/>
    <mergeCell ref="B15:B16"/>
    <mergeCell ref="C15:C16"/>
    <mergeCell ref="G15:G16"/>
    <mergeCell ref="F17:F22"/>
    <mergeCell ref="G17:G18"/>
    <mergeCell ref="B19:B20"/>
    <mergeCell ref="G19:G20"/>
    <mergeCell ref="B21:B22"/>
    <mergeCell ref="B7:B9"/>
    <mergeCell ref="C7:C9"/>
    <mergeCell ref="F7:F10"/>
    <mergeCell ref="G7:G8"/>
    <mergeCell ref="G9:G10"/>
    <mergeCell ref="B10:B11"/>
    <mergeCell ref="C10:C11"/>
    <mergeCell ref="F11:F16"/>
    <mergeCell ref="G11:G12"/>
    <mergeCell ref="B12:B14"/>
    <mergeCell ref="L1:M1"/>
    <mergeCell ref="B3:B4"/>
    <mergeCell ref="C3:C4"/>
    <mergeCell ref="F3:F6"/>
    <mergeCell ref="G3:G4"/>
    <mergeCell ref="B5:B6"/>
    <mergeCell ref="C5:C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72</vt:i4>
      </vt:variant>
    </vt:vector>
  </HeadingPairs>
  <TitlesOfParts>
    <vt:vector size="75" baseType="lpstr">
      <vt:lpstr>Datos y resultados del sistema</vt:lpstr>
      <vt:lpstr>Sobretenciones del sistema</vt:lpstr>
      <vt:lpstr>Tablas</vt:lpstr>
      <vt:lpstr>Falla</vt:lpstr>
      <vt:lpstr>M_100</vt:lpstr>
      <vt:lpstr>M_12</vt:lpstr>
      <vt:lpstr>M_123</vt:lpstr>
      <vt:lpstr>M_145</vt:lpstr>
      <vt:lpstr>M_17.5</vt:lpstr>
      <vt:lpstr>M_170</vt:lpstr>
      <vt:lpstr>M_24</vt:lpstr>
      <vt:lpstr>M_245</vt:lpstr>
      <vt:lpstr>M_3.6</vt:lpstr>
      <vt:lpstr>M_300</vt:lpstr>
      <vt:lpstr>M_36</vt:lpstr>
      <vt:lpstr>M_362</vt:lpstr>
      <vt:lpstr>M_420</vt:lpstr>
      <vt:lpstr>M_52</vt:lpstr>
      <vt:lpstr>M_550</vt:lpstr>
      <vt:lpstr>M_7.2</vt:lpstr>
      <vt:lpstr>M_72.5</vt:lpstr>
      <vt:lpstr>M_800</vt:lpstr>
      <vt:lpstr>NivelCont</vt:lpstr>
      <vt:lpstr>R_100</vt:lpstr>
      <vt:lpstr>R_100_150</vt:lpstr>
      <vt:lpstr>R_100_185</vt:lpstr>
      <vt:lpstr>R_12</vt:lpstr>
      <vt:lpstr>R_12_28</vt:lpstr>
      <vt:lpstr>R_123</vt:lpstr>
      <vt:lpstr>R_123_185</vt:lpstr>
      <vt:lpstr>R_123_230</vt:lpstr>
      <vt:lpstr>R_145</vt:lpstr>
      <vt:lpstr>R_145_185</vt:lpstr>
      <vt:lpstr>R_145_275</vt:lpstr>
      <vt:lpstr>R_145_550</vt:lpstr>
      <vt:lpstr>R_17.5</vt:lpstr>
      <vt:lpstr>R_17.5_38</vt:lpstr>
      <vt:lpstr>R_170</vt:lpstr>
      <vt:lpstr>R_170_275</vt:lpstr>
      <vt:lpstr>R_170_325</vt:lpstr>
      <vt:lpstr>R_170_550</vt:lpstr>
      <vt:lpstr>R_24</vt:lpstr>
      <vt:lpstr>R_24_50</vt:lpstr>
      <vt:lpstr>R_245</vt:lpstr>
      <vt:lpstr>R_245_275</vt:lpstr>
      <vt:lpstr>R_245_325</vt:lpstr>
      <vt:lpstr>R_245_360</vt:lpstr>
      <vt:lpstr>R_245_395</vt:lpstr>
      <vt:lpstr>R_245_460</vt:lpstr>
      <vt:lpstr>R_250</vt:lpstr>
      <vt:lpstr>R_3.6</vt:lpstr>
      <vt:lpstr>R_3.6_10</vt:lpstr>
      <vt:lpstr>R_300_750</vt:lpstr>
      <vt:lpstr>R_300_850</vt:lpstr>
      <vt:lpstr>R_36</vt:lpstr>
      <vt:lpstr>R_36_70</vt:lpstr>
      <vt:lpstr>R_362_850</vt:lpstr>
      <vt:lpstr>R_362_950</vt:lpstr>
      <vt:lpstr>R_420_1050</vt:lpstr>
      <vt:lpstr>R_420_850</vt:lpstr>
      <vt:lpstr>R_420_950</vt:lpstr>
      <vt:lpstr>R_52</vt:lpstr>
      <vt:lpstr>R_52_95</vt:lpstr>
      <vt:lpstr>R_550_1050</vt:lpstr>
      <vt:lpstr>R_550_1175</vt:lpstr>
      <vt:lpstr>R_550_950</vt:lpstr>
      <vt:lpstr>R_7.2</vt:lpstr>
      <vt:lpstr>R_7.2_20</vt:lpstr>
      <vt:lpstr>R_72.5</vt:lpstr>
      <vt:lpstr>R_72.5_140</vt:lpstr>
      <vt:lpstr>R_800_1300</vt:lpstr>
      <vt:lpstr>R_800_1425</vt:lpstr>
      <vt:lpstr>R_800_1550</vt:lpstr>
      <vt:lpstr>RangoZ</vt:lpstr>
      <vt:lpstr>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Usuario</cp:lastModifiedBy>
  <dcterms:created xsi:type="dcterms:W3CDTF">2023-01-17T20:20:19Z</dcterms:created>
  <dcterms:modified xsi:type="dcterms:W3CDTF">2023-01-23T03:21:03Z</dcterms:modified>
</cp:coreProperties>
</file>