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 codeName="{60716B99-48EF-4627-542C-1B4CF24DBC83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rpcornare-my.sharepoint.com/personal/luis_tejada_cornare_gov_co/Documents/Documentos/Cornare 2023/Regla de decisión/Presentación INM/"/>
    </mc:Choice>
  </mc:AlternateContent>
  <xr:revisionPtr revIDLastSave="30" documentId="8_{12253F9A-375D-48D8-A6E6-4FD90F5929A5}" xr6:coauthVersionLast="47" xr6:coauthVersionMax="47" xr10:uidLastSave="{F0EC1EDA-C14C-429A-8FAB-B4FC024DD641}"/>
  <bookViews>
    <workbookView xWindow="-120" yWindow="-120" windowWidth="29040" windowHeight="15720" firstSheet="1" activeTab="1" xr2:uid="{16D7C827-AA93-4C95-9770-5295BC5288F6}"/>
  </bookViews>
  <sheets>
    <sheet name="Descripción grafica" sheetId="1" state="hidden" r:id="rId1"/>
    <sheet name="Descripción grafica RD" sheetId="2" r:id="rId2"/>
  </sheets>
  <definedNames>
    <definedName name="_xlnm.Print_Area" localSheetId="0">'Descripción grafica'!$A$1:$V$37</definedName>
    <definedName name="_xlnm.Print_Area" localSheetId="1">'Descripción grafica RD'!$A$1:$V$43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2" l="1"/>
  <c r="U13" i="2" l="1" a="1"/>
  <c r="U13" i="2" s="1"/>
  <c r="N13" i="2" a="1"/>
  <c r="N13" i="2" s="1"/>
  <c r="G13" i="2" a="1"/>
  <c r="G13" i="2" s="1"/>
  <c r="K16" i="2"/>
  <c r="R20" i="2"/>
  <c r="R19" i="2"/>
  <c r="R17" i="2" a="1"/>
  <c r="R17" i="2" s="1"/>
  <c r="R16" i="2"/>
  <c r="K17" i="2" a="1"/>
  <c r="K17" i="2" s="1"/>
  <c r="K20" i="2"/>
  <c r="K19" i="2"/>
  <c r="R9" i="2"/>
  <c r="Q9" i="2" a="1"/>
  <c r="Q9" i="2" s="1"/>
  <c r="K9" i="2"/>
  <c r="J9" i="2" a="1"/>
  <c r="J9" i="2" s="1"/>
  <c r="D9" i="2"/>
  <c r="C9" i="2" a="1"/>
  <c r="C9" i="2" s="1"/>
  <c r="D20" i="2"/>
  <c r="D19" i="2"/>
  <c r="D17" i="2" a="1"/>
  <c r="D17" i="2" s="1"/>
  <c r="D16" i="2"/>
  <c r="K18" i="2" l="1" a="1"/>
  <c r="K18" i="2" s="1"/>
  <c r="N17" i="2" s="1" a="1"/>
  <c r="N17" i="2" s="1"/>
  <c r="K10" i="2" s="1"/>
  <c r="D18" i="2" a="1"/>
  <c r="D18" i="2" s="1"/>
  <c r="G16" i="2" s="1" a="1"/>
  <c r="G16" i="2" s="1"/>
  <c r="G15" i="2" s="1" a="1"/>
  <c r="G15" i="2" s="1"/>
  <c r="K23" i="2" l="1" a="1"/>
  <c r="K23" i="2" s="1"/>
  <c r="N16" i="2" a="1"/>
  <c r="N16" i="2" s="1"/>
  <c r="I28" i="2" a="1"/>
  <c r="I28" i="2" s="1"/>
  <c r="G14" i="2" a="1"/>
  <c r="G14" i="2" s="1"/>
  <c r="G17" i="2" a="1"/>
  <c r="G17" i="2" s="1"/>
  <c r="D10" i="2" s="1"/>
  <c r="D23" i="2" l="1" a="1"/>
  <c r="D23" i="2" s="1"/>
  <c r="K22" i="2" a="1"/>
  <c r="K22" i="2" s="1"/>
  <c r="D22" i="2" a="1"/>
  <c r="D22" i="2" s="1"/>
  <c r="N18" i="2" a="1"/>
  <c r="N18" i="2" s="1"/>
  <c r="N20" i="2" s="1" a="1"/>
  <c r="N20" i="2" s="1"/>
  <c r="G18" i="2" a="1"/>
  <c r="G18" i="2" s="1"/>
  <c r="G20" i="2" s="1" a="1"/>
  <c r="G20" i="2" s="1"/>
  <c r="G22" i="2" l="1" a="1"/>
  <c r="G22" i="2" s="1"/>
  <c r="R18" i="2" a="1"/>
  <c r="R18" i="2" s="1"/>
  <c r="U17" i="2" s="1" a="1"/>
  <c r="U17" i="2" s="1"/>
  <c r="P18" i="2" a="1"/>
  <c r="P18" i="2" s="1"/>
  <c r="P17" i="2" a="1"/>
  <c r="P17" i="2" s="1"/>
  <c r="I18" i="2" a="1"/>
  <c r="I18" i="2" s="1"/>
  <c r="I17" i="2" a="1"/>
  <c r="I17" i="2" s="1"/>
  <c r="U18" i="2" l="1" a="1"/>
  <c r="U18" i="2" s="1"/>
  <c r="U20" i="2" s="1" a="1"/>
  <c r="U20" i="2" s="1"/>
  <c r="R23" i="2" a="1"/>
  <c r="R23" i="2" s="1"/>
  <c r="R22" i="2" a="1"/>
  <c r="R22" i="2" s="1"/>
  <c r="U16" i="2" a="1"/>
  <c r="U16" i="2" s="1"/>
  <c r="U15" i="2" s="1" a="1"/>
  <c r="U15" i="2" s="1"/>
  <c r="P28" i="2" a="1"/>
  <c r="P28" i="2" s="1"/>
  <c r="U19" i="2" s="1"/>
  <c r="C28" i="2"/>
  <c r="B18" i="2" a="1"/>
  <c r="B18" i="2" s="1"/>
  <c r="B17" i="2" a="1"/>
  <c r="B17" i="2" s="1"/>
  <c r="T28" i="2"/>
  <c r="T27" i="2" s="1"/>
  <c r="T26" i="2" s="1"/>
  <c r="S28" i="2"/>
  <c r="S29" i="2" s="1"/>
  <c r="S30" i="2" s="1"/>
  <c r="R28" i="2"/>
  <c r="R29" i="2" s="1"/>
  <c r="R30" i="2" s="1"/>
  <c r="Q28" i="2"/>
  <c r="L28" i="2"/>
  <c r="L29" i="2" s="1"/>
  <c r="L30" i="2" s="1"/>
  <c r="E28" i="2"/>
  <c r="E29" i="2" s="1"/>
  <c r="E30" i="2" s="1"/>
  <c r="D28" i="2"/>
  <c r="D29" i="2" s="1"/>
  <c r="D30" i="2" s="1"/>
  <c r="R17" i="1"/>
  <c r="D17" i="1"/>
  <c r="N12" i="1"/>
  <c r="I23" i="1" s="1"/>
  <c r="S23" i="1"/>
  <c r="S22" i="1" s="1"/>
  <c r="S21" i="1" s="1"/>
  <c r="R23" i="1"/>
  <c r="R24" i="1" s="1"/>
  <c r="R25" i="1" s="1"/>
  <c r="Q23" i="1"/>
  <c r="U12" i="1"/>
  <c r="R27" i="1" s="1"/>
  <c r="U8" i="1"/>
  <c r="U11" i="1" s="1"/>
  <c r="U10" i="1" s="1"/>
  <c r="U17" i="1" s="1" a="1"/>
  <c r="U17" i="1" s="1"/>
  <c r="E23" i="1"/>
  <c r="E24" i="1" s="1"/>
  <c r="E25" i="1" s="1"/>
  <c r="D23" i="1"/>
  <c r="D24" i="1" s="1"/>
  <c r="D25" i="1" s="1"/>
  <c r="C23" i="1"/>
  <c r="N23" i="1"/>
  <c r="N24" i="1" s="1"/>
  <c r="N25" i="1" s="1"/>
  <c r="K23" i="1"/>
  <c r="K22" i="1" s="1"/>
  <c r="K21" i="1" s="1"/>
  <c r="J23" i="1"/>
  <c r="L23" i="1"/>
  <c r="L24" i="1" s="1"/>
  <c r="L25" i="1" s="1"/>
  <c r="N8" i="1"/>
  <c r="G12" i="1"/>
  <c r="G27" i="1" s="1"/>
  <c r="G8" i="1"/>
  <c r="G11" i="1" s="1"/>
  <c r="G10" i="1" s="1"/>
  <c r="G23" i="1" s="1"/>
  <c r="G24" i="1" s="1"/>
  <c r="G25" i="1" s="1"/>
  <c r="U22" i="2" l="1" a="1"/>
  <c r="U22" i="2" s="1"/>
  <c r="B28" i="2" a="1"/>
  <c r="B28" i="2" s="1"/>
  <c r="G19" i="2" s="1"/>
  <c r="S32" i="2" a="1"/>
  <c r="S32" i="2" s="1"/>
  <c r="P32" i="2" a="1"/>
  <c r="P32" i="2" s="1"/>
  <c r="O32" i="2" a="1"/>
  <c r="O32" i="2" s="1"/>
  <c r="O34" i="2" s="1" a="1"/>
  <c r="O34" i="2" s="1"/>
  <c r="U32" i="2" a="1"/>
  <c r="U32" i="2" s="1"/>
  <c r="T32" i="2" a="1"/>
  <c r="T32" i="2" s="1"/>
  <c r="R27" i="2"/>
  <c r="R26" i="2" s="1"/>
  <c r="T29" i="2"/>
  <c r="T30" i="2" s="1"/>
  <c r="S27" i="2"/>
  <c r="S26" i="2" s="1"/>
  <c r="L27" i="2"/>
  <c r="L26" i="2" s="1"/>
  <c r="N28" i="2"/>
  <c r="D27" i="2"/>
  <c r="D26" i="2" s="1"/>
  <c r="E27" i="2"/>
  <c r="E26" i="2" s="1"/>
  <c r="U28" i="2"/>
  <c r="K17" i="1"/>
  <c r="S27" i="1"/>
  <c r="D22" i="1"/>
  <c r="D21" i="1" s="1"/>
  <c r="N11" i="1"/>
  <c r="N9" i="1" s="1"/>
  <c r="M23" i="1" s="1"/>
  <c r="B23" i="1"/>
  <c r="E27" i="1"/>
  <c r="O27" i="1"/>
  <c r="O29" i="1" s="1"/>
  <c r="P27" i="1"/>
  <c r="L22" i="1"/>
  <c r="L21" i="1" s="1"/>
  <c r="N14" i="1"/>
  <c r="U23" i="1"/>
  <c r="U24" i="1" s="1"/>
  <c r="U25" i="1" s="1"/>
  <c r="T27" i="1"/>
  <c r="P23" i="1"/>
  <c r="U27" i="1"/>
  <c r="U14" i="1"/>
  <c r="U15" i="1"/>
  <c r="Q27" i="1"/>
  <c r="R22" i="1"/>
  <c r="R21" i="1" s="1"/>
  <c r="T23" i="1"/>
  <c r="S24" i="1"/>
  <c r="S25" i="1" s="1"/>
  <c r="E22" i="1"/>
  <c r="E21" i="1" s="1"/>
  <c r="G22" i="1"/>
  <c r="G21" i="1" s="1"/>
  <c r="K24" i="1"/>
  <c r="K25" i="1" s="1"/>
  <c r="N22" i="1"/>
  <c r="N21" i="1" s="1"/>
  <c r="H27" i="1"/>
  <c r="H29" i="1" s="1"/>
  <c r="I27" i="1"/>
  <c r="L27" i="1"/>
  <c r="J27" i="1"/>
  <c r="M27" i="1"/>
  <c r="K27" i="1"/>
  <c r="N27" i="1"/>
  <c r="C27" i="1"/>
  <c r="N15" i="1"/>
  <c r="F27" i="1"/>
  <c r="A27" i="1"/>
  <c r="A29" i="1" s="1"/>
  <c r="B29" i="1" s="1"/>
  <c r="D27" i="1"/>
  <c r="B27" i="1"/>
  <c r="G15" i="1"/>
  <c r="G9" i="1"/>
  <c r="G17" i="1" s="1" a="1"/>
  <c r="G17" i="1" s="1"/>
  <c r="Q32" i="2" l="1" a="1"/>
  <c r="Q32" i="2" s="1"/>
  <c r="R32" i="2" a="1"/>
  <c r="R32" i="2" s="1"/>
  <c r="P34" i="2" a="1"/>
  <c r="P34" i="2" s="1"/>
  <c r="O35" i="2" a="1"/>
  <c r="O35" i="2" s="1"/>
  <c r="N29" i="2"/>
  <c r="N30" i="2" s="1"/>
  <c r="N27" i="2"/>
  <c r="N26" i="2" s="1"/>
  <c r="U27" i="2"/>
  <c r="U26" i="2" s="1"/>
  <c r="U29" i="2"/>
  <c r="U30" i="2" s="1"/>
  <c r="F23" i="1"/>
  <c r="O30" i="1"/>
  <c r="P29" i="1"/>
  <c r="U22" i="1"/>
  <c r="U21" i="1" s="1"/>
  <c r="I29" i="1"/>
  <c r="H30" i="1"/>
  <c r="T22" i="1"/>
  <c r="T21" i="1" s="1"/>
  <c r="T24" i="1"/>
  <c r="T25" i="1" s="1"/>
  <c r="M24" i="1"/>
  <c r="M25" i="1" s="1"/>
  <c r="M22" i="1"/>
  <c r="M21" i="1" s="1"/>
  <c r="N17" i="1" a="1"/>
  <c r="N17" i="1" s="1"/>
  <c r="P35" i="2" l="1" a="1"/>
  <c r="P35" i="2" s="1"/>
  <c r="O36" i="2" a="1"/>
  <c r="O36" i="2" s="1"/>
  <c r="C32" i="2" a="1"/>
  <c r="C32" i="2" s="1"/>
  <c r="G32" i="2" a="1"/>
  <c r="G32" i="2" s="1"/>
  <c r="F32" i="2" a="1"/>
  <c r="F32" i="2" s="1"/>
  <c r="E32" i="2" a="1"/>
  <c r="E32" i="2" s="1"/>
  <c r="D32" i="2" a="1"/>
  <c r="D32" i="2" s="1"/>
  <c r="A32" i="2" a="1"/>
  <c r="A32" i="2" s="1"/>
  <c r="A34" i="2" s="1" a="1"/>
  <c r="A34" i="2" s="1"/>
  <c r="B34" i="2" s="1" a="1"/>
  <c r="B34" i="2" s="1"/>
  <c r="B32" i="2" a="1"/>
  <c r="B32" i="2" s="1"/>
  <c r="F24" i="1"/>
  <c r="F25" i="1" s="1"/>
  <c r="F22" i="1"/>
  <c r="F21" i="1" s="1"/>
  <c r="P30" i="1"/>
  <c r="O31" i="1"/>
  <c r="H31" i="1"/>
  <c r="I30" i="1"/>
  <c r="P36" i="2" l="1" a="1"/>
  <c r="P36" i="2" s="1"/>
  <c r="O37" i="2" a="1"/>
  <c r="O37" i="2" s="1"/>
  <c r="A35" i="2" a="1"/>
  <c r="A35" i="2" s="1"/>
  <c r="O32" i="1"/>
  <c r="P31" i="1"/>
  <c r="I31" i="1"/>
  <c r="H32" i="1"/>
  <c r="O38" i="2" l="1" a="1"/>
  <c r="O38" i="2" s="1"/>
  <c r="P37" i="2" a="1"/>
  <c r="P37" i="2" s="1"/>
  <c r="B35" i="2" a="1"/>
  <c r="B35" i="2" s="1"/>
  <c r="A36" i="2" a="1"/>
  <c r="A36" i="2" s="1"/>
  <c r="O33" i="1"/>
  <c r="P32" i="1"/>
  <c r="H33" i="1"/>
  <c r="I32" i="1"/>
  <c r="P38" i="2" l="1" a="1"/>
  <c r="P38" i="2" s="1"/>
  <c r="O39" i="2" a="1"/>
  <c r="O39" i="2" s="1"/>
  <c r="A37" i="2" a="1"/>
  <c r="A37" i="2" s="1"/>
  <c r="B36" i="2" a="1"/>
  <c r="B36" i="2" s="1"/>
  <c r="O34" i="1"/>
  <c r="P33" i="1"/>
  <c r="H34" i="1"/>
  <c r="I33" i="1"/>
  <c r="O40" i="2" l="1" a="1"/>
  <c r="O40" i="2" s="1"/>
  <c r="P39" i="2" a="1"/>
  <c r="P39" i="2" s="1"/>
  <c r="A38" i="2" a="1"/>
  <c r="A38" i="2" s="1"/>
  <c r="B37" i="2" a="1"/>
  <c r="B37" i="2" s="1"/>
  <c r="O35" i="1"/>
  <c r="P34" i="1"/>
  <c r="H35" i="1"/>
  <c r="I34" i="1"/>
  <c r="P40" i="2" l="1" a="1"/>
  <c r="P40" i="2" s="1"/>
  <c r="O41" i="2" a="1"/>
  <c r="O41" i="2" s="1"/>
  <c r="A39" i="2" a="1"/>
  <c r="A39" i="2" s="1"/>
  <c r="B38" i="2" a="1"/>
  <c r="B38" i="2" s="1"/>
  <c r="O36" i="1"/>
  <c r="P35" i="1"/>
  <c r="H36" i="1"/>
  <c r="I35" i="1"/>
  <c r="P41" i="2" l="1" a="1"/>
  <c r="P41" i="2" s="1"/>
  <c r="O42" i="2" a="1"/>
  <c r="O42" i="2" s="1"/>
  <c r="A40" i="2" a="1"/>
  <c r="A40" i="2" s="1"/>
  <c r="B39" i="2" a="1"/>
  <c r="B39" i="2" s="1"/>
  <c r="O37" i="1"/>
  <c r="P36" i="1"/>
  <c r="H37" i="1"/>
  <c r="I36" i="1"/>
  <c r="P42" i="2" l="1" a="1"/>
  <c r="P42" i="2" s="1"/>
  <c r="O43" i="2" a="1"/>
  <c r="O43" i="2" s="1"/>
  <c r="A41" i="2" a="1"/>
  <c r="A41" i="2" s="1"/>
  <c r="B40" i="2" a="1"/>
  <c r="B40" i="2" s="1"/>
  <c r="O38" i="1"/>
  <c r="P37" i="1"/>
  <c r="H38" i="1"/>
  <c r="I37" i="1"/>
  <c r="P43" i="2" l="1" a="1"/>
  <c r="P43" i="2" s="1"/>
  <c r="O44" i="2" a="1"/>
  <c r="O44" i="2" s="1"/>
  <c r="A42" i="2" a="1"/>
  <c r="A42" i="2" s="1"/>
  <c r="B41" i="2" a="1"/>
  <c r="B41" i="2" s="1"/>
  <c r="O39" i="1"/>
  <c r="P38" i="1"/>
  <c r="H39" i="1"/>
  <c r="I38" i="1"/>
  <c r="P44" i="2" l="1" a="1"/>
  <c r="P44" i="2" s="1"/>
  <c r="O45" i="2" a="1"/>
  <c r="O45" i="2" s="1"/>
  <c r="A43" i="2" a="1"/>
  <c r="A43" i="2" s="1"/>
  <c r="B42" i="2" a="1"/>
  <c r="B42" i="2" s="1"/>
  <c r="O40" i="1"/>
  <c r="P39" i="1"/>
  <c r="H40" i="1"/>
  <c r="I39" i="1"/>
  <c r="P45" i="2" l="1" a="1"/>
  <c r="P45" i="2" s="1"/>
  <c r="O46" i="2" a="1"/>
  <c r="O46" i="2" s="1"/>
  <c r="A44" i="2" a="1"/>
  <c r="A44" i="2" s="1"/>
  <c r="B43" i="2" a="1"/>
  <c r="B43" i="2" s="1"/>
  <c r="O41" i="1"/>
  <c r="P40" i="1"/>
  <c r="H41" i="1"/>
  <c r="I40" i="1"/>
  <c r="P46" i="2" l="1" a="1"/>
  <c r="P46" i="2" s="1"/>
  <c r="O47" i="2" a="1"/>
  <c r="O47" i="2" s="1"/>
  <c r="A45" i="2" a="1"/>
  <c r="A45" i="2" s="1"/>
  <c r="B44" i="2" a="1"/>
  <c r="B44" i="2" s="1"/>
  <c r="O42" i="1"/>
  <c r="P41" i="1"/>
  <c r="H42" i="1"/>
  <c r="I41" i="1"/>
  <c r="P47" i="2" l="1" a="1"/>
  <c r="P47" i="2" s="1"/>
  <c r="O48" i="2" a="1"/>
  <c r="O48" i="2" s="1"/>
  <c r="A46" i="2" a="1"/>
  <c r="A46" i="2" s="1"/>
  <c r="B45" i="2" a="1"/>
  <c r="B45" i="2" s="1"/>
  <c r="O43" i="1"/>
  <c r="P42" i="1"/>
  <c r="H43" i="1"/>
  <c r="I42" i="1"/>
  <c r="O49" i="2" l="1" a="1"/>
  <c r="O49" i="2" s="1"/>
  <c r="P48" i="2" a="1"/>
  <c r="P48" i="2" s="1"/>
  <c r="A47" i="2" a="1"/>
  <c r="A47" i="2" s="1"/>
  <c r="B46" i="2" a="1"/>
  <c r="B46" i="2" s="1"/>
  <c r="O44" i="1"/>
  <c r="P43" i="1"/>
  <c r="H44" i="1"/>
  <c r="I43" i="1"/>
  <c r="O50" i="2" l="1" a="1"/>
  <c r="O50" i="2" s="1"/>
  <c r="P49" i="2" a="1"/>
  <c r="P49" i="2" s="1"/>
  <c r="A48" i="2" a="1"/>
  <c r="A48" i="2" s="1"/>
  <c r="B47" i="2" a="1"/>
  <c r="B47" i="2" s="1"/>
  <c r="O45" i="1"/>
  <c r="P44" i="1"/>
  <c r="H45" i="1"/>
  <c r="I44" i="1"/>
  <c r="O51" i="2" l="1" a="1"/>
  <c r="O51" i="2" s="1"/>
  <c r="P50" i="2" a="1"/>
  <c r="P50" i="2" s="1"/>
  <c r="A49" i="2" a="1"/>
  <c r="A49" i="2" s="1"/>
  <c r="B48" i="2" a="1"/>
  <c r="B48" i="2" s="1"/>
  <c r="O46" i="1"/>
  <c r="P45" i="1"/>
  <c r="H46" i="1"/>
  <c r="I45" i="1"/>
  <c r="P51" i="2" l="1" a="1"/>
  <c r="P51" i="2" s="1"/>
  <c r="O52" i="2" a="1"/>
  <c r="O52" i="2" s="1"/>
  <c r="A50" i="2" a="1"/>
  <c r="A50" i="2" s="1"/>
  <c r="B49" i="2" a="1"/>
  <c r="B49" i="2" s="1"/>
  <c r="O47" i="1"/>
  <c r="P46" i="1"/>
  <c r="H47" i="1"/>
  <c r="I46" i="1"/>
  <c r="O53" i="2" l="1" a="1"/>
  <c r="O53" i="2" s="1"/>
  <c r="P52" i="2" a="1"/>
  <c r="P52" i="2" s="1"/>
  <c r="A51" i="2" a="1"/>
  <c r="A51" i="2" s="1"/>
  <c r="B50" i="2" a="1"/>
  <c r="B50" i="2" s="1"/>
  <c r="O48" i="1"/>
  <c r="P47" i="1"/>
  <c r="H48" i="1"/>
  <c r="I47" i="1"/>
  <c r="O54" i="2" l="1" a="1"/>
  <c r="O54" i="2" s="1"/>
  <c r="P53" i="2" a="1"/>
  <c r="P53" i="2" s="1"/>
  <c r="A52" i="2" a="1"/>
  <c r="A52" i="2" s="1"/>
  <c r="B51" i="2" a="1"/>
  <c r="B51" i="2" s="1"/>
  <c r="O49" i="1"/>
  <c r="P48" i="1"/>
  <c r="H49" i="1"/>
  <c r="I48" i="1"/>
  <c r="P54" i="2" l="1" a="1"/>
  <c r="P54" i="2" s="1"/>
  <c r="O55" i="2" a="1"/>
  <c r="O55" i="2" s="1"/>
  <c r="A53" i="2" a="1"/>
  <c r="A53" i="2" s="1"/>
  <c r="B52" i="2" a="1"/>
  <c r="B52" i="2" s="1"/>
  <c r="O50" i="1"/>
  <c r="P49" i="1"/>
  <c r="H50" i="1"/>
  <c r="I49" i="1"/>
  <c r="O56" i="2" l="1" a="1"/>
  <c r="O56" i="2" s="1"/>
  <c r="P55" i="2" a="1"/>
  <c r="P55" i="2" s="1"/>
  <c r="A54" i="2" a="1"/>
  <c r="A54" i="2" s="1"/>
  <c r="B53" i="2" a="1"/>
  <c r="B53" i="2" s="1"/>
  <c r="O51" i="1"/>
  <c r="P50" i="1"/>
  <c r="H51" i="1"/>
  <c r="I50" i="1"/>
  <c r="O57" i="2" l="1" a="1"/>
  <c r="O57" i="2" s="1"/>
  <c r="P56" i="2" a="1"/>
  <c r="P56" i="2" s="1"/>
  <c r="A55" i="2" a="1"/>
  <c r="A55" i="2" s="1"/>
  <c r="B54" i="2" a="1"/>
  <c r="B54" i="2" s="1"/>
  <c r="O52" i="1"/>
  <c r="P51" i="1"/>
  <c r="H52" i="1"/>
  <c r="I51" i="1"/>
  <c r="P57" i="2" l="1" a="1"/>
  <c r="P57" i="2" s="1"/>
  <c r="O58" i="2" a="1"/>
  <c r="O58" i="2" s="1"/>
  <c r="A56" i="2" a="1"/>
  <c r="A56" i="2" s="1"/>
  <c r="B55" i="2" a="1"/>
  <c r="B55" i="2" s="1"/>
  <c r="O53" i="1"/>
  <c r="P52" i="1"/>
  <c r="H53" i="1"/>
  <c r="I52" i="1"/>
  <c r="O59" i="2" l="1" a="1"/>
  <c r="O59" i="2" s="1"/>
  <c r="P58" i="2" a="1"/>
  <c r="P58" i="2" s="1"/>
  <c r="A57" i="2" a="1"/>
  <c r="A57" i="2" s="1"/>
  <c r="B56" i="2" a="1"/>
  <c r="B56" i="2" s="1"/>
  <c r="O54" i="1"/>
  <c r="P53" i="1"/>
  <c r="H54" i="1"/>
  <c r="I53" i="1"/>
  <c r="O60" i="2" l="1" a="1"/>
  <c r="O60" i="2" s="1"/>
  <c r="P59" i="2" a="1"/>
  <c r="P59" i="2" s="1"/>
  <c r="A58" i="2" a="1"/>
  <c r="A58" i="2" s="1"/>
  <c r="B57" i="2" a="1"/>
  <c r="B57" i="2" s="1"/>
  <c r="O55" i="1"/>
  <c r="P54" i="1"/>
  <c r="H55" i="1"/>
  <c r="I54" i="1"/>
  <c r="O61" i="2" l="1" a="1"/>
  <c r="O61" i="2" s="1"/>
  <c r="P60" i="2" a="1"/>
  <c r="P60" i="2" s="1"/>
  <c r="A59" i="2" a="1"/>
  <c r="A59" i="2" s="1"/>
  <c r="B58" i="2" a="1"/>
  <c r="B58" i="2" s="1"/>
  <c r="O56" i="1"/>
  <c r="P55" i="1"/>
  <c r="H56" i="1"/>
  <c r="I55" i="1"/>
  <c r="O62" i="2" l="1" a="1"/>
  <c r="O62" i="2" s="1"/>
  <c r="P61" i="2" a="1"/>
  <c r="P61" i="2" s="1"/>
  <c r="A60" i="2" a="1"/>
  <c r="A60" i="2" s="1"/>
  <c r="B59" i="2" a="1"/>
  <c r="B59" i="2" s="1"/>
  <c r="O57" i="1"/>
  <c r="P56" i="1"/>
  <c r="H57" i="1"/>
  <c r="I56" i="1"/>
  <c r="O63" i="2" l="1" a="1"/>
  <c r="O63" i="2" s="1"/>
  <c r="P62" i="2" a="1"/>
  <c r="P62" i="2" s="1"/>
  <c r="A61" i="2" a="1"/>
  <c r="A61" i="2" s="1"/>
  <c r="B60" i="2" a="1"/>
  <c r="B60" i="2" s="1"/>
  <c r="O58" i="1"/>
  <c r="P57" i="1"/>
  <c r="H58" i="1"/>
  <c r="I57" i="1"/>
  <c r="O64" i="2" l="1" a="1"/>
  <c r="O64" i="2" s="1"/>
  <c r="P63" i="2" a="1"/>
  <c r="P63" i="2" s="1"/>
  <c r="A62" i="2" a="1"/>
  <c r="A62" i="2" s="1"/>
  <c r="B61" i="2" a="1"/>
  <c r="B61" i="2" s="1"/>
  <c r="O59" i="1"/>
  <c r="P58" i="1"/>
  <c r="H59" i="1"/>
  <c r="I58" i="1"/>
  <c r="O65" i="2" l="1" a="1"/>
  <c r="O65" i="2" s="1"/>
  <c r="P64" i="2" a="1"/>
  <c r="P64" i="2" s="1"/>
  <c r="A63" i="2" a="1"/>
  <c r="A63" i="2" s="1"/>
  <c r="B62" i="2" a="1"/>
  <c r="B62" i="2" s="1"/>
  <c r="O60" i="1"/>
  <c r="P59" i="1"/>
  <c r="H60" i="1"/>
  <c r="I59" i="1"/>
  <c r="P65" i="2" l="1" a="1"/>
  <c r="P65" i="2" s="1"/>
  <c r="O66" i="2" a="1"/>
  <c r="O66" i="2" s="1"/>
  <c r="A64" i="2" a="1"/>
  <c r="A64" i="2" s="1"/>
  <c r="B63" i="2" a="1"/>
  <c r="B63" i="2" s="1"/>
  <c r="O61" i="1"/>
  <c r="P60" i="1"/>
  <c r="H61" i="1"/>
  <c r="I60" i="1"/>
  <c r="P66" i="2" l="1" a="1"/>
  <c r="P66" i="2" s="1"/>
  <c r="O67" i="2" a="1"/>
  <c r="O67" i="2" s="1"/>
  <c r="A65" i="2" a="1"/>
  <c r="A65" i="2" s="1"/>
  <c r="B64" i="2" a="1"/>
  <c r="B64" i="2" s="1"/>
  <c r="O62" i="1"/>
  <c r="P61" i="1"/>
  <c r="H62" i="1"/>
  <c r="I61" i="1"/>
  <c r="P67" i="2" l="1" a="1"/>
  <c r="P67" i="2" s="1"/>
  <c r="O68" i="2" a="1"/>
  <c r="O68" i="2" s="1"/>
  <c r="A66" i="2" a="1"/>
  <c r="A66" i="2" s="1"/>
  <c r="B65" i="2" a="1"/>
  <c r="B65" i="2" s="1"/>
  <c r="O63" i="1"/>
  <c r="P62" i="1"/>
  <c r="H63" i="1"/>
  <c r="I62" i="1"/>
  <c r="O69" i="2" l="1" a="1"/>
  <c r="O69" i="2" s="1"/>
  <c r="P68" i="2" a="1"/>
  <c r="P68" i="2" s="1"/>
  <c r="A67" i="2" a="1"/>
  <c r="A67" i="2" s="1"/>
  <c r="B66" i="2" a="1"/>
  <c r="B66" i="2" s="1"/>
  <c r="O64" i="1"/>
  <c r="P63" i="1"/>
  <c r="H64" i="1"/>
  <c r="I63" i="1"/>
  <c r="O70" i="2" l="1" a="1"/>
  <c r="O70" i="2" s="1"/>
  <c r="P69" i="2" a="1"/>
  <c r="P69" i="2" s="1"/>
  <c r="A68" i="2" a="1"/>
  <c r="A68" i="2" s="1"/>
  <c r="B67" i="2" a="1"/>
  <c r="B67" i="2" s="1"/>
  <c r="O65" i="1"/>
  <c r="P64" i="1"/>
  <c r="H65" i="1"/>
  <c r="I64" i="1"/>
  <c r="O71" i="2" l="1" a="1"/>
  <c r="O71" i="2" s="1"/>
  <c r="P70" i="2" a="1"/>
  <c r="P70" i="2" s="1"/>
  <c r="A69" i="2" a="1"/>
  <c r="A69" i="2" s="1"/>
  <c r="B68" i="2" a="1"/>
  <c r="B68" i="2" s="1"/>
  <c r="O66" i="1"/>
  <c r="P65" i="1"/>
  <c r="H66" i="1"/>
  <c r="I65" i="1"/>
  <c r="P71" i="2" l="1" a="1"/>
  <c r="P71" i="2" s="1"/>
  <c r="O72" i="2" a="1"/>
  <c r="O72" i="2" s="1"/>
  <c r="A70" i="2" a="1"/>
  <c r="A70" i="2" s="1"/>
  <c r="B69" i="2" a="1"/>
  <c r="B69" i="2" s="1"/>
  <c r="O67" i="1"/>
  <c r="P66" i="1"/>
  <c r="H67" i="1"/>
  <c r="I66" i="1"/>
  <c r="O73" i="2" l="1" a="1"/>
  <c r="O73" i="2" s="1"/>
  <c r="P72" i="2" a="1"/>
  <c r="P72" i="2" s="1"/>
  <c r="A71" i="2" a="1"/>
  <c r="A71" i="2" s="1"/>
  <c r="B70" i="2" a="1"/>
  <c r="B70" i="2" s="1"/>
  <c r="O68" i="1"/>
  <c r="P67" i="1"/>
  <c r="H68" i="1"/>
  <c r="I67" i="1"/>
  <c r="O74" i="2" l="1" a="1"/>
  <c r="O74" i="2" s="1"/>
  <c r="P73" i="2" a="1"/>
  <c r="P73" i="2" s="1"/>
  <c r="A72" i="2" a="1"/>
  <c r="A72" i="2" s="1"/>
  <c r="B71" i="2" a="1"/>
  <c r="B71" i="2" s="1"/>
  <c r="O69" i="1"/>
  <c r="P68" i="1"/>
  <c r="H69" i="1"/>
  <c r="I68" i="1"/>
  <c r="O75" i="2" l="1" a="1"/>
  <c r="O75" i="2" s="1"/>
  <c r="P74" i="2" a="1"/>
  <c r="P74" i="2" s="1"/>
  <c r="A73" i="2" a="1"/>
  <c r="A73" i="2" s="1"/>
  <c r="B72" i="2" a="1"/>
  <c r="B72" i="2" s="1"/>
  <c r="O70" i="1"/>
  <c r="P69" i="1"/>
  <c r="H70" i="1"/>
  <c r="I69" i="1"/>
  <c r="O76" i="2" l="1" a="1"/>
  <c r="O76" i="2" s="1"/>
  <c r="P75" i="2" a="1"/>
  <c r="P75" i="2" s="1"/>
  <c r="A74" i="2" a="1"/>
  <c r="A74" i="2" s="1"/>
  <c r="B73" i="2" a="1"/>
  <c r="B73" i="2" s="1"/>
  <c r="O71" i="1"/>
  <c r="P70" i="1"/>
  <c r="H71" i="1"/>
  <c r="I70" i="1"/>
  <c r="O77" i="2" l="1" a="1"/>
  <c r="O77" i="2" s="1"/>
  <c r="P76" i="2" a="1"/>
  <c r="P76" i="2" s="1"/>
  <c r="A75" i="2" a="1"/>
  <c r="A75" i="2" s="1"/>
  <c r="B74" i="2" a="1"/>
  <c r="B74" i="2" s="1"/>
  <c r="O72" i="1"/>
  <c r="P71" i="1"/>
  <c r="H72" i="1"/>
  <c r="I71" i="1"/>
  <c r="O78" i="2" l="1" a="1"/>
  <c r="O78" i="2" s="1"/>
  <c r="P77" i="2" a="1"/>
  <c r="P77" i="2" s="1"/>
  <c r="A76" i="2" a="1"/>
  <c r="A76" i="2" s="1"/>
  <c r="B75" i="2" a="1"/>
  <c r="B75" i="2" s="1"/>
  <c r="O73" i="1"/>
  <c r="P72" i="1"/>
  <c r="H73" i="1"/>
  <c r="I72" i="1"/>
  <c r="P78" i="2" l="1" a="1"/>
  <c r="P78" i="2" s="1"/>
  <c r="O79" i="2" a="1"/>
  <c r="O79" i="2" s="1"/>
  <c r="A77" i="2" a="1"/>
  <c r="A77" i="2" s="1"/>
  <c r="B76" i="2" a="1"/>
  <c r="B76" i="2" s="1"/>
  <c r="O74" i="1"/>
  <c r="P73" i="1"/>
  <c r="H74" i="1"/>
  <c r="I73" i="1"/>
  <c r="P79" i="2" l="1" a="1"/>
  <c r="P79" i="2" s="1"/>
  <c r="O80" i="2" a="1"/>
  <c r="O80" i="2" s="1"/>
  <c r="A78" i="2" a="1"/>
  <c r="A78" i="2" s="1"/>
  <c r="B77" i="2" a="1"/>
  <c r="B77" i="2" s="1"/>
  <c r="O75" i="1"/>
  <c r="P74" i="1"/>
  <c r="H75" i="1"/>
  <c r="I74" i="1"/>
  <c r="O81" i="2" l="1" a="1"/>
  <c r="O81" i="2" s="1"/>
  <c r="P80" i="2" a="1"/>
  <c r="P80" i="2" s="1"/>
  <c r="A79" i="2" a="1"/>
  <c r="A79" i="2" s="1"/>
  <c r="B78" i="2" a="1"/>
  <c r="B78" i="2" s="1"/>
  <c r="O76" i="1"/>
  <c r="P75" i="1"/>
  <c r="H76" i="1"/>
  <c r="I75" i="1"/>
  <c r="O82" i="2" l="1" a="1"/>
  <c r="O82" i="2" s="1"/>
  <c r="P81" i="2" a="1"/>
  <c r="P81" i="2" s="1"/>
  <c r="A80" i="2" a="1"/>
  <c r="A80" i="2" s="1"/>
  <c r="B79" i="2" a="1"/>
  <c r="B79" i="2" s="1"/>
  <c r="O77" i="1"/>
  <c r="P76" i="1"/>
  <c r="H77" i="1"/>
  <c r="I76" i="1"/>
  <c r="O83" i="2" l="1" a="1"/>
  <c r="O83" i="2" s="1"/>
  <c r="P82" i="2" a="1"/>
  <c r="P82" i="2" s="1"/>
  <c r="A81" i="2" a="1"/>
  <c r="A81" i="2" s="1"/>
  <c r="B80" i="2" a="1"/>
  <c r="B80" i="2" s="1"/>
  <c r="O78" i="1"/>
  <c r="P77" i="1"/>
  <c r="H78" i="1"/>
  <c r="I77" i="1"/>
  <c r="P83" i="2" l="1" a="1"/>
  <c r="P83" i="2" s="1"/>
  <c r="O84" i="2" a="1"/>
  <c r="O84" i="2" s="1"/>
  <c r="A82" i="2" a="1"/>
  <c r="A82" i="2" s="1"/>
  <c r="B81" i="2" a="1"/>
  <c r="B81" i="2" s="1"/>
  <c r="O79" i="1"/>
  <c r="P78" i="1"/>
  <c r="H79" i="1"/>
  <c r="I78" i="1"/>
  <c r="O85" i="2" l="1" a="1"/>
  <c r="O85" i="2" s="1"/>
  <c r="P84" i="2" a="1"/>
  <c r="P84" i="2" s="1"/>
  <c r="A83" i="2" a="1"/>
  <c r="A83" i="2" s="1"/>
  <c r="B82" i="2" a="1"/>
  <c r="B82" i="2" s="1"/>
  <c r="O80" i="1"/>
  <c r="P79" i="1"/>
  <c r="H80" i="1"/>
  <c r="I79" i="1"/>
  <c r="O86" i="2" l="1" a="1"/>
  <c r="O86" i="2" s="1"/>
  <c r="P85" i="2" a="1"/>
  <c r="P85" i="2" s="1"/>
  <c r="A84" i="2" a="1"/>
  <c r="A84" i="2" s="1"/>
  <c r="B83" i="2" a="1"/>
  <c r="B83" i="2" s="1"/>
  <c r="O81" i="1"/>
  <c r="P80" i="1"/>
  <c r="H81" i="1"/>
  <c r="I80" i="1"/>
  <c r="P86" i="2" l="1" a="1"/>
  <c r="P86" i="2" s="1"/>
  <c r="O87" i="2" a="1"/>
  <c r="O87" i="2" s="1"/>
  <c r="A85" i="2" a="1"/>
  <c r="A85" i="2" s="1"/>
  <c r="B84" i="2" a="1"/>
  <c r="B84" i="2" s="1"/>
  <c r="O82" i="1"/>
  <c r="P81" i="1"/>
  <c r="H82" i="1"/>
  <c r="I81" i="1"/>
  <c r="O88" i="2" l="1" a="1"/>
  <c r="O88" i="2" s="1"/>
  <c r="P87" i="2" a="1"/>
  <c r="P87" i="2" s="1"/>
  <c r="A86" i="2" a="1"/>
  <c r="A86" i="2" s="1"/>
  <c r="B85" i="2" a="1"/>
  <c r="B85" i="2" s="1"/>
  <c r="O83" i="1"/>
  <c r="P82" i="1"/>
  <c r="H83" i="1"/>
  <c r="I82" i="1"/>
  <c r="P88" i="2" l="1" a="1"/>
  <c r="P88" i="2" s="1"/>
  <c r="O89" i="2" a="1"/>
  <c r="O89" i="2" s="1"/>
  <c r="A87" i="2" a="1"/>
  <c r="A87" i="2" s="1"/>
  <c r="B86" i="2" a="1"/>
  <c r="B86" i="2" s="1"/>
  <c r="O84" i="1"/>
  <c r="P83" i="1"/>
  <c r="H84" i="1"/>
  <c r="I83" i="1"/>
  <c r="O90" i="2" l="1" a="1"/>
  <c r="O90" i="2" s="1"/>
  <c r="P89" i="2" a="1"/>
  <c r="P89" i="2" s="1"/>
  <c r="A88" i="2" a="1"/>
  <c r="A88" i="2" s="1"/>
  <c r="B87" i="2" a="1"/>
  <c r="B87" i="2" s="1"/>
  <c r="O85" i="1"/>
  <c r="P84" i="1"/>
  <c r="H85" i="1"/>
  <c r="I84" i="1"/>
  <c r="P90" i="2" l="1" a="1"/>
  <c r="P90" i="2" s="1"/>
  <c r="O91" i="2" a="1"/>
  <c r="O91" i="2" s="1"/>
  <c r="A89" i="2" a="1"/>
  <c r="A89" i="2" s="1"/>
  <c r="B88" i="2" a="1"/>
  <c r="B88" i="2" s="1"/>
  <c r="O86" i="1"/>
  <c r="P85" i="1"/>
  <c r="H86" i="1"/>
  <c r="I85" i="1"/>
  <c r="P91" i="2" l="1" a="1"/>
  <c r="P91" i="2" s="1"/>
  <c r="O92" i="2" a="1"/>
  <c r="O92" i="2" s="1"/>
  <c r="A90" i="2" a="1"/>
  <c r="A90" i="2" s="1"/>
  <c r="B89" i="2" a="1"/>
  <c r="B89" i="2" s="1"/>
  <c r="O87" i="1"/>
  <c r="P86" i="1"/>
  <c r="H87" i="1"/>
  <c r="I86" i="1"/>
  <c r="O93" i="2" l="1" a="1"/>
  <c r="O93" i="2" s="1"/>
  <c r="P92" i="2" a="1"/>
  <c r="P92" i="2" s="1"/>
  <c r="A91" i="2" a="1"/>
  <c r="A91" i="2" s="1"/>
  <c r="B90" i="2" a="1"/>
  <c r="B90" i="2" s="1"/>
  <c r="O88" i="1"/>
  <c r="P87" i="1"/>
  <c r="H88" i="1"/>
  <c r="I87" i="1"/>
  <c r="O94" i="2" l="1" a="1"/>
  <c r="O94" i="2" s="1"/>
  <c r="P93" i="2" a="1"/>
  <c r="P93" i="2" s="1"/>
  <c r="A92" i="2" a="1"/>
  <c r="A92" i="2" s="1"/>
  <c r="B91" i="2" a="1"/>
  <c r="B91" i="2" s="1"/>
  <c r="O89" i="1"/>
  <c r="P88" i="1"/>
  <c r="H89" i="1"/>
  <c r="I88" i="1"/>
  <c r="O95" i="2" l="1" a="1"/>
  <c r="O95" i="2" s="1"/>
  <c r="P94" i="2" a="1"/>
  <c r="P94" i="2" s="1"/>
  <c r="A93" i="2" a="1"/>
  <c r="A93" i="2" s="1"/>
  <c r="B92" i="2" a="1"/>
  <c r="B92" i="2" s="1"/>
  <c r="O90" i="1"/>
  <c r="P89" i="1"/>
  <c r="H90" i="1"/>
  <c r="I89" i="1"/>
  <c r="O96" i="2" l="1" a="1"/>
  <c r="O96" i="2" s="1"/>
  <c r="P95" i="2" a="1"/>
  <c r="P95" i="2" s="1"/>
  <c r="A94" i="2" a="1"/>
  <c r="A94" i="2" s="1"/>
  <c r="B93" i="2" a="1"/>
  <c r="B93" i="2" s="1"/>
  <c r="O91" i="1"/>
  <c r="P90" i="1"/>
  <c r="H91" i="1"/>
  <c r="I90" i="1"/>
  <c r="O97" i="2" l="1" a="1"/>
  <c r="O97" i="2" s="1"/>
  <c r="P96" i="2" a="1"/>
  <c r="P96" i="2" s="1"/>
  <c r="A95" i="2" a="1"/>
  <c r="A95" i="2" s="1"/>
  <c r="B94" i="2" a="1"/>
  <c r="B94" i="2" s="1"/>
  <c r="O92" i="1"/>
  <c r="P91" i="1"/>
  <c r="H92" i="1"/>
  <c r="I91" i="1"/>
  <c r="P97" i="2" l="1" a="1"/>
  <c r="P97" i="2" s="1"/>
  <c r="O98" i="2" a="1"/>
  <c r="O98" i="2" s="1"/>
  <c r="P98" i="2" s="1" a="1"/>
  <c r="P98" i="2" s="1"/>
  <c r="A96" i="2" a="1"/>
  <c r="A96" i="2" s="1"/>
  <c r="B95" i="2" a="1"/>
  <c r="B95" i="2" s="1"/>
  <c r="O93" i="1"/>
  <c r="P93" i="1" s="1"/>
  <c r="P92" i="1"/>
  <c r="H93" i="1"/>
  <c r="I93" i="1" s="1"/>
  <c r="I92" i="1"/>
  <c r="A97" i="2" l="1" a="1"/>
  <c r="A97" i="2" s="1"/>
  <c r="B96" i="2" a="1"/>
  <c r="B96" i="2" s="1"/>
  <c r="G14" i="1"/>
  <c r="A98" i="2" l="1" a="1"/>
  <c r="A98" i="2" s="1"/>
  <c r="B98" i="2" s="1" a="1"/>
  <c r="B98" i="2" s="1"/>
  <c r="B97" i="2" a="1"/>
  <c r="B97" i="2" s="1"/>
  <c r="A30" i="1"/>
  <c r="A31" i="1" s="1"/>
  <c r="A32" i="1" s="1"/>
  <c r="A33" i="1" s="1"/>
  <c r="B30" i="1" l="1"/>
  <c r="B31" i="1" l="1"/>
  <c r="B32" i="1" l="1"/>
  <c r="A34" i="1" l="1"/>
  <c r="B33" i="1"/>
  <c r="B34" i="1" l="1"/>
  <c r="A35" i="1"/>
  <c r="A36" i="1" l="1"/>
  <c r="B35" i="1"/>
  <c r="A37" i="1" l="1"/>
  <c r="B36" i="1"/>
  <c r="A38" i="1" l="1"/>
  <c r="B37" i="1"/>
  <c r="B38" i="1" l="1"/>
  <c r="A39" i="1"/>
  <c r="A40" i="1" l="1"/>
  <c r="B39" i="1"/>
  <c r="A41" i="1" l="1"/>
  <c r="B40" i="1"/>
  <c r="A42" i="1" l="1"/>
  <c r="B41" i="1"/>
  <c r="B42" i="1" l="1"/>
  <c r="A43" i="1"/>
  <c r="A44" i="1" l="1"/>
  <c r="B43" i="1"/>
  <c r="A45" i="1" l="1"/>
  <c r="B44" i="1"/>
  <c r="A46" i="1" l="1"/>
  <c r="B45" i="1"/>
  <c r="B46" i="1" l="1"/>
  <c r="A47" i="1"/>
  <c r="A48" i="1" l="1"/>
  <c r="B47" i="1"/>
  <c r="A49" i="1" l="1"/>
  <c r="B48" i="1"/>
  <c r="A50" i="1" l="1"/>
  <c r="B49" i="1"/>
  <c r="B50" i="1" l="1"/>
  <c r="A51" i="1"/>
  <c r="A52" i="1" l="1"/>
  <c r="B51" i="1"/>
  <c r="A53" i="1" l="1"/>
  <c r="B52" i="1"/>
  <c r="A54" i="1" l="1"/>
  <c r="B53" i="1"/>
  <c r="B54" i="1" l="1"/>
  <c r="A55" i="1"/>
  <c r="A56" i="1" l="1"/>
  <c r="B55" i="1"/>
  <c r="A57" i="1" l="1"/>
  <c r="B56" i="1"/>
  <c r="A58" i="1" l="1"/>
  <c r="B57" i="1"/>
  <c r="B58" i="1" l="1"/>
  <c r="A59" i="1"/>
  <c r="A60" i="1" l="1"/>
  <c r="B59" i="1"/>
  <c r="A61" i="1" l="1"/>
  <c r="B60" i="1"/>
  <c r="A62" i="1" l="1"/>
  <c r="B61" i="1"/>
  <c r="B62" i="1" l="1"/>
  <c r="A63" i="1"/>
  <c r="A64" i="1" l="1"/>
  <c r="B63" i="1"/>
  <c r="A65" i="1" l="1"/>
  <c r="B64" i="1"/>
  <c r="A66" i="1" l="1"/>
  <c r="B65" i="1"/>
  <c r="B66" i="1" l="1"/>
  <c r="A67" i="1"/>
  <c r="A68" i="1" l="1"/>
  <c r="B67" i="1"/>
  <c r="A69" i="1" l="1"/>
  <c r="B68" i="1"/>
  <c r="A70" i="1" l="1"/>
  <c r="B69" i="1"/>
  <c r="B70" i="1" l="1"/>
  <c r="A71" i="1"/>
  <c r="A72" i="1" l="1"/>
  <c r="B71" i="1"/>
  <c r="A73" i="1" l="1"/>
  <c r="B72" i="1"/>
  <c r="A74" i="1" l="1"/>
  <c r="B73" i="1"/>
  <c r="B74" i="1" l="1"/>
  <c r="A75" i="1"/>
  <c r="A76" i="1" l="1"/>
  <c r="B75" i="1"/>
  <c r="A77" i="1" l="1"/>
  <c r="B76" i="1"/>
  <c r="A78" i="1" l="1"/>
  <c r="B77" i="1"/>
  <c r="B78" i="1" l="1"/>
  <c r="A79" i="1"/>
  <c r="A80" i="1" l="1"/>
  <c r="B79" i="1"/>
  <c r="A81" i="1" l="1"/>
  <c r="B80" i="1"/>
  <c r="A82" i="1" l="1"/>
  <c r="B81" i="1"/>
  <c r="B82" i="1" l="1"/>
  <c r="A83" i="1"/>
  <c r="A84" i="1" l="1"/>
  <c r="B83" i="1"/>
  <c r="A85" i="1" l="1"/>
  <c r="B84" i="1"/>
  <c r="A86" i="1" l="1"/>
  <c r="B85" i="1"/>
  <c r="B86" i="1" l="1"/>
  <c r="A87" i="1"/>
  <c r="A88" i="1" l="1"/>
  <c r="B87" i="1"/>
  <c r="A89" i="1" l="1"/>
  <c r="B88" i="1"/>
  <c r="A90" i="1" l="1"/>
  <c r="B89" i="1"/>
  <c r="B90" i="1" l="1"/>
  <c r="A91" i="1"/>
  <c r="A92" i="1" l="1"/>
  <c r="B91" i="1"/>
  <c r="A93" i="1" l="1"/>
  <c r="B93" i="1" s="1"/>
  <c r="B92" i="1"/>
  <c r="G28" i="2" l="1"/>
  <c r="G27" i="2" s="1"/>
  <c r="G26" i="2" s="1"/>
  <c r="F28" i="2"/>
  <c r="G29" i="2" l="1"/>
  <c r="G30" i="2" s="1"/>
  <c r="F29" i="2"/>
  <c r="F30" i="2" s="1"/>
  <c r="F27" i="2"/>
  <c r="F26" i="2" s="1"/>
  <c r="K28" i="2" l="1"/>
  <c r="K27" i="2" s="1"/>
  <c r="K26" i="2" s="1"/>
  <c r="K29" i="2" l="1"/>
  <c r="K30" i="2" s="1"/>
  <c r="J28" i="2"/>
  <c r="N19" i="2" l="1"/>
  <c r="K32" i="2" l="1" a="1"/>
  <c r="K32" i="2" s="1"/>
  <c r="J32" i="2" a="1"/>
  <c r="J32" i="2" s="1"/>
  <c r="L32" i="2" a="1"/>
  <c r="L32" i="2" s="1"/>
  <c r="H32" i="2" a="1"/>
  <c r="H32" i="2" s="1"/>
  <c r="H34" i="2" s="1" a="1"/>
  <c r="H34" i="2" s="1"/>
  <c r="N32" i="2" a="1"/>
  <c r="N32" i="2" s="1"/>
  <c r="I32" i="2" a="1"/>
  <c r="I32" i="2" s="1"/>
  <c r="M32" i="2" a="1"/>
  <c r="M32" i="2" s="1"/>
  <c r="H35" i="2" l="1" a="1"/>
  <c r="H35" i="2" s="1"/>
  <c r="I34" i="2" a="1"/>
  <c r="I34" i="2" s="1"/>
  <c r="I35" i="2" l="1" a="1"/>
  <c r="I35" i="2" s="1"/>
  <c r="H36" i="2" a="1"/>
  <c r="H36" i="2" s="1"/>
  <c r="H37" i="2" l="1" a="1"/>
  <c r="H37" i="2" s="1"/>
  <c r="I36" i="2" a="1"/>
  <c r="I36" i="2" s="1"/>
  <c r="I37" i="2" l="1" a="1"/>
  <c r="I37" i="2" s="1"/>
  <c r="H38" i="2" a="1"/>
  <c r="H38" i="2" s="1"/>
  <c r="I38" i="2" l="1" a="1"/>
  <c r="I38" i="2" s="1"/>
  <c r="H39" i="2" a="1"/>
  <c r="H39" i="2" s="1"/>
  <c r="I39" i="2" l="1" a="1"/>
  <c r="I39" i="2" s="1"/>
  <c r="H40" i="2" a="1"/>
  <c r="H40" i="2" s="1"/>
  <c r="I40" i="2" l="1" a="1"/>
  <c r="I40" i="2" s="1"/>
  <c r="H41" i="2" a="1"/>
  <c r="H41" i="2" s="1"/>
  <c r="I41" i="2" l="1" a="1"/>
  <c r="I41" i="2" s="1"/>
  <c r="H42" i="2" a="1"/>
  <c r="H42" i="2" s="1"/>
  <c r="H43" i="2" l="1" a="1"/>
  <c r="H43" i="2" s="1"/>
  <c r="I42" i="2" a="1"/>
  <c r="I42" i="2" s="1"/>
  <c r="I43" i="2" l="1" a="1"/>
  <c r="I43" i="2" s="1"/>
  <c r="H44" i="2" a="1"/>
  <c r="H44" i="2" s="1"/>
  <c r="H45" i="2" l="1" a="1"/>
  <c r="H45" i="2" s="1"/>
  <c r="I44" i="2" a="1"/>
  <c r="I44" i="2" s="1"/>
  <c r="H46" i="2" l="1" a="1"/>
  <c r="H46" i="2" s="1"/>
  <c r="I45" i="2" a="1"/>
  <c r="I45" i="2" s="1"/>
  <c r="I46" i="2" l="1" a="1"/>
  <c r="I46" i="2" s="1"/>
  <c r="H47" i="2" a="1"/>
  <c r="H47" i="2" s="1"/>
  <c r="H48" i="2" l="1" a="1"/>
  <c r="H48" i="2" s="1"/>
  <c r="I47" i="2" a="1"/>
  <c r="I47" i="2" s="1"/>
  <c r="I48" i="2" l="1" a="1"/>
  <c r="I48" i="2" s="1"/>
  <c r="H49" i="2" a="1"/>
  <c r="H49" i="2" s="1"/>
  <c r="H50" i="2" l="1" a="1"/>
  <c r="H50" i="2" s="1"/>
  <c r="I49" i="2" a="1"/>
  <c r="I49" i="2" s="1"/>
  <c r="H51" i="2" l="1" a="1"/>
  <c r="H51" i="2" s="1"/>
  <c r="I50" i="2" a="1"/>
  <c r="I50" i="2" s="1"/>
  <c r="I51" i="2" l="1" a="1"/>
  <c r="I51" i="2" s="1"/>
  <c r="H52" i="2" a="1"/>
  <c r="H52" i="2" s="1"/>
  <c r="H53" i="2" l="1" a="1"/>
  <c r="H53" i="2" s="1"/>
  <c r="I52" i="2" a="1"/>
  <c r="I52" i="2" s="1"/>
  <c r="H54" i="2" l="1" a="1"/>
  <c r="H54" i="2" s="1"/>
  <c r="I53" i="2" a="1"/>
  <c r="I53" i="2" s="1"/>
  <c r="I54" i="2" l="1" a="1"/>
  <c r="I54" i="2" s="1"/>
  <c r="H55" i="2" a="1"/>
  <c r="H55" i="2" s="1"/>
  <c r="I55" i="2" l="1" a="1"/>
  <c r="I55" i="2" s="1"/>
  <c r="H56" i="2" a="1"/>
  <c r="H56" i="2" s="1"/>
  <c r="I56" i="2" l="1" a="1"/>
  <c r="I56" i="2" s="1"/>
  <c r="H57" i="2" a="1"/>
  <c r="H57" i="2" s="1"/>
  <c r="H58" i="2" l="1" a="1"/>
  <c r="H58" i="2" s="1"/>
  <c r="I57" i="2" a="1"/>
  <c r="I57" i="2" s="1"/>
  <c r="H59" i="2" l="1" a="1"/>
  <c r="H59" i="2" s="1"/>
  <c r="I58" i="2" a="1"/>
  <c r="I58" i="2" s="1"/>
  <c r="I59" i="2" l="1" a="1"/>
  <c r="I59" i="2" s="1"/>
  <c r="H60" i="2" a="1"/>
  <c r="H60" i="2" s="1"/>
  <c r="H61" i="2" l="1" a="1"/>
  <c r="H61" i="2" s="1"/>
  <c r="I60" i="2" a="1"/>
  <c r="I60" i="2" s="1"/>
  <c r="H62" i="2" l="1" a="1"/>
  <c r="H62" i="2" s="1"/>
  <c r="I61" i="2" a="1"/>
  <c r="I61" i="2" s="1"/>
  <c r="I62" i="2" l="1" a="1"/>
  <c r="I62" i="2" s="1"/>
  <c r="H63" i="2" a="1"/>
  <c r="H63" i="2" s="1"/>
  <c r="H64" i="2" l="1" a="1"/>
  <c r="H64" i="2" s="1"/>
  <c r="I63" i="2" a="1"/>
  <c r="I63" i="2" s="1"/>
  <c r="I64" i="2" l="1" a="1"/>
  <c r="I64" i="2" s="1"/>
  <c r="H65" i="2" a="1"/>
  <c r="H65" i="2" s="1"/>
  <c r="H66" i="2" l="1" a="1"/>
  <c r="H66" i="2" s="1"/>
  <c r="I65" i="2" a="1"/>
  <c r="I65" i="2" s="1"/>
  <c r="H67" i="2" l="1" a="1"/>
  <c r="H67" i="2" s="1"/>
  <c r="I66" i="2" a="1"/>
  <c r="I66" i="2" s="1"/>
  <c r="I67" i="2" l="1" a="1"/>
  <c r="I67" i="2" s="1"/>
  <c r="H68" i="2" a="1"/>
  <c r="H68" i="2" s="1"/>
  <c r="H69" i="2" l="1" a="1"/>
  <c r="H69" i="2" s="1"/>
  <c r="I68" i="2" a="1"/>
  <c r="I68" i="2" s="1"/>
  <c r="H70" i="2" l="1" a="1"/>
  <c r="H70" i="2" s="1"/>
  <c r="I69" i="2" a="1"/>
  <c r="I69" i="2" s="1"/>
  <c r="I70" i="2" l="1" a="1"/>
  <c r="I70" i="2" s="1"/>
  <c r="H71" i="2" a="1"/>
  <c r="H71" i="2" s="1"/>
  <c r="I71" i="2" l="1" a="1"/>
  <c r="I71" i="2" s="1"/>
  <c r="H72" i="2" a="1"/>
  <c r="H72" i="2" s="1"/>
  <c r="I72" i="2" l="1" a="1"/>
  <c r="I72" i="2" s="1"/>
  <c r="H73" i="2" a="1"/>
  <c r="H73" i="2" s="1"/>
  <c r="I73" i="2" l="1" a="1"/>
  <c r="I73" i="2" s="1"/>
  <c r="H74" i="2" a="1"/>
  <c r="H74" i="2" s="1"/>
  <c r="H75" i="2" l="1" a="1"/>
  <c r="H75" i="2" s="1"/>
  <c r="I74" i="2" a="1"/>
  <c r="I74" i="2" s="1"/>
  <c r="I75" i="2" l="1" a="1"/>
  <c r="I75" i="2" s="1"/>
  <c r="H76" i="2" a="1"/>
  <c r="H76" i="2" s="1"/>
  <c r="H77" i="2" l="1" a="1"/>
  <c r="H77" i="2" s="1"/>
  <c r="I76" i="2" a="1"/>
  <c r="I76" i="2" s="1"/>
  <c r="I77" i="2" l="1" a="1"/>
  <c r="I77" i="2" s="1"/>
  <c r="H78" i="2" a="1"/>
  <c r="H78" i="2" s="1"/>
  <c r="I78" i="2" l="1" a="1"/>
  <c r="I78" i="2" s="1"/>
  <c r="H79" i="2" a="1"/>
  <c r="H79" i="2" s="1"/>
  <c r="H80" i="2" l="1" a="1"/>
  <c r="H80" i="2" s="1"/>
  <c r="I79" i="2" a="1"/>
  <c r="I79" i="2" s="1"/>
  <c r="I80" i="2" l="1" a="1"/>
  <c r="I80" i="2" s="1"/>
  <c r="H81" i="2" a="1"/>
  <c r="H81" i="2" s="1"/>
  <c r="H82" i="2" l="1" a="1"/>
  <c r="H82" i="2" s="1"/>
  <c r="I81" i="2" a="1"/>
  <c r="I81" i="2" s="1"/>
  <c r="H83" i="2" l="1" a="1"/>
  <c r="H83" i="2" s="1"/>
  <c r="I82" i="2" a="1"/>
  <c r="I82" i="2" s="1"/>
  <c r="H84" i="2" l="1" a="1"/>
  <c r="H84" i="2" s="1"/>
  <c r="I83" i="2" a="1"/>
  <c r="I83" i="2" s="1"/>
  <c r="H85" i="2" l="1" a="1"/>
  <c r="H85" i="2" s="1"/>
  <c r="I84" i="2" a="1"/>
  <c r="I84" i="2" s="1"/>
  <c r="I85" i="2" l="1" a="1"/>
  <c r="I85" i="2" s="1"/>
  <c r="H86" i="2" a="1"/>
  <c r="H86" i="2" s="1"/>
  <c r="I86" i="2" l="1" a="1"/>
  <c r="I86" i="2" s="1"/>
  <c r="H87" i="2" a="1"/>
  <c r="H87" i="2" s="1"/>
  <c r="H88" i="2" l="1" a="1"/>
  <c r="H88" i="2" s="1"/>
  <c r="I87" i="2" a="1"/>
  <c r="I87" i="2" s="1"/>
  <c r="I88" i="2" l="1" a="1"/>
  <c r="I88" i="2" s="1"/>
  <c r="H89" i="2" a="1"/>
  <c r="H89" i="2" s="1"/>
  <c r="H90" i="2" l="1" a="1"/>
  <c r="H90" i="2" s="1"/>
  <c r="I89" i="2" a="1"/>
  <c r="I89" i="2" s="1"/>
  <c r="H91" i="2" l="1" a="1"/>
  <c r="H91" i="2" s="1"/>
  <c r="I90" i="2" a="1"/>
  <c r="I90" i="2" s="1"/>
  <c r="H92" i="2" l="1" a="1"/>
  <c r="H92" i="2" s="1"/>
  <c r="I91" i="2" a="1"/>
  <c r="I91" i="2" s="1"/>
  <c r="H93" i="2" l="1" a="1"/>
  <c r="H93" i="2" s="1"/>
  <c r="I92" i="2" a="1"/>
  <c r="I92" i="2" s="1"/>
  <c r="I93" i="2" l="1" a="1"/>
  <c r="I93" i="2" s="1"/>
  <c r="H94" i="2" a="1"/>
  <c r="H94" i="2" s="1"/>
  <c r="I94" i="2" l="1" a="1"/>
  <c r="I94" i="2" s="1"/>
  <c r="H95" i="2" a="1"/>
  <c r="H95" i="2" s="1"/>
  <c r="H96" i="2" l="1" a="1"/>
  <c r="H96" i="2" s="1"/>
  <c r="I95" i="2" a="1"/>
  <c r="I95" i="2" s="1"/>
  <c r="I96" i="2" l="1" a="1"/>
  <c r="I96" i="2" s="1"/>
  <c r="H97" i="2" a="1"/>
  <c r="H97" i="2" s="1"/>
  <c r="I97" i="2" l="1" a="1"/>
  <c r="I97" i="2" s="1"/>
  <c r="H98" i="2" a="1"/>
  <c r="H98" i="2" s="1"/>
  <c r="I98" i="2" s="1" a="1"/>
  <c r="I98" i="2" s="1"/>
  <c r="N14" i="2" l="1" a="1"/>
  <c r="N14" i="2" s="1"/>
  <c r="M28" i="2" l="1"/>
  <c r="N22" i="2" a="1"/>
  <c r="N22" i="2" s="1"/>
  <c r="M27" i="2" l="1"/>
  <c r="M26" i="2" s="1"/>
  <c r="M29" i="2"/>
  <c r="M3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<sst xmlns="http://schemas.openxmlformats.org/spreadsheetml/2006/main" count="252" uniqueCount="67">
  <si>
    <t>Especificaciones con intervalo de especificación, Límite de tolerancia bilaterla</t>
  </si>
  <si>
    <t>Especificaciones límite superior (LT) unico, límites máximos permisibles</t>
  </si>
  <si>
    <t>Especificaciones solo con límite inferior (LT) unico, límite mínimo permisible</t>
  </si>
  <si>
    <t>Ingresar</t>
  </si>
  <si>
    <t>Calculado</t>
  </si>
  <si>
    <t>¿Incluye incertidumbre que aporta el muestreo?</t>
  </si>
  <si>
    <t>NO</t>
  </si>
  <si>
    <t>Factor (r)</t>
  </si>
  <si>
    <t>SI</t>
  </si>
  <si>
    <t>Limite de especificación superiro (LT sup.)</t>
  </si>
  <si>
    <t>Limite superior de aceptación (LA sup.)</t>
  </si>
  <si>
    <t>N.A.</t>
  </si>
  <si>
    <t>Limite de especificación inferior (LT inf.)</t>
  </si>
  <si>
    <t>Límite inferiro de aceptación (LA inf.)</t>
  </si>
  <si>
    <t>Medida (y)</t>
  </si>
  <si>
    <t>Ancho de zona de seguridad (w)</t>
  </si>
  <si>
    <t>Incertidumbre expandida (U)</t>
  </si>
  <si>
    <t>Incertidumbre (u)</t>
  </si>
  <si>
    <t>Incertidumbre exp. relativa (U%)</t>
  </si>
  <si>
    <t>Tipo de distribución de datos</t>
  </si>
  <si>
    <t>Normal</t>
  </si>
  <si>
    <t>Amplitud</t>
  </si>
  <si>
    <t>Factor de cobertura (k)</t>
  </si>
  <si>
    <t>Probabilidad de cobertura</t>
  </si>
  <si>
    <t>DECLARACIÓN DE CONFORMIDAD Y RIESGO ASOCIADO</t>
  </si>
  <si>
    <t>% Probabilidad de conformidad con respecto a intervalo de tolerancia.</t>
  </si>
  <si>
    <t>Declaración de confomirdad</t>
  </si>
  <si>
    <t>% Probabilidad de conformidad con respecto LT sup.</t>
  </si>
  <si>
    <t>Declaración de conformidad limite sup.</t>
  </si>
  <si>
    <t>% Probabilidad de conformidad con respecto a LT inf.</t>
  </si>
  <si>
    <t>Declaración de confomirdad limite inf.</t>
  </si>
  <si>
    <t>GRAFICO REPRESENTATIVO</t>
  </si>
  <si>
    <t>No</t>
  </si>
  <si>
    <t>u</t>
  </si>
  <si>
    <t>y</t>
  </si>
  <si>
    <t>LT sup.</t>
  </si>
  <si>
    <t>LT inf.</t>
  </si>
  <si>
    <t>LA sup.</t>
  </si>
  <si>
    <t>LA inf.</t>
  </si>
  <si>
    <t>-3σ</t>
  </si>
  <si>
    <t>-2σ</t>
  </si>
  <si>
    <t>-σ</t>
  </si>
  <si>
    <t>σ</t>
  </si>
  <si>
    <t>2σ</t>
  </si>
  <si>
    <t>3σ</t>
  </si>
  <si>
    <t>Xi</t>
  </si>
  <si>
    <t>P(Y)</t>
  </si>
  <si>
    <t>Incertidumbre (U), valor error positivo</t>
  </si>
  <si>
    <t>Incertidumbre (u), valor error positivo</t>
  </si>
  <si>
    <t>Incertidumbre (-U) valor error negativo</t>
  </si>
  <si>
    <t>Incertidumbre (-u) valor error negativo</t>
  </si>
  <si>
    <t>Tipo de regla de decisión</t>
  </si>
  <si>
    <t>Y</t>
  </si>
  <si>
    <t>Tipo de distribución</t>
  </si>
  <si>
    <t>Riesgo Ambiental o de posible afectación ambiental</t>
  </si>
  <si>
    <t>Declaración de conformidad limite superior</t>
  </si>
  <si>
    <t>% Probabilidad de conformidad con respecto a LT inferior</t>
  </si>
  <si>
    <t>Cornare</t>
  </si>
  <si>
    <t>Declaración de conformidad limite inferior</t>
  </si>
  <si>
    <t>Especificaciones con intervalo de especificación, Límite de tolerancia bilateral</t>
  </si>
  <si>
    <t>Especificaciones límite superior (LT) único, límites máximos permisibles</t>
  </si>
  <si>
    <t>Especificaciones solo con límite inferior (LT) único, límite mínimo permisible</t>
  </si>
  <si>
    <t>Limite de especificación superior (LT sup.)</t>
  </si>
  <si>
    <t>Límite inferior de aceptación (LA inf.)</t>
  </si>
  <si>
    <t>Declaración de conformidad</t>
  </si>
  <si>
    <t>% Probabilidad de conformidad con respecto LT superior</t>
  </si>
  <si>
    <t xml:space="preserve">Se recomienda para su uso la consulta de: 
Tejada Ortiz, L.D. (2024). Definición de regla de decisión aplicable por laboratorios de ensayo que presenten información cuantitativa física, química y microbiológica a autoridades ambientales. Trabajo de Grado Especialización. Universidad de Antioquia, Medellín, Colombia.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</si>
</sst>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00"/>
    <numFmt numFmtId="165" formatCode="0.00000%"/>
    <numFmt numFmtId="166" formatCode="0.0000000"/>
    <numFmt numFmtId="167" formatCode="0.0%"/>
    <numFmt numFmtId="168" formatCode="0.000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sz val="12"/>
      <color theme="0"/>
      <name val="Arial Narrow"/>
      <family val="2"/>
    </font>
    <font>
      <sz val="14"/>
      <name val="Arial Narrow"/>
      <family val="2"/>
    </font>
    <font>
      <b/>
      <sz val="16"/>
      <name val="Arial Narrow"/>
      <family val="2"/>
    </font>
    <font>
      <sz val="11"/>
      <color theme="1" tint="0.499984740745262"/>
      <name val="Arial Narrow"/>
      <family val="2"/>
    </font>
    <font>
      <b/>
      <sz val="18"/>
      <name val="Arial Narrow"/>
      <family val="2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theme="9" tint="-0.499984740745262"/>
      <name val="Arial Narrow"/>
      <family val="2"/>
    </font>
    <font>
      <sz val="11"/>
      <color theme="0" tint="-0.34998626667073579"/>
      <name val="Calibri"/>
      <family val="2"/>
      <scheme val="minor"/>
    </font>
    <font>
      <sz val="11"/>
      <color theme="2" tint="-9.9978637043366805E-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5" fillId="2" borderId="0" xfId="0" applyFont="1" applyFill="1"/>
    <xf numFmtId="0" fontId="8" fillId="0" borderId="0" xfId="0" applyFont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/>
    </xf>
    <xf numFmtId="49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2" fontId="6" fillId="2" borderId="4" xfId="2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" fontId="6" fillId="2" borderId="4" xfId="2" applyNumberFormat="1" applyFont="1" applyFill="1" applyBorder="1" applyAlignment="1">
      <alignment horizontal="center"/>
    </xf>
    <xf numFmtId="2" fontId="6" fillId="2" borderId="4" xfId="2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3" xfId="0" applyFont="1" applyFill="1" applyBorder="1"/>
    <xf numFmtId="0" fontId="2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2" xfId="0" applyFont="1" applyFill="1" applyBorder="1"/>
    <xf numFmtId="0" fontId="8" fillId="6" borderId="3" xfId="0" applyFont="1" applyFill="1" applyBorder="1" applyAlignment="1">
      <alignment horizontal="center" vertical="center"/>
    </xf>
    <xf numFmtId="10" fontId="8" fillId="6" borderId="3" xfId="2" applyNumberFormat="1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0" fontId="2" fillId="2" borderId="0" xfId="0" applyFont="1" applyFill="1" applyAlignment="1">
      <alignment horizontal="right"/>
    </xf>
    <xf numFmtId="41" fontId="3" fillId="2" borderId="0" xfId="1" applyFont="1" applyFill="1" applyBorder="1" applyAlignment="1">
      <alignment horizontal="left" vertical="center"/>
    </xf>
    <xf numFmtId="41" fontId="5" fillId="2" borderId="0" xfId="1" applyFont="1" applyFill="1" applyAlignment="1">
      <alignment horizontal="center"/>
    </xf>
    <xf numFmtId="164" fontId="8" fillId="6" borderId="3" xfId="0" applyNumberFormat="1" applyFont="1" applyFill="1" applyBorder="1" applyAlignment="1">
      <alignment horizontal="center" vertical="center"/>
    </xf>
    <xf numFmtId="9" fontId="8" fillId="0" borderId="0" xfId="2" applyFont="1" applyAlignment="1">
      <alignment horizontal="center" vertical="center"/>
    </xf>
    <xf numFmtId="164" fontId="13" fillId="0" borderId="12" xfId="0" applyNumberFormat="1" applyFont="1" applyBorder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64" fontId="8" fillId="6" borderId="0" xfId="0" applyNumberFormat="1" applyFont="1" applyFill="1" applyAlignment="1">
      <alignment horizontal="center" vertical="center"/>
    </xf>
    <xf numFmtId="164" fontId="8" fillId="6" borderId="13" xfId="0" applyNumberFormat="1" applyFont="1" applyFill="1" applyBorder="1" applyAlignment="1">
      <alignment horizontal="center" vertical="center"/>
    </xf>
    <xf numFmtId="10" fontId="8" fillId="6" borderId="0" xfId="2" applyNumberFormat="1" applyFont="1" applyFill="1" applyBorder="1" applyAlignment="1" applyProtection="1">
      <alignment horizontal="center" vertical="center"/>
    </xf>
    <xf numFmtId="2" fontId="8" fillId="6" borderId="0" xfId="0" applyNumberFormat="1" applyFont="1" applyFill="1" applyAlignment="1">
      <alignment horizontal="center" vertical="center"/>
    </xf>
    <xf numFmtId="10" fontId="5" fillId="2" borderId="0" xfId="0" applyNumberFormat="1" applyFont="1" applyFill="1"/>
    <xf numFmtId="10" fontId="8" fillId="6" borderId="13" xfId="2" applyNumberFormat="1" applyFont="1" applyFill="1" applyBorder="1" applyAlignment="1" applyProtection="1">
      <alignment horizontal="center" vertical="center"/>
    </xf>
    <xf numFmtId="10" fontId="13" fillId="0" borderId="0" xfId="2" applyNumberFormat="1" applyFont="1" applyBorder="1" applyAlignment="1" applyProtection="1">
      <alignment horizontal="center" vertical="center"/>
    </xf>
    <xf numFmtId="10" fontId="13" fillId="0" borderId="5" xfId="2" applyNumberFormat="1" applyFont="1" applyFill="1" applyBorder="1" applyAlignment="1" applyProtection="1">
      <alignment horizontal="center" vertical="center"/>
    </xf>
    <xf numFmtId="10" fontId="13" fillId="0" borderId="5" xfId="2" applyNumberFormat="1" applyFont="1" applyBorder="1" applyAlignment="1" applyProtection="1">
      <alignment horizontal="center" vertical="center"/>
    </xf>
    <xf numFmtId="0" fontId="11" fillId="2" borderId="12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2" fontId="6" fillId="2" borderId="12" xfId="2" applyNumberFormat="1" applyFont="1" applyFill="1" applyBorder="1" applyAlignment="1" applyProtection="1">
      <alignment horizontal="center"/>
    </xf>
    <xf numFmtId="1" fontId="6" fillId="2" borderId="0" xfId="0" applyNumberFormat="1" applyFont="1" applyFill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" fontId="6" fillId="2" borderId="12" xfId="2" applyNumberFormat="1" applyFont="1" applyFill="1" applyBorder="1" applyAlignment="1" applyProtection="1">
      <alignment horizontal="center"/>
    </xf>
    <xf numFmtId="2" fontId="6" fillId="2" borderId="12" xfId="2" applyNumberFormat="1" applyFont="1" applyFill="1" applyBorder="1" applyAlignment="1" applyProtection="1">
      <alignment horizontal="center" vertical="top"/>
    </xf>
    <xf numFmtId="1" fontId="6" fillId="2" borderId="0" xfId="0" applyNumberFormat="1" applyFont="1" applyFill="1" applyAlignment="1">
      <alignment horizontal="center" vertical="top"/>
    </xf>
    <xf numFmtId="1" fontId="6" fillId="2" borderId="13" xfId="0" applyNumberFormat="1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49" fontId="4" fillId="2" borderId="12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/>
    <xf numFmtId="0" fontId="2" fillId="2" borderId="12" xfId="0" applyFont="1" applyFill="1" applyBorder="1" applyAlignment="1">
      <alignment horizontal="left"/>
    </xf>
    <xf numFmtId="41" fontId="3" fillId="2" borderId="0" xfId="1" applyFont="1" applyFill="1" applyBorder="1" applyAlignment="1" applyProtection="1">
      <alignment horizontal="left" vertical="center"/>
    </xf>
    <xf numFmtId="166" fontId="3" fillId="2" borderId="12" xfId="0" applyNumberFormat="1" applyFont="1" applyFill="1" applyBorder="1" applyAlignment="1">
      <alignment horizontal="left"/>
    </xf>
    <xf numFmtId="166" fontId="3" fillId="2" borderId="18" xfId="0" applyNumberFormat="1" applyFont="1" applyFill="1" applyBorder="1" applyAlignment="1">
      <alignment horizontal="left"/>
    </xf>
    <xf numFmtId="0" fontId="3" fillId="2" borderId="19" xfId="0" applyFont="1" applyFill="1" applyBorder="1"/>
    <xf numFmtId="0" fontId="3" fillId="2" borderId="20" xfId="0" applyFont="1" applyFill="1" applyBorder="1"/>
    <xf numFmtId="166" fontId="3" fillId="2" borderId="0" xfId="0" applyNumberFormat="1" applyFont="1" applyFill="1" applyAlignment="1">
      <alignment horizontal="left"/>
    </xf>
    <xf numFmtId="41" fontId="19" fillId="2" borderId="0" xfId="1" applyFont="1" applyFill="1" applyBorder="1" applyAlignment="1" applyProtection="1">
      <alignment horizontal="left" vertical="center"/>
    </xf>
    <xf numFmtId="166" fontId="19" fillId="2" borderId="0" xfId="0" applyNumberFormat="1" applyFont="1" applyFill="1" applyAlignment="1">
      <alignment horizontal="left"/>
    </xf>
    <xf numFmtId="0" fontId="19" fillId="2" borderId="0" xfId="0" applyFont="1" applyFill="1"/>
    <xf numFmtId="41" fontId="5" fillId="2" borderId="0" xfId="1" applyFont="1" applyFill="1" applyAlignment="1" applyProtection="1">
      <alignment horizontal="center"/>
    </xf>
    <xf numFmtId="0" fontId="20" fillId="6" borderId="0" xfId="0" applyFont="1" applyFill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13" fillId="6" borderId="0" xfId="0" applyNumberFormat="1" applyFont="1" applyFill="1" applyAlignment="1">
      <alignment horizontal="center" vertical="center"/>
    </xf>
    <xf numFmtId="168" fontId="5" fillId="2" borderId="0" xfId="2" applyNumberFormat="1" applyFont="1" applyFill="1" applyProtection="1"/>
    <xf numFmtId="167" fontId="5" fillId="2" borderId="0" xfId="0" applyNumberFormat="1" applyFont="1" applyFill="1"/>
    <xf numFmtId="0" fontId="17" fillId="4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6" borderId="10" xfId="0" applyFont="1" applyFill="1" applyBorder="1"/>
    <xf numFmtId="164" fontId="13" fillId="0" borderId="0" xfId="0" applyNumberFormat="1" applyFont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10" fontId="13" fillId="0" borderId="0" xfId="2" applyNumberFormat="1" applyFont="1" applyBorder="1" applyAlignment="1">
      <alignment horizontal="center" vertical="center"/>
    </xf>
    <xf numFmtId="10" fontId="13" fillId="0" borderId="5" xfId="2" applyNumberFormat="1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65" fontId="13" fillId="0" borderId="0" xfId="2" applyNumberFormat="1" applyFont="1" applyBorder="1" applyAlignment="1">
      <alignment horizontal="center" vertical="center"/>
    </xf>
    <xf numFmtId="165" fontId="13" fillId="0" borderId="5" xfId="2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164" fontId="13" fillId="0" borderId="0" xfId="0" applyNumberFormat="1" applyFont="1" applyAlignment="1" applyProtection="1">
      <alignment horizontal="center" vertical="center"/>
      <protection locked="0"/>
    </xf>
    <xf numFmtId="164" fontId="13" fillId="0" borderId="13" xfId="0" applyNumberFormat="1" applyFont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28">
    <dxf>
      <font>
        <color theme="1" tint="0.499984740745262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499984740745262"/>
      </font>
      <fill>
        <patternFill>
          <bgColor theme="2" tint="-9.9948118533890809E-2"/>
        </patternFill>
      </fill>
    </dxf>
    <dxf>
      <font>
        <color theme="2" tint="-0.24994659260841701"/>
      </font>
    </dxf>
    <dxf>
      <font>
        <color theme="2" tint="-0.24994659260841701"/>
      </font>
    </dxf>
    <dxf>
      <fill>
        <patternFill patternType="solid">
          <bgColor theme="9" tint="0.39994506668294322"/>
        </patternFill>
      </fill>
    </dxf>
    <dxf>
      <font>
        <color theme="1" tint="0.499984740745262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24994659260841701"/>
      </font>
    </dxf>
    <dxf>
      <font>
        <color theme="2" tint="-0.24994659260841701"/>
      </font>
    </dxf>
    <dxf>
      <fill>
        <patternFill patternType="solid"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 tint="0.499984740745262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24994659260841701"/>
      </font>
    </dxf>
    <dxf>
      <font>
        <color theme="2" tint="-0.24994659260841701"/>
      </font>
    </dxf>
    <dxf>
      <fill>
        <patternFill patternType="solid"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69837468217055E-2"/>
          <c:y val="3.4770116515979568E-2"/>
          <c:w val="0.94315601647863456"/>
          <c:h val="0.697019765002870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'Descripción grafica'!$E$20</c:f>
              <c:strCache>
                <c:ptCount val="1"/>
                <c:pt idx="0">
                  <c:v>LT inf.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grafica'!$E$21:$E$25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'Descripción grafica'!$A$21:$A$25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D-438F-9DD5-4B455BE0C850}"/>
            </c:ext>
          </c:extLst>
        </c:ser>
        <c:ser>
          <c:idx val="1"/>
          <c:order val="1"/>
          <c:tx>
            <c:strRef>
              <c:f>'Descripción grafica'!$D$20</c:f>
              <c:strCache>
                <c:ptCount val="1"/>
                <c:pt idx="0">
                  <c:v>LT sup.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grafica'!$D$21:$D$25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'Descripción grafica'!$A$21:$A$25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AD-438F-9DD5-4B455BE0C850}"/>
            </c:ext>
          </c:extLst>
        </c:ser>
        <c:ser>
          <c:idx val="2"/>
          <c:order val="3"/>
          <c:tx>
            <c:strRef>
              <c:f>'Descripción grafica'!$C$20</c:f>
              <c:strCache>
                <c:ptCount val="1"/>
                <c:pt idx="0">
                  <c:v>y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'Descripción grafica'!$B$23</c:f>
                <c:numCache>
                  <c:formatCode>General</c:formatCode>
                  <c:ptCount val="1"/>
                  <c:pt idx="0">
                    <c:v>0.2</c:v>
                  </c:pt>
                </c:numCache>
              </c:numRef>
            </c:plus>
            <c:minus>
              <c:numRef>
                <c:f>'Descripción grafica'!$B$23</c:f>
                <c:numCache>
                  <c:formatCode>General</c:formatCode>
                  <c:ptCount val="1"/>
                  <c:pt idx="0">
                    <c:v>0.2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'Descripción grafica'!$C$23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'Descripción grafica'!$A$23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AD-438F-9DD5-4B455BE0C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4"/>
          <c:order val="2"/>
          <c:tx>
            <c:strRef>
              <c:f>'Descripción grafica'!$F$20</c:f>
              <c:strCache>
                <c:ptCount val="1"/>
                <c:pt idx="0">
                  <c:v>LA sup.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grafica'!$F$21:$F$25</c:f>
              <c:numCache>
                <c:formatCode>General</c:formatCode>
                <c:ptCount val="5"/>
                <c:pt idx="0">
                  <c:v>8.8000000000000007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8.8000000000000007</c:v>
                </c:pt>
                <c:pt idx="4">
                  <c:v>8.8000000000000007</c:v>
                </c:pt>
              </c:numCache>
            </c:numRef>
          </c:xVal>
          <c:yVal>
            <c:numRef>
              <c:f>'Descripción grafica'!$A$21:$A$25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AD-438F-9DD5-4B455BE0C850}"/>
            </c:ext>
          </c:extLst>
        </c:ser>
        <c:ser>
          <c:idx val="5"/>
          <c:order val="4"/>
          <c:tx>
            <c:strRef>
              <c:f>'Descripción grafica'!$G$20</c:f>
              <c:strCache>
                <c:ptCount val="1"/>
                <c:pt idx="0">
                  <c:v>LA inf.</c:v>
                </c:pt>
              </c:strCache>
            </c:strRef>
          </c:tx>
          <c:spPr>
            <a:ln w="381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grafica'!$G$21:$G$25</c:f>
              <c:numCache>
                <c:formatCode>General</c:formatCode>
                <c:ptCount val="5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</c:numCache>
            </c:numRef>
          </c:xVal>
          <c:yVal>
            <c:numRef>
              <c:f>'Descripción grafica'!$A$21:$A$25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AD-438F-9DD5-4B455BE0C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3"/>
          <c:order val="5"/>
          <c:tx>
            <c:strRef>
              <c:f>'Descripción grafica'!$B$28</c:f>
              <c:strCache>
                <c:ptCount val="1"/>
                <c:pt idx="0">
                  <c:v>P(Y)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grafica'!$A$29:$A$93</c:f>
              <c:numCache>
                <c:formatCode>_(* #,##0_);_(* \(#,##0\);_(* "-"_);_(@_)</c:formatCode>
                <c:ptCount val="65"/>
                <c:pt idx="0">
                  <c:v>11.4</c:v>
                </c:pt>
                <c:pt idx="1">
                  <c:v>11.42</c:v>
                </c:pt>
                <c:pt idx="2">
                  <c:v>11.44</c:v>
                </c:pt>
                <c:pt idx="3">
                  <c:v>11.459999999999999</c:v>
                </c:pt>
                <c:pt idx="4">
                  <c:v>11.479999999999999</c:v>
                </c:pt>
                <c:pt idx="5">
                  <c:v>11.499999999999998</c:v>
                </c:pt>
                <c:pt idx="6">
                  <c:v>11.519999999999998</c:v>
                </c:pt>
                <c:pt idx="7">
                  <c:v>11.539999999999997</c:v>
                </c:pt>
                <c:pt idx="8">
                  <c:v>11.559999999999997</c:v>
                </c:pt>
                <c:pt idx="9">
                  <c:v>11.579999999999997</c:v>
                </c:pt>
                <c:pt idx="10">
                  <c:v>11.599999999999996</c:v>
                </c:pt>
                <c:pt idx="11">
                  <c:v>11.619999999999996</c:v>
                </c:pt>
                <c:pt idx="12">
                  <c:v>11.639999999999995</c:v>
                </c:pt>
                <c:pt idx="13">
                  <c:v>11.659999999999995</c:v>
                </c:pt>
                <c:pt idx="14">
                  <c:v>11.679999999999994</c:v>
                </c:pt>
                <c:pt idx="15">
                  <c:v>11.699999999999994</c:v>
                </c:pt>
                <c:pt idx="16">
                  <c:v>11.719999999999994</c:v>
                </c:pt>
                <c:pt idx="17">
                  <c:v>11.739999999999993</c:v>
                </c:pt>
                <c:pt idx="18">
                  <c:v>11.759999999999993</c:v>
                </c:pt>
                <c:pt idx="19">
                  <c:v>11.779999999999992</c:v>
                </c:pt>
                <c:pt idx="20">
                  <c:v>11.799999999999992</c:v>
                </c:pt>
                <c:pt idx="21">
                  <c:v>11.819999999999991</c:v>
                </c:pt>
                <c:pt idx="22">
                  <c:v>11.839999999999991</c:v>
                </c:pt>
                <c:pt idx="23">
                  <c:v>11.859999999999991</c:v>
                </c:pt>
                <c:pt idx="24">
                  <c:v>11.87999999999999</c:v>
                </c:pt>
                <c:pt idx="25">
                  <c:v>11.89999999999999</c:v>
                </c:pt>
                <c:pt idx="26">
                  <c:v>11.919999999999989</c:v>
                </c:pt>
                <c:pt idx="27">
                  <c:v>11.939999999999989</c:v>
                </c:pt>
                <c:pt idx="28">
                  <c:v>11.959999999999988</c:v>
                </c:pt>
                <c:pt idx="29">
                  <c:v>11.979999999999988</c:v>
                </c:pt>
                <c:pt idx="30">
                  <c:v>11.999999999999988</c:v>
                </c:pt>
                <c:pt idx="31">
                  <c:v>12.019999999999987</c:v>
                </c:pt>
                <c:pt idx="32">
                  <c:v>12.039999999999987</c:v>
                </c:pt>
                <c:pt idx="33">
                  <c:v>12.059999999999986</c:v>
                </c:pt>
                <c:pt idx="34">
                  <c:v>12.079999999999986</c:v>
                </c:pt>
                <c:pt idx="35">
                  <c:v>12.099999999999985</c:v>
                </c:pt>
                <c:pt idx="36">
                  <c:v>12.119999999999985</c:v>
                </c:pt>
                <c:pt idx="37">
                  <c:v>12.139999999999985</c:v>
                </c:pt>
                <c:pt idx="38">
                  <c:v>12.159999999999984</c:v>
                </c:pt>
                <c:pt idx="39">
                  <c:v>12.179999999999984</c:v>
                </c:pt>
                <c:pt idx="40">
                  <c:v>12.199999999999983</c:v>
                </c:pt>
                <c:pt idx="41">
                  <c:v>12.219999999999983</c:v>
                </c:pt>
                <c:pt idx="42">
                  <c:v>12.239999999999982</c:v>
                </c:pt>
                <c:pt idx="43">
                  <c:v>12.259999999999982</c:v>
                </c:pt>
                <c:pt idx="44">
                  <c:v>12.279999999999982</c:v>
                </c:pt>
                <c:pt idx="45">
                  <c:v>12.299999999999981</c:v>
                </c:pt>
                <c:pt idx="46">
                  <c:v>12.319999999999981</c:v>
                </c:pt>
                <c:pt idx="47">
                  <c:v>12.33999999999998</c:v>
                </c:pt>
                <c:pt idx="48">
                  <c:v>12.35999999999998</c:v>
                </c:pt>
                <c:pt idx="49">
                  <c:v>12.379999999999979</c:v>
                </c:pt>
                <c:pt idx="50">
                  <c:v>12.399999999999979</c:v>
                </c:pt>
                <c:pt idx="51">
                  <c:v>12.419999999999979</c:v>
                </c:pt>
                <c:pt idx="52">
                  <c:v>12.439999999999978</c:v>
                </c:pt>
                <c:pt idx="53">
                  <c:v>12.459999999999978</c:v>
                </c:pt>
                <c:pt idx="54">
                  <c:v>12.479999999999977</c:v>
                </c:pt>
                <c:pt idx="55">
                  <c:v>12.499999999999977</c:v>
                </c:pt>
                <c:pt idx="56">
                  <c:v>12.519999999999976</c:v>
                </c:pt>
                <c:pt idx="57">
                  <c:v>12.539999999999976</c:v>
                </c:pt>
                <c:pt idx="58">
                  <c:v>12.559999999999976</c:v>
                </c:pt>
                <c:pt idx="59">
                  <c:v>12.579999999999975</c:v>
                </c:pt>
                <c:pt idx="60">
                  <c:v>12.599999999999975</c:v>
                </c:pt>
                <c:pt idx="61">
                  <c:v>12.619999999999974</c:v>
                </c:pt>
                <c:pt idx="62">
                  <c:v>12.639999999999974</c:v>
                </c:pt>
                <c:pt idx="63">
                  <c:v>12.659999999999973</c:v>
                </c:pt>
                <c:pt idx="64">
                  <c:v>12.679999999999973</c:v>
                </c:pt>
              </c:numCache>
            </c:numRef>
          </c:xVal>
          <c:yVal>
            <c:numRef>
              <c:f>'Descripción grafica'!$B$29:$B$93</c:f>
              <c:numCache>
                <c:formatCode>General</c:formatCode>
                <c:ptCount val="65"/>
                <c:pt idx="0">
                  <c:v>2.2159242059690155E-2</c:v>
                </c:pt>
                <c:pt idx="1">
                  <c:v>2.9762662098879237E-2</c:v>
                </c:pt>
                <c:pt idx="2">
                  <c:v>3.9577257914899536E-2</c:v>
                </c:pt>
                <c:pt idx="3">
                  <c:v>5.2104674072112327E-2</c:v>
                </c:pt>
                <c:pt idx="4">
                  <c:v>6.7914846168426884E-2</c:v>
                </c:pt>
                <c:pt idx="5">
                  <c:v>8.7641502467840735E-2</c:v>
                </c:pt>
                <c:pt idx="6">
                  <c:v>0.11197265147421152</c:v>
                </c:pt>
                <c:pt idx="7">
                  <c:v>0.14163518870800157</c:v>
                </c:pt>
                <c:pt idx="8">
                  <c:v>0.1773729642311512</c:v>
                </c:pt>
                <c:pt idx="9">
                  <c:v>0.21991797990212797</c:v>
                </c:pt>
                <c:pt idx="10">
                  <c:v>0.26995483256592973</c:v>
                </c:pt>
                <c:pt idx="11">
                  <c:v>0.32807907387336949</c:v>
                </c:pt>
                <c:pt idx="12">
                  <c:v>0.39475079150445391</c:v>
                </c:pt>
                <c:pt idx="13">
                  <c:v>0.47024538688441392</c:v>
                </c:pt>
                <c:pt idx="14">
                  <c:v>0.55460417339725288</c:v>
                </c:pt>
                <c:pt idx="15">
                  <c:v>0.64758797832942927</c:v>
                </c:pt>
                <c:pt idx="16">
                  <c:v>0.74863732817869033</c:v>
                </c:pt>
                <c:pt idx="17">
                  <c:v>0.85684296023899842</c:v>
                </c:pt>
                <c:pt idx="18">
                  <c:v>0.97093027491602202</c:v>
                </c:pt>
                <c:pt idx="19">
                  <c:v>1.0892608851627064</c:v>
                </c:pt>
                <c:pt idx="20">
                  <c:v>1.2098536225956673</c:v>
                </c:pt>
                <c:pt idx="21">
                  <c:v>1.3304262494937227</c:v>
                </c:pt>
                <c:pt idx="22">
                  <c:v>1.4484577638073615</c:v>
                </c:pt>
                <c:pt idx="23">
                  <c:v>1.5612696668337547</c:v>
                </c:pt>
                <c:pt idx="24">
                  <c:v>1.6661230144589487</c:v>
                </c:pt>
                <c:pt idx="25">
                  <c:v>1.7603266338214523</c:v>
                </c:pt>
                <c:pt idx="26">
                  <c:v>1.8413507015165773</c:v>
                </c:pt>
                <c:pt idx="27">
                  <c:v>1.9069390773025885</c:v>
                </c:pt>
                <c:pt idx="28">
                  <c:v>1.9552134698772567</c:v>
                </c:pt>
                <c:pt idx="29">
                  <c:v>1.9847627373850469</c:v>
                </c:pt>
                <c:pt idx="30">
                  <c:v>1.9947114020071635</c:v>
                </c:pt>
                <c:pt idx="31">
                  <c:v>1.9847627373850718</c:v>
                </c:pt>
                <c:pt idx="32">
                  <c:v>1.9552134698773054</c:v>
                </c:pt>
                <c:pt idx="33">
                  <c:v>1.9069390773026598</c:v>
                </c:pt>
                <c:pt idx="34">
                  <c:v>1.8413507015166686</c:v>
                </c:pt>
                <c:pt idx="35">
                  <c:v>1.7603266338215617</c:v>
                </c:pt>
                <c:pt idx="36">
                  <c:v>1.6661230144590733</c:v>
                </c:pt>
                <c:pt idx="37">
                  <c:v>1.5612696668338908</c:v>
                </c:pt>
                <c:pt idx="38">
                  <c:v>1.4484577638075056</c:v>
                </c:pt>
                <c:pt idx="39">
                  <c:v>1.3304262494938714</c:v>
                </c:pt>
                <c:pt idx="40">
                  <c:v>1.2098536225958176</c:v>
                </c:pt>
                <c:pt idx="41">
                  <c:v>1.0892608851628551</c:v>
                </c:pt>
                <c:pt idx="42">
                  <c:v>0.9709302749161669</c:v>
                </c:pt>
                <c:pt idx="43">
                  <c:v>0.85684296023913675</c:v>
                </c:pt>
                <c:pt idx="44">
                  <c:v>0.74863732817882067</c:v>
                </c:pt>
                <c:pt idx="45">
                  <c:v>0.64758797832955006</c:v>
                </c:pt>
                <c:pt idx="46">
                  <c:v>0.55460417339736323</c:v>
                </c:pt>
                <c:pt idx="47">
                  <c:v>0.47024538688451328</c:v>
                </c:pt>
                <c:pt idx="48">
                  <c:v>0.39475079150454223</c:v>
                </c:pt>
                <c:pt idx="49">
                  <c:v>0.32807907387344698</c:v>
                </c:pt>
                <c:pt idx="50">
                  <c:v>0.26995483256599684</c:v>
                </c:pt>
                <c:pt idx="51">
                  <c:v>0.21991797990218537</c:v>
                </c:pt>
                <c:pt idx="52">
                  <c:v>0.17737296423119972</c:v>
                </c:pt>
                <c:pt idx="53">
                  <c:v>0.14163518870804206</c:v>
                </c:pt>
                <c:pt idx="54">
                  <c:v>0.11197265147424493</c:v>
                </c:pt>
                <c:pt idx="55">
                  <c:v>8.7641502467867977E-2</c:v>
                </c:pt>
                <c:pt idx="56">
                  <c:v>6.7914846168448839E-2</c:v>
                </c:pt>
                <c:pt idx="57">
                  <c:v>5.2104674072129813E-2</c:v>
                </c:pt>
                <c:pt idx="58">
                  <c:v>3.9577257914913316E-2</c:v>
                </c:pt>
                <c:pt idx="59">
                  <c:v>2.9762662098889971E-2</c:v>
                </c:pt>
                <c:pt idx="60">
                  <c:v>2.2159242059698419E-2</c:v>
                </c:pt>
                <c:pt idx="61">
                  <c:v>1.6334095281006093E-2</c:v>
                </c:pt>
                <c:pt idx="62">
                  <c:v>1.1920441007329188E-2</c:v>
                </c:pt>
                <c:pt idx="63">
                  <c:v>8.6128446952721711E-3</c:v>
                </c:pt>
                <c:pt idx="64">
                  <c:v>6.1610958423679169E-3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AD-438F-9DD5-4B455BE0C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59599"/>
        <c:axId val="531048367"/>
      </c:scatterChart>
      <c:valAx>
        <c:axId val="81893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31061679"/>
        <c:crosses val="autoZero"/>
        <c:crossBetween val="midCat"/>
      </c:valAx>
      <c:valAx>
        <c:axId val="53106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818934799"/>
        <c:crosses val="autoZero"/>
        <c:crossBetween val="midCat"/>
      </c:valAx>
      <c:valAx>
        <c:axId val="53104836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31059599"/>
        <c:crosses val="max"/>
        <c:crossBetween val="midCat"/>
      </c:valAx>
      <c:valAx>
        <c:axId val="531059599"/>
        <c:scaling>
          <c:orientation val="minMax"/>
        </c:scaling>
        <c:delete val="1"/>
        <c:axPos val="b"/>
        <c:numFmt formatCode="_(* #,##0_);_(* \(#,##0\);_(* &quot;-&quot;_);_(@_)" sourceLinked="1"/>
        <c:majorTickMark val="out"/>
        <c:minorTickMark val="none"/>
        <c:tickLblPos val="nextTo"/>
        <c:crossAx val="531048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4283795166796808E-2"/>
          <c:y val="0.79929576084540055"/>
          <c:w val="0.14765996102900739"/>
          <c:h val="0.200704320409262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69837468217055E-2"/>
          <c:y val="3.4770116515979568E-2"/>
          <c:w val="0.94315601647863456"/>
          <c:h val="0.69701976500287088"/>
        </c:manualLayout>
      </c:layout>
      <c:scatterChart>
        <c:scatterStyle val="lineMarker"/>
        <c:varyColors val="0"/>
        <c:ser>
          <c:idx val="1"/>
          <c:order val="0"/>
          <c:tx>
            <c:strRef>
              <c:f>'Descripción grafica'!$K$20</c:f>
              <c:strCache>
                <c:ptCount val="1"/>
                <c:pt idx="0">
                  <c:v>LT sup.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grafica'!$K$21:$K$25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'Descripción grafica'!$H$21:$H$25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50-4A2F-9FED-620C9209B5A4}"/>
            </c:ext>
          </c:extLst>
        </c:ser>
        <c:ser>
          <c:idx val="2"/>
          <c:order val="2"/>
          <c:tx>
            <c:strRef>
              <c:f>'Descripción grafica'!$J$20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'Descripción grafica'!$I$23</c:f>
                <c:numCache>
                  <c:formatCode>General</c:formatCode>
                  <c:ptCount val="1"/>
                  <c:pt idx="0">
                    <c:v>1.75</c:v>
                  </c:pt>
                </c:numCache>
              </c:numRef>
            </c:plus>
            <c:minus>
              <c:numRef>
                <c:f>'Descripción grafica'!$I$23</c:f>
                <c:numCache>
                  <c:formatCode>General</c:formatCode>
                  <c:ptCount val="1"/>
                  <c:pt idx="0">
                    <c:v>1.75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'Descripción grafica'!$J$23</c:f>
              <c:numCache>
                <c:formatCode>General</c:formatCode>
                <c:ptCount val="1"/>
                <c:pt idx="0">
                  <c:v>26.806999999999999</c:v>
                </c:pt>
              </c:numCache>
            </c:numRef>
          </c:xVal>
          <c:yVal>
            <c:numRef>
              <c:f>'Descripción grafica'!$H$23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50-4A2F-9FED-620C9209B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4"/>
          <c:order val="1"/>
          <c:tx>
            <c:strRef>
              <c:f>'Descripción grafica'!$M$20</c:f>
              <c:strCache>
                <c:ptCount val="1"/>
                <c:pt idx="0">
                  <c:v>LA sup.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381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5A-44A8-A5D8-07C545E410BA}"/>
              </c:ext>
            </c:extLst>
          </c:dPt>
          <c:xVal>
            <c:numRef>
              <c:f>'Descripción grafica'!$M$21:$M$25</c:f>
              <c:numCache>
                <c:formatCode>General</c:formatCode>
                <c:ptCount val="5"/>
                <c:pt idx="0">
                  <c:v>16.5</c:v>
                </c:pt>
                <c:pt idx="1">
                  <c:v>16.5</c:v>
                </c:pt>
                <c:pt idx="2">
                  <c:v>16.5</c:v>
                </c:pt>
                <c:pt idx="3">
                  <c:v>16.5</c:v>
                </c:pt>
                <c:pt idx="4">
                  <c:v>16.5</c:v>
                </c:pt>
              </c:numCache>
            </c:numRef>
          </c:xVal>
          <c:yVal>
            <c:numRef>
              <c:f>'Descripción grafica'!$A$21:$A$25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50-4A2F-9FED-620C9209B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3"/>
          <c:order val="3"/>
          <c:tx>
            <c:strRef>
              <c:f>'Descripción grafica'!$I$28</c:f>
              <c:strCache>
                <c:ptCount val="1"/>
                <c:pt idx="0">
                  <c:v>P(Y)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grafica'!$H$29:$H$93</c:f>
              <c:numCache>
                <c:formatCode>_(* #,##0_);_(* \(#,##0\);_(* "-"_);_(@_)</c:formatCode>
                <c:ptCount val="65"/>
                <c:pt idx="0">
                  <c:v>21.556999999999999</c:v>
                </c:pt>
                <c:pt idx="1">
                  <c:v>21.731999999999999</c:v>
                </c:pt>
                <c:pt idx="2">
                  <c:v>21.907</c:v>
                </c:pt>
                <c:pt idx="3">
                  <c:v>22.082000000000001</c:v>
                </c:pt>
                <c:pt idx="4">
                  <c:v>22.257000000000001</c:v>
                </c:pt>
                <c:pt idx="5">
                  <c:v>22.432000000000002</c:v>
                </c:pt>
                <c:pt idx="6">
                  <c:v>22.607000000000003</c:v>
                </c:pt>
                <c:pt idx="7">
                  <c:v>22.782000000000004</c:v>
                </c:pt>
                <c:pt idx="8">
                  <c:v>22.957000000000004</c:v>
                </c:pt>
                <c:pt idx="9">
                  <c:v>23.132000000000005</c:v>
                </c:pt>
                <c:pt idx="10">
                  <c:v>23.307000000000006</c:v>
                </c:pt>
                <c:pt idx="11">
                  <c:v>23.482000000000006</c:v>
                </c:pt>
                <c:pt idx="12">
                  <c:v>23.657000000000007</c:v>
                </c:pt>
                <c:pt idx="13">
                  <c:v>23.832000000000008</c:v>
                </c:pt>
                <c:pt idx="14">
                  <c:v>24.007000000000009</c:v>
                </c:pt>
                <c:pt idx="15">
                  <c:v>24.182000000000009</c:v>
                </c:pt>
                <c:pt idx="16">
                  <c:v>24.35700000000001</c:v>
                </c:pt>
                <c:pt idx="17">
                  <c:v>24.532000000000011</c:v>
                </c:pt>
                <c:pt idx="18">
                  <c:v>24.707000000000011</c:v>
                </c:pt>
                <c:pt idx="19">
                  <c:v>24.882000000000012</c:v>
                </c:pt>
                <c:pt idx="20">
                  <c:v>25.057000000000013</c:v>
                </c:pt>
                <c:pt idx="21">
                  <c:v>25.232000000000014</c:v>
                </c:pt>
                <c:pt idx="22">
                  <c:v>25.407000000000014</c:v>
                </c:pt>
                <c:pt idx="23">
                  <c:v>25.582000000000015</c:v>
                </c:pt>
                <c:pt idx="24">
                  <c:v>25.757000000000016</c:v>
                </c:pt>
                <c:pt idx="25">
                  <c:v>25.932000000000016</c:v>
                </c:pt>
                <c:pt idx="26">
                  <c:v>26.107000000000017</c:v>
                </c:pt>
                <c:pt idx="27">
                  <c:v>26.282000000000018</c:v>
                </c:pt>
                <c:pt idx="28">
                  <c:v>26.457000000000019</c:v>
                </c:pt>
                <c:pt idx="29">
                  <c:v>26.632000000000019</c:v>
                </c:pt>
                <c:pt idx="30">
                  <c:v>26.80700000000002</c:v>
                </c:pt>
                <c:pt idx="31">
                  <c:v>26.982000000000021</c:v>
                </c:pt>
                <c:pt idx="32">
                  <c:v>27.157000000000021</c:v>
                </c:pt>
                <c:pt idx="33">
                  <c:v>27.332000000000022</c:v>
                </c:pt>
                <c:pt idx="34">
                  <c:v>27.507000000000023</c:v>
                </c:pt>
                <c:pt idx="35">
                  <c:v>27.682000000000023</c:v>
                </c:pt>
                <c:pt idx="36">
                  <c:v>27.857000000000024</c:v>
                </c:pt>
                <c:pt idx="37">
                  <c:v>28.032000000000025</c:v>
                </c:pt>
                <c:pt idx="38">
                  <c:v>28.207000000000026</c:v>
                </c:pt>
                <c:pt idx="39">
                  <c:v>28.382000000000026</c:v>
                </c:pt>
                <c:pt idx="40">
                  <c:v>28.557000000000027</c:v>
                </c:pt>
                <c:pt idx="41">
                  <c:v>28.732000000000028</c:v>
                </c:pt>
                <c:pt idx="42">
                  <c:v>28.907000000000028</c:v>
                </c:pt>
                <c:pt idx="43">
                  <c:v>29.082000000000029</c:v>
                </c:pt>
                <c:pt idx="44">
                  <c:v>29.25700000000003</c:v>
                </c:pt>
                <c:pt idx="45">
                  <c:v>29.432000000000031</c:v>
                </c:pt>
                <c:pt idx="46">
                  <c:v>29.607000000000031</c:v>
                </c:pt>
                <c:pt idx="47">
                  <c:v>29.782000000000032</c:v>
                </c:pt>
                <c:pt idx="48">
                  <c:v>29.957000000000033</c:v>
                </c:pt>
                <c:pt idx="49">
                  <c:v>30.132000000000033</c:v>
                </c:pt>
                <c:pt idx="50">
                  <c:v>30.307000000000034</c:v>
                </c:pt>
                <c:pt idx="51">
                  <c:v>30.482000000000035</c:v>
                </c:pt>
                <c:pt idx="52">
                  <c:v>30.657000000000036</c:v>
                </c:pt>
                <c:pt idx="53">
                  <c:v>30.832000000000036</c:v>
                </c:pt>
                <c:pt idx="54">
                  <c:v>31.007000000000037</c:v>
                </c:pt>
                <c:pt idx="55">
                  <c:v>31.182000000000038</c:v>
                </c:pt>
                <c:pt idx="56">
                  <c:v>31.357000000000038</c:v>
                </c:pt>
                <c:pt idx="57">
                  <c:v>31.532000000000039</c:v>
                </c:pt>
                <c:pt idx="58">
                  <c:v>31.70700000000004</c:v>
                </c:pt>
                <c:pt idx="59">
                  <c:v>31.882000000000041</c:v>
                </c:pt>
                <c:pt idx="60">
                  <c:v>32.057000000000038</c:v>
                </c:pt>
                <c:pt idx="61">
                  <c:v>32.232000000000035</c:v>
                </c:pt>
                <c:pt idx="62">
                  <c:v>32.407000000000032</c:v>
                </c:pt>
                <c:pt idx="63">
                  <c:v>32.582000000000029</c:v>
                </c:pt>
                <c:pt idx="64">
                  <c:v>32.757000000000026</c:v>
                </c:pt>
              </c:numCache>
            </c:numRef>
          </c:xVal>
          <c:yVal>
            <c:numRef>
              <c:f>'Descripción grafica'!$I$29:$I$93</c:f>
              <c:numCache>
                <c:formatCode>General</c:formatCode>
                <c:ptCount val="65"/>
                <c:pt idx="0">
                  <c:v>2.5324848068217186E-3</c:v>
                </c:pt>
                <c:pt idx="1">
                  <c:v>3.4014470970147792E-3</c:v>
                </c:pt>
                <c:pt idx="2">
                  <c:v>4.5231151902742732E-3</c:v>
                </c:pt>
                <c:pt idx="3">
                  <c:v>5.954819893955788E-3</c:v>
                </c:pt>
                <c:pt idx="4">
                  <c:v>7.7616967049632451E-3</c:v>
                </c:pt>
                <c:pt idx="5">
                  <c:v>1.0016171710610646E-2</c:v>
                </c:pt>
                <c:pt idx="6">
                  <c:v>1.2796874454196009E-2</c:v>
                </c:pt>
                <c:pt idx="7">
                  <c:v>1.6186878709486496E-2</c:v>
                </c:pt>
                <c:pt idx="8">
                  <c:v>2.0271195912132403E-2</c:v>
                </c:pt>
                <c:pt idx="9">
                  <c:v>2.5133483417387154E-2</c:v>
                </c:pt>
                <c:pt idx="10">
                  <c:v>3.0851980864679135E-2</c:v>
                </c:pt>
                <c:pt idx="11">
                  <c:v>3.7494751299815519E-2</c:v>
                </c:pt>
                <c:pt idx="12">
                  <c:v>4.5114376171939911E-2</c:v>
                </c:pt>
                <c:pt idx="13">
                  <c:v>5.3742329929650161E-2</c:v>
                </c:pt>
                <c:pt idx="14">
                  <c:v>6.338333410254661E-2</c:v>
                </c:pt>
                <c:pt idx="15">
                  <c:v>7.4010054666224512E-2</c:v>
                </c:pt>
                <c:pt idx="16">
                  <c:v>8.5558551791854981E-2</c:v>
                </c:pt>
                <c:pt idx="17">
                  <c:v>9.7924909741605087E-2</c:v>
                </c:pt>
                <c:pt idx="18">
                  <c:v>0.11096345999040838</c:v>
                </c:pt>
                <c:pt idx="19">
                  <c:v>0.12448695830431566</c:v>
                </c:pt>
                <c:pt idx="20">
                  <c:v>0.1382689854395116</c:v>
                </c:pt>
                <c:pt idx="21">
                  <c:v>0.15204871422786106</c:v>
                </c:pt>
                <c:pt idx="22">
                  <c:v>0.1655380301494199</c:v>
                </c:pt>
                <c:pt idx="23">
                  <c:v>0.1784308190667219</c:v>
                </c:pt>
                <c:pt idx="24">
                  <c:v>0.1904140587953152</c:v>
                </c:pt>
                <c:pt idx="25">
                  <c:v>0.20118018672245788</c:v>
                </c:pt>
                <c:pt idx="26">
                  <c:v>0.21044008017332849</c:v>
                </c:pt>
                <c:pt idx="27">
                  <c:v>0.21793589454887166</c:v>
                </c:pt>
                <c:pt idx="28">
                  <c:v>0.2234529679859753</c:v>
                </c:pt>
                <c:pt idx="29">
                  <c:v>0.22683002712972125</c:v>
                </c:pt>
                <c:pt idx="30">
                  <c:v>0.22796701737224725</c:v>
                </c:pt>
                <c:pt idx="31">
                  <c:v>0.22683002712972072</c:v>
                </c:pt>
                <c:pt idx="32">
                  <c:v>0.22345296798597425</c:v>
                </c:pt>
                <c:pt idx="33">
                  <c:v>0.21793589454887005</c:v>
                </c:pt>
                <c:pt idx="34">
                  <c:v>0.21044008017332647</c:v>
                </c:pt>
                <c:pt idx="35">
                  <c:v>0.20118018672245541</c:v>
                </c:pt>
                <c:pt idx="36">
                  <c:v>0.19041405879531242</c:v>
                </c:pt>
                <c:pt idx="37">
                  <c:v>0.17843081906671884</c:v>
                </c:pt>
                <c:pt idx="38">
                  <c:v>0.16553803014941668</c:v>
                </c:pt>
                <c:pt idx="39">
                  <c:v>0.15204871422785776</c:v>
                </c:pt>
                <c:pt idx="40">
                  <c:v>0.13826898543950825</c:v>
                </c:pt>
                <c:pt idx="41">
                  <c:v>0.12448695830431232</c:v>
                </c:pt>
                <c:pt idx="42">
                  <c:v>0.11096345999040512</c:v>
                </c:pt>
                <c:pt idx="43">
                  <c:v>9.7924909741601993E-2</c:v>
                </c:pt>
                <c:pt idx="44">
                  <c:v>8.5558551791852067E-2</c:v>
                </c:pt>
                <c:pt idx="45">
                  <c:v>7.4010054666221833E-2</c:v>
                </c:pt>
                <c:pt idx="46">
                  <c:v>6.3383334102544139E-2</c:v>
                </c:pt>
                <c:pt idx="47">
                  <c:v>5.3742329929647926E-2</c:v>
                </c:pt>
                <c:pt idx="48">
                  <c:v>4.5114376171937927E-2</c:v>
                </c:pt>
                <c:pt idx="49">
                  <c:v>3.7494751299813771E-2</c:v>
                </c:pt>
                <c:pt idx="50">
                  <c:v>3.0851980864677626E-2</c:v>
                </c:pt>
                <c:pt idx="51">
                  <c:v>2.5133483417385888E-2</c:v>
                </c:pt>
                <c:pt idx="52">
                  <c:v>2.0271195912131314E-2</c:v>
                </c:pt>
                <c:pt idx="53">
                  <c:v>1.618687870948558E-2</c:v>
                </c:pt>
                <c:pt idx="54">
                  <c:v>1.2796874454195263E-2</c:v>
                </c:pt>
                <c:pt idx="55">
                  <c:v>1.0016171710610037E-2</c:v>
                </c:pt>
                <c:pt idx="56">
                  <c:v>7.7616967049627525E-3</c:v>
                </c:pt>
                <c:pt idx="57">
                  <c:v>5.9548198939553959E-3</c:v>
                </c:pt>
                <c:pt idx="58">
                  <c:v>4.5231151902739705E-3</c:v>
                </c:pt>
                <c:pt idx="59">
                  <c:v>3.4014470970145376E-3</c:v>
                </c:pt>
                <c:pt idx="60">
                  <c:v>2.5324848068215499E-3</c:v>
                </c:pt>
                <c:pt idx="61">
                  <c:v>1.8667537463998359E-3</c:v>
                </c:pt>
                <c:pt idx="62">
                  <c:v>1.3623361151226838E-3</c:v>
                </c:pt>
                <c:pt idx="63">
                  <c:v>9.8432510803061731E-4</c:v>
                </c:pt>
                <c:pt idx="64">
                  <c:v>7.0412523912740115E-4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50-4A2F-9FED-620C9209B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59599"/>
        <c:axId val="531048367"/>
      </c:scatterChart>
      <c:valAx>
        <c:axId val="81893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31061679"/>
        <c:crosses val="autoZero"/>
        <c:crossBetween val="midCat"/>
      </c:valAx>
      <c:valAx>
        <c:axId val="53106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818934799"/>
        <c:crosses val="autoZero"/>
        <c:crossBetween val="midCat"/>
      </c:valAx>
      <c:valAx>
        <c:axId val="53104836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31059599"/>
        <c:crosses val="max"/>
        <c:crossBetween val="midCat"/>
      </c:valAx>
      <c:valAx>
        <c:axId val="531059599"/>
        <c:scaling>
          <c:orientation val="minMax"/>
        </c:scaling>
        <c:delete val="1"/>
        <c:axPos val="b"/>
        <c:numFmt formatCode="_(* #,##0_);_(* \(#,##0\);_(* &quot;-&quot;_);_(@_)" sourceLinked="1"/>
        <c:majorTickMark val="out"/>
        <c:minorTickMark val="none"/>
        <c:tickLblPos val="nextTo"/>
        <c:crossAx val="531048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3962371475547587E-2"/>
          <c:y val="0.79929574517592983"/>
          <c:w val="0.92895238129357083"/>
          <c:h val="0.17896420247228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69837468217055E-2"/>
          <c:y val="3.4770116515979568E-2"/>
          <c:w val="0.94315601647863456"/>
          <c:h val="0.69701976500287088"/>
        </c:manualLayout>
      </c:layout>
      <c:scatterChart>
        <c:scatterStyle val="lineMarker"/>
        <c:varyColors val="0"/>
        <c:ser>
          <c:idx val="1"/>
          <c:order val="0"/>
          <c:tx>
            <c:strRef>
              <c:f>'Descripción grafica'!$S$20</c:f>
              <c:strCache>
                <c:ptCount val="1"/>
                <c:pt idx="0">
                  <c:v>LT inf.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grafica'!$S$21:$S$25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xVal>
          <c:yVal>
            <c:numRef>
              <c:f>'Descripción grafica'!$O$21:$O$25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B7-4083-9EF5-EB2AE0678DB1}"/>
            </c:ext>
          </c:extLst>
        </c:ser>
        <c:ser>
          <c:idx val="2"/>
          <c:order val="2"/>
          <c:tx>
            <c:strRef>
              <c:f>'Descripción grafica'!$Q$20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'Descripción grafica'!$P$23</c:f>
                <c:numCache>
                  <c:formatCode>General</c:formatCode>
                  <c:ptCount val="1"/>
                  <c:pt idx="0">
                    <c:v>0.3</c:v>
                  </c:pt>
                </c:numCache>
              </c:numRef>
            </c:plus>
            <c:minus>
              <c:numRef>
                <c:f>'Descripción grafica'!$P$23</c:f>
                <c:numCache>
                  <c:formatCode>General</c:formatCode>
                  <c:ptCount val="1"/>
                  <c:pt idx="0">
                    <c:v>0.3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'Descripción grafica'!$Q$23</c:f>
              <c:numCache>
                <c:formatCode>General</c:formatCode>
                <c:ptCount val="1"/>
                <c:pt idx="0">
                  <c:v>2.1</c:v>
                </c:pt>
              </c:numCache>
            </c:numRef>
          </c:xVal>
          <c:yVal>
            <c:numRef>
              <c:f>'Descripción grafica'!$O$23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B7-4083-9EF5-EB2AE0678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4"/>
          <c:order val="1"/>
          <c:tx>
            <c:strRef>
              <c:f>'Descripción grafica'!$U$20</c:f>
              <c:strCache>
                <c:ptCount val="1"/>
                <c:pt idx="0">
                  <c:v>LA inf.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grafica'!$U$21:$U$25</c:f>
              <c:numCache>
                <c:formatCode>General</c:formatCode>
                <c:ptCount val="5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</c:numCache>
            </c:numRef>
          </c:xVal>
          <c:yVal>
            <c:numRef>
              <c:f>'Descripción grafica'!$O$21:$O$25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8B7-4083-9EF5-EB2AE0678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3"/>
          <c:order val="3"/>
          <c:tx>
            <c:strRef>
              <c:f>'Descripción grafica'!$P$28</c:f>
              <c:strCache>
                <c:ptCount val="1"/>
                <c:pt idx="0">
                  <c:v>P(Y)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grafica'!$O$29:$O$93</c:f>
              <c:numCache>
                <c:formatCode>_(* #,##0_);_(* \(#,##0\);_(* "-"_);_(@_)</c:formatCode>
                <c:ptCount val="65"/>
                <c:pt idx="0">
                  <c:v>1.2000000000000002</c:v>
                </c:pt>
                <c:pt idx="1">
                  <c:v>1.2300000000000002</c:v>
                </c:pt>
                <c:pt idx="2">
                  <c:v>1.2600000000000002</c:v>
                </c:pt>
                <c:pt idx="3">
                  <c:v>1.2900000000000003</c:v>
                </c:pt>
                <c:pt idx="4">
                  <c:v>1.3200000000000003</c:v>
                </c:pt>
                <c:pt idx="5">
                  <c:v>1.3500000000000003</c:v>
                </c:pt>
                <c:pt idx="6">
                  <c:v>1.3800000000000003</c:v>
                </c:pt>
                <c:pt idx="7">
                  <c:v>1.4100000000000004</c:v>
                </c:pt>
                <c:pt idx="8">
                  <c:v>1.4400000000000004</c:v>
                </c:pt>
                <c:pt idx="9">
                  <c:v>1.4700000000000004</c:v>
                </c:pt>
                <c:pt idx="10">
                  <c:v>1.5000000000000004</c:v>
                </c:pt>
                <c:pt idx="11">
                  <c:v>1.5300000000000005</c:v>
                </c:pt>
                <c:pt idx="12">
                  <c:v>1.5600000000000005</c:v>
                </c:pt>
                <c:pt idx="13">
                  <c:v>1.5900000000000005</c:v>
                </c:pt>
                <c:pt idx="14">
                  <c:v>1.6200000000000006</c:v>
                </c:pt>
                <c:pt idx="15">
                  <c:v>1.6500000000000006</c:v>
                </c:pt>
                <c:pt idx="16">
                  <c:v>1.6800000000000006</c:v>
                </c:pt>
                <c:pt idx="17">
                  <c:v>1.7100000000000006</c:v>
                </c:pt>
                <c:pt idx="18">
                  <c:v>1.7400000000000007</c:v>
                </c:pt>
                <c:pt idx="19">
                  <c:v>1.7700000000000007</c:v>
                </c:pt>
                <c:pt idx="20">
                  <c:v>1.8000000000000007</c:v>
                </c:pt>
                <c:pt idx="21">
                  <c:v>1.8300000000000007</c:v>
                </c:pt>
                <c:pt idx="22">
                  <c:v>1.8600000000000008</c:v>
                </c:pt>
                <c:pt idx="23">
                  <c:v>1.8900000000000008</c:v>
                </c:pt>
                <c:pt idx="24">
                  <c:v>1.9200000000000008</c:v>
                </c:pt>
                <c:pt idx="25">
                  <c:v>1.9500000000000008</c:v>
                </c:pt>
                <c:pt idx="26">
                  <c:v>1.9800000000000009</c:v>
                </c:pt>
                <c:pt idx="27">
                  <c:v>2.0100000000000007</c:v>
                </c:pt>
                <c:pt idx="28">
                  <c:v>2.0400000000000005</c:v>
                </c:pt>
                <c:pt idx="29">
                  <c:v>2.0700000000000003</c:v>
                </c:pt>
                <c:pt idx="30">
                  <c:v>2.1</c:v>
                </c:pt>
                <c:pt idx="31">
                  <c:v>2.13</c:v>
                </c:pt>
                <c:pt idx="32">
                  <c:v>2.1599999999999997</c:v>
                </c:pt>
                <c:pt idx="33">
                  <c:v>2.1899999999999995</c:v>
                </c:pt>
                <c:pt idx="34">
                  <c:v>2.2199999999999993</c:v>
                </c:pt>
                <c:pt idx="35">
                  <c:v>2.2499999999999991</c:v>
                </c:pt>
                <c:pt idx="36">
                  <c:v>2.2799999999999989</c:v>
                </c:pt>
                <c:pt idx="37">
                  <c:v>2.3099999999999987</c:v>
                </c:pt>
                <c:pt idx="38">
                  <c:v>2.3399999999999985</c:v>
                </c:pt>
                <c:pt idx="39">
                  <c:v>2.3699999999999983</c:v>
                </c:pt>
                <c:pt idx="40">
                  <c:v>2.3999999999999981</c:v>
                </c:pt>
                <c:pt idx="41">
                  <c:v>2.4299999999999979</c:v>
                </c:pt>
                <c:pt idx="42">
                  <c:v>2.4599999999999977</c:v>
                </c:pt>
                <c:pt idx="43">
                  <c:v>2.4899999999999975</c:v>
                </c:pt>
                <c:pt idx="44">
                  <c:v>2.5199999999999974</c:v>
                </c:pt>
                <c:pt idx="45">
                  <c:v>2.5499999999999972</c:v>
                </c:pt>
                <c:pt idx="46">
                  <c:v>2.579999999999997</c:v>
                </c:pt>
                <c:pt idx="47">
                  <c:v>2.6099999999999968</c:v>
                </c:pt>
                <c:pt idx="48">
                  <c:v>2.6399999999999966</c:v>
                </c:pt>
                <c:pt idx="49">
                  <c:v>2.6699999999999964</c:v>
                </c:pt>
                <c:pt idx="50">
                  <c:v>2.6999999999999962</c:v>
                </c:pt>
                <c:pt idx="51">
                  <c:v>2.729999999999996</c:v>
                </c:pt>
                <c:pt idx="52">
                  <c:v>2.7599999999999958</c:v>
                </c:pt>
                <c:pt idx="53">
                  <c:v>2.7899999999999956</c:v>
                </c:pt>
                <c:pt idx="54">
                  <c:v>2.8199999999999954</c:v>
                </c:pt>
                <c:pt idx="55">
                  <c:v>2.8499999999999952</c:v>
                </c:pt>
                <c:pt idx="56">
                  <c:v>2.879999999999995</c:v>
                </c:pt>
                <c:pt idx="57">
                  <c:v>2.9099999999999948</c:v>
                </c:pt>
                <c:pt idx="58">
                  <c:v>2.9399999999999946</c:v>
                </c:pt>
                <c:pt idx="59">
                  <c:v>2.9699999999999944</c:v>
                </c:pt>
                <c:pt idx="60">
                  <c:v>2.9999999999999942</c:v>
                </c:pt>
                <c:pt idx="61">
                  <c:v>3.029999999999994</c:v>
                </c:pt>
                <c:pt idx="62">
                  <c:v>3.0599999999999938</c:v>
                </c:pt>
                <c:pt idx="63">
                  <c:v>3.0899999999999936</c:v>
                </c:pt>
                <c:pt idx="64">
                  <c:v>3.1199999999999934</c:v>
                </c:pt>
              </c:numCache>
            </c:numRef>
          </c:xVal>
          <c:yVal>
            <c:numRef>
              <c:f>'Descripción grafica'!$P$29:$P$93</c:f>
              <c:numCache>
                <c:formatCode>General</c:formatCode>
                <c:ptCount val="65"/>
                <c:pt idx="0">
                  <c:v>1.477282803979336E-2</c:v>
                </c:pt>
                <c:pt idx="1">
                  <c:v>1.9841774732586182E-2</c:v>
                </c:pt>
                <c:pt idx="2">
                  <c:v>2.6384838609933226E-2</c:v>
                </c:pt>
                <c:pt idx="3">
                  <c:v>3.4736449381408678E-2</c:v>
                </c:pt>
                <c:pt idx="4">
                  <c:v>4.527656411228545E-2</c:v>
                </c:pt>
                <c:pt idx="5">
                  <c:v>5.8427668311895178E-2</c:v>
                </c:pt>
                <c:pt idx="6">
                  <c:v>7.4648434316143097E-2</c:v>
                </c:pt>
                <c:pt idx="7">
                  <c:v>9.4423459138670701E-2</c:v>
                </c:pt>
                <c:pt idx="8">
                  <c:v>0.11824864282077162</c:v>
                </c:pt>
                <c:pt idx="9">
                  <c:v>0.14661198660142424</c:v>
                </c:pt>
                <c:pt idx="10">
                  <c:v>0.17996988837729391</c:v>
                </c:pt>
                <c:pt idx="11">
                  <c:v>0.21871938258225584</c:v>
                </c:pt>
                <c:pt idx="12">
                  <c:v>0.26316719433631452</c:v>
                </c:pt>
                <c:pt idx="13">
                  <c:v>0.31349692458962386</c:v>
                </c:pt>
                <c:pt idx="14">
                  <c:v>0.36973611559818614</c:v>
                </c:pt>
                <c:pt idx="15">
                  <c:v>0.43172531888630672</c:v>
                </c:pt>
                <c:pt idx="16">
                  <c:v>0.49909155211915074</c:v>
                </c:pt>
                <c:pt idx="17">
                  <c:v>0.57122864015935915</c:v>
                </c:pt>
                <c:pt idx="18">
                  <c:v>0.64728684994404462</c:v>
                </c:pt>
                <c:pt idx="19">
                  <c:v>0.72617392344183684</c:v>
                </c:pt>
                <c:pt idx="20">
                  <c:v>0.80656908173047959</c:v>
                </c:pt>
                <c:pt idx="21">
                  <c:v>0.88695083299585109</c:v>
                </c:pt>
                <c:pt idx="22">
                  <c:v>0.9656385092049441</c:v>
                </c:pt>
                <c:pt idx="23">
                  <c:v>1.0408464445558725</c:v>
                </c:pt>
                <c:pt idx="24">
                  <c:v>1.1107486763060006</c:v>
                </c:pt>
                <c:pt idx="25">
                  <c:v>1.173551089214333</c:v>
                </c:pt>
                <c:pt idx="26">
                  <c:v>1.2275671343444126</c:v>
                </c:pt>
                <c:pt idx="27">
                  <c:v>1.2712927182017479</c:v>
                </c:pt>
                <c:pt idx="28">
                  <c:v>1.3034756465848534</c:v>
                </c:pt>
                <c:pt idx="29">
                  <c:v>1.3231751582567062</c:v>
                </c:pt>
                <c:pt idx="30">
                  <c:v>1.329807601338109</c:v>
                </c:pt>
                <c:pt idx="31">
                  <c:v>1.3231751582567062</c:v>
                </c:pt>
                <c:pt idx="32">
                  <c:v>1.3034756465848534</c:v>
                </c:pt>
                <c:pt idx="33">
                  <c:v>1.2712927182017479</c:v>
                </c:pt>
                <c:pt idx="34">
                  <c:v>1.2275671343444126</c:v>
                </c:pt>
                <c:pt idx="35">
                  <c:v>1.1735510892143335</c:v>
                </c:pt>
                <c:pt idx="36">
                  <c:v>1.1107486763060017</c:v>
                </c:pt>
                <c:pt idx="37">
                  <c:v>1.0408464445558741</c:v>
                </c:pt>
                <c:pt idx="38">
                  <c:v>0.96563850920494665</c:v>
                </c:pt>
                <c:pt idx="39">
                  <c:v>0.88695083299585431</c:v>
                </c:pt>
                <c:pt idx="40">
                  <c:v>0.80656908173048303</c:v>
                </c:pt>
                <c:pt idx="41">
                  <c:v>0.72617392344184084</c:v>
                </c:pt>
                <c:pt idx="42">
                  <c:v>0.64728684994404917</c:v>
                </c:pt>
                <c:pt idx="43">
                  <c:v>0.57122864015936414</c:v>
                </c:pt>
                <c:pt idx="44">
                  <c:v>0.49909155211915579</c:v>
                </c:pt>
                <c:pt idx="45">
                  <c:v>0.43172531888631216</c:v>
                </c:pt>
                <c:pt idx="46">
                  <c:v>0.36973611559819136</c:v>
                </c:pt>
                <c:pt idx="47">
                  <c:v>0.31349692458962891</c:v>
                </c:pt>
                <c:pt idx="48">
                  <c:v>0.26316719433631947</c:v>
                </c:pt>
                <c:pt idx="49">
                  <c:v>0.21871938258226042</c:v>
                </c:pt>
                <c:pt idx="50">
                  <c:v>0.17996988837729816</c:v>
                </c:pt>
                <c:pt idx="51">
                  <c:v>0.14661198660142821</c:v>
                </c:pt>
                <c:pt idx="52">
                  <c:v>0.1182486428207751</c:v>
                </c:pt>
                <c:pt idx="53">
                  <c:v>9.442345913867381E-2</c:v>
                </c:pt>
                <c:pt idx="54">
                  <c:v>7.464843431614579E-2</c:v>
                </c:pt>
                <c:pt idx="55">
                  <c:v>5.8427668311897475E-2</c:v>
                </c:pt>
                <c:pt idx="56">
                  <c:v>4.5276564112287372E-2</c:v>
                </c:pt>
                <c:pt idx="57">
                  <c:v>3.4736449381410302E-2</c:v>
                </c:pt>
                <c:pt idx="58">
                  <c:v>2.6384838609934541E-2</c:v>
                </c:pt>
                <c:pt idx="59">
                  <c:v>1.9841774732587254E-2</c:v>
                </c:pt>
                <c:pt idx="60">
                  <c:v>1.4772828039794225E-2</c:v>
                </c:pt>
                <c:pt idx="61">
                  <c:v>1.0889396854000408E-2</c:v>
                </c:pt>
                <c:pt idx="62">
                  <c:v>7.9469606715500043E-3</c:v>
                </c:pt>
                <c:pt idx="63">
                  <c:v>5.7418964635126742E-3</c:v>
                </c:pt>
                <c:pt idx="64">
                  <c:v>4.1073972282437031E-3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8B7-4083-9EF5-EB2AE0678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59599"/>
        <c:axId val="531048367"/>
      </c:scatterChart>
      <c:valAx>
        <c:axId val="81893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31061679"/>
        <c:crosses val="autoZero"/>
        <c:crossBetween val="midCat"/>
      </c:valAx>
      <c:valAx>
        <c:axId val="53106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818934799"/>
        <c:crosses val="autoZero"/>
        <c:crossBetween val="midCat"/>
      </c:valAx>
      <c:valAx>
        <c:axId val="53104836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31059599"/>
        <c:crosses val="max"/>
        <c:crossBetween val="midCat"/>
      </c:valAx>
      <c:valAx>
        <c:axId val="531059599"/>
        <c:scaling>
          <c:orientation val="minMax"/>
        </c:scaling>
        <c:delete val="1"/>
        <c:axPos val="b"/>
        <c:numFmt formatCode="_(* #,##0_);_(* \(#,##0\);_(* &quot;-&quot;_);_(@_)" sourceLinked="1"/>
        <c:majorTickMark val="out"/>
        <c:minorTickMark val="none"/>
        <c:tickLblPos val="nextTo"/>
        <c:crossAx val="531048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3962371475547587E-2"/>
          <c:y val="0.79929574517592983"/>
          <c:w val="0.92895238129357083"/>
          <c:h val="0.17896420247228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69837468217055E-2"/>
          <c:y val="3.4770116515979568E-2"/>
          <c:w val="0.94315601647863456"/>
          <c:h val="0.697019765002870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'Descripción grafica RD'!$E$25</c:f>
              <c:strCache>
                <c:ptCount val="1"/>
                <c:pt idx="0">
                  <c:v>LT inf.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 RD'!$E$26:$E$30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xVal>
          <c:yVal>
            <c:numRef>
              <c:f>'Descripción grafica RD'!$A$26:$A$30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E9-4D06-9FEF-9FF48DE740F4}"/>
            </c:ext>
          </c:extLst>
        </c:ser>
        <c:ser>
          <c:idx val="1"/>
          <c:order val="1"/>
          <c:tx>
            <c:strRef>
              <c:f>'Descripción grafica RD'!$D$25</c:f>
              <c:strCache>
                <c:ptCount val="1"/>
                <c:pt idx="0">
                  <c:v>LT sup.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 RD'!$D$26:$D$30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xVal>
          <c:yVal>
            <c:numRef>
              <c:f>'Descripción grafica RD'!$A$26:$A$30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E9-4D06-9FEF-9FF48DE740F4}"/>
            </c:ext>
          </c:extLst>
        </c:ser>
        <c:ser>
          <c:idx val="2"/>
          <c:order val="3"/>
          <c:tx>
            <c:strRef>
              <c:f>'Descripción grafica RD'!$C$25</c:f>
              <c:strCache>
                <c:ptCount val="1"/>
                <c:pt idx="0">
                  <c:v>y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'Descripción grafica RD'!$G$17</c:f>
                <c:numCache>
                  <c:formatCode>General</c:formatCode>
                  <c:ptCount val="1"/>
                  <c:pt idx="0">
                    <c:v>0.27</c:v>
                  </c:pt>
                </c:numCache>
              </c:numRef>
            </c:plus>
            <c:minus>
              <c:numRef>
                <c:f>'Descripción grafica RD'!$G$18</c:f>
                <c:numCache>
                  <c:formatCode>General</c:formatCode>
                  <c:ptCount val="1"/>
                  <c:pt idx="0">
                    <c:v>0.27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'Descripción grafica RD'!$C$28</c:f>
              <c:numCache>
                <c:formatCode>General</c:formatCode>
                <c:ptCount val="1"/>
                <c:pt idx="0">
                  <c:v>8.94</c:v>
                </c:pt>
              </c:numCache>
            </c:numRef>
          </c:xVal>
          <c:yVal>
            <c:numRef>
              <c:f>'Descripción grafica RD'!$A$28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E9-4D06-9FEF-9FF48DE74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4"/>
          <c:order val="2"/>
          <c:tx>
            <c:strRef>
              <c:f>'Descripción grafica RD'!$F$25</c:f>
              <c:strCache>
                <c:ptCount val="1"/>
                <c:pt idx="0">
                  <c:v>LA sup.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 RD'!$F$26:$F$30</c:f>
              <c:numCache>
                <c:formatCode>0</c:formatCode>
                <c:ptCount val="5"/>
                <c:pt idx="0">
                  <c:v>8.6760000000000002</c:v>
                </c:pt>
                <c:pt idx="1">
                  <c:v>8.6760000000000002</c:v>
                </c:pt>
                <c:pt idx="2">
                  <c:v>8.6760000000000002</c:v>
                </c:pt>
                <c:pt idx="3">
                  <c:v>8.6760000000000002</c:v>
                </c:pt>
                <c:pt idx="4">
                  <c:v>8.6760000000000002</c:v>
                </c:pt>
              </c:numCache>
            </c:numRef>
          </c:xVal>
          <c:yVal>
            <c:numRef>
              <c:f>'Descripción grafica RD'!$A$26:$A$30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3E9-4D06-9FEF-9FF48DE740F4}"/>
            </c:ext>
          </c:extLst>
        </c:ser>
        <c:ser>
          <c:idx val="5"/>
          <c:order val="4"/>
          <c:tx>
            <c:strRef>
              <c:f>'Descripción grafica RD'!$G$25</c:f>
              <c:strCache>
                <c:ptCount val="1"/>
                <c:pt idx="0">
                  <c:v>LA inf.</c:v>
                </c:pt>
              </c:strCache>
            </c:strRef>
          </c:tx>
          <c:spPr>
            <a:ln w="381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 RD'!$G$26:$G$30</c:f>
              <c:numCache>
                <c:formatCode>0</c:formatCode>
                <c:ptCount val="5"/>
                <c:pt idx="0">
                  <c:v>6.3239999999999998</c:v>
                </c:pt>
                <c:pt idx="1">
                  <c:v>6.3239999999999998</c:v>
                </c:pt>
                <c:pt idx="2">
                  <c:v>6.3239999999999998</c:v>
                </c:pt>
                <c:pt idx="3">
                  <c:v>6.3239999999999998</c:v>
                </c:pt>
                <c:pt idx="4">
                  <c:v>6.3239999999999998</c:v>
                </c:pt>
              </c:numCache>
            </c:numRef>
          </c:xVal>
          <c:yVal>
            <c:numRef>
              <c:f>'Descripción grafica RD'!$A$26:$A$30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3E9-4D06-9FEF-9FF48DE74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3"/>
          <c:order val="5"/>
          <c:tx>
            <c:strRef>
              <c:f>'Descripción grafica RD'!$B$33</c:f>
              <c:strCache>
                <c:ptCount val="1"/>
                <c:pt idx="0">
                  <c:v>P(Y)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 RD'!$A$34:$A$98</c:f>
              <c:numCache>
                <c:formatCode>_(* #,##0_);_(* \(#,##0\);_(* "-"_);_(@_)</c:formatCode>
                <c:ptCount val="65"/>
                <c:pt idx="0">
                  <c:v>8.5350000000000001</c:v>
                </c:pt>
                <c:pt idx="1">
                  <c:v>8.5485000000000007</c:v>
                </c:pt>
                <c:pt idx="2">
                  <c:v>8.5620000000000012</c:v>
                </c:pt>
                <c:pt idx="3">
                  <c:v>8.5755000000000017</c:v>
                </c:pt>
                <c:pt idx="4">
                  <c:v>8.5890000000000022</c:v>
                </c:pt>
                <c:pt idx="5">
                  <c:v>8.6025000000000027</c:v>
                </c:pt>
                <c:pt idx="6">
                  <c:v>8.6160000000000032</c:v>
                </c:pt>
                <c:pt idx="7">
                  <c:v>8.6295000000000037</c:v>
                </c:pt>
                <c:pt idx="8">
                  <c:v>8.6430000000000042</c:v>
                </c:pt>
                <c:pt idx="9">
                  <c:v>8.6565000000000047</c:v>
                </c:pt>
                <c:pt idx="10">
                  <c:v>8.6700000000000053</c:v>
                </c:pt>
                <c:pt idx="11">
                  <c:v>8.6835000000000058</c:v>
                </c:pt>
                <c:pt idx="12">
                  <c:v>8.6970000000000063</c:v>
                </c:pt>
                <c:pt idx="13">
                  <c:v>8.7105000000000068</c:v>
                </c:pt>
                <c:pt idx="14">
                  <c:v>8.7240000000000073</c:v>
                </c:pt>
                <c:pt idx="15">
                  <c:v>8.7375000000000078</c:v>
                </c:pt>
                <c:pt idx="16">
                  <c:v>8.7510000000000083</c:v>
                </c:pt>
                <c:pt idx="17">
                  <c:v>8.7645000000000088</c:v>
                </c:pt>
                <c:pt idx="18">
                  <c:v>8.7780000000000094</c:v>
                </c:pt>
                <c:pt idx="19">
                  <c:v>8.7915000000000099</c:v>
                </c:pt>
                <c:pt idx="20">
                  <c:v>8.8050000000000104</c:v>
                </c:pt>
                <c:pt idx="21">
                  <c:v>8.8185000000000109</c:v>
                </c:pt>
                <c:pt idx="22">
                  <c:v>8.8320000000000114</c:v>
                </c:pt>
                <c:pt idx="23">
                  <c:v>8.8455000000000119</c:v>
                </c:pt>
                <c:pt idx="24">
                  <c:v>8.8590000000000124</c:v>
                </c:pt>
                <c:pt idx="25">
                  <c:v>8.8725000000000129</c:v>
                </c:pt>
                <c:pt idx="26">
                  <c:v>8.8860000000000134</c:v>
                </c:pt>
                <c:pt idx="27">
                  <c:v>8.899500000000014</c:v>
                </c:pt>
                <c:pt idx="28">
                  <c:v>8.9130000000000145</c:v>
                </c:pt>
                <c:pt idx="29">
                  <c:v>8.926500000000015</c:v>
                </c:pt>
                <c:pt idx="30">
                  <c:v>8.9400000000000155</c:v>
                </c:pt>
                <c:pt idx="31">
                  <c:v>8.953500000000016</c:v>
                </c:pt>
                <c:pt idx="32">
                  <c:v>8.9670000000000165</c:v>
                </c:pt>
                <c:pt idx="33">
                  <c:v>8.980500000000017</c:v>
                </c:pt>
                <c:pt idx="34">
                  <c:v>8.9940000000000175</c:v>
                </c:pt>
                <c:pt idx="35">
                  <c:v>9.007500000000018</c:v>
                </c:pt>
                <c:pt idx="36">
                  <c:v>9.0210000000000186</c:v>
                </c:pt>
                <c:pt idx="37">
                  <c:v>9.0345000000000191</c:v>
                </c:pt>
                <c:pt idx="38">
                  <c:v>9.0480000000000196</c:v>
                </c:pt>
                <c:pt idx="39">
                  <c:v>9.0615000000000201</c:v>
                </c:pt>
                <c:pt idx="40">
                  <c:v>9.0750000000000206</c:v>
                </c:pt>
                <c:pt idx="41">
                  <c:v>9.0885000000000211</c:v>
                </c:pt>
                <c:pt idx="42">
                  <c:v>9.1020000000000216</c:v>
                </c:pt>
                <c:pt idx="43">
                  <c:v>9.1155000000000221</c:v>
                </c:pt>
                <c:pt idx="44">
                  <c:v>9.1290000000000227</c:v>
                </c:pt>
                <c:pt idx="45">
                  <c:v>9.1425000000000232</c:v>
                </c:pt>
                <c:pt idx="46">
                  <c:v>9.1560000000000237</c:v>
                </c:pt>
                <c:pt idx="47">
                  <c:v>9.1695000000000242</c:v>
                </c:pt>
                <c:pt idx="48">
                  <c:v>9.1830000000000247</c:v>
                </c:pt>
                <c:pt idx="49">
                  <c:v>9.1965000000000252</c:v>
                </c:pt>
                <c:pt idx="50">
                  <c:v>9.2100000000000257</c:v>
                </c:pt>
                <c:pt idx="51">
                  <c:v>9.2235000000000262</c:v>
                </c:pt>
                <c:pt idx="52">
                  <c:v>9.2370000000000267</c:v>
                </c:pt>
                <c:pt idx="53">
                  <c:v>9.2505000000000273</c:v>
                </c:pt>
                <c:pt idx="54">
                  <c:v>9.2640000000000278</c:v>
                </c:pt>
                <c:pt idx="55">
                  <c:v>9.2775000000000283</c:v>
                </c:pt>
                <c:pt idx="56">
                  <c:v>9.2910000000000288</c:v>
                </c:pt>
                <c:pt idx="57">
                  <c:v>9.3045000000000293</c:v>
                </c:pt>
                <c:pt idx="58">
                  <c:v>9.3180000000000298</c:v>
                </c:pt>
                <c:pt idx="59">
                  <c:v>9.3315000000000303</c:v>
                </c:pt>
                <c:pt idx="60">
                  <c:v>9.3450000000000308</c:v>
                </c:pt>
                <c:pt idx="61">
                  <c:v>9.3585000000000313</c:v>
                </c:pt>
                <c:pt idx="62">
                  <c:v>9.3720000000000319</c:v>
                </c:pt>
                <c:pt idx="63">
                  <c:v>9.3855000000000324</c:v>
                </c:pt>
                <c:pt idx="64">
                  <c:v>9.3990000000000329</c:v>
                </c:pt>
              </c:numCache>
            </c:numRef>
          </c:xVal>
          <c:yVal>
            <c:numRef>
              <c:f>'Descripción grafica RD'!$B$34:$B$98</c:f>
              <c:numCache>
                <c:formatCode>0.0000000</c:formatCode>
                <c:ptCount val="65"/>
                <c:pt idx="0">
                  <c:v>3.2828506755096812E-2</c:v>
                </c:pt>
                <c:pt idx="1">
                  <c:v>4.4092832739081496E-2</c:v>
                </c:pt>
                <c:pt idx="2">
                  <c:v>5.8632974688742526E-2</c:v>
                </c:pt>
                <c:pt idx="3">
                  <c:v>7.7192109736467049E-2</c:v>
                </c:pt>
                <c:pt idx="4">
                  <c:v>0.10061458691619495</c:v>
                </c:pt>
                <c:pt idx="5">
                  <c:v>0.12983926291533027</c:v>
                </c:pt>
                <c:pt idx="6">
                  <c:v>0.16588540959143988</c:v>
                </c:pt>
                <c:pt idx="7">
                  <c:v>0.20982990919706082</c:v>
                </c:pt>
                <c:pt idx="8">
                  <c:v>0.26277476182395698</c:v>
                </c:pt>
                <c:pt idx="9">
                  <c:v>0.32580441466985782</c:v>
                </c:pt>
                <c:pt idx="10">
                  <c:v>0.39993308528290872</c:v>
                </c:pt>
                <c:pt idx="11">
                  <c:v>0.48604307240505473</c:v>
                </c:pt>
                <c:pt idx="12">
                  <c:v>0.58481598741408392</c:v>
                </c:pt>
                <c:pt idx="13">
                  <c:v>0.6966598324214488</c:v>
                </c:pt>
                <c:pt idx="14">
                  <c:v>0.82163581244048778</c:v>
                </c:pt>
                <c:pt idx="15">
                  <c:v>0.95938959752521269</c:v>
                </c:pt>
                <c:pt idx="16">
                  <c:v>1.1090923380426558</c:v>
                </c:pt>
                <c:pt idx="17">
                  <c:v>1.2693969781320205</c:v>
                </c:pt>
                <c:pt idx="18">
                  <c:v>1.438415222098</c:v>
                </c:pt>
                <c:pt idx="19">
                  <c:v>1.6137198298708808</c:v>
                </c:pt>
                <c:pt idx="20">
                  <c:v>1.7923757371789841</c:v>
                </c:pt>
                <c:pt idx="21">
                  <c:v>1.9710018511020371</c:v>
                </c:pt>
                <c:pt idx="22">
                  <c:v>2.1458633537889122</c:v>
                </c:pt>
                <c:pt idx="23">
                  <c:v>2.3129920990131954</c:v>
                </c:pt>
                <c:pt idx="24">
                  <c:v>2.46833039179125</c:v>
                </c:pt>
                <c:pt idx="25">
                  <c:v>2.6078913093653111</c:v>
                </c:pt>
                <c:pt idx="26">
                  <c:v>2.7279269652099152</c:v>
                </c:pt>
                <c:pt idx="27">
                  <c:v>2.8250949293373062</c:v>
                </c:pt>
                <c:pt idx="28">
                  <c:v>2.896612547966404</c:v>
                </c:pt>
                <c:pt idx="29">
                  <c:v>2.9403892405704912</c:v>
                </c:pt>
                <c:pt idx="30">
                  <c:v>2.9551280029735754</c:v>
                </c:pt>
                <c:pt idx="31">
                  <c:v>2.9403892405704215</c:v>
                </c:pt>
                <c:pt idx="32">
                  <c:v>2.8966125479662668</c:v>
                </c:pt>
                <c:pt idx="33">
                  <c:v>2.8250949293371055</c:v>
                </c:pt>
                <c:pt idx="34">
                  <c:v>2.7279269652096563</c:v>
                </c:pt>
                <c:pt idx="35">
                  <c:v>2.607891309365002</c:v>
                </c:pt>
                <c:pt idx="36">
                  <c:v>2.4683303917908996</c:v>
                </c:pt>
                <c:pt idx="37">
                  <c:v>2.3129920990128117</c:v>
                </c:pt>
                <c:pt idx="38">
                  <c:v>2.1458633537885055</c:v>
                </c:pt>
                <c:pt idx="39">
                  <c:v>1.9710018511016172</c:v>
                </c:pt>
                <c:pt idx="40">
                  <c:v>1.7923757371785594</c:v>
                </c:pt>
                <c:pt idx="41">
                  <c:v>1.6137198298704609</c:v>
                </c:pt>
                <c:pt idx="42">
                  <c:v>1.438415222097591</c:v>
                </c:pt>
                <c:pt idx="43">
                  <c:v>1.2693969781316297</c:v>
                </c:pt>
                <c:pt idx="44">
                  <c:v>1.1090923380422881</c:v>
                </c:pt>
                <c:pt idx="45">
                  <c:v>0.95938959752487163</c:v>
                </c:pt>
                <c:pt idx="46">
                  <c:v>0.82163581244017614</c:v>
                </c:pt>
                <c:pt idx="47">
                  <c:v>0.69665983242116836</c:v>
                </c:pt>
                <c:pt idx="48">
                  <c:v>0.58481598741383434</c:v>
                </c:pt>
                <c:pt idx="49">
                  <c:v>0.48604307240483613</c:v>
                </c:pt>
                <c:pt idx="50">
                  <c:v>0.39993308528271926</c:v>
                </c:pt>
                <c:pt idx="51">
                  <c:v>0.32580441466969573</c:v>
                </c:pt>
                <c:pt idx="52">
                  <c:v>0.26277476182381987</c:v>
                </c:pt>
                <c:pt idx="53">
                  <c:v>0.20982990919694658</c:v>
                </c:pt>
                <c:pt idx="54">
                  <c:v>0.16588540959134565</c:v>
                </c:pt>
                <c:pt idx="55">
                  <c:v>0.1298392629152533</c:v>
                </c:pt>
                <c:pt idx="56">
                  <c:v>0.10061458691613302</c:v>
                </c:pt>
                <c:pt idx="57">
                  <c:v>7.7192109736417741E-2</c:v>
                </c:pt>
                <c:pt idx="58">
                  <c:v>5.8632974688703605E-2</c:v>
                </c:pt>
                <c:pt idx="59">
                  <c:v>4.4092832739051221E-2</c:v>
                </c:pt>
                <c:pt idx="60">
                  <c:v>3.2828506755073518E-2</c:v>
                </c:pt>
                <c:pt idx="61">
                  <c:v>2.4198659675537262E-2</c:v>
                </c:pt>
                <c:pt idx="62">
                  <c:v>1.765991260342974E-2</c:v>
                </c:pt>
                <c:pt idx="63">
                  <c:v>1.2759769918905912E-2</c:v>
                </c:pt>
                <c:pt idx="64">
                  <c:v>9.1275493960887733E-3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3E9-4D06-9FEF-9FF48DE74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59599"/>
        <c:axId val="531048367"/>
      </c:scatterChart>
      <c:valAx>
        <c:axId val="81893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31061679"/>
        <c:crosses val="autoZero"/>
        <c:crossBetween val="midCat"/>
      </c:valAx>
      <c:valAx>
        <c:axId val="53106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818934799"/>
        <c:crosses val="autoZero"/>
        <c:crossBetween val="midCat"/>
      </c:valAx>
      <c:valAx>
        <c:axId val="531048367"/>
        <c:scaling>
          <c:orientation val="minMax"/>
        </c:scaling>
        <c:delete val="0"/>
        <c:axPos val="r"/>
        <c:numFmt formatCode="0.000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31059599"/>
        <c:crosses val="max"/>
        <c:crossBetween val="midCat"/>
      </c:valAx>
      <c:valAx>
        <c:axId val="531059599"/>
        <c:scaling>
          <c:orientation val="minMax"/>
        </c:scaling>
        <c:delete val="1"/>
        <c:axPos val="b"/>
        <c:numFmt formatCode="_(* #,##0_);_(* \(#,##0\);_(* &quot;-&quot;_);_(@_)" sourceLinked="1"/>
        <c:majorTickMark val="out"/>
        <c:minorTickMark val="none"/>
        <c:tickLblPos val="nextTo"/>
        <c:crossAx val="531048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4283795166796808E-2"/>
          <c:y val="0.79929576084540055"/>
          <c:w val="0.92895238129357083"/>
          <c:h val="0.17896420247228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69837468217055E-2"/>
          <c:y val="3.4770116515979568E-2"/>
          <c:w val="0.94315601647863456"/>
          <c:h val="0.69701976500287088"/>
        </c:manualLayout>
      </c:layout>
      <c:scatterChart>
        <c:scatterStyle val="lineMarker"/>
        <c:varyColors val="0"/>
        <c:ser>
          <c:idx val="1"/>
          <c:order val="0"/>
          <c:tx>
            <c:strRef>
              <c:f>'Descripción grafica RD'!$K$25</c:f>
              <c:strCache>
                <c:ptCount val="1"/>
                <c:pt idx="0">
                  <c:v>LT sup.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 RD'!$K$26:$K$30</c:f>
              <c:numCache>
                <c:formatCode>General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xVal>
          <c:yVal>
            <c:numRef>
              <c:f>'Descripción grafica RD'!$H$26:$H$30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28-43F5-AE31-6258DB14A415}"/>
            </c:ext>
          </c:extLst>
        </c:ser>
        <c:ser>
          <c:idx val="2"/>
          <c:order val="2"/>
          <c:tx>
            <c:strRef>
              <c:f>'Descripción grafica RD'!$J$25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'Descripción grafica RD'!$N$17</c:f>
                <c:numCache>
                  <c:formatCode>General</c:formatCode>
                  <c:ptCount val="1"/>
                  <c:pt idx="0">
                    <c:v>2.23</c:v>
                  </c:pt>
                </c:numCache>
              </c:numRef>
            </c:plus>
            <c:minus>
              <c:numRef>
                <c:f>'Descripción grafica RD'!$N$18</c:f>
                <c:numCache>
                  <c:formatCode>General</c:formatCode>
                  <c:ptCount val="1"/>
                  <c:pt idx="0">
                    <c:v>2.23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'Descripción grafica RD'!$J$28</c:f>
              <c:numCache>
                <c:formatCode>General</c:formatCode>
                <c:ptCount val="1"/>
                <c:pt idx="0">
                  <c:v>90.24</c:v>
                </c:pt>
              </c:numCache>
            </c:numRef>
          </c:xVal>
          <c:yVal>
            <c:numRef>
              <c:f>'Descripción grafica RD'!$H$28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28-43F5-AE31-6258DB14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4"/>
          <c:order val="1"/>
          <c:tx>
            <c:strRef>
              <c:f>'Descripción grafica RD'!$M$25</c:f>
              <c:strCache>
                <c:ptCount val="1"/>
                <c:pt idx="0">
                  <c:v>LA sup.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381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28-43F5-AE31-6258DB14A415}"/>
              </c:ext>
            </c:extLst>
          </c:dPt>
          <c:xVal>
            <c:numRef>
              <c:f>'Descripción grafica RD'!$M$26:$M$30</c:f>
              <c:numCache>
                <c:formatCode>General</c:formatCode>
                <c:ptCount val="5"/>
                <c:pt idx="0">
                  <c:v>147.32400000000001</c:v>
                </c:pt>
                <c:pt idx="1">
                  <c:v>147.32400000000001</c:v>
                </c:pt>
                <c:pt idx="2">
                  <c:v>147.32400000000001</c:v>
                </c:pt>
                <c:pt idx="3">
                  <c:v>147.32400000000001</c:v>
                </c:pt>
                <c:pt idx="4">
                  <c:v>147.32400000000001</c:v>
                </c:pt>
              </c:numCache>
            </c:numRef>
          </c:xVal>
          <c:yVal>
            <c:numRef>
              <c:f>'Descripción grafica RD'!$A$26:$A$30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28-43F5-AE31-6258DB14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3"/>
          <c:order val="3"/>
          <c:tx>
            <c:strRef>
              <c:f>'Descripción grafica RD'!$I$33</c:f>
              <c:strCache>
                <c:ptCount val="1"/>
                <c:pt idx="0">
                  <c:v>P(Y)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 RD'!$H$34:$H$98</c:f>
              <c:numCache>
                <c:formatCode>_(* #,##0_);_(* \(#,##0\);_(* "-"_);_(@_)</c:formatCode>
                <c:ptCount val="65"/>
                <c:pt idx="0">
                  <c:v>86.894999999999996</c:v>
                </c:pt>
                <c:pt idx="1">
                  <c:v>87.006500000000003</c:v>
                </c:pt>
                <c:pt idx="2">
                  <c:v>87.118000000000009</c:v>
                </c:pt>
                <c:pt idx="3">
                  <c:v>87.229500000000016</c:v>
                </c:pt>
                <c:pt idx="4">
                  <c:v>87.341000000000022</c:v>
                </c:pt>
                <c:pt idx="5">
                  <c:v>87.452500000000029</c:v>
                </c:pt>
                <c:pt idx="6">
                  <c:v>87.564000000000036</c:v>
                </c:pt>
                <c:pt idx="7">
                  <c:v>87.675500000000042</c:v>
                </c:pt>
                <c:pt idx="8">
                  <c:v>87.787000000000049</c:v>
                </c:pt>
                <c:pt idx="9">
                  <c:v>87.898500000000055</c:v>
                </c:pt>
                <c:pt idx="10">
                  <c:v>88.010000000000062</c:v>
                </c:pt>
                <c:pt idx="11">
                  <c:v>88.121500000000069</c:v>
                </c:pt>
                <c:pt idx="12">
                  <c:v>88.233000000000075</c:v>
                </c:pt>
                <c:pt idx="13">
                  <c:v>88.344500000000082</c:v>
                </c:pt>
                <c:pt idx="14">
                  <c:v>88.456000000000088</c:v>
                </c:pt>
                <c:pt idx="15">
                  <c:v>88.567500000000095</c:v>
                </c:pt>
                <c:pt idx="16">
                  <c:v>88.679000000000102</c:v>
                </c:pt>
                <c:pt idx="17">
                  <c:v>88.790500000000108</c:v>
                </c:pt>
                <c:pt idx="18">
                  <c:v>88.902000000000115</c:v>
                </c:pt>
                <c:pt idx="19">
                  <c:v>89.013500000000121</c:v>
                </c:pt>
                <c:pt idx="20">
                  <c:v>89.125000000000128</c:v>
                </c:pt>
                <c:pt idx="21">
                  <c:v>89.236500000000134</c:v>
                </c:pt>
                <c:pt idx="22">
                  <c:v>89.348000000000141</c:v>
                </c:pt>
                <c:pt idx="23">
                  <c:v>89.459500000000148</c:v>
                </c:pt>
                <c:pt idx="24">
                  <c:v>89.571000000000154</c:v>
                </c:pt>
                <c:pt idx="25">
                  <c:v>89.682500000000161</c:v>
                </c:pt>
                <c:pt idx="26">
                  <c:v>89.794000000000167</c:v>
                </c:pt>
                <c:pt idx="27">
                  <c:v>89.905500000000174</c:v>
                </c:pt>
                <c:pt idx="28">
                  <c:v>90.017000000000181</c:v>
                </c:pt>
                <c:pt idx="29">
                  <c:v>90.128500000000187</c:v>
                </c:pt>
                <c:pt idx="30">
                  <c:v>90.240000000000194</c:v>
                </c:pt>
                <c:pt idx="31">
                  <c:v>90.3515000000002</c:v>
                </c:pt>
                <c:pt idx="32">
                  <c:v>90.463000000000207</c:v>
                </c:pt>
                <c:pt idx="33">
                  <c:v>90.574500000000214</c:v>
                </c:pt>
                <c:pt idx="34">
                  <c:v>90.68600000000022</c:v>
                </c:pt>
                <c:pt idx="35">
                  <c:v>90.797500000000227</c:v>
                </c:pt>
                <c:pt idx="36">
                  <c:v>90.909000000000233</c:v>
                </c:pt>
                <c:pt idx="37">
                  <c:v>91.02050000000024</c:v>
                </c:pt>
                <c:pt idx="38">
                  <c:v>91.132000000000247</c:v>
                </c:pt>
                <c:pt idx="39">
                  <c:v>91.243500000000253</c:v>
                </c:pt>
                <c:pt idx="40">
                  <c:v>91.35500000000026</c:v>
                </c:pt>
                <c:pt idx="41">
                  <c:v>91.466500000000266</c:v>
                </c:pt>
                <c:pt idx="42">
                  <c:v>91.578000000000273</c:v>
                </c:pt>
                <c:pt idx="43">
                  <c:v>91.68950000000028</c:v>
                </c:pt>
                <c:pt idx="44">
                  <c:v>91.801000000000286</c:v>
                </c:pt>
                <c:pt idx="45">
                  <c:v>91.912500000000293</c:v>
                </c:pt>
                <c:pt idx="46">
                  <c:v>92.024000000000299</c:v>
                </c:pt>
                <c:pt idx="47">
                  <c:v>92.135500000000306</c:v>
                </c:pt>
                <c:pt idx="48">
                  <c:v>92.247000000000313</c:v>
                </c:pt>
                <c:pt idx="49">
                  <c:v>92.358500000000319</c:v>
                </c:pt>
                <c:pt idx="50">
                  <c:v>92.470000000000326</c:v>
                </c:pt>
                <c:pt idx="51">
                  <c:v>92.581500000000332</c:v>
                </c:pt>
                <c:pt idx="52">
                  <c:v>92.693000000000339</c:v>
                </c:pt>
                <c:pt idx="53">
                  <c:v>92.804500000000345</c:v>
                </c:pt>
                <c:pt idx="54">
                  <c:v>92.916000000000352</c:v>
                </c:pt>
                <c:pt idx="55">
                  <c:v>93.027500000000359</c:v>
                </c:pt>
                <c:pt idx="56">
                  <c:v>93.139000000000365</c:v>
                </c:pt>
                <c:pt idx="57">
                  <c:v>93.250500000000372</c:v>
                </c:pt>
                <c:pt idx="58">
                  <c:v>93.362000000000378</c:v>
                </c:pt>
                <c:pt idx="59">
                  <c:v>93.473500000000385</c:v>
                </c:pt>
                <c:pt idx="60">
                  <c:v>93.585000000000392</c:v>
                </c:pt>
                <c:pt idx="61">
                  <c:v>93.696500000000398</c:v>
                </c:pt>
                <c:pt idx="62">
                  <c:v>93.808000000000405</c:v>
                </c:pt>
                <c:pt idx="63">
                  <c:v>93.919500000000411</c:v>
                </c:pt>
                <c:pt idx="64">
                  <c:v>94.031000000000418</c:v>
                </c:pt>
              </c:numCache>
            </c:numRef>
          </c:xVal>
          <c:yVal>
            <c:numRef>
              <c:f>'Descripción grafica RD'!$I$34:$I$98</c:f>
              <c:numCache>
                <c:formatCode>0.0000000</c:formatCode>
                <c:ptCount val="65"/>
                <c:pt idx="0">
                  <c:v>3.9747519389578649E-3</c:v>
                </c:pt>
                <c:pt idx="1">
                  <c:v>5.3385940984537845E-3</c:v>
                </c:pt>
                <c:pt idx="2">
                  <c:v>7.0990597156773477E-3</c:v>
                </c:pt>
                <c:pt idx="3">
                  <c:v>9.3461298784063927E-3</c:v>
                </c:pt>
                <c:pt idx="4">
                  <c:v>1.2182035187162776E-2</c:v>
                </c:pt>
                <c:pt idx="5">
                  <c:v>1.572044887315684E-2</c:v>
                </c:pt>
                <c:pt idx="6">
                  <c:v>2.0084780533493145E-2</c:v>
                </c:pt>
                <c:pt idx="7">
                  <c:v>2.5405415014891415E-2</c:v>
                </c:pt>
                <c:pt idx="8">
                  <c:v>3.1815778337430677E-2</c:v>
                </c:pt>
                <c:pt idx="9">
                  <c:v>3.9447171282898832E-2</c:v>
                </c:pt>
                <c:pt idx="10">
                  <c:v>4.8422391491654303E-2</c:v>
                </c:pt>
                <c:pt idx="11">
                  <c:v>5.8848264371914649E-2</c:v>
                </c:pt>
                <c:pt idx="12">
                  <c:v>7.0807316861797642E-2</c:v>
                </c:pt>
                <c:pt idx="13">
                  <c:v>8.4348948320089143E-2</c:v>
                </c:pt>
                <c:pt idx="14">
                  <c:v>9.9480569219256007E-2</c:v>
                </c:pt>
                <c:pt idx="15">
                  <c:v>0.11615927862413378</c:v>
                </c:pt>
                <c:pt idx="16">
                  <c:v>0.13428472254328691</c:v>
                </c:pt>
                <c:pt idx="17">
                  <c:v>0.1536938045272018</c:v>
                </c:pt>
                <c:pt idx="18">
                  <c:v>0.1741578968459534</c:v>
                </c:pt>
                <c:pt idx="19">
                  <c:v>0.19538311841486788</c:v>
                </c:pt>
                <c:pt idx="20">
                  <c:v>0.21701410270777777</c:v>
                </c:pt>
                <c:pt idx="21">
                  <c:v>0.23864147972985184</c:v>
                </c:pt>
                <c:pt idx="22">
                  <c:v>0.25981305180404768</c:v>
                </c:pt>
                <c:pt idx="23">
                  <c:v>0.28004837073254824</c:v>
                </c:pt>
                <c:pt idx="24">
                  <c:v>0.29885614609132571</c:v>
                </c:pt>
                <c:pt idx="25">
                  <c:v>0.31575365629087504</c:v>
                </c:pt>
                <c:pt idx="26">
                  <c:v>0.33028712134829252</c:v>
                </c:pt>
                <c:pt idx="27">
                  <c:v>0.3420518524309798</c:v>
                </c:pt>
                <c:pt idx="28">
                  <c:v>0.35071093630086897</c:v>
                </c:pt>
                <c:pt idx="29">
                  <c:v>0.35601125334261763</c:v>
                </c:pt>
                <c:pt idx="30">
                  <c:v>0.35779576717617284</c:v>
                </c:pt>
                <c:pt idx="31">
                  <c:v>0.35601125334260492</c:v>
                </c:pt>
                <c:pt idx="32">
                  <c:v>0.35071093630084399</c:v>
                </c:pt>
                <c:pt idx="33">
                  <c:v>0.34205185243094322</c:v>
                </c:pt>
                <c:pt idx="34">
                  <c:v>0.33028712134824534</c:v>
                </c:pt>
                <c:pt idx="35">
                  <c:v>0.3157536562908187</c:v>
                </c:pt>
                <c:pt idx="36">
                  <c:v>0.29885614609126177</c:v>
                </c:pt>
                <c:pt idx="37">
                  <c:v>0.28004837073247824</c:v>
                </c:pt>
                <c:pt idx="38">
                  <c:v>0.25981305180397352</c:v>
                </c:pt>
                <c:pt idx="39">
                  <c:v>0.23864147972977523</c:v>
                </c:pt>
                <c:pt idx="40">
                  <c:v>0.21701410270770036</c:v>
                </c:pt>
                <c:pt idx="41">
                  <c:v>0.19538311841479122</c:v>
                </c:pt>
                <c:pt idx="42">
                  <c:v>0.17415789684587879</c:v>
                </c:pt>
                <c:pt idx="43">
                  <c:v>0.15369380452713047</c:v>
                </c:pt>
                <c:pt idx="44">
                  <c:v>0.13428472254321983</c:v>
                </c:pt>
                <c:pt idx="45">
                  <c:v>0.11615927862407162</c:v>
                </c:pt>
                <c:pt idx="46">
                  <c:v>9.9480569219199205E-2</c:v>
                </c:pt>
                <c:pt idx="47">
                  <c:v>8.4348948320037948E-2</c:v>
                </c:pt>
                <c:pt idx="48">
                  <c:v>7.0807316861752179E-2</c:v>
                </c:pt>
                <c:pt idx="49">
                  <c:v>5.8848264371874737E-2</c:v>
                </c:pt>
                <c:pt idx="50">
                  <c:v>4.8422391491619754E-2</c:v>
                </c:pt>
                <c:pt idx="51">
                  <c:v>3.9447171282869294E-2</c:v>
                </c:pt>
                <c:pt idx="52">
                  <c:v>3.181577833740571E-2</c:v>
                </c:pt>
                <c:pt idx="53">
                  <c:v>2.5405415014870553E-2</c:v>
                </c:pt>
                <c:pt idx="54">
                  <c:v>2.008478053347593E-2</c:v>
                </c:pt>
                <c:pt idx="55">
                  <c:v>1.572044887314281E-2</c:v>
                </c:pt>
                <c:pt idx="56">
                  <c:v>1.2182035187151464E-2</c:v>
                </c:pt>
                <c:pt idx="57">
                  <c:v>9.3461298783973808E-3</c:v>
                </c:pt>
                <c:pt idx="58">
                  <c:v>7.0990597156702605E-3</c:v>
                </c:pt>
                <c:pt idx="59">
                  <c:v>5.3385940984482655E-3</c:v>
                </c:pt>
                <c:pt idx="60">
                  <c:v>3.9747519389536105E-3</c:v>
                </c:pt>
                <c:pt idx="61">
                  <c:v>2.929882561610996E-3</c:v>
                </c:pt>
                <c:pt idx="62">
                  <c:v>2.1381956963785085E-3</c:v>
                </c:pt>
                <c:pt idx="63">
                  <c:v>1.5449048780731445E-3</c:v>
                </c:pt>
                <c:pt idx="64">
                  <c:v>1.1051292990775143E-3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28-43F5-AE31-6258DB14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59599"/>
        <c:axId val="531048367"/>
      </c:scatterChart>
      <c:valAx>
        <c:axId val="81893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31061679"/>
        <c:crosses val="autoZero"/>
        <c:crossBetween val="midCat"/>
      </c:valAx>
      <c:valAx>
        <c:axId val="53106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818934799"/>
        <c:crosses val="autoZero"/>
        <c:crossBetween val="midCat"/>
      </c:valAx>
      <c:valAx>
        <c:axId val="531048367"/>
        <c:scaling>
          <c:orientation val="minMax"/>
        </c:scaling>
        <c:delete val="0"/>
        <c:axPos val="r"/>
        <c:numFmt formatCode="0.000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31059599"/>
        <c:crosses val="max"/>
        <c:crossBetween val="midCat"/>
      </c:valAx>
      <c:valAx>
        <c:axId val="531059599"/>
        <c:scaling>
          <c:orientation val="minMax"/>
        </c:scaling>
        <c:delete val="1"/>
        <c:axPos val="b"/>
        <c:numFmt formatCode="_(* #,##0_);_(* \(#,##0\);_(* &quot;-&quot;_);_(@_)" sourceLinked="1"/>
        <c:majorTickMark val="out"/>
        <c:minorTickMark val="none"/>
        <c:tickLblPos val="nextTo"/>
        <c:crossAx val="531048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3962371475547587E-2"/>
          <c:y val="0.79929574517592983"/>
          <c:w val="0.92895238129357083"/>
          <c:h val="0.17896420247228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69837468217055E-2"/>
          <c:y val="3.4770116515979568E-2"/>
          <c:w val="0.94315601647863456"/>
          <c:h val="0.69701976500287088"/>
        </c:manualLayout>
      </c:layout>
      <c:scatterChart>
        <c:scatterStyle val="lineMarker"/>
        <c:varyColors val="0"/>
        <c:ser>
          <c:idx val="1"/>
          <c:order val="0"/>
          <c:tx>
            <c:strRef>
              <c:f>'Descripción grafica RD'!$S$25</c:f>
              <c:strCache>
                <c:ptCount val="1"/>
                <c:pt idx="0">
                  <c:v>LT inf.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 RD'!$S$26:$S$30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'Descripción grafica RD'!$O$26:$O$30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D5-43E4-A2EE-64F5E4D74E64}"/>
            </c:ext>
          </c:extLst>
        </c:ser>
        <c:ser>
          <c:idx val="2"/>
          <c:order val="2"/>
          <c:tx>
            <c:strRef>
              <c:f>'Descripción grafica RD'!$Q$25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'Descripción grafica RD'!$U$17</c:f>
                <c:numCache>
                  <c:formatCode>General</c:formatCode>
                  <c:ptCount val="1"/>
                  <c:pt idx="0">
                    <c:v>0.16</c:v>
                  </c:pt>
                </c:numCache>
              </c:numRef>
            </c:plus>
            <c:minus>
              <c:numRef>
                <c:f>'Descripción grafica RD'!$U$18</c:f>
                <c:numCache>
                  <c:formatCode>General</c:formatCode>
                  <c:ptCount val="1"/>
                  <c:pt idx="0">
                    <c:v>0.16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'Descripción grafica RD'!$Q$28</c:f>
              <c:numCache>
                <c:formatCode>General</c:formatCode>
                <c:ptCount val="1"/>
                <c:pt idx="0">
                  <c:v>4.8099999999999996</c:v>
                </c:pt>
              </c:numCache>
            </c:numRef>
          </c:xVal>
          <c:yVal>
            <c:numRef>
              <c:f>'Descripción grafica RD'!$O$28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D5-43E4-A2EE-64F5E4D74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4"/>
          <c:order val="1"/>
          <c:tx>
            <c:strRef>
              <c:f>'Descripción grafica RD'!$U$25</c:f>
              <c:strCache>
                <c:ptCount val="1"/>
                <c:pt idx="0">
                  <c:v>LA inf.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 RD'!$U$26:$U$30</c:f>
              <c:numCache>
                <c:formatCode>General</c:formatCode>
                <c:ptCount val="5"/>
                <c:pt idx="0">
                  <c:v>5.1920000000000002</c:v>
                </c:pt>
                <c:pt idx="1">
                  <c:v>5.1920000000000002</c:v>
                </c:pt>
                <c:pt idx="2">
                  <c:v>5.1920000000000002</c:v>
                </c:pt>
                <c:pt idx="3">
                  <c:v>5.1920000000000002</c:v>
                </c:pt>
                <c:pt idx="4">
                  <c:v>5.1920000000000002</c:v>
                </c:pt>
              </c:numCache>
            </c:numRef>
          </c:xVal>
          <c:yVal>
            <c:numRef>
              <c:f>'Descripción grafica RD'!$O$26:$O$30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D5-43E4-A2EE-64F5E4D74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3"/>
          <c:order val="3"/>
          <c:tx>
            <c:strRef>
              <c:f>'Descripción grafica RD'!$P$33</c:f>
              <c:strCache>
                <c:ptCount val="1"/>
                <c:pt idx="0">
                  <c:v>P(Y)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'Descripción grafica RD'!$O$34:$O$98</c:f>
              <c:numCache>
                <c:formatCode>_(* #,##0_);_(* \(#,##0\);_(* "-"_);_(@_)</c:formatCode>
                <c:ptCount val="65"/>
                <c:pt idx="0">
                  <c:v>4.5699999999999994</c:v>
                </c:pt>
                <c:pt idx="1">
                  <c:v>4.5779999999999994</c:v>
                </c:pt>
                <c:pt idx="2">
                  <c:v>4.5859999999999994</c:v>
                </c:pt>
                <c:pt idx="3">
                  <c:v>4.5939999999999994</c:v>
                </c:pt>
                <c:pt idx="4">
                  <c:v>4.6019999999999994</c:v>
                </c:pt>
                <c:pt idx="5">
                  <c:v>4.6099999999999994</c:v>
                </c:pt>
                <c:pt idx="6">
                  <c:v>4.6179999999999994</c:v>
                </c:pt>
                <c:pt idx="7">
                  <c:v>4.6259999999999994</c:v>
                </c:pt>
                <c:pt idx="8">
                  <c:v>4.6339999999999995</c:v>
                </c:pt>
                <c:pt idx="9">
                  <c:v>4.6419999999999995</c:v>
                </c:pt>
                <c:pt idx="10">
                  <c:v>4.6499999999999995</c:v>
                </c:pt>
                <c:pt idx="11">
                  <c:v>4.6579999999999995</c:v>
                </c:pt>
                <c:pt idx="12">
                  <c:v>4.6659999999999995</c:v>
                </c:pt>
                <c:pt idx="13">
                  <c:v>4.6739999999999995</c:v>
                </c:pt>
                <c:pt idx="14">
                  <c:v>4.6819999999999995</c:v>
                </c:pt>
                <c:pt idx="15">
                  <c:v>4.6899999999999995</c:v>
                </c:pt>
                <c:pt idx="16">
                  <c:v>4.6979999999999995</c:v>
                </c:pt>
                <c:pt idx="17">
                  <c:v>4.7059999999999995</c:v>
                </c:pt>
                <c:pt idx="18">
                  <c:v>4.7139999999999995</c:v>
                </c:pt>
                <c:pt idx="19">
                  <c:v>4.7219999999999995</c:v>
                </c:pt>
                <c:pt idx="20">
                  <c:v>4.7299999999999995</c:v>
                </c:pt>
                <c:pt idx="21">
                  <c:v>4.7379999999999995</c:v>
                </c:pt>
                <c:pt idx="22">
                  <c:v>4.7459999999999996</c:v>
                </c:pt>
                <c:pt idx="23">
                  <c:v>4.7539999999999996</c:v>
                </c:pt>
                <c:pt idx="24">
                  <c:v>4.7619999999999996</c:v>
                </c:pt>
                <c:pt idx="25">
                  <c:v>4.7699999999999996</c:v>
                </c:pt>
                <c:pt idx="26">
                  <c:v>4.7779999999999996</c:v>
                </c:pt>
                <c:pt idx="27">
                  <c:v>4.7859999999999996</c:v>
                </c:pt>
                <c:pt idx="28">
                  <c:v>4.7939999999999996</c:v>
                </c:pt>
                <c:pt idx="29">
                  <c:v>4.8019999999999996</c:v>
                </c:pt>
                <c:pt idx="30">
                  <c:v>4.8099999999999996</c:v>
                </c:pt>
                <c:pt idx="31">
                  <c:v>4.8179999999999996</c:v>
                </c:pt>
                <c:pt idx="32">
                  <c:v>4.8259999999999996</c:v>
                </c:pt>
                <c:pt idx="33">
                  <c:v>4.8339999999999996</c:v>
                </c:pt>
                <c:pt idx="34">
                  <c:v>4.8419999999999996</c:v>
                </c:pt>
                <c:pt idx="35">
                  <c:v>4.8499999999999996</c:v>
                </c:pt>
                <c:pt idx="36">
                  <c:v>4.8579999999999997</c:v>
                </c:pt>
                <c:pt idx="37">
                  <c:v>4.8659999999999997</c:v>
                </c:pt>
                <c:pt idx="38">
                  <c:v>4.8739999999999997</c:v>
                </c:pt>
                <c:pt idx="39">
                  <c:v>4.8819999999999997</c:v>
                </c:pt>
                <c:pt idx="40">
                  <c:v>4.8899999999999997</c:v>
                </c:pt>
                <c:pt idx="41">
                  <c:v>4.8979999999999997</c:v>
                </c:pt>
                <c:pt idx="42">
                  <c:v>4.9059999999999997</c:v>
                </c:pt>
                <c:pt idx="43">
                  <c:v>4.9139999999999997</c:v>
                </c:pt>
                <c:pt idx="44">
                  <c:v>4.9219999999999997</c:v>
                </c:pt>
                <c:pt idx="45">
                  <c:v>4.93</c:v>
                </c:pt>
                <c:pt idx="46">
                  <c:v>4.9379999999999997</c:v>
                </c:pt>
                <c:pt idx="47">
                  <c:v>4.9459999999999997</c:v>
                </c:pt>
                <c:pt idx="48">
                  <c:v>4.9539999999999997</c:v>
                </c:pt>
                <c:pt idx="49">
                  <c:v>4.9619999999999997</c:v>
                </c:pt>
                <c:pt idx="50">
                  <c:v>4.97</c:v>
                </c:pt>
                <c:pt idx="51">
                  <c:v>4.9779999999999998</c:v>
                </c:pt>
                <c:pt idx="52">
                  <c:v>4.9859999999999998</c:v>
                </c:pt>
                <c:pt idx="53">
                  <c:v>4.9939999999999998</c:v>
                </c:pt>
                <c:pt idx="54">
                  <c:v>5.0019999999999998</c:v>
                </c:pt>
                <c:pt idx="55">
                  <c:v>5.01</c:v>
                </c:pt>
                <c:pt idx="56">
                  <c:v>5.0179999999999998</c:v>
                </c:pt>
                <c:pt idx="57">
                  <c:v>5.0259999999999998</c:v>
                </c:pt>
                <c:pt idx="58">
                  <c:v>5.0339999999999998</c:v>
                </c:pt>
                <c:pt idx="59">
                  <c:v>5.0419999999999998</c:v>
                </c:pt>
                <c:pt idx="60">
                  <c:v>5.05</c:v>
                </c:pt>
                <c:pt idx="61">
                  <c:v>5.0579999999999998</c:v>
                </c:pt>
                <c:pt idx="62">
                  <c:v>5.0659999999999998</c:v>
                </c:pt>
                <c:pt idx="63">
                  <c:v>5.0739999999999998</c:v>
                </c:pt>
                <c:pt idx="64">
                  <c:v>5.0819999999999999</c:v>
                </c:pt>
              </c:numCache>
            </c:numRef>
          </c:xVal>
          <c:yVal>
            <c:numRef>
              <c:f>'Descripción grafica RD'!$P$34:$P$98</c:f>
              <c:numCache>
                <c:formatCode>0.0000000</c:formatCode>
                <c:ptCount val="65"/>
                <c:pt idx="0">
                  <c:v>5.539810514922465E-2</c:v>
                </c:pt>
                <c:pt idx="1">
                  <c:v>7.4406655247197639E-2</c:v>
                </c:pt>
                <c:pt idx="2">
                  <c:v>9.8943144787248832E-2</c:v>
                </c:pt>
                <c:pt idx="3">
                  <c:v>0.13026168518028158</c:v>
                </c:pt>
                <c:pt idx="4">
                  <c:v>0.1697871154210692</c:v>
                </c:pt>
                <c:pt idx="5">
                  <c:v>0.21910375616960556</c:v>
                </c:pt>
                <c:pt idx="6">
                  <c:v>0.27993162868553478</c:v>
                </c:pt>
                <c:pt idx="7">
                  <c:v>0.35408797177001294</c:v>
                </c:pt>
                <c:pt idx="8">
                  <c:v>0.44343241057789101</c:v>
                </c:pt>
                <c:pt idx="9">
                  <c:v>0.54979494975533771</c:v>
                </c:pt>
                <c:pt idx="10">
                  <c:v>0.67488708141484821</c:v>
                </c:pt>
                <c:pt idx="11">
                  <c:v>0.82019768468345489</c:v>
                </c:pt>
                <c:pt idx="12">
                  <c:v>0.98687697876117431</c:v>
                </c:pt>
                <c:pt idx="13">
                  <c:v>1.1756134672110836</c:v>
                </c:pt>
                <c:pt idx="14">
                  <c:v>1.3865104334931915</c:v>
                </c:pt>
                <c:pt idx="15">
                  <c:v>1.6189699458236435</c:v>
                </c:pt>
                <c:pt idx="16">
                  <c:v>1.8715933204468076</c:v>
                </c:pt>
                <c:pt idx="17">
                  <c:v>2.1421074005975886</c:v>
                </c:pt>
                <c:pt idx="18">
                  <c:v>2.4273256872901587</c:v>
                </c:pt>
                <c:pt idx="19">
                  <c:v>2.723152212906879</c:v>
                </c:pt>
                <c:pt idx="20">
                  <c:v>3.0246340564892895</c:v>
                </c:pt>
                <c:pt idx="21">
                  <c:v>3.3260656237344333</c:v>
                </c:pt>
                <c:pt idx="22">
                  <c:v>3.6211444095185326</c:v>
                </c:pt>
                <c:pt idx="23">
                  <c:v>3.9031741670845137</c:v>
                </c:pt>
                <c:pt idx="24">
                  <c:v>4.1653075361474947</c:v>
                </c:pt>
                <c:pt idx="25">
                  <c:v>4.400816584553743</c:v>
                </c:pt>
                <c:pt idx="26">
                  <c:v>4.6033767537915411</c:v>
                </c:pt>
                <c:pt idx="27">
                  <c:v>4.7673476932565508</c:v>
                </c:pt>
                <c:pt idx="28">
                  <c:v>4.8880336746931983</c:v>
                </c:pt>
                <c:pt idx="29">
                  <c:v>4.9619068434626472</c:v>
                </c:pt>
                <c:pt idx="30">
                  <c:v>4.9867785050179085</c:v>
                </c:pt>
                <c:pt idx="31">
                  <c:v>4.9619068434626472</c:v>
                </c:pt>
                <c:pt idx="32">
                  <c:v>4.8880336746931983</c:v>
                </c:pt>
                <c:pt idx="33">
                  <c:v>4.7673476932565508</c:v>
                </c:pt>
                <c:pt idx="34">
                  <c:v>4.6033767537915411</c:v>
                </c:pt>
                <c:pt idx="35">
                  <c:v>4.400816584553743</c:v>
                </c:pt>
                <c:pt idx="36">
                  <c:v>4.1653075361474947</c:v>
                </c:pt>
                <c:pt idx="37">
                  <c:v>3.9031741670845137</c:v>
                </c:pt>
                <c:pt idx="38">
                  <c:v>3.6211444095185326</c:v>
                </c:pt>
                <c:pt idx="39">
                  <c:v>3.3260656237344333</c:v>
                </c:pt>
                <c:pt idx="40">
                  <c:v>3.0246340564892895</c:v>
                </c:pt>
                <c:pt idx="41">
                  <c:v>2.723152212906879</c:v>
                </c:pt>
                <c:pt idx="42">
                  <c:v>2.4273256872901587</c:v>
                </c:pt>
                <c:pt idx="43">
                  <c:v>2.1421074005975886</c:v>
                </c:pt>
                <c:pt idx="44">
                  <c:v>1.8715933204468076</c:v>
                </c:pt>
                <c:pt idx="45">
                  <c:v>1.6189699458236435</c:v>
                </c:pt>
                <c:pt idx="46">
                  <c:v>1.3865104334931915</c:v>
                </c:pt>
                <c:pt idx="47">
                  <c:v>1.1756134672110836</c:v>
                </c:pt>
                <c:pt idx="48">
                  <c:v>0.98687697876117431</c:v>
                </c:pt>
                <c:pt idx="49">
                  <c:v>0.82019768468345489</c:v>
                </c:pt>
                <c:pt idx="50">
                  <c:v>0.67488708141484821</c:v>
                </c:pt>
                <c:pt idx="51">
                  <c:v>0.54979494975533771</c:v>
                </c:pt>
                <c:pt idx="52">
                  <c:v>0.44343241057789101</c:v>
                </c:pt>
                <c:pt idx="53">
                  <c:v>0.35408797177001294</c:v>
                </c:pt>
                <c:pt idx="54">
                  <c:v>0.27993162868553478</c:v>
                </c:pt>
                <c:pt idx="55">
                  <c:v>0.21910375616960556</c:v>
                </c:pt>
                <c:pt idx="56">
                  <c:v>0.1697871154210692</c:v>
                </c:pt>
                <c:pt idx="57">
                  <c:v>0.13026168518028158</c:v>
                </c:pt>
                <c:pt idx="58">
                  <c:v>9.8943144787248832E-2</c:v>
                </c:pt>
                <c:pt idx="59">
                  <c:v>7.4406655247197639E-2</c:v>
                </c:pt>
                <c:pt idx="60">
                  <c:v>5.539810514922465E-2</c:v>
                </c:pt>
                <c:pt idx="61">
                  <c:v>4.083523820249866E-2</c:v>
                </c:pt>
                <c:pt idx="62">
                  <c:v>2.9801102518310269E-2</c:v>
                </c:pt>
                <c:pt idx="63">
                  <c:v>2.1532111738170785E-2</c:v>
                </c:pt>
                <c:pt idx="64">
                  <c:v>1.5402739605912583E-2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D5-43E4-A2EE-64F5E4D74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59599"/>
        <c:axId val="531048367"/>
      </c:scatterChart>
      <c:valAx>
        <c:axId val="81893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31061679"/>
        <c:crosses val="autoZero"/>
        <c:crossBetween val="midCat"/>
      </c:valAx>
      <c:valAx>
        <c:axId val="53106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818934799"/>
        <c:crosses val="autoZero"/>
        <c:crossBetween val="midCat"/>
      </c:valAx>
      <c:valAx>
        <c:axId val="531048367"/>
        <c:scaling>
          <c:orientation val="minMax"/>
        </c:scaling>
        <c:delete val="0"/>
        <c:axPos val="r"/>
        <c:numFmt formatCode="0.000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31059599"/>
        <c:crosses val="max"/>
        <c:crossBetween val="midCat"/>
      </c:valAx>
      <c:valAx>
        <c:axId val="531059599"/>
        <c:scaling>
          <c:orientation val="minMax"/>
        </c:scaling>
        <c:delete val="1"/>
        <c:axPos val="b"/>
        <c:numFmt formatCode="_(* #,##0_);_(* \(#,##0\);_(* &quot;-&quot;_);_(@_)" sourceLinked="1"/>
        <c:majorTickMark val="out"/>
        <c:minorTickMark val="none"/>
        <c:tickLblPos val="nextTo"/>
        <c:crossAx val="531048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3962371475547587E-2"/>
          <c:y val="0.79929574517592983"/>
          <c:w val="0.92895238129357083"/>
          <c:h val="0.17896420247228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22075</xdr:colOff>
      <xdr:row>19</xdr:row>
      <xdr:rowOff>41697</xdr:rowOff>
    </xdr:from>
    <xdr:to>
      <xdr:col>6</xdr:col>
      <xdr:colOff>858975</xdr:colOff>
      <xdr:row>36</xdr:row>
      <xdr:rowOff>9999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9FB3096-2683-4FC9-AD5E-8E51D86E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54284</xdr:colOff>
      <xdr:row>19</xdr:row>
      <xdr:rowOff>77519</xdr:rowOff>
    </xdr:from>
    <xdr:to>
      <xdr:col>13</xdr:col>
      <xdr:colOff>865909</xdr:colOff>
      <xdr:row>36</xdr:row>
      <xdr:rowOff>25822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6BB2D05-DFEA-4309-869F-4EE504548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66654</xdr:colOff>
      <xdr:row>19</xdr:row>
      <xdr:rowOff>65149</xdr:rowOff>
    </xdr:from>
    <xdr:to>
      <xdr:col>20</xdr:col>
      <xdr:colOff>804060</xdr:colOff>
      <xdr:row>36</xdr:row>
      <xdr:rowOff>13452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A1C57A1-235C-48B4-9E57-CB1AAD56B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365635</xdr:colOff>
      <xdr:row>24</xdr:row>
      <xdr:rowOff>66866</xdr:rowOff>
    </xdr:from>
    <xdr:to>
      <xdr:col>6</xdr:col>
      <xdr:colOff>1202535</xdr:colOff>
      <xdr:row>41</xdr:row>
      <xdr:rowOff>115566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3619D6-477F-4FF1-9B19-FC68BAD47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299713</xdr:colOff>
      <xdr:row>24</xdr:row>
      <xdr:rowOff>77580</xdr:rowOff>
    </xdr:from>
    <xdr:to>
      <xdr:col>13</xdr:col>
      <xdr:colOff>1123407</xdr:colOff>
      <xdr:row>41</xdr:row>
      <xdr:rowOff>48958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04ADC7-1E9B-49DE-A965-3519068DD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332751</xdr:colOff>
      <xdr:row>24</xdr:row>
      <xdr:rowOff>96898</xdr:rowOff>
    </xdr:from>
    <xdr:to>
      <xdr:col>20</xdr:col>
      <xdr:colOff>1070157</xdr:colOff>
      <xdr:row>41</xdr:row>
      <xdr:rowOff>66367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75B9D6-3D9E-48A1-A308-8DFBC2A33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149680</xdr:colOff>
      <xdr:row>0</xdr:row>
      <xdr:rowOff>136072</xdr:rowOff>
    </xdr:from>
    <xdr:to>
      <xdr:col>2</xdr:col>
      <xdr:colOff>666750</xdr:colOff>
      <xdr:row>3</xdr:row>
      <xdr:rowOff>40822</xdr:rowOff>
    </xdr:to>
    <xdr:sp macro="[0]!Macro1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11ED18E8-E339-660D-4875-2CBA58A50258}"/>
            </a:ext>
          </a:extLst>
        </xdr:cNvPr>
        <xdr:cNvSpPr/>
      </xdr:nvSpPr>
      <xdr:spPr>
        <a:xfrm>
          <a:off x="353787" y="136072"/>
          <a:ext cx="1768927" cy="476250"/>
        </a:xfrm>
        <a:prstGeom prst="round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latin typeface="Arial Narrow" panose="020B0606020202030204" pitchFamily="34" charset="0"/>
            </a:rPr>
            <a:t>Borrar</a:t>
          </a:r>
        </a:p>
      </xdr:txBody>
    </xdr:sp>
    <xdr:clientData/>
  </xdr:twoCellAnchor>
  <xdr:twoCellAnchor>
    <xdr:from>
      <xdr:col>1</xdr:col>
      <xdr:colOff>136072</xdr:colOff>
      <xdr:row>3</xdr:row>
      <xdr:rowOff>163287</xdr:rowOff>
    </xdr:from>
    <xdr:to>
      <xdr:col>2</xdr:col>
      <xdr:colOff>666750</xdr:colOff>
      <xdr:row>7</xdr:row>
      <xdr:rowOff>122465</xdr:rowOff>
    </xdr:to>
    <xdr:sp macro="[0]!ph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6272906F-9B63-4EA2-78E6-3CD480336283}"/>
            </a:ext>
          </a:extLst>
        </xdr:cNvPr>
        <xdr:cNvSpPr/>
      </xdr:nvSpPr>
      <xdr:spPr>
        <a:xfrm>
          <a:off x="340179" y="734787"/>
          <a:ext cx="1782535" cy="721178"/>
        </a:xfrm>
        <a:prstGeom prst="round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800" b="1">
              <a:latin typeface="Arial Narrow" panose="020B0606020202030204" pitchFamily="34" charset="0"/>
            </a:rPr>
            <a:t>Ejemplo:</a:t>
          </a:r>
          <a:r>
            <a:rPr lang="es-CO" sz="1800" b="1" baseline="0">
              <a:latin typeface="Arial Narrow" panose="020B0606020202030204" pitchFamily="34" charset="0"/>
            </a:rPr>
            <a:t> pH, R.0631/2015</a:t>
          </a:r>
          <a:endParaRPr lang="es-CO" sz="18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40821</xdr:colOff>
      <xdr:row>3</xdr:row>
      <xdr:rowOff>136072</xdr:rowOff>
    </xdr:from>
    <xdr:to>
      <xdr:col>9</xdr:col>
      <xdr:colOff>571498</xdr:colOff>
      <xdr:row>7</xdr:row>
      <xdr:rowOff>95250</xdr:rowOff>
    </xdr:to>
    <xdr:sp macro="[0]!Ecoli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E76CD3E7-0113-44D5-AD32-6F5500849BE7}"/>
            </a:ext>
          </a:extLst>
        </xdr:cNvPr>
        <xdr:cNvSpPr/>
      </xdr:nvSpPr>
      <xdr:spPr>
        <a:xfrm>
          <a:off x="7130142" y="707572"/>
          <a:ext cx="1782535" cy="721178"/>
        </a:xfrm>
        <a:prstGeom prst="round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800" b="1">
              <a:latin typeface="Arial Narrow" panose="020B0606020202030204" pitchFamily="34" charset="0"/>
            </a:rPr>
            <a:t>Ejemplo:</a:t>
          </a:r>
          <a:r>
            <a:rPr lang="es-CO" sz="1800" b="1" baseline="0">
              <a:latin typeface="Arial Narrow" panose="020B0606020202030204" pitchFamily="34" charset="0"/>
            </a:rPr>
            <a:t> E. Coli, D.1076/2015</a:t>
          </a:r>
          <a:endParaRPr lang="es-CO" sz="18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710291</xdr:colOff>
      <xdr:row>3</xdr:row>
      <xdr:rowOff>138794</xdr:rowOff>
    </xdr:from>
    <xdr:to>
      <xdr:col>11</xdr:col>
      <xdr:colOff>97969</xdr:colOff>
      <xdr:row>7</xdr:row>
      <xdr:rowOff>97972</xdr:rowOff>
    </xdr:to>
    <xdr:sp macro="[0]!AireMP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944CA557-D9CB-46D6-A6AA-364BF6C5D870}"/>
            </a:ext>
          </a:extLst>
        </xdr:cNvPr>
        <xdr:cNvSpPr/>
      </xdr:nvSpPr>
      <xdr:spPr>
        <a:xfrm>
          <a:off x="9051470" y="710294"/>
          <a:ext cx="1782535" cy="721178"/>
        </a:xfrm>
        <a:prstGeom prst="round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800" b="1">
              <a:latin typeface="Arial Narrow" panose="020B0606020202030204" pitchFamily="34" charset="0"/>
            </a:rPr>
            <a:t>Ejemplo:</a:t>
          </a:r>
          <a:r>
            <a:rPr lang="es-CO" sz="1800" b="1" baseline="0">
              <a:latin typeface="Arial Narrow" panose="020B0606020202030204" pitchFamily="34" charset="0"/>
            </a:rPr>
            <a:t> MP, R.0909/2008</a:t>
          </a:r>
          <a:endParaRPr lang="es-CO" sz="18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54428</xdr:colOff>
      <xdr:row>3</xdr:row>
      <xdr:rowOff>122464</xdr:rowOff>
    </xdr:from>
    <xdr:to>
      <xdr:col>16</xdr:col>
      <xdr:colOff>585106</xdr:colOff>
      <xdr:row>7</xdr:row>
      <xdr:rowOff>81642</xdr:rowOff>
    </xdr:to>
    <xdr:sp macro="[0]!Oxigeno" textlink="">
      <xdr:nvSpPr>
        <xdr:cNvPr id="11" name="Rectángulo: esquinas redondeadas 10">
          <a:extLst>
            <a:ext uri="{FF2B5EF4-FFF2-40B4-BE49-F238E27FC236}">
              <a16:creationId xmlns:a16="http://schemas.microsoft.com/office/drawing/2014/main" id="{5F547D74-E47C-482A-8724-7232388281A5}"/>
            </a:ext>
          </a:extLst>
        </xdr:cNvPr>
        <xdr:cNvSpPr/>
      </xdr:nvSpPr>
      <xdr:spPr>
        <a:xfrm>
          <a:off x="14015357" y="693964"/>
          <a:ext cx="1782535" cy="721178"/>
        </a:xfrm>
        <a:prstGeom prst="round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800" b="1">
              <a:latin typeface="Arial Narrow" panose="020B0606020202030204" pitchFamily="34" charset="0"/>
            </a:rPr>
            <a:t>Ejemplo:</a:t>
          </a:r>
          <a:r>
            <a:rPr lang="es-CO" sz="1800" b="1" baseline="0">
              <a:latin typeface="Arial Narrow" panose="020B0606020202030204" pitchFamily="34" charset="0"/>
            </a:rPr>
            <a:t> O</a:t>
          </a:r>
          <a:r>
            <a:rPr lang="es-CO" sz="1400" b="1" baseline="0">
              <a:latin typeface="Arial Narrow" panose="020B0606020202030204" pitchFamily="34" charset="0"/>
            </a:rPr>
            <a:t>2</a:t>
          </a:r>
          <a:r>
            <a:rPr lang="es-CO" sz="1800" b="1" baseline="0">
              <a:latin typeface="Arial Narrow" panose="020B0606020202030204" pitchFamily="34" charset="0"/>
            </a:rPr>
            <a:t>, </a:t>
          </a:r>
          <a:r>
            <a:rPr lang="es-CO" sz="1600" b="1" baseline="0">
              <a:latin typeface="Arial Narrow" panose="020B0606020202030204" pitchFamily="34" charset="0"/>
            </a:rPr>
            <a:t>Objetivo de calidad</a:t>
          </a:r>
          <a:endParaRPr lang="es-CO" sz="18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258536</xdr:colOff>
      <xdr:row>3</xdr:row>
      <xdr:rowOff>122464</xdr:rowOff>
    </xdr:from>
    <xdr:to>
      <xdr:col>13</xdr:col>
      <xdr:colOff>435428</xdr:colOff>
      <xdr:row>7</xdr:row>
      <xdr:rowOff>81642</xdr:rowOff>
    </xdr:to>
    <xdr:sp macro="[0]!Ruido" textlink="">
      <xdr:nvSpPr>
        <xdr:cNvPr id="12" name="Rectángulo: esquinas redondeadas 11">
          <a:extLst>
            <a:ext uri="{FF2B5EF4-FFF2-40B4-BE49-F238E27FC236}">
              <a16:creationId xmlns:a16="http://schemas.microsoft.com/office/drawing/2014/main" id="{8209C5F3-CEAB-46A1-B8E6-930CD0640BAE}"/>
            </a:ext>
          </a:extLst>
        </xdr:cNvPr>
        <xdr:cNvSpPr/>
      </xdr:nvSpPr>
      <xdr:spPr>
        <a:xfrm>
          <a:off x="10994572" y="693964"/>
          <a:ext cx="1782535" cy="721178"/>
        </a:xfrm>
        <a:prstGeom prst="round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800" b="1">
              <a:latin typeface="Arial Narrow" panose="020B0606020202030204" pitchFamily="34" charset="0"/>
            </a:rPr>
            <a:t>Ejemplo:</a:t>
          </a:r>
          <a:r>
            <a:rPr lang="es-CO" sz="1800" b="1" baseline="0">
              <a:latin typeface="Arial Narrow" panose="020B0606020202030204" pitchFamily="34" charset="0"/>
            </a:rPr>
            <a:t> Ruido, R.0627/2006</a:t>
          </a:r>
          <a:endParaRPr lang="es-CO" sz="1800" b="1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6239-CF3D-470E-9EB4-E8EEFD5E8FF0}">
  <sheetPr codeName="Hoja1"/>
  <dimension ref="A6:U97"/>
  <sheetViews>
    <sheetView view="pageBreakPreview" topLeftCell="A8" zoomScale="90" zoomScaleNormal="77" zoomScaleSheetLayoutView="90" workbookViewId="0">
      <selection activeCell="P13" sqref="P13:U13"/>
    </sheetView>
  </sheetViews>
  <sheetFormatPr baseColWidth="10" defaultColWidth="11.5703125" defaultRowHeight="15" x14ac:dyDescent="0.25"/>
  <cols>
    <col min="1" max="1" width="5.85546875" style="1" customWidth="1"/>
    <col min="2" max="2" width="13.85546875" style="1" customWidth="1"/>
    <col min="3" max="3" width="13.28515625" style="1" customWidth="1"/>
    <col min="4" max="4" width="18.85546875" style="1" customWidth="1"/>
    <col min="5" max="6" width="11.5703125" style="1"/>
    <col min="7" max="7" width="13.140625" style="1" customWidth="1"/>
    <col min="8" max="8" width="5.85546875" style="1" customWidth="1"/>
    <col min="9" max="9" width="13.85546875" style="1" customWidth="1"/>
    <col min="10" max="10" width="13.28515625" style="1" customWidth="1"/>
    <col min="11" max="11" width="18.85546875" style="1" customWidth="1"/>
    <col min="12" max="13" width="11.5703125" style="1"/>
    <col min="14" max="14" width="13.140625" style="1" customWidth="1"/>
    <col min="15" max="15" width="5.85546875" style="1" customWidth="1"/>
    <col min="16" max="16" width="13.85546875" style="1" customWidth="1"/>
    <col min="17" max="17" width="13.28515625" style="1" customWidth="1"/>
    <col min="18" max="18" width="18.85546875" style="1" customWidth="1"/>
    <col min="19" max="20" width="11.5703125" style="1"/>
    <col min="21" max="21" width="13.140625" style="1" customWidth="1"/>
    <col min="22" max="22" width="6.85546875" style="1" customWidth="1"/>
    <col min="23" max="16384" width="11.5703125" style="1"/>
  </cols>
  <sheetData>
    <row r="6" spans="2:21" ht="38.25" customHeight="1" x14ac:dyDescent="0.25">
      <c r="B6" s="89" t="s">
        <v>0</v>
      </c>
      <c r="C6" s="90"/>
      <c r="D6" s="90"/>
      <c r="E6" s="90"/>
      <c r="F6" s="90"/>
      <c r="G6" s="91"/>
      <c r="I6" s="108" t="s">
        <v>1</v>
      </c>
      <c r="J6" s="109"/>
      <c r="K6" s="109"/>
      <c r="L6" s="109"/>
      <c r="M6" s="109"/>
      <c r="N6" s="110"/>
      <c r="P6" s="108" t="s">
        <v>2</v>
      </c>
      <c r="Q6" s="109"/>
      <c r="R6" s="109"/>
      <c r="S6" s="109"/>
      <c r="T6" s="109"/>
      <c r="U6" s="110"/>
    </row>
    <row r="7" spans="2:21" ht="16.5" x14ac:dyDescent="0.3">
      <c r="B7" s="94" t="s">
        <v>3</v>
      </c>
      <c r="C7" s="92"/>
      <c r="D7" s="92"/>
      <c r="E7" s="92" t="s">
        <v>4</v>
      </c>
      <c r="F7" s="92"/>
      <c r="G7" s="93"/>
      <c r="I7" s="94" t="s">
        <v>3</v>
      </c>
      <c r="J7" s="92"/>
      <c r="K7" s="92"/>
      <c r="L7" s="92" t="s">
        <v>4</v>
      </c>
      <c r="M7" s="92"/>
      <c r="N7" s="93"/>
      <c r="P7" s="94" t="s">
        <v>3</v>
      </c>
      <c r="Q7" s="92"/>
      <c r="R7" s="92"/>
      <c r="S7" s="92" t="s">
        <v>4</v>
      </c>
      <c r="T7" s="92"/>
      <c r="U7" s="93"/>
    </row>
    <row r="8" spans="2:21" ht="36.75" customHeight="1" x14ac:dyDescent="0.25">
      <c r="B8" s="87" t="s">
        <v>5</v>
      </c>
      <c r="C8" s="88"/>
      <c r="D8" s="2" t="s">
        <v>6</v>
      </c>
      <c r="E8" s="88" t="s">
        <v>7</v>
      </c>
      <c r="F8" s="88"/>
      <c r="G8" s="29">
        <f>IF(D8="si",1,3)</f>
        <v>3</v>
      </c>
      <c r="I8" s="87" t="s">
        <v>5</v>
      </c>
      <c r="J8" s="88"/>
      <c r="K8" s="2" t="s">
        <v>8</v>
      </c>
      <c r="L8" s="88" t="s">
        <v>7</v>
      </c>
      <c r="M8" s="88"/>
      <c r="N8" s="29">
        <f>IF(K8="si",1,3)</f>
        <v>1</v>
      </c>
      <c r="P8" s="87" t="s">
        <v>5</v>
      </c>
      <c r="Q8" s="88"/>
      <c r="R8" s="2" t="s">
        <v>8</v>
      </c>
      <c r="S8" s="88" t="s">
        <v>7</v>
      </c>
      <c r="T8" s="88"/>
      <c r="U8" s="29">
        <f>IF(R8="si",1,3)</f>
        <v>1</v>
      </c>
    </row>
    <row r="9" spans="2:21" ht="36.75" customHeight="1" x14ac:dyDescent="0.25">
      <c r="B9" s="87" t="s">
        <v>9</v>
      </c>
      <c r="C9" s="88"/>
      <c r="D9" s="2">
        <v>10</v>
      </c>
      <c r="E9" s="88" t="s">
        <v>10</v>
      </c>
      <c r="F9" s="88"/>
      <c r="G9" s="29">
        <f>D9-G11</f>
        <v>8.8000000000000007</v>
      </c>
      <c r="I9" s="87" t="s">
        <v>9</v>
      </c>
      <c r="J9" s="88"/>
      <c r="K9" s="2">
        <v>20</v>
      </c>
      <c r="L9" s="88" t="s">
        <v>10</v>
      </c>
      <c r="M9" s="88"/>
      <c r="N9" s="29">
        <f>K9-N11</f>
        <v>16.5</v>
      </c>
      <c r="P9" s="112" t="s">
        <v>9</v>
      </c>
      <c r="Q9" s="111"/>
      <c r="R9" s="4" t="s">
        <v>11</v>
      </c>
      <c r="S9" s="111" t="s">
        <v>10</v>
      </c>
      <c r="T9" s="111"/>
      <c r="U9" s="31" t="s">
        <v>11</v>
      </c>
    </row>
    <row r="10" spans="2:21" ht="36.75" customHeight="1" x14ac:dyDescent="0.25">
      <c r="B10" s="87" t="s">
        <v>12</v>
      </c>
      <c r="C10" s="88"/>
      <c r="D10" s="2">
        <v>5</v>
      </c>
      <c r="E10" s="88" t="s">
        <v>13</v>
      </c>
      <c r="F10" s="88"/>
      <c r="G10" s="29">
        <f>D10+G11</f>
        <v>6.2</v>
      </c>
      <c r="I10" s="112" t="s">
        <v>12</v>
      </c>
      <c r="J10" s="111"/>
      <c r="K10" s="4" t="s">
        <v>11</v>
      </c>
      <c r="L10" s="111" t="s">
        <v>13</v>
      </c>
      <c r="M10" s="111"/>
      <c r="N10" s="31" t="s">
        <v>11</v>
      </c>
      <c r="P10" s="87" t="s">
        <v>12</v>
      </c>
      <c r="Q10" s="88"/>
      <c r="R10" s="2">
        <v>1.5</v>
      </c>
      <c r="S10" s="88" t="s">
        <v>13</v>
      </c>
      <c r="T10" s="88"/>
      <c r="U10" s="29">
        <f>R10+U11</f>
        <v>2.1</v>
      </c>
    </row>
    <row r="11" spans="2:21" ht="36.75" customHeight="1" x14ac:dyDescent="0.25">
      <c r="B11" s="87" t="s">
        <v>14</v>
      </c>
      <c r="C11" s="88"/>
      <c r="D11" s="2">
        <v>12</v>
      </c>
      <c r="E11" s="88" t="s">
        <v>15</v>
      </c>
      <c r="F11" s="88"/>
      <c r="G11" s="29">
        <f>D12*G8</f>
        <v>1.2000000000000002</v>
      </c>
      <c r="I11" s="87" t="s">
        <v>14</v>
      </c>
      <c r="J11" s="88"/>
      <c r="K11" s="2">
        <v>26.806999999999999</v>
      </c>
      <c r="L11" s="88" t="s">
        <v>15</v>
      </c>
      <c r="M11" s="88"/>
      <c r="N11" s="29">
        <f>K12*N8</f>
        <v>3.5</v>
      </c>
      <c r="P11" s="87" t="s">
        <v>14</v>
      </c>
      <c r="Q11" s="88"/>
      <c r="R11" s="2">
        <v>2.1</v>
      </c>
      <c r="S11" s="88" t="s">
        <v>15</v>
      </c>
      <c r="T11" s="88"/>
      <c r="U11" s="29">
        <f>R12*U8</f>
        <v>0.6</v>
      </c>
    </row>
    <row r="12" spans="2:21" ht="16.5" customHeight="1" x14ac:dyDescent="0.25">
      <c r="B12" s="87" t="s">
        <v>16</v>
      </c>
      <c r="C12" s="88"/>
      <c r="D12" s="2">
        <v>0.4</v>
      </c>
      <c r="E12" s="88" t="s">
        <v>17</v>
      </c>
      <c r="F12" s="88"/>
      <c r="G12" s="36">
        <f>D12/D15</f>
        <v>0.2</v>
      </c>
      <c r="I12" s="87" t="s">
        <v>16</v>
      </c>
      <c r="J12" s="88"/>
      <c r="K12" s="2">
        <v>3.5</v>
      </c>
      <c r="L12" s="88" t="s">
        <v>17</v>
      </c>
      <c r="M12" s="88"/>
      <c r="N12" s="36">
        <f>K12/K15</f>
        <v>1.75</v>
      </c>
      <c r="P12" s="87" t="s">
        <v>16</v>
      </c>
      <c r="Q12" s="88"/>
      <c r="R12" s="2">
        <v>0.6</v>
      </c>
      <c r="S12" s="88" t="s">
        <v>17</v>
      </c>
      <c r="T12" s="88"/>
      <c r="U12" s="36">
        <f>R12/R15</f>
        <v>0.3</v>
      </c>
    </row>
    <row r="13" spans="2:21" ht="20.25" customHeight="1" x14ac:dyDescent="0.25">
      <c r="B13" s="87" t="s">
        <v>18</v>
      </c>
      <c r="C13" s="88"/>
      <c r="D13" s="37"/>
      <c r="E13" s="88" t="s">
        <v>17</v>
      </c>
      <c r="F13" s="88"/>
      <c r="G13" s="36"/>
      <c r="I13" s="87" t="s">
        <v>18</v>
      </c>
      <c r="J13" s="88"/>
      <c r="K13" s="37"/>
      <c r="L13" s="88" t="s">
        <v>17</v>
      </c>
      <c r="M13" s="88"/>
      <c r="N13" s="36"/>
      <c r="P13" s="87" t="s">
        <v>18</v>
      </c>
      <c r="Q13" s="88"/>
      <c r="R13" s="37"/>
      <c r="S13" s="88" t="s">
        <v>17</v>
      </c>
      <c r="T13" s="88"/>
      <c r="U13" s="36"/>
    </row>
    <row r="14" spans="2:21" ht="16.5" customHeight="1" x14ac:dyDescent="0.25">
      <c r="B14" s="87" t="s">
        <v>19</v>
      </c>
      <c r="C14" s="88"/>
      <c r="D14" s="3" t="s">
        <v>20</v>
      </c>
      <c r="E14" s="88" t="s">
        <v>21</v>
      </c>
      <c r="F14" s="88"/>
      <c r="G14" s="36">
        <f>G12/10</f>
        <v>0.02</v>
      </c>
      <c r="I14" s="87" t="s">
        <v>19</v>
      </c>
      <c r="J14" s="88"/>
      <c r="K14" s="3" t="s">
        <v>20</v>
      </c>
      <c r="L14" s="88" t="s">
        <v>21</v>
      </c>
      <c r="M14" s="88"/>
      <c r="N14" s="36">
        <f>N12/10</f>
        <v>0.17499999999999999</v>
      </c>
      <c r="P14" s="87" t="s">
        <v>19</v>
      </c>
      <c r="Q14" s="88"/>
      <c r="R14" s="3" t="s">
        <v>20</v>
      </c>
      <c r="S14" s="88" t="s">
        <v>21</v>
      </c>
      <c r="T14" s="88"/>
      <c r="U14" s="36">
        <f>U12/10</f>
        <v>0.03</v>
      </c>
    </row>
    <row r="15" spans="2:21" ht="16.5" customHeight="1" x14ac:dyDescent="0.25">
      <c r="B15" s="87" t="s">
        <v>22</v>
      </c>
      <c r="C15" s="88"/>
      <c r="D15" s="3">
        <v>2</v>
      </c>
      <c r="E15" s="88" t="s">
        <v>23</v>
      </c>
      <c r="F15" s="88"/>
      <c r="G15" s="30">
        <f>_xlfn.NORM.DIST(D11+D12,D11,G12,TRUE)-_xlfn.NORM.DIST(D11-D12,D11,G12,TRUE)</f>
        <v>0.9544997361036418</v>
      </c>
      <c r="I15" s="87" t="s">
        <v>22</v>
      </c>
      <c r="J15" s="88"/>
      <c r="K15" s="3">
        <v>2</v>
      </c>
      <c r="L15" s="88" t="s">
        <v>23</v>
      </c>
      <c r="M15" s="88"/>
      <c r="N15" s="30">
        <f>_xlfn.NORM.DIST(K11+K12,K11,N12,TRUE)-_xlfn.NORM.DIST(K11-K12,K11,N12,TRUE)</f>
        <v>0.95449973610364158</v>
      </c>
      <c r="P15" s="87" t="s">
        <v>22</v>
      </c>
      <c r="Q15" s="88"/>
      <c r="R15" s="3">
        <v>2</v>
      </c>
      <c r="S15" s="88" t="s">
        <v>23</v>
      </c>
      <c r="T15" s="88"/>
      <c r="U15" s="30">
        <f>_xlfn.NORM.DIST(R11+R12,R11,U12,TRUE)-_xlfn.NORM.DIST(R11-R12,R11,U12,TRUE)</f>
        <v>0.95449973610364158</v>
      </c>
    </row>
    <row r="16" spans="2:21" ht="21" customHeight="1" x14ac:dyDescent="0.25">
      <c r="B16" s="95" t="s">
        <v>24</v>
      </c>
      <c r="C16" s="96"/>
      <c r="D16" s="96"/>
      <c r="E16" s="96"/>
      <c r="F16" s="96"/>
      <c r="G16" s="97"/>
      <c r="I16" s="95" t="s">
        <v>24</v>
      </c>
      <c r="J16" s="96"/>
      <c r="K16" s="96"/>
      <c r="L16" s="96"/>
      <c r="M16" s="96"/>
      <c r="N16" s="97"/>
      <c r="P16" s="95" t="s">
        <v>24</v>
      </c>
      <c r="Q16" s="96"/>
      <c r="R16" s="96"/>
      <c r="S16" s="96"/>
      <c r="T16" s="96"/>
      <c r="U16" s="97"/>
    </row>
    <row r="17" spans="1:21" ht="34.5" customHeight="1" x14ac:dyDescent="0.25">
      <c r="B17" s="102" t="s">
        <v>25</v>
      </c>
      <c r="C17" s="103"/>
      <c r="D17" s="106" t="str">
        <f>IF(AND((_xlfn.NORM.DIST(D9,D11,G12,TRUE)-_xlfn.NORM.DIST(D10,D11,G12,TRUE))&gt;=0.9999,(_xlfn.NORM.DIST(D9,D11,G12,TRUE)-_xlfn.NORM.DIST(D10,D11,G12,TRUE))&lt;1),"&gt;99,99%",IF(AND((_xlfn.NORM.DIST(D9,D11,G12,TRUE)-_xlfn.NORM.DIST(D10,D11,G12,TRUE))&lt;=0.0001,(_xlfn.NORM.DIST(D9,D11,G12,TRUE)-_xlfn.NORM.DIST(D10,D11,G12,TRUE))&gt;0),"&lt;0,01%",(_xlfn.NORM.DIST(D9,D11,G12,TRUE)-_xlfn.NORM.DIST(D10,D11,G12,TRUE))))</f>
        <v>&lt;0,01%</v>
      </c>
      <c r="E17" s="100" t="s">
        <v>26</v>
      </c>
      <c r="F17" s="100"/>
      <c r="G17" s="98" t="str" cm="1">
        <f t="array" ref="G17">_xlfn.IFS(OR(_xlfn.IFS(D11&lt;G9,"Conforme",AND(D11&lt;=D9,D11&gt;=G9),"Conforme, condicionado",D11&gt;D9,"No conforme")="No conforme",_xlfn.IFS(D11&gt;G10,"Conforme",AND(D11&gt;=D10,D11&lt;=G10),"Conforme, condicionado",D11&lt;D10,"No conforme")="No conforme"),"No conforme",OR(_xlfn.IFS(D11&lt;G9,"Conforme",AND(D11&lt;=D9,D11&gt;=G9),"Conforme, condicionado",D11&gt;D9,"No conforme")="Conforme, condicionado",_xlfn.IFS(D11&gt;G10,"Conforme",AND(D11&gt;=D10,D11&lt;=G10),"Conforme, condicionado",D11&lt;D10,"No conforme")="Conforme, condicionado"),"Conforme, condicionado",AND(_xlfn.IFS(D11&lt;G9,"Conforme",AND(D11&lt;=D9,D11&gt;=G9),"Conforme, condicionado",D11&gt;D9,"No conforme")="Conforme",_xlfn.IFS(D11&gt;G10,"Conforme",AND(D11&gt;=D10,D11&lt;=G10),"Conforme, condicionado",D11&lt;D10,"No conforme")="Conforme"),"Conforme")</f>
        <v>No conforme</v>
      </c>
      <c r="I17" s="102" t="s">
        <v>27</v>
      </c>
      <c r="J17" s="103"/>
      <c r="K17" s="116" t="str">
        <f>IF(AND(_xlfn.NORM.DIST(K9,K11,N12,TRUE)&gt;=0.9999,_xlfn.NORM.DIST(K9,K11,N12,TRUE)&lt;1),"&gt;99,99%",IF(AND(_xlfn.NORM.DIST(K9,K11,N12,TRUE)&lt;=0.0001,_xlfn.NORM.DIST(K9,K11,N12,TRUE)&gt;0),"&lt;0,01%",_xlfn.NORM.DIST(K9,K11,N12,TRUE)))</f>
        <v>&lt;0,01%</v>
      </c>
      <c r="L17" s="100" t="s">
        <v>28</v>
      </c>
      <c r="M17" s="100"/>
      <c r="N17" s="98" t="str" cm="1">
        <f t="array" ref="N17">_xlfn.IFS(K11&lt;N9,"Conforme",AND(K11&lt;=K9,K11&gt;=N9),"Conforme, condicionado",K11&gt;K9,"No conforme")</f>
        <v>No conforme</v>
      </c>
      <c r="P17" s="102" t="s">
        <v>29</v>
      </c>
      <c r="Q17" s="103"/>
      <c r="R17" s="106">
        <f>IF(AND(1-_xlfn.NORM.DIST(R10,R11,U12,TRUE)&gt;=0.9999,1-_xlfn.NORM.DIST(R10,R11,U12,TRUE)&lt;1),"&gt;99,99%",IF(AND(1-_xlfn.NORM.DIST(R10,R11,U12,TRUE)&lt;=0.0001,1-_xlfn.NORM.DIST(R10,R11,U12,TRUE)&gt;0),"&lt;0,01%",1-_xlfn.NORM.DIST(R10,R11,U12,TRUE)))</f>
        <v>0.97724986805182079</v>
      </c>
      <c r="S17" s="100" t="s">
        <v>30</v>
      </c>
      <c r="T17" s="100"/>
      <c r="U17" s="98" t="str" cm="1">
        <f t="array" ref="U17">_xlfn.IFS(R11&gt;U10,"Conforme",AND(R11&gt;=R10,R11&lt;=U10),"Conforme, condicionado",R11&lt;R10,"No conforme")</f>
        <v>Conforme, condicionado</v>
      </c>
    </row>
    <row r="18" spans="1:21" ht="34.5" customHeight="1" x14ac:dyDescent="0.25">
      <c r="B18" s="104"/>
      <c r="C18" s="105"/>
      <c r="D18" s="107"/>
      <c r="E18" s="101"/>
      <c r="F18" s="101"/>
      <c r="G18" s="99"/>
      <c r="I18" s="104"/>
      <c r="J18" s="105"/>
      <c r="K18" s="117"/>
      <c r="L18" s="101"/>
      <c r="M18" s="101"/>
      <c r="N18" s="99"/>
      <c r="P18" s="104"/>
      <c r="Q18" s="105"/>
      <c r="R18" s="107"/>
      <c r="S18" s="101"/>
      <c r="T18" s="101"/>
      <c r="U18" s="99"/>
    </row>
    <row r="19" spans="1:21" ht="21" customHeight="1" x14ac:dyDescent="0.25">
      <c r="B19" s="95" t="s">
        <v>31</v>
      </c>
      <c r="C19" s="96"/>
      <c r="D19" s="96"/>
      <c r="E19" s="96"/>
      <c r="F19" s="96"/>
      <c r="G19" s="97"/>
      <c r="I19" s="113" t="s">
        <v>31</v>
      </c>
      <c r="J19" s="114"/>
      <c r="K19" s="114"/>
      <c r="L19" s="114"/>
      <c r="M19" s="114"/>
      <c r="N19" s="115"/>
      <c r="P19" s="113" t="s">
        <v>31</v>
      </c>
      <c r="Q19" s="114"/>
      <c r="R19" s="114"/>
      <c r="S19" s="114"/>
      <c r="T19" s="114"/>
      <c r="U19" s="115"/>
    </row>
    <row r="20" spans="1:21" ht="16.5" x14ac:dyDescent="0.3">
      <c r="A20" s="32" t="s">
        <v>32</v>
      </c>
      <c r="B20" s="13" t="s">
        <v>33</v>
      </c>
      <c r="C20" s="5" t="s">
        <v>34</v>
      </c>
      <c r="D20" s="5" t="s">
        <v>35</v>
      </c>
      <c r="E20" s="5" t="s">
        <v>36</v>
      </c>
      <c r="F20" s="5" t="s">
        <v>37</v>
      </c>
      <c r="G20" s="14" t="s">
        <v>38</v>
      </c>
      <c r="H20" s="32" t="s">
        <v>32</v>
      </c>
      <c r="I20" s="13" t="s">
        <v>33</v>
      </c>
      <c r="J20" s="5" t="s">
        <v>34</v>
      </c>
      <c r="K20" s="5" t="s">
        <v>35</v>
      </c>
      <c r="L20" s="5" t="s">
        <v>36</v>
      </c>
      <c r="M20" s="5" t="s">
        <v>37</v>
      </c>
      <c r="N20" s="14" t="s">
        <v>38</v>
      </c>
      <c r="O20" s="32" t="s">
        <v>32</v>
      </c>
      <c r="P20" s="13" t="s">
        <v>33</v>
      </c>
      <c r="Q20" s="5" t="s">
        <v>34</v>
      </c>
      <c r="R20" s="5" t="s">
        <v>35</v>
      </c>
      <c r="S20" s="5" t="s">
        <v>36</v>
      </c>
      <c r="T20" s="5" t="s">
        <v>37</v>
      </c>
      <c r="U20" s="14" t="s">
        <v>38</v>
      </c>
    </row>
    <row r="21" spans="1:21" ht="17.25" customHeight="1" x14ac:dyDescent="0.3">
      <c r="A21" s="6">
        <v>0</v>
      </c>
      <c r="B21" s="15"/>
      <c r="C21" s="6"/>
      <c r="D21" s="6">
        <f t="shared" ref="D21:G22" si="0">D22</f>
        <v>10</v>
      </c>
      <c r="E21" s="6">
        <f t="shared" si="0"/>
        <v>5</v>
      </c>
      <c r="F21" s="6">
        <f t="shared" si="0"/>
        <v>8.8000000000000007</v>
      </c>
      <c r="G21" s="16">
        <f t="shared" si="0"/>
        <v>6.2</v>
      </c>
      <c r="H21" s="6">
        <v>0</v>
      </c>
      <c r="I21" s="15"/>
      <c r="J21" s="6"/>
      <c r="K21" s="6">
        <f t="shared" ref="K21:N22" si="1">K22</f>
        <v>20</v>
      </c>
      <c r="L21" s="6" t="str">
        <f t="shared" si="1"/>
        <v>N.A.</v>
      </c>
      <c r="M21" s="6">
        <f t="shared" si="1"/>
        <v>16.5</v>
      </c>
      <c r="N21" s="16" t="str">
        <f t="shared" si="1"/>
        <v>N.A.</v>
      </c>
      <c r="O21" s="6">
        <v>0</v>
      </c>
      <c r="P21" s="15"/>
      <c r="Q21" s="6"/>
      <c r="R21" s="6" t="str">
        <f t="shared" ref="R21:U22" si="2">R22</f>
        <v>N.A.</v>
      </c>
      <c r="S21" s="6">
        <f t="shared" si="2"/>
        <v>1.5</v>
      </c>
      <c r="T21" s="6" t="str">
        <f t="shared" si="2"/>
        <v>N.A.</v>
      </c>
      <c r="U21" s="16">
        <f t="shared" si="2"/>
        <v>2.1</v>
      </c>
    </row>
    <row r="22" spans="1:21" ht="17.25" customHeight="1" x14ac:dyDescent="0.3">
      <c r="A22" s="6">
        <v>2</v>
      </c>
      <c r="B22" s="17"/>
      <c r="C22" s="6"/>
      <c r="D22" s="6">
        <f t="shared" si="0"/>
        <v>10</v>
      </c>
      <c r="E22" s="6">
        <f t="shared" si="0"/>
        <v>5</v>
      </c>
      <c r="F22" s="6">
        <f t="shared" si="0"/>
        <v>8.8000000000000007</v>
      </c>
      <c r="G22" s="16">
        <f t="shared" si="0"/>
        <v>6.2</v>
      </c>
      <c r="H22" s="6">
        <v>2</v>
      </c>
      <c r="I22" s="17"/>
      <c r="J22" s="6"/>
      <c r="K22" s="6">
        <f t="shared" si="1"/>
        <v>20</v>
      </c>
      <c r="L22" s="6" t="str">
        <f t="shared" si="1"/>
        <v>N.A.</v>
      </c>
      <c r="M22" s="6">
        <f t="shared" si="1"/>
        <v>16.5</v>
      </c>
      <c r="N22" s="16" t="str">
        <f t="shared" si="1"/>
        <v>N.A.</v>
      </c>
      <c r="O22" s="6">
        <v>2</v>
      </c>
      <c r="P22" s="17"/>
      <c r="Q22" s="6"/>
      <c r="R22" s="6" t="str">
        <f t="shared" si="2"/>
        <v>N.A.</v>
      </c>
      <c r="S22" s="6">
        <f t="shared" si="2"/>
        <v>1.5</v>
      </c>
      <c r="T22" s="6" t="str">
        <f t="shared" si="2"/>
        <v>N.A.</v>
      </c>
      <c r="U22" s="16">
        <f t="shared" si="2"/>
        <v>2.1</v>
      </c>
    </row>
    <row r="23" spans="1:21" ht="16.5" x14ac:dyDescent="0.3">
      <c r="A23" s="6">
        <v>3</v>
      </c>
      <c r="B23" s="18">
        <f>G12</f>
        <v>0.2</v>
      </c>
      <c r="C23" s="7">
        <f>D11</f>
        <v>12</v>
      </c>
      <c r="D23" s="7">
        <f>D9</f>
        <v>10</v>
      </c>
      <c r="E23" s="7">
        <f>D10</f>
        <v>5</v>
      </c>
      <c r="F23" s="7">
        <f>G9</f>
        <v>8.8000000000000007</v>
      </c>
      <c r="G23" s="19">
        <f>G10</f>
        <v>6.2</v>
      </c>
      <c r="H23" s="6">
        <v>3</v>
      </c>
      <c r="I23" s="18">
        <f>N12</f>
        <v>1.75</v>
      </c>
      <c r="J23" s="7">
        <f>K11</f>
        <v>26.806999999999999</v>
      </c>
      <c r="K23" s="7">
        <f>K9</f>
        <v>20</v>
      </c>
      <c r="L23" s="7" t="str">
        <f>K10</f>
        <v>N.A.</v>
      </c>
      <c r="M23" s="7">
        <f>N9</f>
        <v>16.5</v>
      </c>
      <c r="N23" s="19" t="str">
        <f>N10</f>
        <v>N.A.</v>
      </c>
      <c r="O23" s="6">
        <v>3</v>
      </c>
      <c r="P23" s="18">
        <f>U12</f>
        <v>0.3</v>
      </c>
      <c r="Q23" s="7">
        <f>R11</f>
        <v>2.1</v>
      </c>
      <c r="R23" s="7" t="str">
        <f>R9</f>
        <v>N.A.</v>
      </c>
      <c r="S23" s="7">
        <f>R10</f>
        <v>1.5</v>
      </c>
      <c r="T23" s="7" t="str">
        <f>U9</f>
        <v>N.A.</v>
      </c>
      <c r="U23" s="19">
        <f>U10</f>
        <v>2.1</v>
      </c>
    </row>
    <row r="24" spans="1:21" ht="16.5" x14ac:dyDescent="0.3">
      <c r="A24" s="6">
        <v>4</v>
      </c>
      <c r="B24" s="17"/>
      <c r="C24" s="6"/>
      <c r="D24" s="6">
        <f t="shared" ref="D24:G25" si="3">D23</f>
        <v>10</v>
      </c>
      <c r="E24" s="6">
        <f t="shared" si="3"/>
        <v>5</v>
      </c>
      <c r="F24" s="6">
        <f t="shared" si="3"/>
        <v>8.8000000000000007</v>
      </c>
      <c r="G24" s="16">
        <f t="shared" si="3"/>
        <v>6.2</v>
      </c>
      <c r="H24" s="6">
        <v>4</v>
      </c>
      <c r="I24" s="17"/>
      <c r="J24" s="6"/>
      <c r="K24" s="6">
        <f t="shared" ref="K24:N25" si="4">K23</f>
        <v>20</v>
      </c>
      <c r="L24" s="6" t="str">
        <f t="shared" si="4"/>
        <v>N.A.</v>
      </c>
      <c r="M24" s="6">
        <f t="shared" si="4"/>
        <v>16.5</v>
      </c>
      <c r="N24" s="16" t="str">
        <f t="shared" si="4"/>
        <v>N.A.</v>
      </c>
      <c r="O24" s="6">
        <v>4</v>
      </c>
      <c r="P24" s="17"/>
      <c r="Q24" s="6"/>
      <c r="R24" s="6" t="str">
        <f t="shared" ref="R24:U25" si="5">R23</f>
        <v>N.A.</v>
      </c>
      <c r="S24" s="6">
        <f t="shared" si="5"/>
        <v>1.5</v>
      </c>
      <c r="T24" s="6" t="str">
        <f t="shared" si="5"/>
        <v>N.A.</v>
      </c>
      <c r="U24" s="16">
        <f t="shared" si="5"/>
        <v>2.1</v>
      </c>
    </row>
    <row r="25" spans="1:21" ht="16.5" x14ac:dyDescent="0.3">
      <c r="A25" s="6">
        <v>6</v>
      </c>
      <c r="B25" s="17"/>
      <c r="C25" s="6"/>
      <c r="D25" s="6">
        <f t="shared" si="3"/>
        <v>10</v>
      </c>
      <c r="E25" s="6">
        <f t="shared" si="3"/>
        <v>5</v>
      </c>
      <c r="F25" s="6">
        <f t="shared" si="3"/>
        <v>8.8000000000000007</v>
      </c>
      <c r="G25" s="16">
        <f t="shared" si="3"/>
        <v>6.2</v>
      </c>
      <c r="H25" s="6">
        <v>6</v>
      </c>
      <c r="I25" s="17"/>
      <c r="J25" s="6"/>
      <c r="K25" s="6">
        <f t="shared" si="4"/>
        <v>20</v>
      </c>
      <c r="L25" s="6" t="str">
        <f t="shared" si="4"/>
        <v>N.A.</v>
      </c>
      <c r="M25" s="6">
        <f t="shared" si="4"/>
        <v>16.5</v>
      </c>
      <c r="N25" s="16" t="str">
        <f t="shared" si="4"/>
        <v>N.A.</v>
      </c>
      <c r="O25" s="6">
        <v>6</v>
      </c>
      <c r="P25" s="17"/>
      <c r="Q25" s="6"/>
      <c r="R25" s="6" t="str">
        <f t="shared" si="5"/>
        <v>N.A.</v>
      </c>
      <c r="S25" s="6">
        <f t="shared" si="5"/>
        <v>1.5</v>
      </c>
      <c r="T25" s="6" t="str">
        <f t="shared" si="5"/>
        <v>N.A.</v>
      </c>
      <c r="U25" s="16">
        <f t="shared" si="5"/>
        <v>2.1</v>
      </c>
    </row>
    <row r="26" spans="1:21" ht="21" x14ac:dyDescent="0.35">
      <c r="A26" s="8" t="s">
        <v>39</v>
      </c>
      <c r="B26" s="20" t="s">
        <v>40</v>
      </c>
      <c r="C26" s="8" t="s">
        <v>41</v>
      </c>
      <c r="D26" s="8">
        <v>0</v>
      </c>
      <c r="E26" s="8" t="s">
        <v>42</v>
      </c>
      <c r="F26" s="8" t="s">
        <v>43</v>
      </c>
      <c r="G26" s="21" t="s">
        <v>44</v>
      </c>
      <c r="H26" s="8" t="s">
        <v>39</v>
      </c>
      <c r="I26" s="20" t="s">
        <v>40</v>
      </c>
      <c r="J26" s="8" t="s">
        <v>41</v>
      </c>
      <c r="K26" s="8">
        <v>0</v>
      </c>
      <c r="L26" s="8" t="s">
        <v>42</v>
      </c>
      <c r="M26" s="8" t="s">
        <v>43</v>
      </c>
      <c r="N26" s="21" t="s">
        <v>44</v>
      </c>
      <c r="O26" s="8" t="s">
        <v>39</v>
      </c>
      <c r="P26" s="20" t="s">
        <v>40</v>
      </c>
      <c r="Q26" s="8" t="s">
        <v>41</v>
      </c>
      <c r="R26" s="8">
        <v>0</v>
      </c>
      <c r="S26" s="8" t="s">
        <v>42</v>
      </c>
      <c r="T26" s="8" t="s">
        <v>43</v>
      </c>
      <c r="U26" s="21" t="s">
        <v>44</v>
      </c>
    </row>
    <row r="27" spans="1:21" ht="16.5" x14ac:dyDescent="0.3">
      <c r="A27" s="9">
        <f>$D$11+((-3)*$G$12)</f>
        <v>11.4</v>
      </c>
      <c r="B27" s="22">
        <f>$D$11+((-2)*$G$12)</f>
        <v>11.6</v>
      </c>
      <c r="C27" s="9">
        <f>$D$11+((-1)*$G$12)</f>
        <v>11.8</v>
      </c>
      <c r="D27" s="9">
        <f>$D$11+((0)*$G$12)</f>
        <v>12</v>
      </c>
      <c r="E27" s="9">
        <f>$D$11+((1)*$G$12)</f>
        <v>12.2</v>
      </c>
      <c r="F27" s="9">
        <f>$D$11+((2)*$G$12)</f>
        <v>12.4</v>
      </c>
      <c r="G27" s="23">
        <f>$D$11+((3)*$G$12)</f>
        <v>12.6</v>
      </c>
      <c r="H27" s="9">
        <f>$K$11+((-3)*$N$12)</f>
        <v>21.556999999999999</v>
      </c>
      <c r="I27" s="22">
        <f>$K$11+((-2)*$N$12)</f>
        <v>23.306999999999999</v>
      </c>
      <c r="J27" s="9">
        <f>$K$11+((-1)*$N$12)</f>
        <v>25.056999999999999</v>
      </c>
      <c r="K27" s="9">
        <f>$K$11+((0)*$N$12)</f>
        <v>26.806999999999999</v>
      </c>
      <c r="L27" s="9">
        <f>$K$11+((1)*$N$12)</f>
        <v>28.556999999999999</v>
      </c>
      <c r="M27" s="10">
        <f>$K$11+((2)*$N$12)</f>
        <v>30.306999999999999</v>
      </c>
      <c r="N27" s="16">
        <f>$K$11+((3)*$N$12)</f>
        <v>32.057000000000002</v>
      </c>
      <c r="O27" s="9">
        <f>$R$11+((-3)*$U$12)</f>
        <v>1.2000000000000002</v>
      </c>
      <c r="P27" s="22">
        <f>$R$11+((-2)*$U$12)</f>
        <v>1.5</v>
      </c>
      <c r="Q27" s="9">
        <f>$R$11+((-1)*$U$12)</f>
        <v>1.8</v>
      </c>
      <c r="R27" s="9">
        <f>$R$11+((0)*$U$12)</f>
        <v>2.1</v>
      </c>
      <c r="S27" s="9">
        <f>$R$11+((1)*$U$12)</f>
        <v>2.4</v>
      </c>
      <c r="T27" s="10">
        <f>$R$11+((2)*$U$12)</f>
        <v>2.7</v>
      </c>
      <c r="U27" s="16">
        <f>$R$11+((3)*$U$12)</f>
        <v>3</v>
      </c>
    </row>
    <row r="28" spans="1:21" ht="20.45" customHeight="1" x14ac:dyDescent="0.25">
      <c r="A28" s="33" t="s">
        <v>45</v>
      </c>
      <c r="B28" s="24" t="s">
        <v>46</v>
      </c>
      <c r="C28" s="10"/>
      <c r="D28" s="10"/>
      <c r="E28" s="10"/>
      <c r="F28" s="10"/>
      <c r="G28" s="23"/>
      <c r="H28" s="33" t="s">
        <v>45</v>
      </c>
      <c r="I28" s="24" t="s">
        <v>46</v>
      </c>
      <c r="J28" s="10"/>
      <c r="K28" s="10"/>
      <c r="L28" s="10"/>
      <c r="M28" s="10"/>
      <c r="N28" s="23"/>
      <c r="O28" s="33" t="s">
        <v>45</v>
      </c>
      <c r="P28" s="24" t="s">
        <v>46</v>
      </c>
      <c r="Q28" s="10"/>
      <c r="R28" s="10"/>
      <c r="S28" s="10"/>
      <c r="T28" s="10"/>
      <c r="U28" s="23"/>
    </row>
    <row r="29" spans="1:21" x14ac:dyDescent="0.25">
      <c r="A29" s="34">
        <f>A27</f>
        <v>11.4</v>
      </c>
      <c r="B29" s="25">
        <f t="shared" ref="B29:B60" si="6">_xlfn.NORM.DIST(A29,$D$11,$G$12,FALSE)</f>
        <v>2.2159242059690155E-2</v>
      </c>
      <c r="C29" s="10"/>
      <c r="D29" s="10"/>
      <c r="E29" s="10"/>
      <c r="F29" s="10"/>
      <c r="G29" s="23"/>
      <c r="H29" s="34">
        <f>H27</f>
        <v>21.556999999999999</v>
      </c>
      <c r="I29" s="25">
        <f>_xlfn.NORM.DIST(H29,$K$11,$N$12,FALSE)</f>
        <v>2.5324848068217186E-3</v>
      </c>
      <c r="J29" s="10"/>
      <c r="K29" s="10"/>
      <c r="L29" s="10"/>
      <c r="M29" s="10"/>
      <c r="N29" s="23"/>
      <c r="O29" s="34">
        <f>O27</f>
        <v>1.2000000000000002</v>
      </c>
      <c r="P29" s="25">
        <f>_xlfn.NORM.DIST(O29,$R$11,$U$12,FALSE)</f>
        <v>1.477282803979336E-2</v>
      </c>
      <c r="Q29" s="10"/>
      <c r="R29" s="10"/>
      <c r="S29" s="10"/>
      <c r="T29" s="10"/>
      <c r="U29" s="23"/>
    </row>
    <row r="30" spans="1:21" x14ac:dyDescent="0.25">
      <c r="A30" s="34">
        <f t="shared" ref="A30:A61" si="7">A29+$G$14</f>
        <v>11.42</v>
      </c>
      <c r="B30" s="25">
        <f t="shared" si="6"/>
        <v>2.9762662098879237E-2</v>
      </c>
      <c r="C30" s="10"/>
      <c r="D30" s="10"/>
      <c r="E30" s="10"/>
      <c r="F30" s="10"/>
      <c r="G30" s="23"/>
      <c r="H30" s="34">
        <f>H29+$N$14</f>
        <v>21.731999999999999</v>
      </c>
      <c r="I30" s="25">
        <f t="shared" ref="I30:I93" si="8">_xlfn.NORM.DIST(H30,$K$11,$N$12,FALSE)</f>
        <v>3.4014470970147792E-3</v>
      </c>
      <c r="J30" s="10"/>
      <c r="K30" s="10"/>
      <c r="L30" s="10"/>
      <c r="M30" s="10"/>
      <c r="N30" s="23"/>
      <c r="O30" s="34">
        <f>O29+$U$14</f>
        <v>1.2300000000000002</v>
      </c>
      <c r="P30" s="25">
        <f>_xlfn.NORM.DIST(O30,$R$11,$U$12,FALSE)</f>
        <v>1.9841774732586182E-2</v>
      </c>
      <c r="Q30" s="10"/>
      <c r="R30" s="10"/>
      <c r="S30" s="10"/>
      <c r="T30" s="10"/>
      <c r="U30" s="23"/>
    </row>
    <row r="31" spans="1:21" x14ac:dyDescent="0.25">
      <c r="A31" s="34">
        <f t="shared" si="7"/>
        <v>11.44</v>
      </c>
      <c r="B31" s="25">
        <f t="shared" si="6"/>
        <v>3.9577257914899536E-2</v>
      </c>
      <c r="C31" s="10"/>
      <c r="D31" s="10"/>
      <c r="E31" s="10"/>
      <c r="F31" s="10"/>
      <c r="G31" s="23"/>
      <c r="H31" s="34">
        <f t="shared" ref="H31:H93" si="9">H30+$N$14</f>
        <v>21.907</v>
      </c>
      <c r="I31" s="25">
        <f t="shared" si="8"/>
        <v>4.5231151902742732E-3</v>
      </c>
      <c r="J31" s="10"/>
      <c r="K31" s="10"/>
      <c r="L31" s="10"/>
      <c r="M31" s="10"/>
      <c r="N31" s="23"/>
      <c r="O31" s="34">
        <f t="shared" ref="O31:O93" si="10">O30+$U$14</f>
        <v>1.2600000000000002</v>
      </c>
      <c r="P31" s="25">
        <f t="shared" ref="P31:P93" si="11">_xlfn.NORM.DIST(O31,$R$11,$U$12,FALSE)</f>
        <v>2.6384838609933226E-2</v>
      </c>
      <c r="Q31" s="10"/>
      <c r="R31" s="10"/>
      <c r="S31" s="10"/>
      <c r="T31" s="10"/>
      <c r="U31" s="23"/>
    </row>
    <row r="32" spans="1:21" x14ac:dyDescent="0.25">
      <c r="A32" s="34">
        <f t="shared" si="7"/>
        <v>11.459999999999999</v>
      </c>
      <c r="B32" s="25">
        <f t="shared" si="6"/>
        <v>5.2104674072112327E-2</v>
      </c>
      <c r="C32" s="10"/>
      <c r="D32" s="10"/>
      <c r="E32" s="10"/>
      <c r="F32" s="10"/>
      <c r="G32" s="23"/>
      <c r="H32" s="34">
        <f t="shared" si="9"/>
        <v>22.082000000000001</v>
      </c>
      <c r="I32" s="25">
        <f t="shared" si="8"/>
        <v>5.954819893955788E-3</v>
      </c>
      <c r="J32" s="10"/>
      <c r="K32" s="10"/>
      <c r="L32" s="10"/>
      <c r="M32" s="10"/>
      <c r="N32" s="23"/>
      <c r="O32" s="34">
        <f t="shared" si="10"/>
        <v>1.2900000000000003</v>
      </c>
      <c r="P32" s="25">
        <f t="shared" si="11"/>
        <v>3.4736449381408678E-2</v>
      </c>
      <c r="Q32" s="10"/>
      <c r="R32" s="10"/>
      <c r="S32" s="10"/>
      <c r="T32" s="10"/>
      <c r="U32" s="23"/>
    </row>
    <row r="33" spans="1:21" x14ac:dyDescent="0.25">
      <c r="A33" s="34">
        <f t="shared" si="7"/>
        <v>11.479999999999999</v>
      </c>
      <c r="B33" s="25">
        <f t="shared" si="6"/>
        <v>6.7914846168426884E-2</v>
      </c>
      <c r="C33" s="10"/>
      <c r="D33" s="10"/>
      <c r="E33" s="10"/>
      <c r="F33" s="10"/>
      <c r="G33" s="23"/>
      <c r="H33" s="34">
        <f t="shared" si="9"/>
        <v>22.257000000000001</v>
      </c>
      <c r="I33" s="25">
        <f t="shared" si="8"/>
        <v>7.7616967049632451E-3</v>
      </c>
      <c r="J33" s="10"/>
      <c r="K33" s="10"/>
      <c r="L33" s="10"/>
      <c r="M33" s="10"/>
      <c r="N33" s="23"/>
      <c r="O33" s="34">
        <f t="shared" si="10"/>
        <v>1.3200000000000003</v>
      </c>
      <c r="P33" s="25">
        <f t="shared" si="11"/>
        <v>4.527656411228545E-2</v>
      </c>
      <c r="Q33" s="10"/>
      <c r="R33" s="10"/>
      <c r="S33" s="10"/>
      <c r="T33" s="10"/>
      <c r="U33" s="23"/>
    </row>
    <row r="34" spans="1:21" x14ac:dyDescent="0.25">
      <c r="A34" s="34">
        <f t="shared" si="7"/>
        <v>11.499999999999998</v>
      </c>
      <c r="B34" s="25">
        <f t="shared" si="6"/>
        <v>8.7641502467840735E-2</v>
      </c>
      <c r="C34" s="10"/>
      <c r="D34" s="10"/>
      <c r="E34" s="10"/>
      <c r="F34" s="10"/>
      <c r="G34" s="23"/>
      <c r="H34" s="34">
        <f t="shared" si="9"/>
        <v>22.432000000000002</v>
      </c>
      <c r="I34" s="25">
        <f t="shared" si="8"/>
        <v>1.0016171710610646E-2</v>
      </c>
      <c r="J34" s="10"/>
      <c r="K34" s="10"/>
      <c r="L34" s="10"/>
      <c r="M34" s="10"/>
      <c r="N34" s="23"/>
      <c r="O34" s="34">
        <f t="shared" si="10"/>
        <v>1.3500000000000003</v>
      </c>
      <c r="P34" s="25">
        <f t="shared" si="11"/>
        <v>5.8427668311895178E-2</v>
      </c>
      <c r="Q34" s="10"/>
      <c r="R34" s="10"/>
      <c r="S34" s="10"/>
      <c r="T34" s="10"/>
      <c r="U34" s="23"/>
    </row>
    <row r="35" spans="1:21" x14ac:dyDescent="0.25">
      <c r="A35" s="34">
        <f t="shared" si="7"/>
        <v>11.519999999999998</v>
      </c>
      <c r="B35" s="25">
        <f t="shared" si="6"/>
        <v>0.11197265147421152</v>
      </c>
      <c r="C35" s="10"/>
      <c r="D35" s="12"/>
      <c r="E35" s="10"/>
      <c r="F35" s="10"/>
      <c r="G35" s="23"/>
      <c r="H35" s="34">
        <f t="shared" si="9"/>
        <v>22.607000000000003</v>
      </c>
      <c r="I35" s="25">
        <f t="shared" si="8"/>
        <v>1.2796874454196009E-2</v>
      </c>
      <c r="J35" s="10"/>
      <c r="K35" s="12"/>
      <c r="L35" s="10"/>
      <c r="M35" s="10"/>
      <c r="N35" s="23"/>
      <c r="O35" s="34">
        <f t="shared" si="10"/>
        <v>1.3800000000000003</v>
      </c>
      <c r="P35" s="25">
        <f t="shared" si="11"/>
        <v>7.4648434316143097E-2</v>
      </c>
      <c r="Q35" s="10"/>
      <c r="R35" s="12"/>
      <c r="S35" s="10"/>
      <c r="T35" s="10"/>
      <c r="U35" s="23"/>
    </row>
    <row r="36" spans="1:21" ht="18" customHeight="1" x14ac:dyDescent="0.25">
      <c r="A36" s="34">
        <f t="shared" si="7"/>
        <v>11.539999999999997</v>
      </c>
      <c r="B36" s="25">
        <f t="shared" si="6"/>
        <v>0.14163518870800157</v>
      </c>
      <c r="C36" s="10"/>
      <c r="D36" s="10"/>
      <c r="E36" s="10"/>
      <c r="F36" s="10"/>
      <c r="G36" s="23"/>
      <c r="H36" s="34">
        <f t="shared" si="9"/>
        <v>22.782000000000004</v>
      </c>
      <c r="I36" s="25">
        <f t="shared" si="8"/>
        <v>1.6186878709486496E-2</v>
      </c>
      <c r="J36" s="10"/>
      <c r="K36" s="10"/>
      <c r="L36" s="10"/>
      <c r="M36" s="10"/>
      <c r="N36" s="23"/>
      <c r="O36" s="34">
        <f t="shared" si="10"/>
        <v>1.4100000000000004</v>
      </c>
      <c r="P36" s="25">
        <f t="shared" si="11"/>
        <v>9.4423459138670701E-2</v>
      </c>
      <c r="Q36" s="10"/>
      <c r="R36" s="10"/>
      <c r="S36" s="10"/>
      <c r="T36" s="10"/>
      <c r="U36" s="23"/>
    </row>
    <row r="37" spans="1:21" ht="18" customHeight="1" x14ac:dyDescent="0.25">
      <c r="A37" s="34">
        <f t="shared" si="7"/>
        <v>11.559999999999997</v>
      </c>
      <c r="B37" s="26">
        <f t="shared" si="6"/>
        <v>0.1773729642311512</v>
      </c>
      <c r="C37" s="27"/>
      <c r="D37" s="27"/>
      <c r="E37" s="27"/>
      <c r="F37" s="27"/>
      <c r="G37" s="28"/>
      <c r="H37" s="34">
        <f t="shared" si="9"/>
        <v>22.957000000000004</v>
      </c>
      <c r="I37" s="26">
        <f t="shared" si="8"/>
        <v>2.0271195912132403E-2</v>
      </c>
      <c r="J37" s="27"/>
      <c r="K37" s="27"/>
      <c r="L37" s="27"/>
      <c r="M37" s="27"/>
      <c r="N37" s="28"/>
      <c r="O37" s="34">
        <f t="shared" si="10"/>
        <v>1.4400000000000004</v>
      </c>
      <c r="P37" s="26">
        <f t="shared" si="11"/>
        <v>0.11824864282077162</v>
      </c>
      <c r="Q37" s="27"/>
      <c r="R37" s="27"/>
      <c r="S37" s="27"/>
      <c r="T37" s="27"/>
      <c r="U37" s="28"/>
    </row>
    <row r="38" spans="1:21" ht="18" customHeight="1" x14ac:dyDescent="0.25">
      <c r="A38" s="34">
        <f t="shared" si="7"/>
        <v>11.579999999999997</v>
      </c>
      <c r="B38" s="11">
        <f t="shared" si="6"/>
        <v>0.21991797990212797</v>
      </c>
      <c r="C38" s="10"/>
      <c r="D38" s="10"/>
      <c r="E38" s="10"/>
      <c r="F38" s="10"/>
      <c r="G38" s="10"/>
      <c r="H38" s="34">
        <f t="shared" si="9"/>
        <v>23.132000000000005</v>
      </c>
      <c r="I38" s="11">
        <f t="shared" si="8"/>
        <v>2.5133483417387154E-2</v>
      </c>
      <c r="J38" s="10"/>
      <c r="K38" s="10"/>
      <c r="L38" s="10"/>
      <c r="M38" s="10"/>
      <c r="N38" s="10"/>
      <c r="O38" s="34">
        <f t="shared" si="10"/>
        <v>1.4700000000000004</v>
      </c>
      <c r="P38" s="11">
        <f t="shared" si="11"/>
        <v>0.14661198660142424</v>
      </c>
      <c r="Q38" s="10"/>
      <c r="R38" s="10"/>
      <c r="S38" s="10"/>
      <c r="T38" s="10"/>
      <c r="U38" s="10"/>
    </row>
    <row r="39" spans="1:21" x14ac:dyDescent="0.25">
      <c r="A39" s="34">
        <f t="shared" si="7"/>
        <v>11.599999999999996</v>
      </c>
      <c r="B39" s="11">
        <f t="shared" si="6"/>
        <v>0.26995483256592973</v>
      </c>
      <c r="C39" s="10"/>
      <c r="D39" s="10"/>
      <c r="E39" s="10"/>
      <c r="F39" s="10"/>
      <c r="G39" s="10"/>
      <c r="H39" s="34">
        <f t="shared" si="9"/>
        <v>23.307000000000006</v>
      </c>
      <c r="I39" s="11">
        <f t="shared" si="8"/>
        <v>3.0851980864679135E-2</v>
      </c>
      <c r="J39" s="10"/>
      <c r="K39" s="10"/>
      <c r="L39" s="10"/>
      <c r="M39" s="10"/>
      <c r="N39" s="10"/>
      <c r="O39" s="34">
        <f t="shared" si="10"/>
        <v>1.5000000000000004</v>
      </c>
      <c r="P39" s="11">
        <f t="shared" si="11"/>
        <v>0.17996988837729391</v>
      </c>
      <c r="Q39" s="10"/>
      <c r="R39" s="10"/>
      <c r="S39" s="10"/>
      <c r="T39" s="10"/>
      <c r="U39" s="10"/>
    </row>
    <row r="40" spans="1:21" x14ac:dyDescent="0.25">
      <c r="A40" s="34">
        <f t="shared" si="7"/>
        <v>11.619999999999996</v>
      </c>
      <c r="B40" s="11">
        <f t="shared" si="6"/>
        <v>0.32807907387336949</v>
      </c>
      <c r="C40" s="10"/>
      <c r="D40" s="10"/>
      <c r="E40" s="10"/>
      <c r="F40" s="10"/>
      <c r="G40" s="10"/>
      <c r="H40" s="34">
        <f t="shared" si="9"/>
        <v>23.482000000000006</v>
      </c>
      <c r="I40" s="11">
        <f t="shared" si="8"/>
        <v>3.7494751299815519E-2</v>
      </c>
      <c r="J40" s="10"/>
      <c r="K40" s="10"/>
      <c r="L40" s="10"/>
      <c r="M40" s="10"/>
      <c r="N40" s="10"/>
      <c r="O40" s="34">
        <f t="shared" si="10"/>
        <v>1.5300000000000005</v>
      </c>
      <c r="P40" s="11">
        <f t="shared" si="11"/>
        <v>0.21871938258225584</v>
      </c>
      <c r="Q40" s="10"/>
      <c r="R40" s="10"/>
      <c r="S40" s="10"/>
      <c r="T40" s="10"/>
      <c r="U40" s="10"/>
    </row>
    <row r="41" spans="1:21" x14ac:dyDescent="0.25">
      <c r="A41" s="34">
        <f t="shared" si="7"/>
        <v>11.639999999999995</v>
      </c>
      <c r="B41" s="11">
        <f t="shared" si="6"/>
        <v>0.39475079150445391</v>
      </c>
      <c r="C41" s="10"/>
      <c r="D41" s="10"/>
      <c r="E41" s="10"/>
      <c r="F41" s="10"/>
      <c r="G41" s="10"/>
      <c r="H41" s="34">
        <f t="shared" si="9"/>
        <v>23.657000000000007</v>
      </c>
      <c r="I41" s="11">
        <f t="shared" si="8"/>
        <v>4.5114376171939911E-2</v>
      </c>
      <c r="J41" s="10"/>
      <c r="K41" s="10"/>
      <c r="L41" s="10"/>
      <c r="M41" s="10"/>
      <c r="N41" s="10"/>
      <c r="O41" s="34">
        <f t="shared" si="10"/>
        <v>1.5600000000000005</v>
      </c>
      <c r="P41" s="11">
        <f t="shared" si="11"/>
        <v>0.26316719433631452</v>
      </c>
      <c r="Q41" s="10"/>
      <c r="R41" s="10"/>
      <c r="S41" s="10"/>
      <c r="T41" s="10"/>
      <c r="U41" s="10"/>
    </row>
    <row r="42" spans="1:21" x14ac:dyDescent="0.25">
      <c r="A42" s="34">
        <f t="shared" si="7"/>
        <v>11.659999999999995</v>
      </c>
      <c r="B42" s="11">
        <f t="shared" si="6"/>
        <v>0.47024538688441392</v>
      </c>
      <c r="C42" s="10"/>
      <c r="D42" s="10"/>
      <c r="E42" s="10"/>
      <c r="F42" s="10"/>
      <c r="G42" s="10"/>
      <c r="H42" s="34">
        <f t="shared" si="9"/>
        <v>23.832000000000008</v>
      </c>
      <c r="I42" s="11">
        <f t="shared" si="8"/>
        <v>5.3742329929650161E-2</v>
      </c>
      <c r="J42" s="10"/>
      <c r="K42" s="10"/>
      <c r="L42" s="10"/>
      <c r="M42" s="10"/>
      <c r="N42" s="10"/>
      <c r="O42" s="34">
        <f t="shared" si="10"/>
        <v>1.5900000000000005</v>
      </c>
      <c r="P42" s="11">
        <f t="shared" si="11"/>
        <v>0.31349692458962386</v>
      </c>
      <c r="Q42" s="10"/>
      <c r="R42" s="10"/>
      <c r="S42" s="10"/>
      <c r="T42" s="10"/>
      <c r="U42" s="10"/>
    </row>
    <row r="43" spans="1:21" x14ac:dyDescent="0.25">
      <c r="A43" s="34">
        <f t="shared" si="7"/>
        <v>11.679999999999994</v>
      </c>
      <c r="B43" s="11">
        <f t="shared" si="6"/>
        <v>0.55460417339725288</v>
      </c>
      <c r="C43" s="10"/>
      <c r="D43" s="10"/>
      <c r="E43" s="10"/>
      <c r="F43" s="10"/>
      <c r="G43" s="10"/>
      <c r="H43" s="34">
        <f t="shared" si="9"/>
        <v>24.007000000000009</v>
      </c>
      <c r="I43" s="11">
        <f t="shared" si="8"/>
        <v>6.338333410254661E-2</v>
      </c>
      <c r="J43" s="10"/>
      <c r="K43" s="10"/>
      <c r="L43" s="10"/>
      <c r="M43" s="10"/>
      <c r="N43" s="10"/>
      <c r="O43" s="34">
        <f t="shared" si="10"/>
        <v>1.6200000000000006</v>
      </c>
      <c r="P43" s="11">
        <f t="shared" si="11"/>
        <v>0.36973611559818614</v>
      </c>
      <c r="Q43" s="10"/>
      <c r="R43" s="10"/>
      <c r="S43" s="10"/>
      <c r="T43" s="10"/>
      <c r="U43" s="10"/>
    </row>
    <row r="44" spans="1:21" x14ac:dyDescent="0.25">
      <c r="A44" s="34">
        <f t="shared" si="7"/>
        <v>11.699999999999994</v>
      </c>
      <c r="B44" s="11">
        <f t="shared" si="6"/>
        <v>0.64758797832942927</v>
      </c>
      <c r="C44" s="10"/>
      <c r="D44" s="10"/>
      <c r="E44" s="10"/>
      <c r="F44" s="10"/>
      <c r="G44" s="10"/>
      <c r="H44" s="34">
        <f t="shared" si="9"/>
        <v>24.182000000000009</v>
      </c>
      <c r="I44" s="11">
        <f t="shared" si="8"/>
        <v>7.4010054666224512E-2</v>
      </c>
      <c r="J44" s="10"/>
      <c r="K44" s="10"/>
      <c r="L44" s="10"/>
      <c r="M44" s="10"/>
      <c r="N44" s="10"/>
      <c r="O44" s="34">
        <f t="shared" si="10"/>
        <v>1.6500000000000006</v>
      </c>
      <c r="P44" s="11">
        <f t="shared" si="11"/>
        <v>0.43172531888630672</v>
      </c>
      <c r="Q44" s="10"/>
      <c r="R44" s="10"/>
      <c r="S44" s="10"/>
      <c r="T44" s="10"/>
      <c r="U44" s="10"/>
    </row>
    <row r="45" spans="1:21" x14ac:dyDescent="0.25">
      <c r="A45" s="34">
        <f t="shared" si="7"/>
        <v>11.719999999999994</v>
      </c>
      <c r="B45" s="11">
        <f t="shared" si="6"/>
        <v>0.74863732817869033</v>
      </c>
      <c r="C45" s="10"/>
      <c r="D45" s="10"/>
      <c r="E45" s="10"/>
      <c r="F45" s="10"/>
      <c r="G45" s="10"/>
      <c r="H45" s="34">
        <f t="shared" si="9"/>
        <v>24.35700000000001</v>
      </c>
      <c r="I45" s="11">
        <f t="shared" si="8"/>
        <v>8.5558551791854981E-2</v>
      </c>
      <c r="J45" s="10"/>
      <c r="K45" s="10"/>
      <c r="L45" s="10"/>
      <c r="M45" s="10"/>
      <c r="N45" s="10"/>
      <c r="O45" s="34">
        <f t="shared" si="10"/>
        <v>1.6800000000000006</v>
      </c>
      <c r="P45" s="11">
        <f t="shared" si="11"/>
        <v>0.49909155211915074</v>
      </c>
      <c r="Q45" s="10"/>
      <c r="R45" s="10"/>
      <c r="S45" s="10"/>
      <c r="T45" s="10"/>
      <c r="U45" s="10"/>
    </row>
    <row r="46" spans="1:21" x14ac:dyDescent="0.25">
      <c r="A46" s="34">
        <f t="shared" si="7"/>
        <v>11.739999999999993</v>
      </c>
      <c r="B46" s="11">
        <f t="shared" si="6"/>
        <v>0.85684296023899842</v>
      </c>
      <c r="C46" s="10"/>
      <c r="D46" s="10"/>
      <c r="E46" s="10"/>
      <c r="F46" s="10"/>
      <c r="G46" s="10"/>
      <c r="H46" s="34">
        <f t="shared" si="9"/>
        <v>24.532000000000011</v>
      </c>
      <c r="I46" s="11">
        <f t="shared" si="8"/>
        <v>9.7924909741605087E-2</v>
      </c>
      <c r="J46" s="10"/>
      <c r="K46" s="10"/>
      <c r="L46" s="10"/>
      <c r="M46" s="10"/>
      <c r="N46" s="10"/>
      <c r="O46" s="34">
        <f t="shared" si="10"/>
        <v>1.7100000000000006</v>
      </c>
      <c r="P46" s="11">
        <f t="shared" si="11"/>
        <v>0.57122864015935915</v>
      </c>
      <c r="Q46" s="10"/>
      <c r="R46" s="10"/>
      <c r="S46" s="10"/>
      <c r="T46" s="10"/>
      <c r="U46" s="10"/>
    </row>
    <row r="47" spans="1:21" x14ac:dyDescent="0.25">
      <c r="A47" s="34">
        <f t="shared" si="7"/>
        <v>11.759999999999993</v>
      </c>
      <c r="B47" s="11">
        <f t="shared" si="6"/>
        <v>0.97093027491602202</v>
      </c>
      <c r="C47" s="10"/>
      <c r="D47" s="10"/>
      <c r="E47" s="10"/>
      <c r="F47" s="10"/>
      <c r="G47" s="10"/>
      <c r="H47" s="34">
        <f t="shared" si="9"/>
        <v>24.707000000000011</v>
      </c>
      <c r="I47" s="11">
        <f t="shared" si="8"/>
        <v>0.11096345999040838</v>
      </c>
      <c r="J47" s="10"/>
      <c r="K47" s="10"/>
      <c r="L47" s="10"/>
      <c r="M47" s="10"/>
      <c r="N47" s="10"/>
      <c r="O47" s="34">
        <f t="shared" si="10"/>
        <v>1.7400000000000007</v>
      </c>
      <c r="P47" s="11">
        <f t="shared" si="11"/>
        <v>0.64728684994404462</v>
      </c>
      <c r="Q47" s="10"/>
      <c r="R47" s="10"/>
      <c r="S47" s="10"/>
      <c r="T47" s="10"/>
      <c r="U47" s="10"/>
    </row>
    <row r="48" spans="1:21" x14ac:dyDescent="0.25">
      <c r="A48" s="34">
        <f t="shared" si="7"/>
        <v>11.779999999999992</v>
      </c>
      <c r="B48" s="11">
        <f t="shared" si="6"/>
        <v>1.0892608851627064</v>
      </c>
      <c r="C48" s="10"/>
      <c r="D48" s="10"/>
      <c r="E48" s="10"/>
      <c r="F48" s="10"/>
      <c r="G48" s="10"/>
      <c r="H48" s="34">
        <f t="shared" si="9"/>
        <v>24.882000000000012</v>
      </c>
      <c r="I48" s="11">
        <f t="shared" si="8"/>
        <v>0.12448695830431566</v>
      </c>
      <c r="J48" s="10"/>
      <c r="K48" s="10"/>
      <c r="L48" s="10"/>
      <c r="M48" s="10"/>
      <c r="N48" s="10"/>
      <c r="O48" s="34">
        <f t="shared" si="10"/>
        <v>1.7700000000000007</v>
      </c>
      <c r="P48" s="11">
        <f t="shared" si="11"/>
        <v>0.72617392344183684</v>
      </c>
      <c r="Q48" s="10"/>
      <c r="R48" s="10"/>
      <c r="S48" s="10"/>
      <c r="T48" s="10"/>
      <c r="U48" s="10"/>
    </row>
    <row r="49" spans="1:21" x14ac:dyDescent="0.25">
      <c r="A49" s="34">
        <f t="shared" si="7"/>
        <v>11.799999999999992</v>
      </c>
      <c r="B49" s="11">
        <f t="shared" si="6"/>
        <v>1.2098536225956673</v>
      </c>
      <c r="C49" s="10"/>
      <c r="D49" s="10"/>
      <c r="E49" s="10"/>
      <c r="F49" s="10"/>
      <c r="G49" s="10"/>
      <c r="H49" s="34">
        <f t="shared" si="9"/>
        <v>25.057000000000013</v>
      </c>
      <c r="I49" s="11">
        <f t="shared" si="8"/>
        <v>0.1382689854395116</v>
      </c>
      <c r="J49" s="10"/>
      <c r="K49" s="10"/>
      <c r="L49" s="10"/>
      <c r="M49" s="10"/>
      <c r="N49" s="10"/>
      <c r="O49" s="34">
        <f t="shared" si="10"/>
        <v>1.8000000000000007</v>
      </c>
      <c r="P49" s="11">
        <f t="shared" si="11"/>
        <v>0.80656908173047959</v>
      </c>
      <c r="Q49" s="10"/>
      <c r="R49" s="10"/>
      <c r="S49" s="10"/>
      <c r="T49" s="10"/>
      <c r="U49" s="10"/>
    </row>
    <row r="50" spans="1:21" x14ac:dyDescent="0.25">
      <c r="A50" s="34">
        <f t="shared" si="7"/>
        <v>11.819999999999991</v>
      </c>
      <c r="B50" s="11">
        <f t="shared" si="6"/>
        <v>1.3304262494937227</v>
      </c>
      <c r="C50" s="10"/>
      <c r="D50" s="10"/>
      <c r="E50" s="10"/>
      <c r="F50" s="10"/>
      <c r="G50" s="10"/>
      <c r="H50" s="34">
        <f t="shared" si="9"/>
        <v>25.232000000000014</v>
      </c>
      <c r="I50" s="11">
        <f t="shared" si="8"/>
        <v>0.15204871422786106</v>
      </c>
      <c r="J50" s="10"/>
      <c r="K50" s="10"/>
      <c r="L50" s="10"/>
      <c r="M50" s="10"/>
      <c r="N50" s="10"/>
      <c r="O50" s="34">
        <f t="shared" si="10"/>
        <v>1.8300000000000007</v>
      </c>
      <c r="P50" s="11">
        <f t="shared" si="11"/>
        <v>0.88695083299585109</v>
      </c>
      <c r="Q50" s="10"/>
      <c r="R50" s="10"/>
      <c r="S50" s="10"/>
      <c r="T50" s="10"/>
      <c r="U50" s="10"/>
    </row>
    <row r="51" spans="1:21" x14ac:dyDescent="0.25">
      <c r="A51" s="34">
        <f t="shared" si="7"/>
        <v>11.839999999999991</v>
      </c>
      <c r="B51" s="11">
        <f t="shared" si="6"/>
        <v>1.4484577638073615</v>
      </c>
      <c r="C51" s="10"/>
      <c r="D51" s="10"/>
      <c r="E51" s="10"/>
      <c r="F51" s="10"/>
      <c r="G51" s="10"/>
      <c r="H51" s="34">
        <f t="shared" si="9"/>
        <v>25.407000000000014</v>
      </c>
      <c r="I51" s="11">
        <f t="shared" si="8"/>
        <v>0.1655380301494199</v>
      </c>
      <c r="J51" s="10"/>
      <c r="K51" s="10"/>
      <c r="L51" s="10"/>
      <c r="M51" s="10"/>
      <c r="N51" s="10"/>
      <c r="O51" s="34">
        <f t="shared" si="10"/>
        <v>1.8600000000000008</v>
      </c>
      <c r="P51" s="11">
        <f t="shared" si="11"/>
        <v>0.9656385092049441</v>
      </c>
      <c r="Q51" s="10"/>
      <c r="R51" s="10"/>
      <c r="S51" s="10"/>
      <c r="T51" s="10"/>
      <c r="U51" s="10"/>
    </row>
    <row r="52" spans="1:21" x14ac:dyDescent="0.25">
      <c r="A52" s="34">
        <f t="shared" si="7"/>
        <v>11.859999999999991</v>
      </c>
      <c r="B52" s="11">
        <f t="shared" si="6"/>
        <v>1.5612696668337547</v>
      </c>
      <c r="C52" s="10"/>
      <c r="D52" s="10"/>
      <c r="E52" s="10"/>
      <c r="F52" s="10"/>
      <c r="G52" s="10"/>
      <c r="H52" s="34">
        <f t="shared" si="9"/>
        <v>25.582000000000015</v>
      </c>
      <c r="I52" s="11">
        <f t="shared" si="8"/>
        <v>0.1784308190667219</v>
      </c>
      <c r="J52" s="10"/>
      <c r="K52" s="10"/>
      <c r="L52" s="10"/>
      <c r="M52" s="10"/>
      <c r="N52" s="10"/>
      <c r="O52" s="34">
        <f t="shared" si="10"/>
        <v>1.8900000000000008</v>
      </c>
      <c r="P52" s="11">
        <f t="shared" si="11"/>
        <v>1.0408464445558725</v>
      </c>
      <c r="Q52" s="10"/>
      <c r="R52" s="10"/>
      <c r="S52" s="10"/>
      <c r="T52" s="10"/>
      <c r="U52" s="10"/>
    </row>
    <row r="53" spans="1:21" x14ac:dyDescent="0.25">
      <c r="A53" s="34">
        <f t="shared" si="7"/>
        <v>11.87999999999999</v>
      </c>
      <c r="B53" s="11">
        <f t="shared" si="6"/>
        <v>1.6661230144589487</v>
      </c>
      <c r="C53" s="10"/>
      <c r="D53" s="10"/>
      <c r="E53" s="10"/>
      <c r="F53" s="10"/>
      <c r="G53" s="10"/>
      <c r="H53" s="34">
        <f t="shared" si="9"/>
        <v>25.757000000000016</v>
      </c>
      <c r="I53" s="11">
        <f t="shared" si="8"/>
        <v>0.1904140587953152</v>
      </c>
      <c r="J53" s="10"/>
      <c r="K53" s="10"/>
      <c r="L53" s="10"/>
      <c r="M53" s="10"/>
      <c r="N53" s="10"/>
      <c r="O53" s="34">
        <f t="shared" si="10"/>
        <v>1.9200000000000008</v>
      </c>
      <c r="P53" s="11">
        <f t="shared" si="11"/>
        <v>1.1107486763060006</v>
      </c>
      <c r="Q53" s="10"/>
      <c r="R53" s="10"/>
      <c r="S53" s="10"/>
      <c r="T53" s="10"/>
      <c r="U53" s="10"/>
    </row>
    <row r="54" spans="1:21" x14ac:dyDescent="0.25">
      <c r="A54" s="34">
        <f t="shared" si="7"/>
        <v>11.89999999999999</v>
      </c>
      <c r="B54" s="11">
        <f t="shared" si="6"/>
        <v>1.7603266338214523</v>
      </c>
      <c r="C54" s="10"/>
      <c r="D54" s="10"/>
      <c r="E54" s="10"/>
      <c r="F54" s="10"/>
      <c r="G54" s="10"/>
      <c r="H54" s="34">
        <f t="shared" si="9"/>
        <v>25.932000000000016</v>
      </c>
      <c r="I54" s="11">
        <f t="shared" si="8"/>
        <v>0.20118018672245788</v>
      </c>
      <c r="J54" s="10"/>
      <c r="K54" s="10"/>
      <c r="L54" s="10"/>
      <c r="M54" s="10"/>
      <c r="N54" s="10"/>
      <c r="O54" s="34">
        <f t="shared" si="10"/>
        <v>1.9500000000000008</v>
      </c>
      <c r="P54" s="11">
        <f t="shared" si="11"/>
        <v>1.173551089214333</v>
      </c>
      <c r="Q54" s="10"/>
      <c r="R54" s="10"/>
      <c r="S54" s="10"/>
      <c r="T54" s="10"/>
      <c r="U54" s="10"/>
    </row>
    <row r="55" spans="1:21" x14ac:dyDescent="0.25">
      <c r="A55" s="34">
        <f t="shared" si="7"/>
        <v>11.919999999999989</v>
      </c>
      <c r="B55" s="11">
        <f t="shared" si="6"/>
        <v>1.8413507015165773</v>
      </c>
      <c r="C55" s="10"/>
      <c r="D55" s="10"/>
      <c r="E55" s="10"/>
      <c r="F55" s="10"/>
      <c r="G55" s="10"/>
      <c r="H55" s="34">
        <f t="shared" si="9"/>
        <v>26.107000000000017</v>
      </c>
      <c r="I55" s="11">
        <f t="shared" si="8"/>
        <v>0.21044008017332849</v>
      </c>
      <c r="J55" s="10"/>
      <c r="K55" s="10"/>
      <c r="L55" s="10"/>
      <c r="M55" s="10"/>
      <c r="N55" s="10"/>
      <c r="O55" s="34">
        <f t="shared" si="10"/>
        <v>1.9800000000000009</v>
      </c>
      <c r="P55" s="11">
        <f t="shared" si="11"/>
        <v>1.2275671343444126</v>
      </c>
      <c r="Q55" s="10"/>
      <c r="R55" s="10"/>
      <c r="S55" s="10"/>
      <c r="T55" s="10"/>
      <c r="U55" s="10"/>
    </row>
    <row r="56" spans="1:21" x14ac:dyDescent="0.25">
      <c r="A56" s="34">
        <f t="shared" si="7"/>
        <v>11.939999999999989</v>
      </c>
      <c r="B56" s="11">
        <f t="shared" si="6"/>
        <v>1.9069390773025885</v>
      </c>
      <c r="C56" s="10"/>
      <c r="D56" s="10"/>
      <c r="E56" s="10"/>
      <c r="F56" s="10"/>
      <c r="G56" s="10"/>
      <c r="H56" s="34">
        <f t="shared" si="9"/>
        <v>26.282000000000018</v>
      </c>
      <c r="I56" s="11">
        <f t="shared" si="8"/>
        <v>0.21793589454887166</v>
      </c>
      <c r="J56" s="10"/>
      <c r="K56" s="10"/>
      <c r="L56" s="10"/>
      <c r="M56" s="10"/>
      <c r="N56" s="10"/>
      <c r="O56" s="34">
        <f t="shared" si="10"/>
        <v>2.0100000000000007</v>
      </c>
      <c r="P56" s="11">
        <f t="shared" si="11"/>
        <v>1.2712927182017479</v>
      </c>
      <c r="Q56" s="10"/>
      <c r="R56" s="10"/>
      <c r="S56" s="10"/>
      <c r="T56" s="10"/>
      <c r="U56" s="10"/>
    </row>
    <row r="57" spans="1:21" x14ac:dyDescent="0.25">
      <c r="A57" s="34">
        <f t="shared" si="7"/>
        <v>11.959999999999988</v>
      </c>
      <c r="B57" s="11">
        <f t="shared" si="6"/>
        <v>1.9552134698772567</v>
      </c>
      <c r="C57" s="10"/>
      <c r="D57" s="10"/>
      <c r="E57" s="10"/>
      <c r="F57" s="10"/>
      <c r="G57" s="10"/>
      <c r="H57" s="34">
        <f t="shared" si="9"/>
        <v>26.457000000000019</v>
      </c>
      <c r="I57" s="11">
        <f t="shared" si="8"/>
        <v>0.2234529679859753</v>
      </c>
      <c r="J57" s="10"/>
      <c r="K57" s="10"/>
      <c r="L57" s="10"/>
      <c r="M57" s="10"/>
      <c r="N57" s="10"/>
      <c r="O57" s="34">
        <f t="shared" si="10"/>
        <v>2.0400000000000005</v>
      </c>
      <c r="P57" s="11">
        <f t="shared" si="11"/>
        <v>1.3034756465848534</v>
      </c>
      <c r="Q57" s="10"/>
      <c r="R57" s="10"/>
      <c r="S57" s="10"/>
      <c r="T57" s="10"/>
      <c r="U57" s="10"/>
    </row>
    <row r="58" spans="1:21" x14ac:dyDescent="0.25">
      <c r="A58" s="34">
        <f t="shared" si="7"/>
        <v>11.979999999999988</v>
      </c>
      <c r="B58" s="11">
        <f t="shared" si="6"/>
        <v>1.9847627373850469</v>
      </c>
      <c r="C58" s="10"/>
      <c r="D58" s="10"/>
      <c r="E58" s="10"/>
      <c r="F58" s="10"/>
      <c r="G58" s="10"/>
      <c r="H58" s="34">
        <f t="shared" si="9"/>
        <v>26.632000000000019</v>
      </c>
      <c r="I58" s="11">
        <f t="shared" si="8"/>
        <v>0.22683002712972125</v>
      </c>
      <c r="J58" s="10"/>
      <c r="K58" s="10"/>
      <c r="L58" s="10"/>
      <c r="M58" s="10"/>
      <c r="N58" s="10"/>
      <c r="O58" s="34">
        <f t="shared" si="10"/>
        <v>2.0700000000000003</v>
      </c>
      <c r="P58" s="11">
        <f t="shared" si="11"/>
        <v>1.3231751582567062</v>
      </c>
      <c r="Q58" s="10"/>
      <c r="R58" s="10"/>
      <c r="S58" s="10"/>
      <c r="T58" s="10"/>
      <c r="U58" s="10"/>
    </row>
    <row r="59" spans="1:21" x14ac:dyDescent="0.25">
      <c r="A59" s="34">
        <f t="shared" si="7"/>
        <v>11.999999999999988</v>
      </c>
      <c r="B59" s="11">
        <f t="shared" si="6"/>
        <v>1.9947114020071635</v>
      </c>
      <c r="C59" s="10"/>
      <c r="D59" s="10"/>
      <c r="E59" s="10"/>
      <c r="F59" s="10"/>
      <c r="G59" s="10"/>
      <c r="H59" s="34">
        <f t="shared" si="9"/>
        <v>26.80700000000002</v>
      </c>
      <c r="I59" s="11">
        <f t="shared" si="8"/>
        <v>0.22796701737224725</v>
      </c>
      <c r="J59" s="10"/>
      <c r="K59" s="10"/>
      <c r="L59" s="10"/>
      <c r="M59" s="10"/>
      <c r="N59" s="10"/>
      <c r="O59" s="34">
        <f t="shared" si="10"/>
        <v>2.1</v>
      </c>
      <c r="P59" s="11">
        <f t="shared" si="11"/>
        <v>1.329807601338109</v>
      </c>
      <c r="Q59" s="10"/>
      <c r="R59" s="10"/>
      <c r="S59" s="10"/>
      <c r="T59" s="10"/>
      <c r="U59" s="10"/>
    </row>
    <row r="60" spans="1:21" x14ac:dyDescent="0.25">
      <c r="A60" s="34">
        <f t="shared" si="7"/>
        <v>12.019999999999987</v>
      </c>
      <c r="B60" s="11">
        <f t="shared" si="6"/>
        <v>1.9847627373850718</v>
      </c>
      <c r="C60" s="10"/>
      <c r="D60" s="10"/>
      <c r="E60" s="10"/>
      <c r="F60" s="10"/>
      <c r="G60" s="10"/>
      <c r="H60" s="34">
        <f t="shared" si="9"/>
        <v>26.982000000000021</v>
      </c>
      <c r="I60" s="11">
        <f t="shared" si="8"/>
        <v>0.22683002712972072</v>
      </c>
      <c r="J60" s="10"/>
      <c r="K60" s="10"/>
      <c r="L60" s="10"/>
      <c r="M60" s="10"/>
      <c r="N60" s="10"/>
      <c r="O60" s="34">
        <f t="shared" si="10"/>
        <v>2.13</v>
      </c>
      <c r="P60" s="11">
        <f t="shared" si="11"/>
        <v>1.3231751582567062</v>
      </c>
      <c r="Q60" s="10"/>
      <c r="R60" s="10"/>
      <c r="S60" s="10"/>
      <c r="T60" s="10"/>
      <c r="U60" s="10"/>
    </row>
    <row r="61" spans="1:21" x14ac:dyDescent="0.25">
      <c r="A61" s="34">
        <f t="shared" si="7"/>
        <v>12.039999999999987</v>
      </c>
      <c r="B61" s="11">
        <f t="shared" ref="B61:B92" si="12">_xlfn.NORM.DIST(A61,$D$11,$G$12,FALSE)</f>
        <v>1.9552134698773054</v>
      </c>
      <c r="C61" s="10"/>
      <c r="D61" s="10"/>
      <c r="E61" s="10"/>
      <c r="F61" s="10"/>
      <c r="G61" s="10"/>
      <c r="H61" s="34">
        <f t="shared" si="9"/>
        <v>27.157000000000021</v>
      </c>
      <c r="I61" s="11">
        <f t="shared" si="8"/>
        <v>0.22345296798597425</v>
      </c>
      <c r="J61" s="10"/>
      <c r="K61" s="10"/>
      <c r="L61" s="10"/>
      <c r="M61" s="10"/>
      <c r="N61" s="10"/>
      <c r="O61" s="34">
        <f t="shared" si="10"/>
        <v>2.1599999999999997</v>
      </c>
      <c r="P61" s="11">
        <f t="shared" si="11"/>
        <v>1.3034756465848534</v>
      </c>
      <c r="Q61" s="10"/>
      <c r="R61" s="10"/>
      <c r="S61" s="10"/>
      <c r="T61" s="10"/>
      <c r="U61" s="10"/>
    </row>
    <row r="62" spans="1:21" x14ac:dyDescent="0.25">
      <c r="A62" s="34">
        <f t="shared" ref="A62:A93" si="13">A61+$G$14</f>
        <v>12.059999999999986</v>
      </c>
      <c r="B62" s="11">
        <f t="shared" si="12"/>
        <v>1.9069390773026598</v>
      </c>
      <c r="C62" s="10"/>
      <c r="D62" s="10"/>
      <c r="E62" s="10"/>
      <c r="F62" s="10"/>
      <c r="G62" s="10"/>
      <c r="H62" s="34">
        <f t="shared" si="9"/>
        <v>27.332000000000022</v>
      </c>
      <c r="I62" s="11">
        <f t="shared" si="8"/>
        <v>0.21793589454887005</v>
      </c>
      <c r="J62" s="10"/>
      <c r="K62" s="10"/>
      <c r="L62" s="10"/>
      <c r="M62" s="10"/>
      <c r="N62" s="10"/>
      <c r="O62" s="34">
        <f t="shared" si="10"/>
        <v>2.1899999999999995</v>
      </c>
      <c r="P62" s="11">
        <f t="shared" si="11"/>
        <v>1.2712927182017479</v>
      </c>
      <c r="Q62" s="10"/>
      <c r="R62" s="10"/>
      <c r="S62" s="10"/>
      <c r="T62" s="10"/>
      <c r="U62" s="10"/>
    </row>
    <row r="63" spans="1:21" x14ac:dyDescent="0.25">
      <c r="A63" s="34">
        <f t="shared" si="13"/>
        <v>12.079999999999986</v>
      </c>
      <c r="B63" s="11">
        <f t="shared" si="12"/>
        <v>1.8413507015166686</v>
      </c>
      <c r="C63" s="10"/>
      <c r="D63" s="10"/>
      <c r="E63" s="10"/>
      <c r="F63" s="10"/>
      <c r="G63" s="10"/>
      <c r="H63" s="34">
        <f t="shared" si="9"/>
        <v>27.507000000000023</v>
      </c>
      <c r="I63" s="11">
        <f t="shared" si="8"/>
        <v>0.21044008017332647</v>
      </c>
      <c r="J63" s="10"/>
      <c r="K63" s="10"/>
      <c r="L63" s="10"/>
      <c r="M63" s="10"/>
      <c r="N63" s="10"/>
      <c r="O63" s="34">
        <f t="shared" si="10"/>
        <v>2.2199999999999993</v>
      </c>
      <c r="P63" s="11">
        <f t="shared" si="11"/>
        <v>1.2275671343444126</v>
      </c>
      <c r="Q63" s="10"/>
      <c r="R63" s="10"/>
      <c r="S63" s="10"/>
      <c r="T63" s="10"/>
      <c r="U63" s="10"/>
    </row>
    <row r="64" spans="1:21" x14ac:dyDescent="0.25">
      <c r="A64" s="34">
        <f t="shared" si="13"/>
        <v>12.099999999999985</v>
      </c>
      <c r="B64" s="11">
        <f t="shared" si="12"/>
        <v>1.7603266338215617</v>
      </c>
      <c r="C64" s="10"/>
      <c r="D64" s="10"/>
      <c r="E64" s="10"/>
      <c r="F64" s="10"/>
      <c r="G64" s="10"/>
      <c r="H64" s="34">
        <f t="shared" si="9"/>
        <v>27.682000000000023</v>
      </c>
      <c r="I64" s="11">
        <f t="shared" si="8"/>
        <v>0.20118018672245541</v>
      </c>
      <c r="J64" s="10"/>
      <c r="K64" s="10"/>
      <c r="L64" s="10"/>
      <c r="M64" s="10"/>
      <c r="N64" s="10"/>
      <c r="O64" s="34">
        <f t="shared" si="10"/>
        <v>2.2499999999999991</v>
      </c>
      <c r="P64" s="11">
        <f t="shared" si="11"/>
        <v>1.1735510892143335</v>
      </c>
      <c r="Q64" s="10"/>
      <c r="R64" s="10"/>
      <c r="S64" s="10"/>
      <c r="T64" s="10"/>
      <c r="U64" s="10"/>
    </row>
    <row r="65" spans="1:21" x14ac:dyDescent="0.25">
      <c r="A65" s="34">
        <f t="shared" si="13"/>
        <v>12.119999999999985</v>
      </c>
      <c r="B65" s="11">
        <f t="shared" si="12"/>
        <v>1.6661230144590733</v>
      </c>
      <c r="C65" s="10"/>
      <c r="D65" s="10"/>
      <c r="E65" s="10"/>
      <c r="F65" s="10"/>
      <c r="G65" s="10"/>
      <c r="H65" s="34">
        <f t="shared" si="9"/>
        <v>27.857000000000024</v>
      </c>
      <c r="I65" s="11">
        <f t="shared" si="8"/>
        <v>0.19041405879531242</v>
      </c>
      <c r="J65" s="10"/>
      <c r="K65" s="10"/>
      <c r="L65" s="10"/>
      <c r="M65" s="10"/>
      <c r="N65" s="10"/>
      <c r="O65" s="34">
        <f t="shared" si="10"/>
        <v>2.2799999999999989</v>
      </c>
      <c r="P65" s="11">
        <f t="shared" si="11"/>
        <v>1.1107486763060017</v>
      </c>
      <c r="Q65" s="10"/>
      <c r="R65" s="10"/>
      <c r="S65" s="10"/>
      <c r="T65" s="10"/>
      <c r="U65" s="10"/>
    </row>
    <row r="66" spans="1:21" x14ac:dyDescent="0.25">
      <c r="A66" s="34">
        <f t="shared" si="13"/>
        <v>12.139999999999985</v>
      </c>
      <c r="B66" s="11">
        <f t="shared" si="12"/>
        <v>1.5612696668338908</v>
      </c>
      <c r="C66" s="10"/>
      <c r="D66" s="10"/>
      <c r="E66" s="10"/>
      <c r="F66" s="10"/>
      <c r="G66" s="10"/>
      <c r="H66" s="34">
        <f t="shared" si="9"/>
        <v>28.032000000000025</v>
      </c>
      <c r="I66" s="11">
        <f t="shared" si="8"/>
        <v>0.17843081906671884</v>
      </c>
      <c r="J66" s="10"/>
      <c r="K66" s="10"/>
      <c r="L66" s="10"/>
      <c r="M66" s="10"/>
      <c r="N66" s="10"/>
      <c r="O66" s="34">
        <f t="shared" si="10"/>
        <v>2.3099999999999987</v>
      </c>
      <c r="P66" s="11">
        <f t="shared" si="11"/>
        <v>1.0408464445558741</v>
      </c>
      <c r="Q66" s="10"/>
      <c r="R66" s="10"/>
      <c r="S66" s="10"/>
      <c r="T66" s="10"/>
      <c r="U66" s="10"/>
    </row>
    <row r="67" spans="1:21" x14ac:dyDescent="0.25">
      <c r="A67" s="34">
        <f t="shared" si="13"/>
        <v>12.159999999999984</v>
      </c>
      <c r="B67" s="11">
        <f t="shared" si="12"/>
        <v>1.4484577638075056</v>
      </c>
      <c r="C67" s="10"/>
      <c r="D67" s="10"/>
      <c r="E67" s="10"/>
      <c r="F67" s="10"/>
      <c r="G67" s="10"/>
      <c r="H67" s="34">
        <f t="shared" si="9"/>
        <v>28.207000000000026</v>
      </c>
      <c r="I67" s="11">
        <f t="shared" si="8"/>
        <v>0.16553803014941668</v>
      </c>
      <c r="J67" s="10"/>
      <c r="K67" s="10"/>
      <c r="L67" s="10"/>
      <c r="M67" s="10"/>
      <c r="N67" s="10"/>
      <c r="O67" s="34">
        <f t="shared" si="10"/>
        <v>2.3399999999999985</v>
      </c>
      <c r="P67" s="11">
        <f t="shared" si="11"/>
        <v>0.96563850920494665</v>
      </c>
      <c r="Q67" s="10"/>
      <c r="R67" s="10"/>
      <c r="S67" s="10"/>
      <c r="T67" s="10"/>
      <c r="U67" s="10"/>
    </row>
    <row r="68" spans="1:21" x14ac:dyDescent="0.25">
      <c r="A68" s="34">
        <f t="shared" si="13"/>
        <v>12.179999999999984</v>
      </c>
      <c r="B68" s="11">
        <f t="shared" si="12"/>
        <v>1.3304262494938714</v>
      </c>
      <c r="C68" s="10"/>
      <c r="D68" s="10"/>
      <c r="E68" s="10"/>
      <c r="F68" s="10"/>
      <c r="G68" s="10"/>
      <c r="H68" s="34">
        <f t="shared" si="9"/>
        <v>28.382000000000026</v>
      </c>
      <c r="I68" s="11">
        <f t="shared" si="8"/>
        <v>0.15204871422785776</v>
      </c>
      <c r="J68" s="10"/>
      <c r="K68" s="10"/>
      <c r="L68" s="10"/>
      <c r="M68" s="10"/>
      <c r="N68" s="10"/>
      <c r="O68" s="34">
        <f t="shared" si="10"/>
        <v>2.3699999999999983</v>
      </c>
      <c r="P68" s="11">
        <f t="shared" si="11"/>
        <v>0.88695083299585431</v>
      </c>
      <c r="Q68" s="10"/>
      <c r="R68" s="10"/>
      <c r="S68" s="10"/>
      <c r="T68" s="10"/>
      <c r="U68" s="10"/>
    </row>
    <row r="69" spans="1:21" x14ac:dyDescent="0.25">
      <c r="A69" s="34">
        <f t="shared" si="13"/>
        <v>12.199999999999983</v>
      </c>
      <c r="B69" s="11">
        <f t="shared" si="12"/>
        <v>1.2098536225958176</v>
      </c>
      <c r="C69" s="10"/>
      <c r="D69" s="10"/>
      <c r="E69" s="10"/>
      <c r="F69" s="10"/>
      <c r="G69" s="10"/>
      <c r="H69" s="34">
        <f t="shared" si="9"/>
        <v>28.557000000000027</v>
      </c>
      <c r="I69" s="11">
        <f t="shared" si="8"/>
        <v>0.13826898543950825</v>
      </c>
      <c r="J69" s="10"/>
      <c r="K69" s="10"/>
      <c r="L69" s="10"/>
      <c r="M69" s="10"/>
      <c r="N69" s="10"/>
      <c r="O69" s="34">
        <f t="shared" si="10"/>
        <v>2.3999999999999981</v>
      </c>
      <c r="P69" s="11">
        <f t="shared" si="11"/>
        <v>0.80656908173048303</v>
      </c>
      <c r="Q69" s="10"/>
      <c r="R69" s="10"/>
      <c r="S69" s="10"/>
      <c r="T69" s="10"/>
      <c r="U69" s="10"/>
    </row>
    <row r="70" spans="1:21" x14ac:dyDescent="0.25">
      <c r="A70" s="34">
        <f t="shared" si="13"/>
        <v>12.219999999999983</v>
      </c>
      <c r="B70" s="11">
        <f t="shared" si="12"/>
        <v>1.0892608851628551</v>
      </c>
      <c r="C70" s="10"/>
      <c r="D70" s="10"/>
      <c r="E70" s="10"/>
      <c r="F70" s="10"/>
      <c r="G70" s="10"/>
      <c r="H70" s="34">
        <f t="shared" si="9"/>
        <v>28.732000000000028</v>
      </c>
      <c r="I70" s="11">
        <f t="shared" si="8"/>
        <v>0.12448695830431232</v>
      </c>
      <c r="J70" s="10"/>
      <c r="K70" s="10"/>
      <c r="L70" s="10"/>
      <c r="M70" s="10"/>
      <c r="N70" s="10"/>
      <c r="O70" s="34">
        <f t="shared" si="10"/>
        <v>2.4299999999999979</v>
      </c>
      <c r="P70" s="11">
        <f t="shared" si="11"/>
        <v>0.72617392344184084</v>
      </c>
      <c r="Q70" s="10"/>
      <c r="R70" s="10"/>
      <c r="S70" s="10"/>
      <c r="T70" s="10"/>
      <c r="U70" s="10"/>
    </row>
    <row r="71" spans="1:21" x14ac:dyDescent="0.25">
      <c r="A71" s="34">
        <f t="shared" si="13"/>
        <v>12.239999999999982</v>
      </c>
      <c r="B71" s="11">
        <f t="shared" si="12"/>
        <v>0.9709302749161669</v>
      </c>
      <c r="C71" s="10"/>
      <c r="D71" s="10"/>
      <c r="E71" s="10"/>
      <c r="F71" s="10"/>
      <c r="G71" s="10"/>
      <c r="H71" s="34">
        <f t="shared" si="9"/>
        <v>28.907000000000028</v>
      </c>
      <c r="I71" s="11">
        <f t="shared" si="8"/>
        <v>0.11096345999040512</v>
      </c>
      <c r="J71" s="10"/>
      <c r="K71" s="10"/>
      <c r="L71" s="10"/>
      <c r="M71" s="10"/>
      <c r="N71" s="10"/>
      <c r="O71" s="34">
        <f t="shared" si="10"/>
        <v>2.4599999999999977</v>
      </c>
      <c r="P71" s="11">
        <f t="shared" si="11"/>
        <v>0.64728684994404917</v>
      </c>
      <c r="Q71" s="10"/>
      <c r="R71" s="10"/>
      <c r="S71" s="10"/>
      <c r="T71" s="10"/>
      <c r="U71" s="10"/>
    </row>
    <row r="72" spans="1:21" x14ac:dyDescent="0.25">
      <c r="A72" s="34">
        <f t="shared" si="13"/>
        <v>12.259999999999982</v>
      </c>
      <c r="B72" s="11">
        <f t="shared" si="12"/>
        <v>0.85684296023913675</v>
      </c>
      <c r="C72" s="10"/>
      <c r="D72" s="10"/>
      <c r="E72" s="10"/>
      <c r="F72" s="10"/>
      <c r="G72" s="10"/>
      <c r="H72" s="34">
        <f t="shared" si="9"/>
        <v>29.082000000000029</v>
      </c>
      <c r="I72" s="11">
        <f t="shared" si="8"/>
        <v>9.7924909741601993E-2</v>
      </c>
      <c r="J72" s="10"/>
      <c r="K72" s="10"/>
      <c r="L72" s="10"/>
      <c r="M72" s="10"/>
      <c r="N72" s="10"/>
      <c r="O72" s="34">
        <f t="shared" si="10"/>
        <v>2.4899999999999975</v>
      </c>
      <c r="P72" s="11">
        <f t="shared" si="11"/>
        <v>0.57122864015936414</v>
      </c>
      <c r="Q72" s="10"/>
      <c r="R72" s="10"/>
      <c r="S72" s="10"/>
      <c r="T72" s="10"/>
      <c r="U72" s="10"/>
    </row>
    <row r="73" spans="1:21" x14ac:dyDescent="0.25">
      <c r="A73" s="34">
        <f t="shared" si="13"/>
        <v>12.279999999999982</v>
      </c>
      <c r="B73" s="11">
        <f t="shared" si="12"/>
        <v>0.74863732817882067</v>
      </c>
      <c r="C73" s="10"/>
      <c r="D73" s="10"/>
      <c r="E73" s="10"/>
      <c r="F73" s="10"/>
      <c r="G73" s="10"/>
      <c r="H73" s="34">
        <f t="shared" si="9"/>
        <v>29.25700000000003</v>
      </c>
      <c r="I73" s="11">
        <f t="shared" si="8"/>
        <v>8.5558551791852067E-2</v>
      </c>
      <c r="J73" s="10"/>
      <c r="K73" s="10"/>
      <c r="L73" s="10"/>
      <c r="M73" s="10"/>
      <c r="N73" s="10"/>
      <c r="O73" s="34">
        <f t="shared" si="10"/>
        <v>2.5199999999999974</v>
      </c>
      <c r="P73" s="11">
        <f t="shared" si="11"/>
        <v>0.49909155211915579</v>
      </c>
      <c r="Q73" s="10"/>
      <c r="R73" s="10"/>
      <c r="S73" s="10"/>
      <c r="T73" s="10"/>
      <c r="U73" s="10"/>
    </row>
    <row r="74" spans="1:21" x14ac:dyDescent="0.25">
      <c r="A74" s="34">
        <f t="shared" si="13"/>
        <v>12.299999999999981</v>
      </c>
      <c r="B74" s="11">
        <f t="shared" si="12"/>
        <v>0.64758797832955006</v>
      </c>
      <c r="C74" s="10"/>
      <c r="D74" s="10"/>
      <c r="E74" s="10"/>
      <c r="F74" s="10"/>
      <c r="G74" s="10"/>
      <c r="H74" s="34">
        <f t="shared" si="9"/>
        <v>29.432000000000031</v>
      </c>
      <c r="I74" s="11">
        <f t="shared" si="8"/>
        <v>7.4010054666221833E-2</v>
      </c>
      <c r="J74" s="10"/>
      <c r="K74" s="10"/>
      <c r="L74" s="10"/>
      <c r="M74" s="10"/>
      <c r="N74" s="10"/>
      <c r="O74" s="34">
        <f t="shared" si="10"/>
        <v>2.5499999999999972</v>
      </c>
      <c r="P74" s="11">
        <f t="shared" si="11"/>
        <v>0.43172531888631216</v>
      </c>
      <c r="Q74" s="10"/>
      <c r="R74" s="10"/>
      <c r="S74" s="10"/>
      <c r="T74" s="10"/>
      <c r="U74" s="10"/>
    </row>
    <row r="75" spans="1:21" x14ac:dyDescent="0.25">
      <c r="A75" s="34">
        <f t="shared" si="13"/>
        <v>12.319999999999981</v>
      </c>
      <c r="B75" s="11">
        <f t="shared" si="12"/>
        <v>0.55460417339736323</v>
      </c>
      <c r="C75" s="10"/>
      <c r="D75" s="10"/>
      <c r="E75" s="10"/>
      <c r="F75" s="10"/>
      <c r="G75" s="10"/>
      <c r="H75" s="34">
        <f t="shared" si="9"/>
        <v>29.607000000000031</v>
      </c>
      <c r="I75" s="11">
        <f t="shared" si="8"/>
        <v>6.3383334102544139E-2</v>
      </c>
      <c r="J75" s="10"/>
      <c r="K75" s="10"/>
      <c r="L75" s="10"/>
      <c r="M75" s="10"/>
      <c r="N75" s="10"/>
      <c r="O75" s="34">
        <f t="shared" si="10"/>
        <v>2.579999999999997</v>
      </c>
      <c r="P75" s="11">
        <f t="shared" si="11"/>
        <v>0.36973611559819136</v>
      </c>
      <c r="Q75" s="10"/>
      <c r="R75" s="10"/>
      <c r="S75" s="10"/>
      <c r="T75" s="10"/>
      <c r="U75" s="10"/>
    </row>
    <row r="76" spans="1:21" x14ac:dyDescent="0.25">
      <c r="A76" s="34">
        <f t="shared" si="13"/>
        <v>12.33999999999998</v>
      </c>
      <c r="B76" s="11">
        <f t="shared" si="12"/>
        <v>0.47024538688451328</v>
      </c>
      <c r="C76" s="10"/>
      <c r="D76" s="10"/>
      <c r="E76" s="10"/>
      <c r="F76" s="10"/>
      <c r="G76" s="10"/>
      <c r="H76" s="34">
        <f t="shared" si="9"/>
        <v>29.782000000000032</v>
      </c>
      <c r="I76" s="11">
        <f t="shared" si="8"/>
        <v>5.3742329929647926E-2</v>
      </c>
      <c r="J76" s="10"/>
      <c r="K76" s="10"/>
      <c r="L76" s="10"/>
      <c r="M76" s="10"/>
      <c r="N76" s="10"/>
      <c r="O76" s="34">
        <f t="shared" si="10"/>
        <v>2.6099999999999968</v>
      </c>
      <c r="P76" s="11">
        <f t="shared" si="11"/>
        <v>0.31349692458962891</v>
      </c>
      <c r="Q76" s="10"/>
      <c r="R76" s="10"/>
      <c r="S76" s="10"/>
      <c r="T76" s="10"/>
      <c r="U76" s="10"/>
    </row>
    <row r="77" spans="1:21" x14ac:dyDescent="0.25">
      <c r="A77" s="34">
        <f t="shared" si="13"/>
        <v>12.35999999999998</v>
      </c>
      <c r="B77" s="11">
        <f t="shared" si="12"/>
        <v>0.39475079150454223</v>
      </c>
      <c r="C77" s="10"/>
      <c r="D77" s="10"/>
      <c r="E77" s="10"/>
      <c r="F77" s="10"/>
      <c r="G77" s="10"/>
      <c r="H77" s="34">
        <f t="shared" si="9"/>
        <v>29.957000000000033</v>
      </c>
      <c r="I77" s="11">
        <f t="shared" si="8"/>
        <v>4.5114376171937927E-2</v>
      </c>
      <c r="J77" s="10"/>
      <c r="K77" s="10"/>
      <c r="L77" s="10"/>
      <c r="M77" s="10"/>
      <c r="N77" s="10"/>
      <c r="O77" s="34">
        <f t="shared" si="10"/>
        <v>2.6399999999999966</v>
      </c>
      <c r="P77" s="11">
        <f t="shared" si="11"/>
        <v>0.26316719433631947</v>
      </c>
      <c r="Q77" s="10"/>
      <c r="R77" s="10"/>
      <c r="S77" s="10"/>
      <c r="T77" s="10"/>
      <c r="U77" s="10"/>
    </row>
    <row r="78" spans="1:21" x14ac:dyDescent="0.25">
      <c r="A78" s="34">
        <f t="shared" si="13"/>
        <v>12.379999999999979</v>
      </c>
      <c r="B78" s="11">
        <f t="shared" si="12"/>
        <v>0.32807907387344698</v>
      </c>
      <c r="C78" s="10"/>
      <c r="D78" s="10"/>
      <c r="E78" s="10"/>
      <c r="F78" s="10"/>
      <c r="G78" s="10"/>
      <c r="H78" s="34">
        <f t="shared" si="9"/>
        <v>30.132000000000033</v>
      </c>
      <c r="I78" s="11">
        <f t="shared" si="8"/>
        <v>3.7494751299813771E-2</v>
      </c>
      <c r="J78" s="10"/>
      <c r="K78" s="10"/>
      <c r="L78" s="10"/>
      <c r="M78" s="10"/>
      <c r="N78" s="10"/>
      <c r="O78" s="34">
        <f t="shared" si="10"/>
        <v>2.6699999999999964</v>
      </c>
      <c r="P78" s="11">
        <f t="shared" si="11"/>
        <v>0.21871938258226042</v>
      </c>
      <c r="Q78" s="10"/>
      <c r="R78" s="10"/>
      <c r="S78" s="10"/>
      <c r="T78" s="10"/>
      <c r="U78" s="10"/>
    </row>
    <row r="79" spans="1:21" x14ac:dyDescent="0.25">
      <c r="A79" s="34">
        <f t="shared" si="13"/>
        <v>12.399999999999979</v>
      </c>
      <c r="B79" s="11">
        <f t="shared" si="12"/>
        <v>0.26995483256599684</v>
      </c>
      <c r="C79" s="10"/>
      <c r="D79" s="10"/>
      <c r="E79" s="10"/>
      <c r="F79" s="10"/>
      <c r="G79" s="10"/>
      <c r="H79" s="34">
        <f t="shared" si="9"/>
        <v>30.307000000000034</v>
      </c>
      <c r="I79" s="11">
        <f t="shared" si="8"/>
        <v>3.0851980864677626E-2</v>
      </c>
      <c r="J79" s="10"/>
      <c r="K79" s="10"/>
      <c r="L79" s="10"/>
      <c r="M79" s="10"/>
      <c r="N79" s="10"/>
      <c r="O79" s="34">
        <f t="shared" si="10"/>
        <v>2.6999999999999962</v>
      </c>
      <c r="P79" s="11">
        <f t="shared" si="11"/>
        <v>0.17996988837729816</v>
      </c>
      <c r="Q79" s="10"/>
      <c r="R79" s="10"/>
      <c r="S79" s="10"/>
      <c r="T79" s="10"/>
      <c r="U79" s="10"/>
    </row>
    <row r="80" spans="1:21" x14ac:dyDescent="0.25">
      <c r="A80" s="34">
        <f t="shared" si="13"/>
        <v>12.419999999999979</v>
      </c>
      <c r="B80" s="11">
        <f t="shared" si="12"/>
        <v>0.21991797990218537</v>
      </c>
      <c r="C80" s="10"/>
      <c r="D80" s="10"/>
      <c r="E80" s="10"/>
      <c r="F80" s="10"/>
      <c r="G80" s="10"/>
      <c r="H80" s="34">
        <f t="shared" si="9"/>
        <v>30.482000000000035</v>
      </c>
      <c r="I80" s="11">
        <f t="shared" si="8"/>
        <v>2.5133483417385888E-2</v>
      </c>
      <c r="J80" s="10"/>
      <c r="K80" s="10"/>
      <c r="L80" s="10"/>
      <c r="M80" s="10"/>
      <c r="N80" s="10"/>
      <c r="O80" s="34">
        <f t="shared" si="10"/>
        <v>2.729999999999996</v>
      </c>
      <c r="P80" s="11">
        <f t="shared" si="11"/>
        <v>0.14661198660142821</v>
      </c>
      <c r="Q80" s="10"/>
      <c r="R80" s="10"/>
      <c r="S80" s="10"/>
      <c r="T80" s="10"/>
      <c r="U80" s="10"/>
    </row>
    <row r="81" spans="1:21" x14ac:dyDescent="0.25">
      <c r="A81" s="34">
        <f t="shared" si="13"/>
        <v>12.439999999999978</v>
      </c>
      <c r="B81" s="11">
        <f t="shared" si="12"/>
        <v>0.17737296423119972</v>
      </c>
      <c r="C81" s="10"/>
      <c r="D81" s="10"/>
      <c r="E81" s="10"/>
      <c r="F81" s="10"/>
      <c r="G81" s="10"/>
      <c r="H81" s="34">
        <f t="shared" si="9"/>
        <v>30.657000000000036</v>
      </c>
      <c r="I81" s="11">
        <f t="shared" si="8"/>
        <v>2.0271195912131314E-2</v>
      </c>
      <c r="J81" s="10"/>
      <c r="K81" s="10"/>
      <c r="L81" s="10"/>
      <c r="M81" s="10"/>
      <c r="N81" s="10"/>
      <c r="O81" s="34">
        <f t="shared" si="10"/>
        <v>2.7599999999999958</v>
      </c>
      <c r="P81" s="11">
        <f t="shared" si="11"/>
        <v>0.1182486428207751</v>
      </c>
      <c r="Q81" s="10"/>
      <c r="R81" s="10"/>
      <c r="S81" s="10"/>
      <c r="T81" s="10"/>
      <c r="U81" s="10"/>
    </row>
    <row r="82" spans="1:21" x14ac:dyDescent="0.25">
      <c r="A82" s="34">
        <f t="shared" si="13"/>
        <v>12.459999999999978</v>
      </c>
      <c r="B82" s="11">
        <f t="shared" si="12"/>
        <v>0.14163518870804206</v>
      </c>
      <c r="C82" s="10"/>
      <c r="D82" s="10"/>
      <c r="E82" s="10"/>
      <c r="F82" s="10"/>
      <c r="G82" s="10"/>
      <c r="H82" s="34">
        <f t="shared" si="9"/>
        <v>30.832000000000036</v>
      </c>
      <c r="I82" s="11">
        <f t="shared" si="8"/>
        <v>1.618687870948558E-2</v>
      </c>
      <c r="J82" s="10"/>
      <c r="K82" s="10"/>
      <c r="L82" s="10"/>
      <c r="M82" s="10"/>
      <c r="N82" s="10"/>
      <c r="O82" s="34">
        <f t="shared" si="10"/>
        <v>2.7899999999999956</v>
      </c>
      <c r="P82" s="11">
        <f t="shared" si="11"/>
        <v>9.442345913867381E-2</v>
      </c>
      <c r="Q82" s="10"/>
      <c r="R82" s="10"/>
      <c r="S82" s="10"/>
      <c r="T82" s="10"/>
      <c r="U82" s="10"/>
    </row>
    <row r="83" spans="1:21" x14ac:dyDescent="0.25">
      <c r="A83" s="34">
        <f t="shared" si="13"/>
        <v>12.479999999999977</v>
      </c>
      <c r="B83" s="11">
        <f t="shared" si="12"/>
        <v>0.11197265147424493</v>
      </c>
      <c r="C83" s="10"/>
      <c r="D83" s="10"/>
      <c r="E83" s="10"/>
      <c r="F83" s="10"/>
      <c r="G83" s="10"/>
      <c r="H83" s="34">
        <f t="shared" si="9"/>
        <v>31.007000000000037</v>
      </c>
      <c r="I83" s="11">
        <f t="shared" si="8"/>
        <v>1.2796874454195263E-2</v>
      </c>
      <c r="J83" s="10"/>
      <c r="K83" s="10"/>
      <c r="L83" s="10"/>
      <c r="M83" s="10"/>
      <c r="N83" s="10"/>
      <c r="O83" s="34">
        <f t="shared" si="10"/>
        <v>2.8199999999999954</v>
      </c>
      <c r="P83" s="11">
        <f t="shared" si="11"/>
        <v>7.464843431614579E-2</v>
      </c>
      <c r="Q83" s="10"/>
      <c r="R83" s="10"/>
      <c r="S83" s="10"/>
      <c r="T83" s="10"/>
      <c r="U83" s="10"/>
    </row>
    <row r="84" spans="1:21" x14ac:dyDescent="0.25">
      <c r="A84" s="34">
        <f t="shared" si="13"/>
        <v>12.499999999999977</v>
      </c>
      <c r="B84" s="11">
        <f t="shared" si="12"/>
        <v>8.7641502467867977E-2</v>
      </c>
      <c r="C84" s="10"/>
      <c r="D84" s="10"/>
      <c r="E84" s="10"/>
      <c r="F84" s="10"/>
      <c r="G84" s="10"/>
      <c r="H84" s="34">
        <f t="shared" si="9"/>
        <v>31.182000000000038</v>
      </c>
      <c r="I84" s="11">
        <f t="shared" si="8"/>
        <v>1.0016171710610037E-2</v>
      </c>
      <c r="J84" s="10"/>
      <c r="K84" s="10"/>
      <c r="L84" s="10"/>
      <c r="M84" s="10"/>
      <c r="N84" s="10"/>
      <c r="O84" s="34">
        <f t="shared" si="10"/>
        <v>2.8499999999999952</v>
      </c>
      <c r="P84" s="11">
        <f t="shared" si="11"/>
        <v>5.8427668311897475E-2</v>
      </c>
      <c r="Q84" s="10"/>
      <c r="R84" s="10"/>
      <c r="S84" s="10"/>
      <c r="T84" s="10"/>
      <c r="U84" s="10"/>
    </row>
    <row r="85" spans="1:21" x14ac:dyDescent="0.25">
      <c r="A85" s="34">
        <f t="shared" si="13"/>
        <v>12.519999999999976</v>
      </c>
      <c r="B85" s="11">
        <f t="shared" si="12"/>
        <v>6.7914846168448839E-2</v>
      </c>
      <c r="C85" s="10"/>
      <c r="D85" s="10"/>
      <c r="E85" s="10"/>
      <c r="F85" s="10"/>
      <c r="G85" s="10"/>
      <c r="H85" s="34">
        <f t="shared" si="9"/>
        <v>31.357000000000038</v>
      </c>
      <c r="I85" s="11">
        <f t="shared" si="8"/>
        <v>7.7616967049627525E-3</v>
      </c>
      <c r="J85" s="10"/>
      <c r="K85" s="10"/>
      <c r="L85" s="10"/>
      <c r="M85" s="10"/>
      <c r="N85" s="10"/>
      <c r="O85" s="34">
        <f t="shared" si="10"/>
        <v>2.879999999999995</v>
      </c>
      <c r="P85" s="11">
        <f t="shared" si="11"/>
        <v>4.5276564112287372E-2</v>
      </c>
      <c r="Q85" s="10"/>
      <c r="R85" s="10"/>
      <c r="S85" s="10"/>
      <c r="T85" s="10"/>
      <c r="U85" s="10"/>
    </row>
    <row r="86" spans="1:21" x14ac:dyDescent="0.25">
      <c r="A86" s="34">
        <f t="shared" si="13"/>
        <v>12.539999999999976</v>
      </c>
      <c r="B86" s="11">
        <f t="shared" si="12"/>
        <v>5.2104674072129813E-2</v>
      </c>
      <c r="C86" s="10"/>
      <c r="D86" s="10"/>
      <c r="E86" s="10"/>
      <c r="F86" s="10"/>
      <c r="G86" s="10"/>
      <c r="H86" s="34">
        <f t="shared" si="9"/>
        <v>31.532000000000039</v>
      </c>
      <c r="I86" s="11">
        <f t="shared" si="8"/>
        <v>5.9548198939553959E-3</v>
      </c>
      <c r="J86" s="10"/>
      <c r="K86" s="10"/>
      <c r="L86" s="10"/>
      <c r="M86" s="10"/>
      <c r="N86" s="10"/>
      <c r="O86" s="34">
        <f t="shared" si="10"/>
        <v>2.9099999999999948</v>
      </c>
      <c r="P86" s="11">
        <f t="shared" si="11"/>
        <v>3.4736449381410302E-2</v>
      </c>
      <c r="Q86" s="10"/>
      <c r="R86" s="10"/>
      <c r="S86" s="10"/>
      <c r="T86" s="10"/>
      <c r="U86" s="10"/>
    </row>
    <row r="87" spans="1:21" x14ac:dyDescent="0.25">
      <c r="A87" s="34">
        <f t="shared" si="13"/>
        <v>12.559999999999976</v>
      </c>
      <c r="B87" s="11">
        <f t="shared" si="12"/>
        <v>3.9577257914913316E-2</v>
      </c>
      <c r="C87" s="10"/>
      <c r="D87" s="10"/>
      <c r="E87" s="10"/>
      <c r="F87" s="10"/>
      <c r="G87" s="10"/>
      <c r="H87" s="34">
        <f t="shared" si="9"/>
        <v>31.70700000000004</v>
      </c>
      <c r="I87" s="11">
        <f t="shared" si="8"/>
        <v>4.5231151902739705E-3</v>
      </c>
      <c r="J87" s="10"/>
      <c r="K87" s="10"/>
      <c r="L87" s="10"/>
      <c r="M87" s="10"/>
      <c r="N87" s="10"/>
      <c r="O87" s="34">
        <f t="shared" si="10"/>
        <v>2.9399999999999946</v>
      </c>
      <c r="P87" s="11">
        <f t="shared" si="11"/>
        <v>2.6384838609934541E-2</v>
      </c>
      <c r="Q87" s="10"/>
      <c r="R87" s="10"/>
      <c r="S87" s="10"/>
      <c r="T87" s="10"/>
      <c r="U87" s="10"/>
    </row>
    <row r="88" spans="1:21" x14ac:dyDescent="0.25">
      <c r="A88" s="34">
        <f t="shared" si="13"/>
        <v>12.579999999999975</v>
      </c>
      <c r="B88" s="11">
        <f t="shared" si="12"/>
        <v>2.9762662098889971E-2</v>
      </c>
      <c r="C88" s="10"/>
      <c r="D88" s="10"/>
      <c r="E88" s="10"/>
      <c r="F88" s="10"/>
      <c r="G88" s="10"/>
      <c r="H88" s="34">
        <f t="shared" si="9"/>
        <v>31.882000000000041</v>
      </c>
      <c r="I88" s="11">
        <f t="shared" si="8"/>
        <v>3.4014470970145376E-3</v>
      </c>
      <c r="J88" s="10"/>
      <c r="K88" s="10"/>
      <c r="L88" s="10"/>
      <c r="M88" s="10"/>
      <c r="N88" s="10"/>
      <c r="O88" s="34">
        <f t="shared" si="10"/>
        <v>2.9699999999999944</v>
      </c>
      <c r="P88" s="11">
        <f t="shared" si="11"/>
        <v>1.9841774732587254E-2</v>
      </c>
      <c r="Q88" s="10"/>
      <c r="R88" s="10"/>
      <c r="S88" s="10"/>
      <c r="T88" s="10"/>
      <c r="U88" s="10"/>
    </row>
    <row r="89" spans="1:21" x14ac:dyDescent="0.25">
      <c r="A89" s="34">
        <f t="shared" si="13"/>
        <v>12.599999999999975</v>
      </c>
      <c r="B89" s="11">
        <f t="shared" si="12"/>
        <v>2.2159242059698419E-2</v>
      </c>
      <c r="C89" s="10"/>
      <c r="D89" s="10"/>
      <c r="E89" s="10"/>
      <c r="F89" s="10"/>
      <c r="G89" s="10"/>
      <c r="H89" s="34">
        <f t="shared" si="9"/>
        <v>32.057000000000038</v>
      </c>
      <c r="I89" s="11">
        <f t="shared" si="8"/>
        <v>2.5324848068215499E-3</v>
      </c>
      <c r="J89" s="10"/>
      <c r="K89" s="10"/>
      <c r="L89" s="10"/>
      <c r="M89" s="10"/>
      <c r="N89" s="10"/>
      <c r="O89" s="34">
        <f t="shared" si="10"/>
        <v>2.9999999999999942</v>
      </c>
      <c r="P89" s="11">
        <f t="shared" si="11"/>
        <v>1.4772828039794225E-2</v>
      </c>
      <c r="Q89" s="10"/>
      <c r="R89" s="10"/>
      <c r="S89" s="10"/>
      <c r="T89" s="10"/>
      <c r="U89" s="10"/>
    </row>
    <row r="90" spans="1:21" x14ac:dyDescent="0.25">
      <c r="A90" s="34">
        <f t="shared" si="13"/>
        <v>12.619999999999974</v>
      </c>
      <c r="B90" s="11">
        <f t="shared" si="12"/>
        <v>1.6334095281006093E-2</v>
      </c>
      <c r="C90" s="10"/>
      <c r="D90" s="10"/>
      <c r="E90" s="10"/>
      <c r="F90" s="10"/>
      <c r="G90" s="10"/>
      <c r="H90" s="34">
        <f t="shared" si="9"/>
        <v>32.232000000000035</v>
      </c>
      <c r="I90" s="11">
        <f t="shared" si="8"/>
        <v>1.8667537463998359E-3</v>
      </c>
      <c r="J90" s="10"/>
      <c r="K90" s="10"/>
      <c r="L90" s="10"/>
      <c r="M90" s="10"/>
      <c r="N90" s="10"/>
      <c r="O90" s="34">
        <f t="shared" si="10"/>
        <v>3.029999999999994</v>
      </c>
      <c r="P90" s="11">
        <f t="shared" si="11"/>
        <v>1.0889396854000408E-2</v>
      </c>
      <c r="Q90" s="10"/>
      <c r="R90" s="10"/>
      <c r="S90" s="10"/>
      <c r="T90" s="10"/>
      <c r="U90" s="10"/>
    </row>
    <row r="91" spans="1:21" x14ac:dyDescent="0.25">
      <c r="A91" s="34">
        <f t="shared" si="13"/>
        <v>12.639999999999974</v>
      </c>
      <c r="B91" s="11">
        <f t="shared" si="12"/>
        <v>1.1920441007329188E-2</v>
      </c>
      <c r="C91" s="10"/>
      <c r="D91" s="10"/>
      <c r="E91" s="10"/>
      <c r="F91" s="10"/>
      <c r="G91" s="10"/>
      <c r="H91" s="34">
        <f t="shared" si="9"/>
        <v>32.407000000000032</v>
      </c>
      <c r="I91" s="11">
        <f t="shared" si="8"/>
        <v>1.3623361151226838E-3</v>
      </c>
      <c r="J91" s="10"/>
      <c r="K91" s="10"/>
      <c r="L91" s="10"/>
      <c r="M91" s="10"/>
      <c r="N91" s="10"/>
      <c r="O91" s="34">
        <f t="shared" si="10"/>
        <v>3.0599999999999938</v>
      </c>
      <c r="P91" s="11">
        <f t="shared" si="11"/>
        <v>7.9469606715500043E-3</v>
      </c>
      <c r="Q91" s="10"/>
      <c r="R91" s="10"/>
      <c r="S91" s="10"/>
      <c r="T91" s="10"/>
      <c r="U91" s="10"/>
    </row>
    <row r="92" spans="1:21" x14ac:dyDescent="0.25">
      <c r="A92" s="34">
        <f t="shared" si="13"/>
        <v>12.659999999999973</v>
      </c>
      <c r="B92" s="11">
        <f t="shared" si="12"/>
        <v>8.6128446952721711E-3</v>
      </c>
      <c r="C92" s="10"/>
      <c r="D92" s="10"/>
      <c r="E92" s="10"/>
      <c r="F92" s="10"/>
      <c r="G92" s="10"/>
      <c r="H92" s="34">
        <f t="shared" si="9"/>
        <v>32.582000000000029</v>
      </c>
      <c r="I92" s="11">
        <f t="shared" si="8"/>
        <v>9.8432510803061731E-4</v>
      </c>
      <c r="J92" s="10"/>
      <c r="K92" s="10"/>
      <c r="L92" s="10"/>
      <c r="M92" s="10"/>
      <c r="N92" s="10"/>
      <c r="O92" s="34">
        <f t="shared" si="10"/>
        <v>3.0899999999999936</v>
      </c>
      <c r="P92" s="11">
        <f t="shared" si="11"/>
        <v>5.7418964635126742E-3</v>
      </c>
      <c r="Q92" s="10"/>
      <c r="R92" s="10"/>
      <c r="S92" s="10"/>
      <c r="T92" s="10"/>
      <c r="U92" s="10"/>
    </row>
    <row r="93" spans="1:21" x14ac:dyDescent="0.25">
      <c r="A93" s="34">
        <f t="shared" si="13"/>
        <v>12.679999999999973</v>
      </c>
      <c r="B93" s="11">
        <f t="shared" ref="B93" si="14">_xlfn.NORM.DIST(A93,$D$11,$G$12,FALSE)</f>
        <v>6.1610958423679169E-3</v>
      </c>
      <c r="C93" s="10"/>
      <c r="D93" s="10"/>
      <c r="E93" s="10"/>
      <c r="F93" s="10"/>
      <c r="G93" s="10"/>
      <c r="H93" s="34">
        <f t="shared" si="9"/>
        <v>32.757000000000026</v>
      </c>
      <c r="I93" s="11">
        <f t="shared" si="8"/>
        <v>7.0412523912740115E-4</v>
      </c>
      <c r="J93" s="10"/>
      <c r="K93" s="10"/>
      <c r="L93" s="10"/>
      <c r="M93" s="10"/>
      <c r="N93" s="10"/>
      <c r="O93" s="34">
        <f t="shared" si="10"/>
        <v>3.1199999999999934</v>
      </c>
      <c r="P93" s="11">
        <f t="shared" si="11"/>
        <v>4.1073972282437031E-3</v>
      </c>
      <c r="Q93" s="10"/>
      <c r="R93" s="10"/>
      <c r="S93" s="10"/>
      <c r="T93" s="10"/>
      <c r="U93" s="10"/>
    </row>
    <row r="96" spans="1:21" x14ac:dyDescent="0.25">
      <c r="C96" s="35"/>
    </row>
    <row r="97" spans="3:3" x14ac:dyDescent="0.25">
      <c r="C97" s="35"/>
    </row>
  </sheetData>
  <mergeCells count="75">
    <mergeCell ref="S14:T14"/>
    <mergeCell ref="P15:Q15"/>
    <mergeCell ref="S15:T15"/>
    <mergeCell ref="P16:U16"/>
    <mergeCell ref="P19:U19"/>
    <mergeCell ref="U17:U18"/>
    <mergeCell ref="S17:T18"/>
    <mergeCell ref="R17:R18"/>
    <mergeCell ref="P17:Q18"/>
    <mergeCell ref="P6:U6"/>
    <mergeCell ref="P7:R7"/>
    <mergeCell ref="S7:U7"/>
    <mergeCell ref="P8:Q8"/>
    <mergeCell ref="S8:T8"/>
    <mergeCell ref="P9:Q9"/>
    <mergeCell ref="S9:T9"/>
    <mergeCell ref="I19:N19"/>
    <mergeCell ref="I17:J18"/>
    <mergeCell ref="K17:K18"/>
    <mergeCell ref="N17:N18"/>
    <mergeCell ref="L17:M18"/>
    <mergeCell ref="L9:M9"/>
    <mergeCell ref="I10:J10"/>
    <mergeCell ref="P10:Q10"/>
    <mergeCell ref="S10:T10"/>
    <mergeCell ref="P11:Q11"/>
    <mergeCell ref="S11:T11"/>
    <mergeCell ref="P12:Q12"/>
    <mergeCell ref="S12:T12"/>
    <mergeCell ref="P14:Q14"/>
    <mergeCell ref="I6:N6"/>
    <mergeCell ref="I15:J15"/>
    <mergeCell ref="L15:M15"/>
    <mergeCell ref="I16:N16"/>
    <mergeCell ref="L10:M10"/>
    <mergeCell ref="I11:J11"/>
    <mergeCell ref="L11:M11"/>
    <mergeCell ref="I12:J12"/>
    <mergeCell ref="L12:M12"/>
    <mergeCell ref="I14:J14"/>
    <mergeCell ref="L14:M14"/>
    <mergeCell ref="I7:K7"/>
    <mergeCell ref="L7:N7"/>
    <mergeCell ref="I8:J8"/>
    <mergeCell ref="L8:M8"/>
    <mergeCell ref="I9:J9"/>
    <mergeCell ref="B6:G6"/>
    <mergeCell ref="E7:G7"/>
    <mergeCell ref="B7:D7"/>
    <mergeCell ref="B19:G19"/>
    <mergeCell ref="G17:G18"/>
    <mergeCell ref="E17:F18"/>
    <mergeCell ref="B17:C18"/>
    <mergeCell ref="D17:D18"/>
    <mergeCell ref="E9:F9"/>
    <mergeCell ref="E8:F8"/>
    <mergeCell ref="B16:G16"/>
    <mergeCell ref="B15:C15"/>
    <mergeCell ref="E15:F15"/>
    <mergeCell ref="E14:F14"/>
    <mergeCell ref="E12:F12"/>
    <mergeCell ref="E11:F11"/>
    <mergeCell ref="B14:C14"/>
    <mergeCell ref="E10:F10"/>
    <mergeCell ref="B8:C8"/>
    <mergeCell ref="B9:C9"/>
    <mergeCell ref="B10:C10"/>
    <mergeCell ref="B11:C11"/>
    <mergeCell ref="B13:C13"/>
    <mergeCell ref="E13:F13"/>
    <mergeCell ref="I13:J13"/>
    <mergeCell ref="L13:M13"/>
    <mergeCell ref="P13:Q13"/>
    <mergeCell ref="S13:T13"/>
    <mergeCell ref="B12:C12"/>
  </mergeCells>
  <conditionalFormatting sqref="D17:D18 K17:K18 R17:R18">
    <cfRule type="expression" dxfId="27" priority="1">
      <formula>EXACT(G17,"Conforme")</formula>
    </cfRule>
    <cfRule type="expression" dxfId="26" priority="2">
      <formula>EXACT(G17,"No conforme")</formula>
    </cfRule>
  </conditionalFormatting>
  <conditionalFormatting sqref="G17:G18 N17:N18 U17:U18">
    <cfRule type="cellIs" dxfId="25" priority="7" operator="equal">
      <formula>"Conforme, condicionado"</formula>
    </cfRule>
    <cfRule type="cellIs" dxfId="24" priority="8" operator="equal">
      <formula>"Conforme"</formula>
    </cfRule>
    <cfRule type="cellIs" dxfId="23" priority="9" operator="equal">
      <formula>"No conforme"</formula>
    </cfRule>
  </conditionalFormatting>
  <conditionalFormatting sqref="K17 D17:D18 R17:R18">
    <cfRule type="expression" dxfId="22" priority="6">
      <formula>EXACT(G17,"Conforme, condicionado")</formula>
    </cfRule>
  </conditionalFormatting>
  <dataValidations count="2">
    <dataValidation type="list" allowBlank="1" showInputMessage="1" showErrorMessage="1" sqref="R8 K8 D8" xr:uid="{55D915BB-064C-4048-8A33-E900D549A447}">
      <formula1>"SI,NO"</formula1>
    </dataValidation>
    <dataValidation type="list" allowBlank="1" showInputMessage="1" showErrorMessage="1" sqref="D14 K14 R14" xr:uid="{BBD7BA49-8131-4122-AC4F-ADEED3897C24}">
      <formula1>"Normal"</formula1>
    </dataValidation>
  </dataValidations>
  <pageMargins left="0.7" right="0.7" top="0.75" bottom="0.75" header="0.3" footer="0.3"/>
  <pageSetup paperSize="120" scale="3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2F85-AC23-4643-B764-4A34909C0F9E}">
  <sheetPr codeName="Hoja2">
    <pageSetUpPr fitToPage="1"/>
  </sheetPr>
  <dimension ref="A1:V102"/>
  <sheetViews>
    <sheetView tabSelected="1" view="pageBreakPreview" zoomScale="70" zoomScaleNormal="77" zoomScaleSheetLayoutView="70" workbookViewId="0">
      <selection activeCell="R16" sqref="R16"/>
    </sheetView>
  </sheetViews>
  <sheetFormatPr baseColWidth="10" defaultColWidth="11.5703125" defaultRowHeight="15" x14ac:dyDescent="0.25"/>
  <cols>
    <col min="1" max="1" width="3" style="1" customWidth="1"/>
    <col min="2" max="3" width="18.7109375" style="1" customWidth="1"/>
    <col min="4" max="4" width="17.140625" style="1" customWidth="1"/>
    <col min="5" max="5" width="12.140625" style="1" bestFit="1" customWidth="1"/>
    <col min="6" max="6" width="12" style="1" bestFit="1" customWidth="1"/>
    <col min="7" max="7" width="21.140625" style="1" customWidth="1"/>
    <col min="8" max="8" width="3" style="1" customWidth="1"/>
    <col min="9" max="10" width="18.7109375" style="1" customWidth="1"/>
    <col min="11" max="11" width="17.140625" style="1" customWidth="1"/>
    <col min="12" max="13" width="12" style="1" bestFit="1" customWidth="1"/>
    <col min="14" max="14" width="21.140625" style="1" customWidth="1"/>
    <col min="15" max="15" width="3" style="1" customWidth="1"/>
    <col min="16" max="17" width="18.7109375" style="1" customWidth="1"/>
    <col min="18" max="18" width="17.140625" style="1" customWidth="1"/>
    <col min="19" max="19" width="11.85546875" style="1" bestFit="1" customWidth="1"/>
    <col min="20" max="20" width="11.7109375" style="1" bestFit="1" customWidth="1"/>
    <col min="21" max="21" width="21.140625" style="1" customWidth="1"/>
    <col min="22" max="22" width="3" style="1" customWidth="1"/>
    <col min="23" max="16384" width="11.5703125" style="1"/>
  </cols>
  <sheetData>
    <row r="1" spans="2:21" x14ac:dyDescent="0.25">
      <c r="D1" s="118" t="s">
        <v>66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2:21" x14ac:dyDescent="0.25"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2:21" x14ac:dyDescent="0.25"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2:21" x14ac:dyDescent="0.25">
      <c r="K4" s="81"/>
    </row>
    <row r="5" spans="2:21" x14ac:dyDescent="0.25">
      <c r="K5" s="82"/>
    </row>
    <row r="8" spans="2:21" ht="15.75" thickBot="1" x14ac:dyDescent="0.3"/>
    <row r="9" spans="2:21" ht="31.5" x14ac:dyDescent="0.5">
      <c r="B9" s="83" t="s">
        <v>52</v>
      </c>
      <c r="C9" s="84" t="str" cm="1">
        <f t="array" ref="C9">_xlfn.IFS(E10="Normal","± U",E10="Lognormal","Yinf &lt; ",E10="","")</f>
        <v>± U</v>
      </c>
      <c r="D9" s="85" t="str">
        <f>IF(E10="lognormal","Y &lt; Ysup","")</f>
        <v/>
      </c>
      <c r="E9" s="120" t="s">
        <v>53</v>
      </c>
      <c r="F9" s="120"/>
      <c r="G9" s="121"/>
      <c r="I9" s="83" t="s">
        <v>52</v>
      </c>
      <c r="J9" s="84" t="str" cm="1">
        <f t="array" ref="J9">_xlfn.IFS(L10="Normal","± U",L10="Lognormal","Yinf &lt; ",L10="","")</f>
        <v>± U</v>
      </c>
      <c r="K9" s="85" t="str">
        <f>IF(L10="lognormal","Y &lt; Ysup","")</f>
        <v/>
      </c>
      <c r="L9" s="120" t="s">
        <v>53</v>
      </c>
      <c r="M9" s="120"/>
      <c r="N9" s="121"/>
      <c r="P9" s="83" t="s">
        <v>52</v>
      </c>
      <c r="Q9" s="84" t="str" cm="1">
        <f t="array" ref="Q9">_xlfn.IFS(S10="Normal","± U",S10="Lognormal","Yinf &lt; ",S10="","")</f>
        <v>± U</v>
      </c>
      <c r="R9" s="85" t="str">
        <f>IF(S10="lognormal","Y &lt; Ysup","")</f>
        <v/>
      </c>
      <c r="S9" s="120" t="s">
        <v>53</v>
      </c>
      <c r="T9" s="120"/>
      <c r="U9" s="121"/>
    </row>
    <row r="10" spans="2:21" ht="29.25" customHeight="1" x14ac:dyDescent="0.25">
      <c r="B10" s="38">
        <v>8.94</v>
      </c>
      <c r="C10" s="39">
        <v>0.27</v>
      </c>
      <c r="D10" s="80" t="str">
        <f>IFERROR(IF(E10="Normal","",IF(E10="Lognormal",B10+G17,"")),"")</f>
        <v/>
      </c>
      <c r="E10" s="122" t="s">
        <v>20</v>
      </c>
      <c r="F10" s="122"/>
      <c r="G10" s="123"/>
      <c r="I10" s="38">
        <v>90.24</v>
      </c>
      <c r="J10" s="39">
        <v>2.23</v>
      </c>
      <c r="K10" s="80" t="str">
        <f>IFERROR(IF(L10="Normal","",IF(L10="Lognormal",I10+N17,"")),"")</f>
        <v/>
      </c>
      <c r="L10" s="122" t="s">
        <v>20</v>
      </c>
      <c r="M10" s="122"/>
      <c r="N10" s="123"/>
      <c r="P10" s="38">
        <v>4.8099999999999996</v>
      </c>
      <c r="Q10" s="39">
        <v>0.16</v>
      </c>
      <c r="R10" s="80" t="str">
        <f>IFERROR(IF(S10="Normal","",IF(S10="Lognormal",P10+U17,"")),"")</f>
        <v/>
      </c>
      <c r="S10" s="122" t="s">
        <v>20</v>
      </c>
      <c r="T10" s="122"/>
      <c r="U10" s="123"/>
    </row>
    <row r="11" spans="2:21" ht="46.5" customHeight="1" x14ac:dyDescent="0.25">
      <c r="B11" s="139" t="s">
        <v>59</v>
      </c>
      <c r="C11" s="140"/>
      <c r="D11" s="140"/>
      <c r="E11" s="140"/>
      <c r="F11" s="140"/>
      <c r="G11" s="141"/>
      <c r="H11" s="79"/>
      <c r="I11" s="139" t="s">
        <v>60</v>
      </c>
      <c r="J11" s="140"/>
      <c r="K11" s="140"/>
      <c r="L11" s="140"/>
      <c r="M11" s="140"/>
      <c r="N11" s="141"/>
      <c r="O11" s="79"/>
      <c r="P11" s="139" t="s">
        <v>61</v>
      </c>
      <c r="Q11" s="140"/>
      <c r="R11" s="140"/>
      <c r="S11" s="140"/>
      <c r="T11" s="140"/>
      <c r="U11" s="141"/>
    </row>
    <row r="12" spans="2:21" ht="16.5" x14ac:dyDescent="0.3">
      <c r="B12" s="142" t="s">
        <v>3</v>
      </c>
      <c r="C12" s="92"/>
      <c r="D12" s="92"/>
      <c r="E12" s="92" t="s">
        <v>4</v>
      </c>
      <c r="F12" s="92"/>
      <c r="G12" s="143"/>
      <c r="I12" s="142" t="s">
        <v>3</v>
      </c>
      <c r="J12" s="92"/>
      <c r="K12" s="92"/>
      <c r="L12" s="92" t="s">
        <v>4</v>
      </c>
      <c r="M12" s="92"/>
      <c r="N12" s="143"/>
      <c r="P12" s="142" t="s">
        <v>3</v>
      </c>
      <c r="Q12" s="92"/>
      <c r="R12" s="92"/>
      <c r="S12" s="92" t="s">
        <v>4</v>
      </c>
      <c r="T12" s="92"/>
      <c r="U12" s="143"/>
    </row>
    <row r="13" spans="2:21" ht="36.75" customHeight="1" x14ac:dyDescent="0.25">
      <c r="B13" s="136" t="s">
        <v>51</v>
      </c>
      <c r="C13" s="88"/>
      <c r="D13" s="40" t="s">
        <v>57</v>
      </c>
      <c r="E13" s="88" t="s">
        <v>7</v>
      </c>
      <c r="F13" s="88"/>
      <c r="G13" s="78" cm="1">
        <f t="array" ref="G13">IFERROR(_xlfn.IFS(D13="6 Sigma",3,D13="3 Sigma",1.5,D13="Cornare",1.2,D13="Regla ILAC G8:2009",1,D13="ISO 14253-1:2017",0.83,D13="Aceptación Simple",0,D13="No critico",-1),"")</f>
        <v>1.2</v>
      </c>
      <c r="I13" s="136" t="s">
        <v>51</v>
      </c>
      <c r="J13" s="88"/>
      <c r="K13" s="40" t="s">
        <v>57</v>
      </c>
      <c r="L13" s="88" t="s">
        <v>7</v>
      </c>
      <c r="M13" s="88"/>
      <c r="N13" s="78" cm="1">
        <f t="array" ref="N13">IFERROR(_xlfn.IFS(K13="6 Sigma",3,K13="3 Sigma",1.5,K13="Cornare",1.2,K13="Regla ILAC G8:2009",1,K13="ISO 14253-1:2017",0.83,K13="Aceptación Simple",0,K13="No critico",-1),"")</f>
        <v>1.2</v>
      </c>
      <c r="P13" s="136" t="s">
        <v>51</v>
      </c>
      <c r="Q13" s="88"/>
      <c r="R13" s="40" t="s">
        <v>57</v>
      </c>
      <c r="S13" s="88" t="s">
        <v>7</v>
      </c>
      <c r="T13" s="88"/>
      <c r="U13" s="78" cm="1">
        <f t="array" ref="U13">IFERROR(_xlfn.IFS(R13="6 Sigma",3,R13="3 Sigma",1.5,R13="Cornare",1.2,R13="Regla ILAC G8:2009",1,R13="ISO 14253-1:2017",0.83,R13="Aceptación Simple",0,R13="No critico",-1),"")</f>
        <v>1.2</v>
      </c>
    </row>
    <row r="14" spans="2:21" ht="36.75" customHeight="1" x14ac:dyDescent="0.25">
      <c r="B14" s="136" t="s">
        <v>62</v>
      </c>
      <c r="C14" s="88"/>
      <c r="D14" s="39">
        <v>9</v>
      </c>
      <c r="E14" s="88" t="s">
        <v>10</v>
      </c>
      <c r="F14" s="88"/>
      <c r="G14" s="42" cm="1">
        <f t="array" ref="G14">IFERROR(_xlfn.IFS(D19="Normal",D14-G16,D19="Lognormal",EXP(LN(D14)-(G13*D18/D20)),AND(D19&lt;&gt;"Normal",D19&lt;&gt;"Lognormal"),""),"")</f>
        <v>8.6760000000000002</v>
      </c>
      <c r="I14" s="136" t="s">
        <v>62</v>
      </c>
      <c r="J14" s="88"/>
      <c r="K14" s="39">
        <v>150</v>
      </c>
      <c r="L14" s="88" t="s">
        <v>10</v>
      </c>
      <c r="M14" s="88"/>
      <c r="N14" s="42" cm="1">
        <f t="array" ref="N14">IFERROR(_xlfn.IFS(K19="Normal",K14-N16,K19="Lognormal",EXP(LN(K14)-(N13*K18/K20)),AND(K19&lt;&gt;"Normal",K19&lt;&gt;"Lognormal"),""),"")</f>
        <v>147.32400000000001</v>
      </c>
      <c r="P14" s="137" t="s">
        <v>62</v>
      </c>
      <c r="Q14" s="138"/>
      <c r="R14" s="76" t="s">
        <v>11</v>
      </c>
      <c r="S14" s="138" t="s">
        <v>10</v>
      </c>
      <c r="T14" s="138"/>
      <c r="U14" s="77" t="s">
        <v>11</v>
      </c>
    </row>
    <row r="15" spans="2:21" ht="36.75" customHeight="1" x14ac:dyDescent="0.25">
      <c r="B15" s="136" t="s">
        <v>12</v>
      </c>
      <c r="C15" s="88"/>
      <c r="D15" s="39">
        <v>6</v>
      </c>
      <c r="E15" s="88" t="s">
        <v>63</v>
      </c>
      <c r="F15" s="88"/>
      <c r="G15" s="42" cm="1">
        <f t="array" ref="G15">IFERROR(_xlfn.IFS(D19="Normal",D15+G16,D19="Lognormal",EXP(LN(D15)+(G13*D18/D20)),AND(D19&lt;&gt;"Normal",D19&lt;&gt;"lognormal"),""),"")</f>
        <v>6.3239999999999998</v>
      </c>
      <c r="I15" s="137" t="s">
        <v>12</v>
      </c>
      <c r="J15" s="138"/>
      <c r="K15" s="76" t="s">
        <v>11</v>
      </c>
      <c r="L15" s="138" t="s">
        <v>63</v>
      </c>
      <c r="M15" s="138"/>
      <c r="N15" s="77" t="s">
        <v>11</v>
      </c>
      <c r="P15" s="136" t="s">
        <v>12</v>
      </c>
      <c r="Q15" s="88"/>
      <c r="R15" s="86">
        <v>5</v>
      </c>
      <c r="S15" s="88" t="s">
        <v>63</v>
      </c>
      <c r="T15" s="88"/>
      <c r="U15" s="42" cm="1">
        <f t="array" ref="U15">IFERROR(_xlfn.IFS(R19="Normal",R15+U16,R19="Lognormal",EXP(LN(R15)+(U13*R18/R20)),AND(R19&lt;&gt;"Normal",R19&lt;&gt;"lognormal"),""),"")</f>
        <v>5.1920000000000002</v>
      </c>
    </row>
    <row r="16" spans="2:21" ht="36.75" customHeight="1" x14ac:dyDescent="0.25">
      <c r="B16" s="136" t="s">
        <v>14</v>
      </c>
      <c r="C16" s="88"/>
      <c r="D16" s="41">
        <f>B10</f>
        <v>8.94</v>
      </c>
      <c r="E16" s="88" t="s">
        <v>15</v>
      </c>
      <c r="F16" s="88"/>
      <c r="G16" s="42" cm="1">
        <f t="array" ref="G16">IFERROR(_xlfn.IFS(D19="normal",D18*G13,D19="lognormal","",AND(D19&lt;&gt;"Normal",D19&lt;&gt;"Lognormal"),""),"")</f>
        <v>0.32400000000000001</v>
      </c>
      <c r="I16" s="136" t="s">
        <v>14</v>
      </c>
      <c r="J16" s="88"/>
      <c r="K16" s="41">
        <f>I10</f>
        <v>90.24</v>
      </c>
      <c r="L16" s="88" t="s">
        <v>15</v>
      </c>
      <c r="M16" s="88"/>
      <c r="N16" s="42" cm="1">
        <f t="array" ref="N16">IFERROR(_xlfn.IFS(K19="normal",K18*N13,K19="lognormal","",AND(K19&lt;&gt;"Normal",K19&lt;&gt;"Lognormal"),""),"")</f>
        <v>2.6759999999999997</v>
      </c>
      <c r="P16" s="136" t="s">
        <v>14</v>
      </c>
      <c r="Q16" s="88"/>
      <c r="R16" s="41">
        <f>P10</f>
        <v>4.8099999999999996</v>
      </c>
      <c r="S16" s="88" t="s">
        <v>15</v>
      </c>
      <c r="T16" s="88"/>
      <c r="U16" s="42" cm="1">
        <f t="array" ref="U16">IFERROR(_xlfn.IFS(R19="normal",R18*U13,R19="lognormal","",AND(R19&lt;&gt;"Normal",R19&lt;&gt;"Lognormal"),""),"")</f>
        <v>0.192</v>
      </c>
    </row>
    <row r="17" spans="1:22" ht="33.75" customHeight="1" x14ac:dyDescent="0.25">
      <c r="B17" s="136" t="str" cm="1">
        <f t="array" ref="B17">_xlfn.IFS(D19="Normal","Incertidumbre exp. relativa (U%)",D19="lognormal","Incertidumbre exp. Relativa de los datos normalizados (U%)",AND(D19&lt;&gt;"Normal",D19&lt;&gt;"Lognormal"),"")</f>
        <v>Incertidumbre exp. relativa (U%)</v>
      </c>
      <c r="C17" s="88"/>
      <c r="D17" s="43" cm="1">
        <f t="array" ref="D17">IFERROR(_xlfn.IFS(E10="Normal",C10/B10,E10="lognormal",(LN(B10)-LN(C10))/LN(B10)),"")</f>
        <v>3.02013422818792E-2</v>
      </c>
      <c r="E17" s="88" t="s">
        <v>47</v>
      </c>
      <c r="F17" s="88"/>
      <c r="G17" s="42" cm="1">
        <f t="array" ref="G17">IFERROR(_xlfn.IFS(D19="Normal",D18,D19="Lognormal",EXP(LN(D16)+((LN(D16)*D17)))-D16,AND(D19&lt;&gt;"Normal",D19&lt;&gt;"Lognormal"),""),"")</f>
        <v>0.27</v>
      </c>
      <c r="I17" s="136" t="str" cm="1">
        <f t="array" ref="I17">_xlfn.IFS(K19="Normal","Incertidumbre exp. relativa (U%)",K19="lognormal","Incertidumbre exp. Relativa de los datos normalizados (U%)",AND(K19&lt;&gt;"Normal",K19&lt;&gt;"Lognormal"),"")</f>
        <v>Incertidumbre exp. relativa (U%)</v>
      </c>
      <c r="J17" s="88"/>
      <c r="K17" s="43" cm="1">
        <f t="array" ref="K17">IFERROR(_xlfn.IFS(L10="Normal",J10/I10,L10="lognormal",(LN(I10)-LN(J10))/LN(I10)),"")</f>
        <v>2.4711879432624116E-2</v>
      </c>
      <c r="L17" s="88" t="s">
        <v>48</v>
      </c>
      <c r="M17" s="88"/>
      <c r="N17" s="42" cm="1">
        <f t="array" ref="N17">IFERROR(_xlfn.IFS(K19="Normal",K18,K19="Lognormal",EXP(LN(K16)+((LN(K16)*K17)))-K16,AND(K19&lt;&gt;"Normal",K19&lt;&gt;"Lognormal"),""),"")</f>
        <v>2.23</v>
      </c>
      <c r="P17" s="136" t="str" cm="1">
        <f t="array" ref="P17">_xlfn.IFS(R19="Normal","Incertidumbre exp. relativa (U%)",R19="lognormal","Incertidumbre exp. Relativa de los datos normalizados (U%)",AND(R19&lt;&gt;"Normal",R19&lt;&gt;"Lognormal"),"")</f>
        <v>Incertidumbre exp. relativa (U%)</v>
      </c>
      <c r="Q17" s="88"/>
      <c r="R17" s="43" cm="1">
        <f t="array" ref="R17">IFERROR(_xlfn.IFS(S10="Normal",Q10/P10,S10="lognormal",(LN(P10)-LN(Q10))/LN(P10)),"")</f>
        <v>3.3264033264033266E-2</v>
      </c>
      <c r="S17" s="88" t="s">
        <v>48</v>
      </c>
      <c r="T17" s="88"/>
      <c r="U17" s="42" cm="1">
        <f t="array" ref="U17">IFERROR(_xlfn.IFS(R19="Normal",R18,R19="Lognormal",EXP(LN(R16)+((LN(R16)*R17)))-R16,AND(R19&lt;&gt;"Normal",R19&lt;&gt;"Lognormal"),""),"")</f>
        <v>0.16</v>
      </c>
    </row>
    <row r="18" spans="1:22" ht="33.75" customHeight="1" x14ac:dyDescent="0.25">
      <c r="B18" s="136" t="str" cm="1">
        <f t="array" ref="B18">_xlfn.IFS(D19="Normal","Incertidumbre exp. (U)",D19="lognormal","Incertidumbre exp. de los datos normalizados (U)",AND(D19&lt;&gt;"Normal",D19&lt;&gt;"Lognormal"),"")</f>
        <v>Incertidumbre exp. (U)</v>
      </c>
      <c r="C18" s="88"/>
      <c r="D18" s="41" cm="1">
        <f t="array" ref="D18">IFERROR(_xlfn.IFS(D19="normal",D17*D16,D19="lognormal",D17*LN(D16),AND(D19&lt;&gt;"Normal",D19&lt;&gt;"Lognormal"),""),"")</f>
        <v>0.27</v>
      </c>
      <c r="E18" s="88" t="s">
        <v>49</v>
      </c>
      <c r="F18" s="88"/>
      <c r="G18" s="42" cm="1">
        <f t="array" ref="G18">IFERROR(_xlfn.IFS(D19="Normal",G17,D19="Lognormal",D16-EXP(LN(D16)-((LN(D16)*D17))),AND(D19&lt;&gt;"Normal",D19&lt;&gt;"Lognormal"),""),"")</f>
        <v>0.27</v>
      </c>
      <c r="I18" s="136" t="str" cm="1">
        <f t="array" ref="I18">_xlfn.IFS(K19="Normal","Incertidumbre exp. (U)",K19="lognormal","Incertidumbre exp. de los datos normalizados (U)",AND(K19&lt;&gt;"Normal",K19&lt;&gt;"Lognormal"),"")</f>
        <v>Incertidumbre exp. (U)</v>
      </c>
      <c r="J18" s="88"/>
      <c r="K18" s="41" cm="1">
        <f t="array" ref="K18">IFERROR(_xlfn.IFS(K19="normal",K17*K16,K19="lognormal",K17*LN(K16),AND(K19&lt;&gt;"Normal",K19&lt;&gt;"Lognormal"),""),"")</f>
        <v>2.23</v>
      </c>
      <c r="L18" s="88" t="s">
        <v>50</v>
      </c>
      <c r="M18" s="88"/>
      <c r="N18" s="42" cm="1">
        <f t="array" ref="N18">IFERROR(_xlfn.IFS(K19="Normal",N17,K19="Lognormal",K16-EXP(LN(K16)-((LN(K16)*K17))),AND(K19&lt;&gt;"Normal",K19&lt;&gt;"Lognormal"),""),"")</f>
        <v>2.23</v>
      </c>
      <c r="P18" s="136" t="str" cm="1">
        <f t="array" ref="P18">_xlfn.IFS(R19="Normal","Incertidumbre exp. (U)",R19="lognormal","Incertidumbre exp. de los datos normalizados (U)",AND(R19&lt;&gt;"Normal",R19&lt;&gt;"Lognormal"),"")</f>
        <v>Incertidumbre exp. (U)</v>
      </c>
      <c r="Q18" s="88"/>
      <c r="R18" s="44" cm="1">
        <f t="array" ref="R18">_xlfn.IFS(R19="normal",R17*R16,R19="lognormal",R17*LN(R16),AND(R19&lt;&gt;"Normal",R19&lt;&gt;"Lognormal"),"")</f>
        <v>0.16</v>
      </c>
      <c r="S18" s="88" t="s">
        <v>50</v>
      </c>
      <c r="T18" s="88"/>
      <c r="U18" s="42" cm="1">
        <f t="array" ref="U18">IFERROR(_xlfn.IFS(R19="Normal",U17,R19="Lognormal",R16-EXP(LN(R16)-((LN(R16)*R17))),AND(R19&lt;&gt;"Normal",R19&lt;&gt;"Lognormal"),""),"")</f>
        <v>0.16</v>
      </c>
      <c r="V18" s="45"/>
    </row>
    <row r="19" spans="1:22" ht="24.75" customHeight="1" x14ac:dyDescent="0.25">
      <c r="B19" s="136" t="s">
        <v>19</v>
      </c>
      <c r="C19" s="88"/>
      <c r="D19" s="41" t="str">
        <f>E10</f>
        <v>Normal</v>
      </c>
      <c r="E19" s="88" t="s">
        <v>21</v>
      </c>
      <c r="F19" s="88"/>
      <c r="G19" s="42">
        <f>IFERROR(B28/10,"")</f>
        <v>1.3500000000000002E-2</v>
      </c>
      <c r="I19" s="136" t="s">
        <v>19</v>
      </c>
      <c r="J19" s="88"/>
      <c r="K19" s="41" t="str">
        <f>L10</f>
        <v>Normal</v>
      </c>
      <c r="L19" s="88" t="s">
        <v>21</v>
      </c>
      <c r="M19" s="88"/>
      <c r="N19" s="42">
        <f>IFERROR(I28/10,"")</f>
        <v>0.1115</v>
      </c>
      <c r="P19" s="136" t="s">
        <v>19</v>
      </c>
      <c r="Q19" s="88"/>
      <c r="R19" s="41" t="str">
        <f>S10</f>
        <v>Normal</v>
      </c>
      <c r="S19" s="88" t="s">
        <v>21</v>
      </c>
      <c r="T19" s="88"/>
      <c r="U19" s="42">
        <f>IFERROR(P28/10,"")</f>
        <v>8.0000000000000002E-3</v>
      </c>
    </row>
    <row r="20" spans="1:22" ht="33" customHeight="1" x14ac:dyDescent="0.25">
      <c r="B20" s="136" t="s">
        <v>22</v>
      </c>
      <c r="C20" s="88"/>
      <c r="D20" s="3">
        <f>IF(E10="","",2)</f>
        <v>2</v>
      </c>
      <c r="E20" s="88" t="s">
        <v>23</v>
      </c>
      <c r="F20" s="88"/>
      <c r="G20" s="46" cm="1">
        <f t="array" ref="G20">IFERROR(_xlfn.IFS(D19="normal",_xlfn.NORM.DIST(D16+D18,D16,G17/D20,TRUE)-_xlfn.NORM.DIST(D16-D18,D16,G17/D20,TRUE),D19="lognormal",_xlfn.LOGNORM.DIST(D16+G17,LN(D16),D18/D20,TRUE)-_xlfn.LOGNORM.DIST(D16-G18,LN(D16),D18/D20,TRUE),AND(D19&lt;&gt;"Normal",D19&lt;&gt;"Lognormal"),""),"")</f>
        <v>0.95449973610364114</v>
      </c>
      <c r="I20" s="136" t="s">
        <v>22</v>
      </c>
      <c r="J20" s="88"/>
      <c r="K20" s="3">
        <f>IF(L10="","",2)</f>
        <v>2</v>
      </c>
      <c r="L20" s="88" t="s">
        <v>23</v>
      </c>
      <c r="M20" s="88"/>
      <c r="N20" s="46" cm="1">
        <f t="array" ref="N20">IFERROR(_xlfn.IFS(K19="normal",_xlfn.NORM.DIST(K16+K18,K16,N17/K20,TRUE)-_xlfn.NORM.DIST(K16-K18,K16,N17/K20,TRUE),K19="lognormal",_xlfn.LOGNORM.DIST(K16+N17,LN(K16),K18/K20,TRUE)-_xlfn.LOGNORM.DIST(K16-N18,LN(K16),K18/K20,TRUE),AND(K19&lt;&gt;"Normal",K19&lt;&gt;"Lognormal"),""),"")</f>
        <v>0.95449973610364203</v>
      </c>
      <c r="P20" s="136" t="s">
        <v>22</v>
      </c>
      <c r="Q20" s="88"/>
      <c r="R20" s="3">
        <f>IF(S10="","",2)</f>
        <v>2</v>
      </c>
      <c r="S20" s="88" t="s">
        <v>23</v>
      </c>
      <c r="T20" s="88"/>
      <c r="U20" s="46" cm="1">
        <f t="array" ref="U20">IFERROR(_xlfn.IFS(R19="normal",_xlfn.NORM.DIST(R16+R18,R16,U17/R20,TRUE)-_xlfn.NORM.DIST(R16-R18,R16,U17/R20,TRUE),R19="lognormal",_xlfn.LOGNORM.DIST(R16+U17,LN(R16),R18/R20,TRUE)-_xlfn.LOGNORM.DIST(R16-U18,LN(R16),R18/R20,TRUE),AND(R19&lt;&gt;"Normal",R19&lt;&gt;"Lognormal"),""),"")</f>
        <v>0.9544997361036418</v>
      </c>
    </row>
    <row r="21" spans="1:22" ht="21" customHeight="1" x14ac:dyDescent="0.25">
      <c r="B21" s="124" t="s">
        <v>24</v>
      </c>
      <c r="C21" s="96"/>
      <c r="D21" s="96"/>
      <c r="E21" s="96"/>
      <c r="F21" s="96"/>
      <c r="G21" s="125"/>
      <c r="I21" s="124" t="s">
        <v>24</v>
      </c>
      <c r="J21" s="96"/>
      <c r="K21" s="96"/>
      <c r="L21" s="96"/>
      <c r="M21" s="96"/>
      <c r="N21" s="125"/>
      <c r="P21" s="124" t="s">
        <v>24</v>
      </c>
      <c r="Q21" s="96"/>
      <c r="R21" s="96"/>
      <c r="S21" s="96"/>
      <c r="T21" s="96"/>
      <c r="U21" s="125"/>
    </row>
    <row r="22" spans="1:22" ht="75.75" customHeight="1" x14ac:dyDescent="0.25">
      <c r="B22" s="132" t="s">
        <v>25</v>
      </c>
      <c r="C22" s="133"/>
      <c r="D22" s="47" cm="1">
        <f t="array" ref="D22">IFERROR(_xlfn.IFS(D19="normal",IF(AND((_xlfn.NORM.DIST(D14,D16,G17/D20,TRUE)-_xlfn.NORM.DIST(D15,D16,G17/D20,TRUE))&gt;=0.9999,(_xlfn.NORM.DIST(D14,D16,G17/D20,TRUE)-_xlfn.NORM.DIST(D15,D16,G17/D20,TRUE))&lt;1),"&gt;99,99%",IF(AND((_xlfn.NORM.DIST(D14,D16,G17/D20,TRUE)-_xlfn.NORM.DIST(D15,D16,G17/D20,TRUE))&lt;=0.0001,(_xlfn.NORM.DIST(D14,D16,G17/D20,TRUE)-_xlfn.NORM.DIST(D15,D16,G17/D20,TRUE))&gt;0),"&lt;0,01%",(_xlfn.NORM.DIST(D14,D16,G17/D20,TRUE)-_xlfn.NORM.DIST(D15,D16,G17/D20,TRUE)))),D19="lognormal",IF(AND((_xlfn.LOGNORM.DIST(D14,LN(D16),D18/D20,TRUE)-_xlfn.LOGNORM.DIST(D15,LN(D16),D18/D20,TRUE))&gt;=0.9999,(_xlfn.LOGNORM.DIST(D14,LN(D16),D18/D20,TRUE)-_xlfn.LOGNORM.DIST(D15,LN(D16),D18/D20,TRUE))&lt;1),"&gt;99,99%",IF(AND((_xlfn.LOGNORM.DIST(D14,LN(D16),D18/D20,TRUE)-_xlfn.LOGNORM.DIST(D15,LN(D16),D18/D20,TRUE))&lt;=0.0001,(_xlfn.LOGNORM.DIST(D14,LN(D16),D18/D20,TRUE)-_xlfn.LOGNORM.DIST(D15,LN(D16),D18/D20,TRUE))&gt;0),"&lt;0,01%",(_xlfn.LOGNORM.DIST(D14,LN(D16),D18/D20,TRUE)-_xlfn.LOGNORM.DIST(D15,LN(D16),D18/D20,TRUE)))),AND(D19&lt;&gt;"Normal",D19&lt;&gt;"Lognormal"),""),"")</f>
        <v>0.67163935671811614</v>
      </c>
      <c r="E22" s="128" t="s">
        <v>64</v>
      </c>
      <c r="F22" s="128"/>
      <c r="G22" s="130" t="str" cm="1">
        <f t="array" ref="G22">IF(D22="","",_xlfn.IFS(OR(_xlfn.IFS(D16&lt;G14,"Conforme",AND(D16&lt;=D14,D16&gt;=G14),"Conforme con riesgo de afectación ambiental",D16&gt;D14,"No conforme")="No conforme",_xlfn.IFS(D16&gt;G15,"Conforme",AND(D16&gt;=D15,D16&lt;=G15),"Conforme con riesgo de afectación ambiental",D16&lt;D15,"No conforme")="No conforme"),"No conforme",OR(_xlfn.IFS(D16&lt;G14,"Conforme",AND(D16&lt;=D14,D16&gt;=G14),"Conforme con riesgo de afectación ambiental",D16&gt;D14,"No conforme")="Conforme con riesgo de afectación ambiental",_xlfn.IFS(D16&gt;G15,"Conforme",AND(D16&gt;=D15,D16&lt;=G15),"Conforme con riesgo de afectación ambiental",D16&lt;D15,"No conforme")="Conforme con riesgo de afectación ambiental"),"Conforme con riesgo de afectación ambiental",AND(_xlfn.IFS(D16&lt;G14,"Conforme",AND(D16&lt;=D14,D16&gt;=G14),"Conforme con riesgo de afectación ambiental",D16&gt;D14,"No conforme")="Conforme",_xlfn.IFS(D16&gt;G15,"Conforme",AND(D16&gt;=D15,D16&lt;=G15),"Conforme con riesgo de afectación ambiental",D16&lt;D15,"No conforme")="Conforme"),"Conforme"))</f>
        <v>Conforme con riesgo de afectación ambiental</v>
      </c>
      <c r="I22" s="132" t="s">
        <v>65</v>
      </c>
      <c r="J22" s="133"/>
      <c r="K22" s="47" cm="1">
        <f t="array" ref="K22">IFERROR(_xlfn.IFS(K19="normal",IF(AND(_xlfn.NORM.DIST(K14,K16,N17/K20,TRUE)&gt;=0.9999,_xlfn.NORM.DIST(K14,K16,N17/K20,TRUE)&lt;1),"&gt;99,99%",IF(AND(_xlfn.NORM.DIST(K14,K16,N17/K20,TRUE)&lt;=0.0001,_xlfn.NORM.DIST(K14,K16,N17/K20,TRUE)&gt;0),"&lt;0,01%",_xlfn.NORM.DIST(K14,K16,N17/K20,TRUE))),K19="lognormal",IF(AND(_xlfn.LOGNORM.DIST(K14,LN(K16),K18/K20,TRUE)&gt;=0.9999,_xlfn.LOGNORM.DIST(K14,LN(K16),K18/K20,TRUE)&lt;1),"&gt;99,99%",IF(AND(_xlfn.LOGNORM.DIST(K14,LN(K16),K18/K20,TRUE)&lt;=0.0001,_xlfn.LOGNORM.DIST(K14,LN(K16),K18/K20,TRUE)&gt;0),"&lt;0,01%",_xlfn.LOGNORM.DIST(K14,LN(K16),K18/K20,TRUE))),AND(K19&lt;&gt;"Normal",K19&lt;&gt;"Lognormal"),""),"")</f>
        <v>1</v>
      </c>
      <c r="L22" s="128" t="s">
        <v>55</v>
      </c>
      <c r="M22" s="128"/>
      <c r="N22" s="130" t="str" cm="1">
        <f t="array" ref="N22">IF(K22="","",_xlfn.IFS(K16&lt;N14,"Conforme",AND(K16&lt;=K14,K16&gt;=N14),"Conforme con riesgo de afectación ambiental",K16&gt;K14,"No conforme"))</f>
        <v>Conforme</v>
      </c>
      <c r="P22" s="132" t="s">
        <v>56</v>
      </c>
      <c r="Q22" s="133"/>
      <c r="R22" s="47" cm="1">
        <f t="array" ref="R22">IFERROR(_xlfn.IFS(R19="normal",IF(AND(1-_xlfn.NORM.DIST(R15,R16,U17/R20,TRUE)&gt;=0.9999,1-_xlfn.NORM.DIST(R15,R16,U17/R20,TRUE)&lt;1),"&gt;99,99%",IF(AND(1-_xlfn.NORM.DIST(R15,R16,U17/R20,TRUE)&lt;=0.0001,1-_xlfn.NORM.DIST(R15,R16,U17/R20,TRUE)&gt;0),"&lt;0,01%",1-_xlfn.NORM.DIST(R15,R16,U17/R20,TRUE))),R19="lognormal",IF(AND(1-_xlfn.LOGNORM.DIST(R15,LN(R16),R18/R20,TRUE)&gt;=0.9999,1-_xlfn.LOGNORM.DIST(R15,LN(R16),R18/R20,TRUE)&lt;1),"&gt;99,99%",IF(AND(1-_xlfn.LOGNORM.DIST(R15,LN(R16),R18/R20,TRUE)&lt;=0.0001,1-_xlfn.LOGNORM.DIST(R15,LN(R16),R18/R20,TRUE)&gt;0),"&lt;0,01%",1-_xlfn.LOGNORM.DIST(R15,LN(R16),R18/R20,TRUE))),AND(R19&lt;&gt;"Normal",R19&lt;&gt;"Lognormal"),""),"")</f>
        <v>8.7744750957382545E-3</v>
      </c>
      <c r="S22" s="128" t="s">
        <v>58</v>
      </c>
      <c r="T22" s="128"/>
      <c r="U22" s="130" t="str" cm="1">
        <f t="array" ref="U22">IF(R22="","",_xlfn.IFS(R16&gt;U15,"Conforme",AND(R16&gt;=R15,R16&lt;=U15),"Conforme con riesgo de afectación ambiental",R16&lt;R15,"No conforme"))</f>
        <v>No conforme</v>
      </c>
    </row>
    <row r="23" spans="1:22" ht="89.25" customHeight="1" x14ac:dyDescent="0.25">
      <c r="B23" s="134" t="s">
        <v>54</v>
      </c>
      <c r="C23" s="135"/>
      <c r="D23" s="48" cm="1">
        <f t="array" ref="D23">IFERROR(_xlfn.IFS(D19="normal",IF(AND((1-_xlfn.NORM.DIST(D14,D16,G17/D20,TRUE)+_xlfn.NORM.DIST(D15,D16,G17/D20,TRUE))&gt;=0.9999,(1-_xlfn.NORM.DIST(D14,D16,G17/D20,TRUE)+_xlfn.NORM.DIST(D15,D16,G17/D20,TRUE))&lt;1),"&gt;99,99%",IF(AND((1-_xlfn.NORM.DIST(D14,D16,G17/D20,TRUE)+_xlfn.NORM.DIST(D15,D16,G17/D20,TRUE))&lt;=0.0001,(1-_xlfn.NORM.DIST(D14,D16,G17/D20,TRUE)+_xlfn.NORM.DIST(D15,D16,G17/D20,TRUE))&gt;0),"&lt;0,01%",(1-_xlfn.NORM.DIST(D14,D16,G17/D20,TRUE)+_xlfn.NORM.DIST(D15,D16,G17/D20,TRUE)))),D19="lognormal",IF(AND((1-_xlfn.LOGNORM.DIST(D14,LN(D16),D18/D20,TRUE)+_xlfn.LOGNORM.DIST(D15,LN(D16),D18/D20,TRUE))&gt;=0.9999,(1-_xlfn.LOGNORM.DIST(D14,LN(D16),D18/D20,TRUE)+_xlfn.LOGNORM.DIST(D15,LN(D16),D18/D20,TRUE))&lt;1),"&gt;99,99%",IF(AND((1-_xlfn.LOGNORM.DIST(D14,LN(D16),D18/D20,TRUE)+_xlfn.LOGNORM.DIST(D15,LN(D16),D18/D20,TRUE))&lt;=0.0001,(1-_xlfn.LOGNORM.DIST(D14,LN(D16),D18/D20,TRUE)+_xlfn.LOGNORM.DIST(D15,LN(D16),D18/D20,TRUE))&gt;0),"&lt;0,01%",(1-_xlfn.LOGNORM.DIST(D14,LN(D16),D18/D20,TRUE)+_xlfn.LOGNORM.DIST(D15,LN(D16),D18/D20,TRUE)))),AND(D19&lt;&gt;"Normal",D19&lt;&gt;"Lognormal"),""),"")</f>
        <v>0.32836064328188386</v>
      </c>
      <c r="E23" s="129"/>
      <c r="F23" s="129"/>
      <c r="G23" s="131"/>
      <c r="I23" s="134" t="s">
        <v>54</v>
      </c>
      <c r="J23" s="135"/>
      <c r="K23" s="47" cm="1">
        <f t="array" ref="K23">IFERROR(_xlfn.IFS(K19="normal",IF(AND(1-_xlfn.NORM.DIST(K14,K16,N17/K20,TRUE)&gt;=0.9999,1-_xlfn.NORM.DIST(K14,K16,N17/K20,TRUE)&lt;1),"&gt;99,99%",IF(AND(1-_xlfn.NORM.DIST(K14,K16,N17/K20,TRUE)&lt;=0.0001,1-_xlfn.NORM.DIST(K14,K16,N17/K20,TRUE)&gt;0),"&lt;0,01%",1-_xlfn.NORM.DIST(K14,K16,N17/K20,TRUE))),K19="lognormal",IF(AND(1-_xlfn.LOGNORM.DIST(K14,LN(K16),K18/K20,TRUE)&gt;=0.9999,1-_xlfn.LOGNORM.DIST(K14,LN(K16),K18/K20,TRUE)&lt;1),"&gt;99,99%",IF(AND(1-_xlfn.LOGNORM.DIST(K14,LN(K16),K18/K20,TRUE)&lt;=0.0001,1-_xlfn.LOGNORM.DIST(K14,LN(K16),K18/K20,TRUE)&gt;0),"&lt;0,01%",1-_xlfn.LOGNORM.DIST(K14,LN(K16),K18/K20,TRUE))),AND(K19&lt;&gt;"Normal",K19&lt;&gt;"Lognormal"),""),"")</f>
        <v>0</v>
      </c>
      <c r="L23" s="129"/>
      <c r="M23" s="129"/>
      <c r="N23" s="131"/>
      <c r="P23" s="134" t="s">
        <v>54</v>
      </c>
      <c r="Q23" s="135"/>
      <c r="R23" s="49" cm="1">
        <f t="array" ref="R23">IFERROR(_xlfn.IFS(R19="normal",IF(AND(_xlfn.NORM.DIST(R15,R16,U17/R20,TRUE)&gt;=0.9999,_xlfn.NORM.DIST(R15,R16,U17/R20,TRUE)&lt;1),"&gt;99,99%",IF(AND(_xlfn.NORM.DIST(R15,R16,U17/R20,TRUE)&lt;=0.0001,_xlfn.NORM.DIST(R15,R16,U17/R20,TRUE)&gt;0),"&lt;0,01%",_xlfn.NORM.DIST(R15,R16,U17/R20,TRUE))),R19="lognormal",IF(AND(1-_xlfn.LOGNORM.DIST(R15,LN(R16),R18/R20,TRUE)&gt;=0.9999,_xlfn.LOGNORM.DIST(R15,LN(R16),R18/R20,TRUE)&lt;1),"&gt;99,99%",IF(AND(1-_xlfn.LOGNORM.DIST(R15,LN(R16),R18/R20,TRUE)&lt;=0.0001,_xlfn.LOGNORM.DIST(R15,LN(R16),R18/R20,TRUE)&gt;0),"&lt;0,01%",_xlfn.LOGNORM.DIST(R15,LN(R16),R18/R20,TRUE))),AND(R19&lt;&gt;"Normal",R19&lt;&gt;"Lognormal"),""),"")</f>
        <v>0.99122552490426175</v>
      </c>
      <c r="S23" s="129"/>
      <c r="T23" s="129"/>
      <c r="U23" s="131"/>
    </row>
    <row r="24" spans="1:22" ht="21" customHeight="1" x14ac:dyDescent="0.25">
      <c r="B24" s="124" t="s">
        <v>31</v>
      </c>
      <c r="C24" s="96"/>
      <c r="D24" s="96"/>
      <c r="E24" s="96"/>
      <c r="F24" s="96"/>
      <c r="G24" s="125"/>
      <c r="I24" s="126" t="s">
        <v>31</v>
      </c>
      <c r="J24" s="114"/>
      <c r="K24" s="114"/>
      <c r="L24" s="114"/>
      <c r="M24" s="114"/>
      <c r="N24" s="127"/>
      <c r="P24" s="126" t="s">
        <v>31</v>
      </c>
      <c r="Q24" s="114"/>
      <c r="R24" s="114"/>
      <c r="S24" s="114"/>
      <c r="T24" s="114"/>
      <c r="U24" s="127"/>
    </row>
    <row r="25" spans="1:22" ht="33" x14ac:dyDescent="0.3">
      <c r="A25" s="32" t="s">
        <v>32</v>
      </c>
      <c r="B25" s="50" t="s">
        <v>33</v>
      </c>
      <c r="C25" s="5" t="s">
        <v>34</v>
      </c>
      <c r="D25" s="5" t="s">
        <v>35</v>
      </c>
      <c r="E25" s="5" t="s">
        <v>36</v>
      </c>
      <c r="F25" s="5" t="s">
        <v>37</v>
      </c>
      <c r="G25" s="51" t="s">
        <v>38</v>
      </c>
      <c r="H25" s="32" t="s">
        <v>32</v>
      </c>
      <c r="I25" s="50" t="s">
        <v>33</v>
      </c>
      <c r="J25" s="5" t="s">
        <v>34</v>
      </c>
      <c r="K25" s="5" t="s">
        <v>35</v>
      </c>
      <c r="L25" s="5" t="s">
        <v>36</v>
      </c>
      <c r="M25" s="5" t="s">
        <v>37</v>
      </c>
      <c r="N25" s="51" t="s">
        <v>38</v>
      </c>
      <c r="O25" s="32" t="s">
        <v>32</v>
      </c>
      <c r="P25" s="50" t="s">
        <v>33</v>
      </c>
      <c r="Q25" s="5" t="s">
        <v>34</v>
      </c>
      <c r="R25" s="5" t="s">
        <v>35</v>
      </c>
      <c r="S25" s="5" t="s">
        <v>36</v>
      </c>
      <c r="T25" s="5" t="s">
        <v>37</v>
      </c>
      <c r="U25" s="51" t="s">
        <v>38</v>
      </c>
    </row>
    <row r="26" spans="1:22" ht="17.25" customHeight="1" x14ac:dyDescent="0.3">
      <c r="A26" s="6">
        <v>0</v>
      </c>
      <c r="B26" s="52"/>
      <c r="C26" s="6"/>
      <c r="D26" s="6">
        <f t="shared" ref="D26:G27" si="0">D27</f>
        <v>9</v>
      </c>
      <c r="E26" s="6">
        <f t="shared" si="0"/>
        <v>6</v>
      </c>
      <c r="F26" s="53">
        <f t="shared" si="0"/>
        <v>8.6760000000000002</v>
      </c>
      <c r="G26" s="54">
        <f t="shared" si="0"/>
        <v>6.3239999999999998</v>
      </c>
      <c r="H26" s="6">
        <v>0</v>
      </c>
      <c r="I26" s="52"/>
      <c r="J26" s="6"/>
      <c r="K26" s="6">
        <f t="shared" ref="K26:N27" si="1">K27</f>
        <v>150</v>
      </c>
      <c r="L26" s="6" t="str">
        <f t="shared" si="1"/>
        <v>N.A.</v>
      </c>
      <c r="M26" s="6">
        <f t="shared" si="1"/>
        <v>147.32400000000001</v>
      </c>
      <c r="N26" s="55" t="str">
        <f t="shared" si="1"/>
        <v>N.A.</v>
      </c>
      <c r="O26" s="6">
        <v>0</v>
      </c>
      <c r="P26" s="52"/>
      <c r="Q26" s="6"/>
      <c r="R26" s="6" t="str">
        <f t="shared" ref="R26:U27" si="2">R27</f>
        <v>N.A.</v>
      </c>
      <c r="S26" s="6">
        <f t="shared" si="2"/>
        <v>5</v>
      </c>
      <c r="T26" s="6" t="str">
        <f t="shared" si="2"/>
        <v>N.A.</v>
      </c>
      <c r="U26" s="55">
        <f t="shared" si="2"/>
        <v>5.1920000000000002</v>
      </c>
    </row>
    <row r="27" spans="1:22" ht="17.25" customHeight="1" x14ac:dyDescent="0.3">
      <c r="A27" s="6">
        <v>2</v>
      </c>
      <c r="B27" s="56"/>
      <c r="C27" s="6"/>
      <c r="D27" s="6">
        <f t="shared" si="0"/>
        <v>9</v>
      </c>
      <c r="E27" s="6">
        <f t="shared" si="0"/>
        <v>6</v>
      </c>
      <c r="F27" s="53">
        <f t="shared" si="0"/>
        <v>8.6760000000000002</v>
      </c>
      <c r="G27" s="54">
        <f t="shared" si="0"/>
        <v>6.3239999999999998</v>
      </c>
      <c r="H27" s="6">
        <v>2</v>
      </c>
      <c r="I27" s="56"/>
      <c r="J27" s="6"/>
      <c r="K27" s="6">
        <f t="shared" si="1"/>
        <v>150</v>
      </c>
      <c r="L27" s="6" t="str">
        <f t="shared" si="1"/>
        <v>N.A.</v>
      </c>
      <c r="M27" s="6">
        <f t="shared" si="1"/>
        <v>147.32400000000001</v>
      </c>
      <c r="N27" s="55" t="str">
        <f t="shared" si="1"/>
        <v>N.A.</v>
      </c>
      <c r="O27" s="6">
        <v>2</v>
      </c>
      <c r="P27" s="56"/>
      <c r="Q27" s="6"/>
      <c r="R27" s="6" t="str">
        <f t="shared" si="2"/>
        <v>N.A.</v>
      </c>
      <c r="S27" s="6">
        <f t="shared" si="2"/>
        <v>5</v>
      </c>
      <c r="T27" s="6" t="str">
        <f t="shared" si="2"/>
        <v>N.A.</v>
      </c>
      <c r="U27" s="55">
        <f t="shared" si="2"/>
        <v>5.1920000000000002</v>
      </c>
    </row>
    <row r="28" spans="1:22" ht="16.5" x14ac:dyDescent="0.3">
      <c r="A28" s="6">
        <v>3</v>
      </c>
      <c r="B28" s="57" cm="1">
        <f t="array" ref="B28">_xlfn.IFS(D19="Normal",G17/D20,D19="Lognormal",D18/D20,AND(D19&lt;&gt;"Normal",D19&lt;&gt;"Lognormal"),"")</f>
        <v>0.13500000000000001</v>
      </c>
      <c r="C28" s="7">
        <f>D16</f>
        <v>8.94</v>
      </c>
      <c r="D28" s="7">
        <f>D14</f>
        <v>9</v>
      </c>
      <c r="E28" s="7">
        <f>D15</f>
        <v>6</v>
      </c>
      <c r="F28" s="58">
        <f>G14</f>
        <v>8.6760000000000002</v>
      </c>
      <c r="G28" s="59">
        <f>G15</f>
        <v>6.3239999999999998</v>
      </c>
      <c r="H28" s="6">
        <v>3</v>
      </c>
      <c r="I28" s="57" cm="1">
        <f t="array" ref="I28">_xlfn.IFS(K19="Normal",N17/K20,K19="Lognormal",K18/K20,AND(K19&lt;&gt;"Normal",K19&lt;&gt;"Lognormal"),"")</f>
        <v>1.115</v>
      </c>
      <c r="J28" s="7">
        <f>K16</f>
        <v>90.24</v>
      </c>
      <c r="K28" s="7">
        <f>K14</f>
        <v>150</v>
      </c>
      <c r="L28" s="7" t="str">
        <f>K15</f>
        <v>N.A.</v>
      </c>
      <c r="M28" s="7">
        <f>N14</f>
        <v>147.32400000000001</v>
      </c>
      <c r="N28" s="60" t="str">
        <f>N15</f>
        <v>N.A.</v>
      </c>
      <c r="O28" s="6">
        <v>3</v>
      </c>
      <c r="P28" s="57" cm="1">
        <f t="array" ref="P28">_xlfn.IFS(R19="Normal",U17/R20,R19="Lognormal",R18/R20,AND(R19&lt;&gt;"Normal",R19&lt;&gt;"Lognormal"),"")</f>
        <v>0.08</v>
      </c>
      <c r="Q28" s="7">
        <f>R16</f>
        <v>4.8099999999999996</v>
      </c>
      <c r="R28" s="7" t="str">
        <f>R14</f>
        <v>N.A.</v>
      </c>
      <c r="S28" s="7">
        <f>R15</f>
        <v>5</v>
      </c>
      <c r="T28" s="7" t="str">
        <f>U14</f>
        <v>N.A.</v>
      </c>
      <c r="U28" s="60">
        <f>U15</f>
        <v>5.1920000000000002</v>
      </c>
    </row>
    <row r="29" spans="1:22" ht="16.5" x14ac:dyDescent="0.3">
      <c r="A29" s="6">
        <v>4</v>
      </c>
      <c r="B29" s="56"/>
      <c r="C29" s="6"/>
      <c r="D29" s="6">
        <f t="shared" ref="D29:G30" si="3">D28</f>
        <v>9</v>
      </c>
      <c r="E29" s="6">
        <f t="shared" si="3"/>
        <v>6</v>
      </c>
      <c r="F29" s="53">
        <f t="shared" si="3"/>
        <v>8.6760000000000002</v>
      </c>
      <c r="G29" s="54">
        <f t="shared" si="3"/>
        <v>6.3239999999999998</v>
      </c>
      <c r="H29" s="6">
        <v>4</v>
      </c>
      <c r="I29" s="56"/>
      <c r="J29" s="6"/>
      <c r="K29" s="6">
        <f t="shared" ref="K29:N30" si="4">K28</f>
        <v>150</v>
      </c>
      <c r="L29" s="6" t="str">
        <f t="shared" si="4"/>
        <v>N.A.</v>
      </c>
      <c r="M29" s="6">
        <f t="shared" si="4"/>
        <v>147.32400000000001</v>
      </c>
      <c r="N29" s="55" t="str">
        <f t="shared" si="4"/>
        <v>N.A.</v>
      </c>
      <c r="O29" s="6">
        <v>4</v>
      </c>
      <c r="P29" s="56"/>
      <c r="Q29" s="6"/>
      <c r="R29" s="6" t="str">
        <f t="shared" ref="R29:U30" si="5">R28</f>
        <v>N.A.</v>
      </c>
      <c r="S29" s="6">
        <f t="shared" si="5"/>
        <v>5</v>
      </c>
      <c r="T29" s="6" t="str">
        <f t="shared" si="5"/>
        <v>N.A.</v>
      </c>
      <c r="U29" s="55">
        <f t="shared" si="5"/>
        <v>5.1920000000000002</v>
      </c>
    </row>
    <row r="30" spans="1:22" ht="16.5" x14ac:dyDescent="0.3">
      <c r="A30" s="6">
        <v>6</v>
      </c>
      <c r="B30" s="56"/>
      <c r="C30" s="6"/>
      <c r="D30" s="6">
        <f t="shared" si="3"/>
        <v>9</v>
      </c>
      <c r="E30" s="6">
        <f t="shared" si="3"/>
        <v>6</v>
      </c>
      <c r="F30" s="53">
        <f t="shared" si="3"/>
        <v>8.6760000000000002</v>
      </c>
      <c r="G30" s="54">
        <f t="shared" si="3"/>
        <v>6.3239999999999998</v>
      </c>
      <c r="H30" s="6">
        <v>6</v>
      </c>
      <c r="I30" s="56"/>
      <c r="J30" s="6"/>
      <c r="K30" s="6">
        <f t="shared" si="4"/>
        <v>150</v>
      </c>
      <c r="L30" s="6" t="str">
        <f t="shared" si="4"/>
        <v>N.A.</v>
      </c>
      <c r="M30" s="6">
        <f t="shared" si="4"/>
        <v>147.32400000000001</v>
      </c>
      <c r="N30" s="55" t="str">
        <f t="shared" si="4"/>
        <v>N.A.</v>
      </c>
      <c r="O30" s="6">
        <v>6</v>
      </c>
      <c r="P30" s="56"/>
      <c r="Q30" s="6"/>
      <c r="R30" s="6" t="str">
        <f t="shared" si="5"/>
        <v>N.A.</v>
      </c>
      <c r="S30" s="6">
        <f t="shared" si="5"/>
        <v>5</v>
      </c>
      <c r="T30" s="6" t="str">
        <f t="shared" si="5"/>
        <v>N.A.</v>
      </c>
      <c r="U30" s="55">
        <f t="shared" si="5"/>
        <v>5.1920000000000002</v>
      </c>
    </row>
    <row r="31" spans="1:22" ht="21" x14ac:dyDescent="0.35">
      <c r="A31" s="8" t="s">
        <v>39</v>
      </c>
      <c r="B31" s="61" t="s">
        <v>40</v>
      </c>
      <c r="C31" s="8" t="s">
        <v>41</v>
      </c>
      <c r="D31" s="8">
        <v>0</v>
      </c>
      <c r="E31" s="8" t="s">
        <v>42</v>
      </c>
      <c r="F31" s="8" t="s">
        <v>43</v>
      </c>
      <c r="G31" s="62" t="s">
        <v>44</v>
      </c>
      <c r="H31" s="8" t="s">
        <v>39</v>
      </c>
      <c r="I31" s="61" t="s">
        <v>40</v>
      </c>
      <c r="J31" s="8" t="s">
        <v>41</v>
      </c>
      <c r="K31" s="8">
        <v>0</v>
      </c>
      <c r="L31" s="8" t="s">
        <v>42</v>
      </c>
      <c r="M31" s="8" t="s">
        <v>43</v>
      </c>
      <c r="N31" s="62" t="s">
        <v>44</v>
      </c>
      <c r="O31" s="8" t="s">
        <v>39</v>
      </c>
      <c r="P31" s="61" t="s">
        <v>40</v>
      </c>
      <c r="Q31" s="8" t="s">
        <v>41</v>
      </c>
      <c r="R31" s="8">
        <v>0</v>
      </c>
      <c r="S31" s="8" t="s">
        <v>42</v>
      </c>
      <c r="T31" s="8" t="s">
        <v>43</v>
      </c>
      <c r="U31" s="62" t="s">
        <v>44</v>
      </c>
    </row>
    <row r="32" spans="1:22" x14ac:dyDescent="0.25">
      <c r="A32" s="9" cm="1">
        <f t="array" ref="A32">_xlfn.IFS(D19="normal",$D$16+((-3)*$B$28),D19="lognormal",LN($D$16)+((-3)*$B$28),AND(D19&lt;&gt;"Normal",D19&lt;&gt;"Lognormal"),"")</f>
        <v>8.5350000000000001</v>
      </c>
      <c r="B32" s="63" cm="1">
        <f t="array" ref="B32">_xlfn.IFS(D19="normal",$D$16+((-2)*$B$28),D19="lognormal",LN($D$16)+((-2)*$B$28),AND(D19&lt;&gt;"Normal",D19&lt;&gt;"Lognormal"),"")</f>
        <v>8.67</v>
      </c>
      <c r="C32" s="9" cm="1">
        <f t="array" ref="C32">_xlfn.IFS(D19="normal",$D$16+((-1)*$B$28),D19="lognormal",LN($D$16)+((-1)*$B$28),AND(D19&lt;&gt;"Normal",D19&lt;&gt;"Lognormal"),"")</f>
        <v>8.8049999999999997</v>
      </c>
      <c r="D32" s="9" cm="1">
        <f t="array" ref="D32">_xlfn.IFS(D19="normal",$D$16+((0)*$B$28),D19="lognormal",LN($D$16)+((0)*$B$28),AND(D19&lt;&gt;"Normal",D19&lt;&gt;"Lognormal"),"")</f>
        <v>8.94</v>
      </c>
      <c r="E32" s="9" cm="1">
        <f t="array" ref="E32">_xlfn.IFS(D19="normal",$D$16+((1)*$B$28),D19="lognormal",LN($D$16)+((1)*$B$28),AND(D19&lt;&gt;"Normal",D19&lt;&gt;"Lognormal"),"")</f>
        <v>9.0749999999999993</v>
      </c>
      <c r="F32" s="9" cm="1">
        <f t="array" ref="F32">_xlfn.IFS(D19="normal",$D$16+((2)*$B$28),D19="lognormal",LN($D$16)+((2)*$B$28),AND(D19&lt;&gt;"Normal",D19&lt;&gt;"Lognormal"),"")</f>
        <v>9.2099999999999991</v>
      </c>
      <c r="G32" s="64" cm="1">
        <f t="array" ref="G32">_xlfn.IFS(D19="normal",$D$16+((3)*$B$28),D19="lognormal",LN($D$16)+((3)*$B$28),AND(D19&lt;&gt;"Normal",D19&lt;&gt;"Lognormal"),"")</f>
        <v>9.3449999999999989</v>
      </c>
      <c r="H32" s="9" cm="1">
        <f t="array" ref="H32">_xlfn.IFS(K19="normal",$K$16+((-3)*$I$28),K19="lognormal",LN($K$16)+((-3)*$I$28),AND(K19&lt;&gt;"Normal",K19&lt;&gt;"Lognormal"),"")</f>
        <v>86.894999999999996</v>
      </c>
      <c r="I32" s="63" cm="1">
        <f t="array" ref="I32">_xlfn.IFS(K19="normal",$K$16+((-2)*$I$28),K19="lognormal",LN($K$16)+((-2)*$I$28),AND(K19&lt;&gt;"Normal",K19&lt;&gt;"Lognormal"),"")</f>
        <v>88.009999999999991</v>
      </c>
      <c r="J32" s="9" cm="1">
        <f t="array" ref="J32">_xlfn.IFS(K19="normal",$K$16+((-1)*$I$28),K19="lognormal",LN($K$16)+((-1)*$I$28),AND(K19&lt;&gt;"Normal",K19&lt;&gt;"Lognormal"),"")</f>
        <v>89.125</v>
      </c>
      <c r="K32" s="9" cm="1">
        <f t="array" ref="K32">_xlfn.IFS(K19="normal",$K$16+((0)*$I$28),K19="lognormal",LN($K$16)+((0)*$I$28),AND(K19&lt;&gt;"Normal",K19&lt;&gt;"Lognormal"),"")</f>
        <v>90.24</v>
      </c>
      <c r="L32" s="9" cm="1">
        <f t="array" ref="L32">_xlfn.IFS(K19="normal",$K$16+((1)*$I$28),K19="lognormal",LN($K$16)+((1)*$I$28),AND(K19&lt;&gt;"Normal",K19&lt;&gt;"Lognormal"),"")</f>
        <v>91.35499999999999</v>
      </c>
      <c r="M32" s="9" cm="1">
        <f t="array" ref="M32">_xlfn.IFS(K19="normal",$K$16+((2)*$I$28),K19="lognormal",LN($K$16)+((2)*$I$28),AND(K19&lt;&gt;"Normal",K19&lt;&gt;"Lognormal"),"")</f>
        <v>92.47</v>
      </c>
      <c r="N32" s="64" cm="1">
        <f t="array" ref="N32">_xlfn.IFS(K19="normal",$K$16+((3)*$I$28),K19="lognormal",LN($K$16)+((3)*$I$28),AND(K19&lt;&gt;"Normal",K19&lt;&gt;"Lognormal"),"")</f>
        <v>93.584999999999994</v>
      </c>
      <c r="O32" s="9" cm="1">
        <f t="array" ref="O32">_xlfn.IFS(R19="normal",$R$16+((-3)*$P$28),R19="lognormal",LN($R$16)+((-3)*$P$28),AND(R19&lt;&gt;"Normal",R19&lt;&gt;"Lognormal"),"")</f>
        <v>4.5699999999999994</v>
      </c>
      <c r="P32" s="63" cm="1">
        <f t="array" ref="P32">_xlfn.IFS(R19="normal",$R$16+((-2)*$P$28),R19="lognormal",LN($R$16)+((-2)*$P$28),AND(R19&lt;&gt;"Normal",R19&lt;&gt;"Lognormal"),"")</f>
        <v>4.6499999999999995</v>
      </c>
      <c r="Q32" s="9" cm="1">
        <f t="array" ref="Q32">_xlfn.IFS(R19="normal",$R$16+((-1)*$P$28),R19="lognormal",LN($R$16)+((-1)*$P$28),AND(R19&lt;&gt;"Normal",R19&lt;&gt;"Lognormal"),"")</f>
        <v>4.7299999999999995</v>
      </c>
      <c r="R32" s="9" cm="1">
        <f t="array" ref="R32">_xlfn.IFS(R19="normal",$R$16+((0)*$P$28),R19="lognormal",LN($R$16)+((0)*$P$28),AND(R19&lt;&gt;"Normal",R19&lt;&gt;"Lognormal"),"")</f>
        <v>4.8099999999999996</v>
      </c>
      <c r="S32" s="9" cm="1">
        <f t="array" ref="S32">_xlfn.IFS(R19="normal",$R$16+((1)*$P$28),R19="lognormal",LN($R$16)+((1)*$P$28),AND(R19&lt;&gt;"Normal",R19&lt;&gt;"Lognormal"),"")</f>
        <v>4.8899999999999997</v>
      </c>
      <c r="T32" s="9" cm="1">
        <f t="array" ref="T32">_xlfn.IFS(R19="normal",$R$16+((2)*$P$28),R19="lognormal",LN($R$16)+((2)*$P$28),AND(R19&lt;&gt;"Normal",R19&lt;&gt;"Lognormal"),"")</f>
        <v>4.97</v>
      </c>
      <c r="U32" s="64" cm="1">
        <f t="array" ref="U32">_xlfn.IFS(R19="normal",$R$16+((3)*$P$28),R19="lognormal",LN($R$16)+((3)*$P$28),AND(R19&lt;&gt;"Normal",R19&lt;&gt;"Lognormal"),"")</f>
        <v>5.05</v>
      </c>
    </row>
    <row r="33" spans="1:22" ht="20.45" customHeight="1" x14ac:dyDescent="0.25">
      <c r="A33" s="33" t="s">
        <v>45</v>
      </c>
      <c r="B33" s="65" t="s">
        <v>46</v>
      </c>
      <c r="C33" s="10"/>
      <c r="D33" s="10"/>
      <c r="E33" s="10"/>
      <c r="F33" s="10"/>
      <c r="G33" s="64"/>
      <c r="H33" s="33" t="s">
        <v>45</v>
      </c>
      <c r="I33" s="65" t="s">
        <v>46</v>
      </c>
      <c r="J33" s="10"/>
      <c r="K33" s="10"/>
      <c r="L33" s="10"/>
      <c r="M33" s="10"/>
      <c r="N33" s="64"/>
      <c r="O33" s="33" t="s">
        <v>45</v>
      </c>
      <c r="P33" s="65" t="s">
        <v>46</v>
      </c>
      <c r="Q33" s="10"/>
      <c r="R33" s="10"/>
      <c r="S33" s="10"/>
      <c r="T33" s="10"/>
      <c r="U33" s="64"/>
    </row>
    <row r="34" spans="1:22" x14ac:dyDescent="0.25">
      <c r="A34" s="66" cm="1">
        <f t="array" ref="A34">_xlfn.IFS(D19="normal",A32,D19="lognormal",EXP(A32),AND(D19&lt;&gt;"Normal",D19&lt;&gt;"Lognormal"),"")</f>
        <v>8.5350000000000001</v>
      </c>
      <c r="B34" s="67" cm="1">
        <f t="array" ref="B34">_xlfn.IFS($D$19="normal",_xlfn.NORM.DIST(A34,$D$16,$B$28,FALSE),$D$19="lognormal",_xlfn.LOGNORM.DIST(A34,LN($D$16),$B$28,FALSE),AND($D$19&lt;&gt;"Normal",$D$19&lt;&gt;"Lognormal"),"")</f>
        <v>3.2828506755096812E-2</v>
      </c>
      <c r="C34" s="10"/>
      <c r="D34" s="10"/>
      <c r="E34" s="10"/>
      <c r="F34" s="10"/>
      <c r="G34" s="64"/>
      <c r="H34" s="66" cm="1">
        <f t="array" ref="H34">_xlfn.IFS(K19="normal",H32,K19="lognormal",EXP(H32),AND(K19&lt;&gt;"Normal",K19&lt;&gt;"Lognormal"),"")</f>
        <v>86.894999999999996</v>
      </c>
      <c r="I34" s="67" cm="1">
        <f t="array" ref="I34">_xlfn.IFS($K$19="normal",_xlfn.NORM.DIST(H34,$K$16,$I$28,FALSE),$K$19="lognormal",_xlfn.LOGNORM.DIST(H34,LN($K$16),$I$28,FALSE),AND($K$19&lt;&gt;"Normal",$K$19&lt;&gt;"Lognormal"),"")</f>
        <v>3.9747519389578649E-3</v>
      </c>
      <c r="J34" s="10"/>
      <c r="K34" s="10"/>
      <c r="L34" s="10"/>
      <c r="M34" s="10"/>
      <c r="N34" s="64"/>
      <c r="O34" s="66" cm="1">
        <f t="array" ref="O34">_xlfn.IFS(R19="normal",O32,R19="lognormal",EXP(O32),AND(R19&lt;&gt;"Normal",R19&lt;&gt;"Lognormal"),"")</f>
        <v>4.5699999999999994</v>
      </c>
      <c r="P34" s="67" cm="1">
        <f t="array" ref="P34">_xlfn.IFS($R$19="normal",_xlfn.NORM.DIST(O34,$R$16,$P$28,FALSE),$R$19="lognormal",_xlfn.LOGNORM.DIST(O34,LN($R$16),$P$28,FALSE),AND($R$19&lt;&gt;"Normal",$R$19&lt;&gt;"Lognormal"),"")</f>
        <v>5.539810514922465E-2</v>
      </c>
      <c r="Q34" s="10"/>
      <c r="R34" s="10"/>
      <c r="S34" s="10"/>
      <c r="T34" s="10"/>
      <c r="U34" s="64"/>
    </row>
    <row r="35" spans="1:22" x14ac:dyDescent="0.25">
      <c r="A35" s="66" cm="1">
        <f t="array" ref="A35">_xlfn.IFS($D$19="normal",A34+$G$19,$D$19="lognormal",EXP(LN(A34)+$G$19),AND($D$19&lt;&gt;"Normal",$D$19&lt;&gt;"Lognormal"),"")</f>
        <v>8.5485000000000007</v>
      </c>
      <c r="B35" s="67" cm="1">
        <f t="array" ref="B35">_xlfn.IFS($D$19="normal",_xlfn.NORM.DIST(A35,$D$16,$B$28,FALSE),$D$19="lognormal",_xlfn.LOGNORM.DIST(A35,LN($D$16),$B$28,FALSE),AND($D$19&lt;&gt;"Normal",$D$19&lt;&gt;"Lognormal"),"")</f>
        <v>4.4092832739081496E-2</v>
      </c>
      <c r="C35" s="10"/>
      <c r="D35" s="10"/>
      <c r="E35" s="10"/>
      <c r="F35" s="10"/>
      <c r="G35" s="64"/>
      <c r="H35" s="66" cm="1">
        <f t="array" ref="H35">_xlfn.IFS($K$19="normal",H34+$N$19,$K$19="lognormal",EXP(LN(H34)+$N$19),AND($K$19&lt;&gt;"Normal",$K$19&lt;&gt;"Lognormal"),"")</f>
        <v>87.006500000000003</v>
      </c>
      <c r="I35" s="67" cm="1">
        <f t="array" ref="I35">_xlfn.IFS($K$19="normal",_xlfn.NORM.DIST(H35,$K$16,$I$28,FALSE),$K$19="lognormal",_xlfn.LOGNORM.DIST(H35,LN($K$16),$I$28,FALSE),AND($K$19&lt;&gt;"Normal",$K$19&lt;&gt;"Lognormal"),"")</f>
        <v>5.3385940984537845E-3</v>
      </c>
      <c r="J35" s="10"/>
      <c r="K35" s="10"/>
      <c r="L35" s="10"/>
      <c r="M35" s="10"/>
      <c r="N35" s="64"/>
      <c r="O35" s="66" cm="1">
        <f t="array" ref="O35">_xlfn.IFS($R$19="normal",O34+$U$19,$R$19="lognormal",EXP(LN(O34)+$U$19),AND($R$19&lt;&gt;"Normal",$R$19&lt;&gt;"Lognormal"),"")</f>
        <v>4.5779999999999994</v>
      </c>
      <c r="P35" s="67" cm="1">
        <f t="array" ref="P35">_xlfn.IFS($R$19="normal",_xlfn.NORM.DIST(O35,$R$16,$P$28,FALSE),$R$19="lognormal",_xlfn.LOGNORM.DIST(O35,LN($R$16),$P$28,FALSE),AND($R$19&lt;&gt;"Normal",$R$19&lt;&gt;"Lognormal"),"")</f>
        <v>7.4406655247197639E-2</v>
      </c>
      <c r="Q35" s="10"/>
      <c r="R35" s="10"/>
      <c r="S35" s="10"/>
      <c r="T35" s="10"/>
      <c r="U35" s="64"/>
    </row>
    <row r="36" spans="1:22" x14ac:dyDescent="0.25">
      <c r="A36" s="66" cm="1">
        <f t="array" ref="A36">_xlfn.IFS($D$19="normal",A35+$G$19,$D$19="lognormal",EXP(LN(A35)+$G$19),AND($D$19&lt;&gt;"Normal",$D$19&lt;&gt;"Lognormal"),"")</f>
        <v>8.5620000000000012</v>
      </c>
      <c r="B36" s="67" cm="1">
        <f t="array" ref="B36">_xlfn.IFS($D$19="normal",_xlfn.NORM.DIST(A36,$D$16,$B$28,FALSE),$D$19="lognormal",_xlfn.LOGNORM.DIST(A36,LN($D$16),$B$28,FALSE),AND($D$19&lt;&gt;"Normal",$D$19&lt;&gt;"Lognormal"),"")</f>
        <v>5.8632974688742526E-2</v>
      </c>
      <c r="C36" s="10"/>
      <c r="D36" s="10"/>
      <c r="E36" s="10"/>
      <c r="F36" s="10"/>
      <c r="G36" s="64"/>
      <c r="H36" s="66" cm="1">
        <f t="array" ref="H36">_xlfn.IFS($K$19="normal",H35+$N$19,$K$19="lognormal",EXP(LN(H35)+$N$19),AND($K$19&lt;&gt;"Normal",$K$19&lt;&gt;"Lognormal"),"")</f>
        <v>87.118000000000009</v>
      </c>
      <c r="I36" s="67" cm="1">
        <f t="array" ref="I36">_xlfn.IFS($K$19="normal",_xlfn.NORM.DIST(H36,$K$16,$I$28,FALSE),$K$19="lognormal",_xlfn.LOGNORM.DIST(H36,LN($K$16),$I$28,FALSE),AND($K$19&lt;&gt;"Normal",$K$19&lt;&gt;"Lognormal"),"")</f>
        <v>7.0990597156773477E-3</v>
      </c>
      <c r="J36" s="10"/>
      <c r="K36" s="10"/>
      <c r="L36" s="10"/>
      <c r="M36" s="10"/>
      <c r="N36" s="64"/>
      <c r="O36" s="66" cm="1">
        <f t="array" ref="O36">_xlfn.IFS($R$19="normal",O35+$U$19,$R$19="lognormal",EXP(LN(O35)+$U$19),AND($R$19&lt;&gt;"Normal",$R$19&lt;&gt;"Lognormal"),"")</f>
        <v>4.5859999999999994</v>
      </c>
      <c r="P36" s="67" cm="1">
        <f t="array" ref="P36">_xlfn.IFS($R$19="normal",_xlfn.NORM.DIST(O36,$R$16,$P$28,FALSE),$R$19="lognormal",_xlfn.LOGNORM.DIST(O36,LN($R$16),$P$28,FALSE),AND($R$19&lt;&gt;"Normal",$R$19&lt;&gt;"Lognormal"),"")</f>
        <v>9.8943144787248832E-2</v>
      </c>
      <c r="Q36" s="10"/>
      <c r="R36" s="10"/>
      <c r="S36" s="10"/>
      <c r="T36" s="10"/>
      <c r="U36" s="64"/>
    </row>
    <row r="37" spans="1:22" x14ac:dyDescent="0.25">
      <c r="A37" s="66" cm="1">
        <f t="array" ref="A37">_xlfn.IFS($D$19="normal",A36+$G$19,$D$19="lognormal",EXP(LN(A36)+$G$19),AND($D$19&lt;&gt;"Normal",$D$19&lt;&gt;"Lognormal"),"")</f>
        <v>8.5755000000000017</v>
      </c>
      <c r="B37" s="67" cm="1">
        <f t="array" ref="B37">_xlfn.IFS($D$19="normal",_xlfn.NORM.DIST(A37,$D$16,$B$28,FALSE),$D$19="lognormal",_xlfn.LOGNORM.DIST(A37,LN($D$16),$B$28,FALSE),AND($D$19&lt;&gt;"Normal",$D$19&lt;&gt;"Lognormal"),"")</f>
        <v>7.7192109736467049E-2</v>
      </c>
      <c r="C37" s="10"/>
      <c r="D37" s="10"/>
      <c r="E37" s="10"/>
      <c r="F37" s="10"/>
      <c r="G37" s="64"/>
      <c r="H37" s="66" cm="1">
        <f t="array" ref="H37">_xlfn.IFS($K$19="normal",H36+$N$19,$K$19="lognormal",EXP(LN(H36)+$N$19),AND($K$19&lt;&gt;"Normal",$K$19&lt;&gt;"Lognormal"),"")</f>
        <v>87.229500000000016</v>
      </c>
      <c r="I37" s="67" cm="1">
        <f t="array" ref="I37">_xlfn.IFS($K$19="normal",_xlfn.NORM.DIST(H37,$K$16,$I$28,FALSE),$K$19="lognormal",_xlfn.LOGNORM.DIST(H37,LN($K$16),$I$28,FALSE),AND($K$19&lt;&gt;"Normal",$K$19&lt;&gt;"Lognormal"),"")</f>
        <v>9.3461298784063927E-3</v>
      </c>
      <c r="J37" s="10"/>
      <c r="K37" s="10"/>
      <c r="L37" s="10"/>
      <c r="M37" s="10"/>
      <c r="N37" s="64"/>
      <c r="O37" s="66" cm="1">
        <f t="array" ref="O37">_xlfn.IFS($R$19="normal",O36+$U$19,$R$19="lognormal",EXP(LN(O36)+$U$19),AND($R$19&lt;&gt;"Normal",$R$19&lt;&gt;"Lognormal"),"")</f>
        <v>4.5939999999999994</v>
      </c>
      <c r="P37" s="67" cm="1">
        <f t="array" ref="P37">_xlfn.IFS($R$19="normal",_xlfn.NORM.DIST(O37,$R$16,$P$28,FALSE),$R$19="lognormal",_xlfn.LOGNORM.DIST(O37,LN($R$16),$P$28,FALSE),AND($R$19&lt;&gt;"Normal",$R$19&lt;&gt;"Lognormal"),"")</f>
        <v>0.13026168518028158</v>
      </c>
      <c r="Q37" s="10"/>
      <c r="R37" s="10"/>
      <c r="S37" s="10"/>
      <c r="T37" s="10"/>
      <c r="U37" s="64"/>
    </row>
    <row r="38" spans="1:22" x14ac:dyDescent="0.25">
      <c r="A38" s="66" cm="1">
        <f t="array" ref="A38">_xlfn.IFS($D$19="normal",A37+$G$19,$D$19="lognormal",EXP(LN(A37)+$G$19),AND($D$19&lt;&gt;"Normal",$D$19&lt;&gt;"Lognormal"),"")</f>
        <v>8.5890000000000022</v>
      </c>
      <c r="B38" s="67" cm="1">
        <f t="array" ref="B38">_xlfn.IFS($D$19="normal",_xlfn.NORM.DIST(A38,$D$16,$B$28,FALSE),$D$19="lognormal",_xlfn.LOGNORM.DIST(A38,LN($D$16),$B$28,FALSE),AND($D$19&lt;&gt;"Normal",$D$19&lt;&gt;"Lognormal"),"")</f>
        <v>0.10061458691619495</v>
      </c>
      <c r="C38" s="10"/>
      <c r="D38" s="10"/>
      <c r="E38" s="10"/>
      <c r="F38" s="10"/>
      <c r="G38" s="64"/>
      <c r="H38" s="66" cm="1">
        <f t="array" ref="H38">_xlfn.IFS($K$19="normal",H37+$N$19,$K$19="lognormal",EXP(LN(H37)+$N$19),AND($K$19&lt;&gt;"Normal",$K$19&lt;&gt;"Lognormal"),"")</f>
        <v>87.341000000000022</v>
      </c>
      <c r="I38" s="67" cm="1">
        <f t="array" ref="I38">_xlfn.IFS($K$19="normal",_xlfn.NORM.DIST(H38,$K$16,$I$28,FALSE),$K$19="lognormal",_xlfn.LOGNORM.DIST(H38,LN($K$16),$I$28,FALSE),AND($K$19&lt;&gt;"Normal",$K$19&lt;&gt;"Lognormal"),"")</f>
        <v>1.2182035187162776E-2</v>
      </c>
      <c r="J38" s="10"/>
      <c r="K38" s="10"/>
      <c r="L38" s="10"/>
      <c r="M38" s="10"/>
      <c r="N38" s="64"/>
      <c r="O38" s="66" cm="1">
        <f t="array" ref="O38">_xlfn.IFS($R$19="normal",O37+$U$19,$R$19="lognormal",EXP(LN(O37)+$U$19),AND($R$19&lt;&gt;"Normal",$R$19&lt;&gt;"Lognormal"),"")</f>
        <v>4.6019999999999994</v>
      </c>
      <c r="P38" s="67" cm="1">
        <f t="array" ref="P38">_xlfn.IFS($R$19="normal",_xlfn.NORM.DIST(O38,$R$16,$P$28,FALSE),$R$19="lognormal",_xlfn.LOGNORM.DIST(O38,LN($R$16),$P$28,FALSE),AND($R$19&lt;&gt;"Normal",$R$19&lt;&gt;"Lognormal"),"")</f>
        <v>0.1697871154210692</v>
      </c>
      <c r="Q38" s="10"/>
      <c r="R38" s="10"/>
      <c r="S38" s="10"/>
      <c r="T38" s="10"/>
      <c r="U38" s="64"/>
    </row>
    <row r="39" spans="1:22" x14ac:dyDescent="0.25">
      <c r="A39" s="66" cm="1">
        <f t="array" ref="A39">_xlfn.IFS($D$19="normal",A38+$G$19,$D$19="lognormal",EXP(LN(A38)+$G$19),AND($D$19&lt;&gt;"Normal",$D$19&lt;&gt;"Lognormal"),"")</f>
        <v>8.6025000000000027</v>
      </c>
      <c r="B39" s="67" cm="1">
        <f t="array" ref="B39">_xlfn.IFS($D$19="normal",_xlfn.NORM.DIST(A39,$D$16,$B$28,FALSE),$D$19="lognormal",_xlfn.LOGNORM.DIST(A39,LN($D$16),$B$28,FALSE),AND($D$19&lt;&gt;"Normal",$D$19&lt;&gt;"Lognormal"),"")</f>
        <v>0.12983926291533027</v>
      </c>
      <c r="C39" s="10"/>
      <c r="D39" s="10"/>
      <c r="E39" s="10"/>
      <c r="F39" s="10"/>
      <c r="G39" s="64"/>
      <c r="H39" s="66" cm="1">
        <f t="array" ref="H39">_xlfn.IFS($K$19="normal",H38+$N$19,$K$19="lognormal",EXP(LN(H38)+$N$19),AND($K$19&lt;&gt;"Normal",$K$19&lt;&gt;"Lognormal"),"")</f>
        <v>87.452500000000029</v>
      </c>
      <c r="I39" s="67" cm="1">
        <f t="array" ref="I39">_xlfn.IFS($K$19="normal",_xlfn.NORM.DIST(H39,$K$16,$I$28,FALSE),$K$19="lognormal",_xlfn.LOGNORM.DIST(H39,LN($K$16),$I$28,FALSE),AND($K$19&lt;&gt;"Normal",$K$19&lt;&gt;"Lognormal"),"")</f>
        <v>1.572044887315684E-2</v>
      </c>
      <c r="J39" s="10"/>
      <c r="K39" s="10"/>
      <c r="L39" s="10"/>
      <c r="M39" s="10"/>
      <c r="N39" s="64"/>
      <c r="O39" s="66" cm="1">
        <f t="array" ref="O39">_xlfn.IFS($R$19="normal",O38+$U$19,$R$19="lognormal",EXP(LN(O38)+$U$19),AND($R$19&lt;&gt;"Normal",$R$19&lt;&gt;"Lognormal"),"")</f>
        <v>4.6099999999999994</v>
      </c>
      <c r="P39" s="67" cm="1">
        <f t="array" ref="P39">_xlfn.IFS($R$19="normal",_xlfn.NORM.DIST(O39,$R$16,$P$28,FALSE),$R$19="lognormal",_xlfn.LOGNORM.DIST(O39,LN($R$16),$P$28,FALSE),AND($R$19&lt;&gt;"Normal",$R$19&lt;&gt;"Lognormal"),"")</f>
        <v>0.21910375616960556</v>
      </c>
      <c r="Q39" s="10"/>
      <c r="R39" s="10"/>
      <c r="S39" s="10"/>
      <c r="T39" s="10"/>
      <c r="U39" s="64"/>
    </row>
    <row r="40" spans="1:22" x14ac:dyDescent="0.25">
      <c r="A40" s="66" cm="1">
        <f t="array" ref="A40">_xlfn.IFS($D$19="normal",A39+$G$19,$D$19="lognormal",EXP(LN(A39)+$G$19),AND($D$19&lt;&gt;"Normal",$D$19&lt;&gt;"Lognormal"),"")</f>
        <v>8.6160000000000032</v>
      </c>
      <c r="B40" s="67" cm="1">
        <f t="array" ref="B40">_xlfn.IFS($D$19="normal",_xlfn.NORM.DIST(A40,$D$16,$B$28,FALSE),$D$19="lognormal",_xlfn.LOGNORM.DIST(A40,LN($D$16),$B$28,FALSE),AND($D$19&lt;&gt;"Normal",$D$19&lt;&gt;"Lognormal"),"")</f>
        <v>0.16588540959143988</v>
      </c>
      <c r="C40" s="10"/>
      <c r="D40" s="12"/>
      <c r="E40" s="10"/>
      <c r="F40" s="10"/>
      <c r="G40" s="64"/>
      <c r="H40" s="66" cm="1">
        <f t="array" ref="H40">_xlfn.IFS($K$19="normal",H39+$N$19,$K$19="lognormal",EXP(LN(H39)+$N$19),AND($K$19&lt;&gt;"Normal",$K$19&lt;&gt;"Lognormal"),"")</f>
        <v>87.564000000000036</v>
      </c>
      <c r="I40" s="67" cm="1">
        <f t="array" ref="I40">_xlfn.IFS($K$19="normal",_xlfn.NORM.DIST(H40,$K$16,$I$28,FALSE),$K$19="lognormal",_xlfn.LOGNORM.DIST(H40,LN($K$16),$I$28,FALSE),AND($K$19&lt;&gt;"Normal",$K$19&lt;&gt;"Lognormal"),"")</f>
        <v>2.0084780533493145E-2</v>
      </c>
      <c r="J40" s="10"/>
      <c r="K40" s="12"/>
      <c r="L40" s="10"/>
      <c r="M40" s="10"/>
      <c r="N40" s="64"/>
      <c r="O40" s="66" cm="1">
        <f t="array" ref="O40">_xlfn.IFS($R$19="normal",O39+$U$19,$R$19="lognormal",EXP(LN(O39)+$U$19),AND($R$19&lt;&gt;"Normal",$R$19&lt;&gt;"Lognormal"),"")</f>
        <v>4.6179999999999994</v>
      </c>
      <c r="P40" s="67" cm="1">
        <f t="array" ref="P40">_xlfn.IFS($R$19="normal",_xlfn.NORM.DIST(O40,$R$16,$P$28,FALSE),$R$19="lognormal",_xlfn.LOGNORM.DIST(O40,LN($R$16),$P$28,FALSE),AND($R$19&lt;&gt;"Normal",$R$19&lt;&gt;"Lognormal"),"")</f>
        <v>0.27993162868553478</v>
      </c>
      <c r="Q40" s="10"/>
      <c r="R40" s="12"/>
      <c r="S40" s="10"/>
      <c r="T40" s="10"/>
      <c r="U40" s="64"/>
    </row>
    <row r="41" spans="1:22" ht="18" customHeight="1" x14ac:dyDescent="0.25">
      <c r="A41" s="66" cm="1">
        <f t="array" ref="A41">_xlfn.IFS($D$19="normal",A40+$G$19,$D$19="lognormal",EXP(LN(A40)+$G$19),AND($D$19&lt;&gt;"Normal",$D$19&lt;&gt;"Lognormal"),"")</f>
        <v>8.6295000000000037</v>
      </c>
      <c r="B41" s="67" cm="1">
        <f t="array" ref="B41">_xlfn.IFS($D$19="normal",_xlfn.NORM.DIST(A41,$D$16,$B$28,FALSE),$D$19="lognormal",_xlfn.LOGNORM.DIST(A41,LN($D$16),$B$28,FALSE),AND($D$19&lt;&gt;"Normal",$D$19&lt;&gt;"Lognormal"),"")</f>
        <v>0.20982990919706082</v>
      </c>
      <c r="C41" s="10"/>
      <c r="D41" s="10"/>
      <c r="E41" s="10"/>
      <c r="F41" s="10"/>
      <c r="G41" s="64"/>
      <c r="H41" s="66" cm="1">
        <f t="array" ref="H41">_xlfn.IFS($K$19="normal",H40+$N$19,$K$19="lognormal",EXP(LN(H40)+$N$19),AND($K$19&lt;&gt;"Normal",$K$19&lt;&gt;"Lognormal"),"")</f>
        <v>87.675500000000042</v>
      </c>
      <c r="I41" s="67" cm="1">
        <f t="array" ref="I41">_xlfn.IFS($K$19="normal",_xlfn.NORM.DIST(H41,$K$16,$I$28,FALSE),$K$19="lognormal",_xlfn.LOGNORM.DIST(H41,LN($K$16),$I$28,FALSE),AND($K$19&lt;&gt;"Normal",$K$19&lt;&gt;"Lognormal"),"")</f>
        <v>2.5405415014891415E-2</v>
      </c>
      <c r="J41" s="10"/>
      <c r="K41" s="10"/>
      <c r="L41" s="10"/>
      <c r="M41" s="10"/>
      <c r="N41" s="64"/>
      <c r="O41" s="66" cm="1">
        <f t="array" ref="O41">_xlfn.IFS($R$19="normal",O40+$U$19,$R$19="lognormal",EXP(LN(O40)+$U$19),AND($R$19&lt;&gt;"Normal",$R$19&lt;&gt;"Lognormal"),"")</f>
        <v>4.6259999999999994</v>
      </c>
      <c r="P41" s="67" cm="1">
        <f t="array" ref="P41">_xlfn.IFS($R$19="normal",_xlfn.NORM.DIST(O41,$R$16,$P$28,FALSE),$R$19="lognormal",_xlfn.LOGNORM.DIST(O41,LN($R$16),$P$28,FALSE),AND($R$19&lt;&gt;"Normal",$R$19&lt;&gt;"Lognormal"),"")</f>
        <v>0.35408797177001294</v>
      </c>
      <c r="Q41" s="10"/>
      <c r="R41" s="10"/>
      <c r="S41" s="10"/>
      <c r="T41" s="10"/>
      <c r="U41" s="64"/>
    </row>
    <row r="42" spans="1:22" ht="18" customHeight="1" thickBot="1" x14ac:dyDescent="0.3">
      <c r="A42" s="66" cm="1">
        <f t="array" ref="A42">_xlfn.IFS($D$19="normal",A41+$G$19,$D$19="lognormal",EXP(LN(A41)+$G$19),AND($D$19&lt;&gt;"Normal",$D$19&lt;&gt;"Lognormal"),"")</f>
        <v>8.6430000000000042</v>
      </c>
      <c r="B42" s="68" cm="1">
        <f t="array" ref="B42">_xlfn.IFS($D$19="normal",_xlfn.NORM.DIST(A42,$D$16,$B$28,FALSE),$D$19="lognormal",_xlfn.LOGNORM.DIST(A42,LN($D$16),$B$28,FALSE),AND($D$19&lt;&gt;"Normal",$D$19&lt;&gt;"Lognormal"),"")</f>
        <v>0.26277476182395698</v>
      </c>
      <c r="C42" s="69"/>
      <c r="D42" s="69"/>
      <c r="E42" s="69"/>
      <c r="F42" s="69"/>
      <c r="G42" s="70"/>
      <c r="H42" s="66" cm="1">
        <f t="array" ref="H42">_xlfn.IFS($K$19="normal",H41+$N$19,$K$19="lognormal",EXP(LN(H41)+$N$19),AND($K$19&lt;&gt;"Normal",$K$19&lt;&gt;"Lognormal"),"")</f>
        <v>87.787000000000049</v>
      </c>
      <c r="I42" s="68" cm="1">
        <f t="array" ref="I42">_xlfn.IFS($K$19="normal",_xlfn.NORM.DIST(H42,$K$16,$I$28,FALSE),$K$19="lognormal",_xlfn.LOGNORM.DIST(H42,LN($K$16),$I$28,FALSE),AND($K$19&lt;&gt;"Normal",$K$19&lt;&gt;"Lognormal"),"")</f>
        <v>3.1815778337430677E-2</v>
      </c>
      <c r="J42" s="69"/>
      <c r="K42" s="69"/>
      <c r="L42" s="69"/>
      <c r="M42" s="69"/>
      <c r="N42" s="70"/>
      <c r="O42" s="66" cm="1">
        <f t="array" ref="O42">_xlfn.IFS($R$19="normal",O41+$U$19,$R$19="lognormal",EXP(LN(O41)+$U$19),AND($R$19&lt;&gt;"Normal",$R$19&lt;&gt;"Lognormal"),"")</f>
        <v>4.6339999999999995</v>
      </c>
      <c r="P42" s="68" cm="1">
        <f t="array" ref="P42">_xlfn.IFS($R$19="normal",_xlfn.NORM.DIST(O42,$R$16,$P$28,FALSE),$R$19="lognormal",_xlfn.LOGNORM.DIST(O42,LN($R$16),$P$28,FALSE),AND($R$19&lt;&gt;"Normal",$R$19&lt;&gt;"Lognormal"),"")</f>
        <v>0.44343241057789101</v>
      </c>
      <c r="Q42" s="69"/>
      <c r="R42" s="69"/>
      <c r="S42" s="69"/>
      <c r="T42" s="69"/>
      <c r="U42" s="70"/>
    </row>
    <row r="43" spans="1:22" ht="18" customHeight="1" x14ac:dyDescent="0.25">
      <c r="A43" s="66" cm="1">
        <f t="array" ref="A43">_xlfn.IFS($D$19="normal",A42+$G$19,$D$19="lognormal",EXP(LN(A42)+$G$19),AND($D$19&lt;&gt;"Normal",$D$19&lt;&gt;"Lognormal"),"")</f>
        <v>8.6565000000000047</v>
      </c>
      <c r="B43" s="71" cm="1">
        <f t="array" ref="B43">_xlfn.IFS($D$19="normal",_xlfn.NORM.DIST(A43,$D$16,$B$28,FALSE),$D$19="lognormal",_xlfn.LOGNORM.DIST(A43,LN($D$16),$B$28,FALSE),AND($D$19&lt;&gt;"Normal",$D$19&lt;&gt;"Lognormal"),"")</f>
        <v>0.32580441466985782</v>
      </c>
      <c r="C43" s="10"/>
      <c r="D43" s="10"/>
      <c r="E43" s="10"/>
      <c r="F43" s="10"/>
      <c r="G43" s="10"/>
      <c r="H43" s="66" cm="1">
        <f t="array" ref="H43">_xlfn.IFS($K$19="normal",H42+$N$19,$K$19="lognormal",EXP(LN(H42)+$N$19),AND($K$19&lt;&gt;"Normal",$K$19&lt;&gt;"Lognormal"),"")</f>
        <v>87.898500000000055</v>
      </c>
      <c r="I43" s="71" cm="1">
        <f t="array" ref="I43">_xlfn.IFS($K$19="normal",_xlfn.NORM.DIST(H43,$K$16,$I$28,FALSE),$K$19="lognormal",_xlfn.LOGNORM.DIST(H43,LN($K$16),$I$28,FALSE),AND($K$19&lt;&gt;"Normal",$K$19&lt;&gt;"Lognormal"),"")</f>
        <v>3.9447171282898832E-2</v>
      </c>
      <c r="J43" s="10"/>
      <c r="K43" s="10"/>
      <c r="L43" s="10"/>
      <c r="M43" s="10"/>
      <c r="N43" s="10"/>
      <c r="O43" s="66" cm="1">
        <f t="array" ref="O43">_xlfn.IFS($R$19="normal",O42+$U$19,$R$19="lognormal",EXP(LN(O42)+$U$19),AND($R$19&lt;&gt;"Normal",$R$19&lt;&gt;"Lognormal"),"")</f>
        <v>4.6419999999999995</v>
      </c>
      <c r="P43" s="71" cm="1">
        <f t="array" ref="P43">_xlfn.IFS($R$19="normal",_xlfn.NORM.DIST(O43,$R$16,$P$28,FALSE),$R$19="lognormal",_xlfn.LOGNORM.DIST(O43,LN($R$16),$P$28,FALSE),AND($R$19&lt;&gt;"Normal",$R$19&lt;&gt;"Lognormal"),"")</f>
        <v>0.54979494975533771</v>
      </c>
      <c r="Q43" s="10"/>
      <c r="R43" s="10"/>
      <c r="S43" s="10"/>
      <c r="T43" s="10"/>
      <c r="U43" s="10"/>
    </row>
    <row r="44" spans="1:22" x14ac:dyDescent="0.25">
      <c r="A44" s="72" cm="1">
        <f t="array" ref="A44">_xlfn.IFS($D$19="normal",A43+$G$19,$D$19="lognormal",EXP(LN(A43)+$G$19),AND($D$19&lt;&gt;"Normal",$D$19&lt;&gt;"Lognormal"),"")</f>
        <v>8.6700000000000053</v>
      </c>
      <c r="B44" s="73" cm="1">
        <f t="array" ref="B44">_xlfn.IFS($D$19="normal",_xlfn.NORM.DIST(A44,$D$16,$B$28,FALSE),$D$19="lognormal",_xlfn.LOGNORM.DIST(A44,LN($D$16),$B$28,FALSE),AND($D$19&lt;&gt;"Normal",$D$19&lt;&gt;"Lognormal"),"")</f>
        <v>0.39993308528290872</v>
      </c>
      <c r="C44" s="74"/>
      <c r="D44" s="74"/>
      <c r="E44" s="74"/>
      <c r="F44" s="74"/>
      <c r="G44" s="74"/>
      <c r="H44" s="72" cm="1">
        <f t="array" ref="H44">_xlfn.IFS($K$19="normal",H43+$N$19,$K$19="lognormal",EXP(LN(H43)+$N$19),AND($K$19&lt;&gt;"Normal",$K$19&lt;&gt;"Lognormal"),"")</f>
        <v>88.010000000000062</v>
      </c>
      <c r="I44" s="73" cm="1">
        <f t="array" ref="I44">_xlfn.IFS($K$19="normal",_xlfn.NORM.DIST(H44,$K$16,$I$28,FALSE),$K$19="lognormal",_xlfn.LOGNORM.DIST(H44,LN($K$16),$I$28,FALSE),AND($K$19&lt;&gt;"Normal",$K$19&lt;&gt;"Lognormal"),"")</f>
        <v>4.8422391491654303E-2</v>
      </c>
      <c r="J44" s="74"/>
      <c r="K44" s="74"/>
      <c r="L44" s="74"/>
      <c r="M44" s="74"/>
      <c r="N44" s="74"/>
      <c r="O44" s="72" cm="1">
        <f t="array" ref="O44">_xlfn.IFS($R$19="normal",O43+$U$19,$R$19="lognormal",EXP(LN(O43)+$U$19),AND($R$19&lt;&gt;"Normal",$R$19&lt;&gt;"Lognormal"),"")</f>
        <v>4.6499999999999995</v>
      </c>
      <c r="P44" s="73" cm="1">
        <f t="array" ref="P44">_xlfn.IFS($R$19="normal",_xlfn.NORM.DIST(O44,$R$16,$P$28,FALSE),$R$19="lognormal",_xlfn.LOGNORM.DIST(O44,LN($R$16),$P$28,FALSE),AND($R$19&lt;&gt;"Normal",$R$19&lt;&gt;"Lognormal"),"")</f>
        <v>0.67488708141484821</v>
      </c>
      <c r="Q44" s="74"/>
      <c r="R44" s="74"/>
      <c r="S44" s="74"/>
      <c r="T44" s="74"/>
      <c r="U44" s="74"/>
      <c r="V44" s="74"/>
    </row>
    <row r="45" spans="1:22" x14ac:dyDescent="0.25">
      <c r="A45" s="72" cm="1">
        <f t="array" ref="A45">_xlfn.IFS($D$19="normal",A44+$G$19,$D$19="lognormal",EXP(LN(A44)+$G$19),AND($D$19&lt;&gt;"Normal",$D$19&lt;&gt;"Lognormal"),"")</f>
        <v>8.6835000000000058</v>
      </c>
      <c r="B45" s="73" cm="1">
        <f t="array" ref="B45">_xlfn.IFS($D$19="normal",_xlfn.NORM.DIST(A45,$D$16,$B$28,FALSE),$D$19="lognormal",_xlfn.LOGNORM.DIST(A45,LN($D$16),$B$28,FALSE),AND($D$19&lt;&gt;"Normal",$D$19&lt;&gt;"Lognormal"),"")</f>
        <v>0.48604307240505473</v>
      </c>
      <c r="C45" s="74"/>
      <c r="D45" s="74"/>
      <c r="E45" s="74"/>
      <c r="F45" s="74"/>
      <c r="G45" s="74"/>
      <c r="H45" s="72" cm="1">
        <f t="array" ref="H45">_xlfn.IFS($K$19="normal",H44+$N$19,$K$19="lognormal",EXP(LN(H44)+$N$19),AND($K$19&lt;&gt;"Normal",$K$19&lt;&gt;"Lognormal"),"")</f>
        <v>88.121500000000069</v>
      </c>
      <c r="I45" s="73" cm="1">
        <f t="array" ref="I45">_xlfn.IFS($K$19="normal",_xlfn.NORM.DIST(H45,$K$16,$I$28,FALSE),$K$19="lognormal",_xlfn.LOGNORM.DIST(H45,LN($K$16),$I$28,FALSE),AND($K$19&lt;&gt;"Normal",$K$19&lt;&gt;"Lognormal"),"")</f>
        <v>5.8848264371914649E-2</v>
      </c>
      <c r="J45" s="74"/>
      <c r="K45" s="74"/>
      <c r="L45" s="74"/>
      <c r="M45" s="74"/>
      <c r="N45" s="74"/>
      <c r="O45" s="72" cm="1">
        <f t="array" ref="O45">_xlfn.IFS($R$19="normal",O44+$U$19,$R$19="lognormal",EXP(LN(O44)+$U$19),AND($R$19&lt;&gt;"Normal",$R$19&lt;&gt;"Lognormal"),"")</f>
        <v>4.6579999999999995</v>
      </c>
      <c r="P45" s="73" cm="1">
        <f t="array" ref="P45">_xlfn.IFS($R$19="normal",_xlfn.NORM.DIST(O45,$R$16,$P$28,FALSE),$R$19="lognormal",_xlfn.LOGNORM.DIST(O45,LN($R$16),$P$28,FALSE),AND($R$19&lt;&gt;"Normal",$R$19&lt;&gt;"Lognormal"),"")</f>
        <v>0.82019768468345489</v>
      </c>
      <c r="Q45" s="74"/>
      <c r="R45" s="74"/>
      <c r="S45" s="74"/>
      <c r="T45" s="74"/>
      <c r="U45" s="74"/>
      <c r="V45" s="74"/>
    </row>
    <row r="46" spans="1:22" x14ac:dyDescent="0.25">
      <c r="A46" s="72" cm="1">
        <f t="array" ref="A46">_xlfn.IFS($D$19="normal",A45+$G$19,$D$19="lognormal",EXP(LN(A45)+$G$19),AND($D$19&lt;&gt;"Normal",$D$19&lt;&gt;"Lognormal"),"")</f>
        <v>8.6970000000000063</v>
      </c>
      <c r="B46" s="73" cm="1">
        <f t="array" ref="B46">_xlfn.IFS($D$19="normal",_xlfn.NORM.DIST(A46,$D$16,$B$28,FALSE),$D$19="lognormal",_xlfn.LOGNORM.DIST(A46,LN($D$16),$B$28,FALSE),AND($D$19&lt;&gt;"Normal",$D$19&lt;&gt;"Lognormal"),"")</f>
        <v>0.58481598741408392</v>
      </c>
      <c r="C46" s="74"/>
      <c r="D46" s="74"/>
      <c r="E46" s="74"/>
      <c r="F46" s="74"/>
      <c r="G46" s="74"/>
      <c r="H46" s="72" cm="1">
        <f t="array" ref="H46">_xlfn.IFS($K$19="normal",H45+$N$19,$K$19="lognormal",EXP(LN(H45)+$N$19),AND($K$19&lt;&gt;"Normal",$K$19&lt;&gt;"Lognormal"),"")</f>
        <v>88.233000000000075</v>
      </c>
      <c r="I46" s="73" cm="1">
        <f t="array" ref="I46">_xlfn.IFS($K$19="normal",_xlfn.NORM.DIST(H46,$K$16,$I$28,FALSE),$K$19="lognormal",_xlfn.LOGNORM.DIST(H46,LN($K$16),$I$28,FALSE),AND($K$19&lt;&gt;"Normal",$K$19&lt;&gt;"Lognormal"),"")</f>
        <v>7.0807316861797642E-2</v>
      </c>
      <c r="J46" s="74"/>
      <c r="K46" s="74"/>
      <c r="L46" s="74"/>
      <c r="M46" s="74"/>
      <c r="N46" s="74"/>
      <c r="O46" s="72" cm="1">
        <f t="array" ref="O46">_xlfn.IFS($R$19="normal",O45+$U$19,$R$19="lognormal",EXP(LN(O45)+$U$19),AND($R$19&lt;&gt;"Normal",$R$19&lt;&gt;"Lognormal"),"")</f>
        <v>4.6659999999999995</v>
      </c>
      <c r="P46" s="73" cm="1">
        <f t="array" ref="P46">_xlfn.IFS($R$19="normal",_xlfn.NORM.DIST(O46,$R$16,$P$28,FALSE),$R$19="lognormal",_xlfn.LOGNORM.DIST(O46,LN($R$16),$P$28,FALSE),AND($R$19&lt;&gt;"Normal",$R$19&lt;&gt;"Lognormal"),"")</f>
        <v>0.98687697876117431</v>
      </c>
      <c r="Q46" s="74"/>
      <c r="R46" s="74"/>
      <c r="S46" s="74"/>
      <c r="T46" s="74"/>
      <c r="U46" s="74"/>
      <c r="V46" s="74"/>
    </row>
    <row r="47" spans="1:22" x14ac:dyDescent="0.25">
      <c r="A47" s="72" cm="1">
        <f t="array" ref="A47">_xlfn.IFS($D$19="normal",A46+$G$19,$D$19="lognormal",EXP(LN(A46)+$G$19),AND($D$19&lt;&gt;"Normal",$D$19&lt;&gt;"Lognormal"),"")</f>
        <v>8.7105000000000068</v>
      </c>
      <c r="B47" s="73" cm="1">
        <f t="array" ref="B47">_xlfn.IFS($D$19="normal",_xlfn.NORM.DIST(A47,$D$16,$B$28,FALSE),$D$19="lognormal",_xlfn.LOGNORM.DIST(A47,LN($D$16),$B$28,FALSE),AND($D$19&lt;&gt;"Normal",$D$19&lt;&gt;"Lognormal"),"")</f>
        <v>0.6966598324214488</v>
      </c>
      <c r="C47" s="74"/>
      <c r="D47" s="74"/>
      <c r="E47" s="74"/>
      <c r="F47" s="74"/>
      <c r="G47" s="74"/>
      <c r="H47" s="72" cm="1">
        <f t="array" ref="H47">_xlfn.IFS($K$19="normal",H46+$N$19,$K$19="lognormal",EXP(LN(H46)+$N$19),AND($K$19&lt;&gt;"Normal",$K$19&lt;&gt;"Lognormal"),"")</f>
        <v>88.344500000000082</v>
      </c>
      <c r="I47" s="73" cm="1">
        <f t="array" ref="I47">_xlfn.IFS($K$19="normal",_xlfn.NORM.DIST(H47,$K$16,$I$28,FALSE),$K$19="lognormal",_xlfn.LOGNORM.DIST(H47,LN($K$16),$I$28,FALSE),AND($K$19&lt;&gt;"Normal",$K$19&lt;&gt;"Lognormal"),"")</f>
        <v>8.4348948320089143E-2</v>
      </c>
      <c r="J47" s="74"/>
      <c r="K47" s="74"/>
      <c r="L47" s="74"/>
      <c r="M47" s="74"/>
      <c r="N47" s="74"/>
      <c r="O47" s="72" cm="1">
        <f t="array" ref="O47">_xlfn.IFS($R$19="normal",O46+$U$19,$R$19="lognormal",EXP(LN(O46)+$U$19),AND($R$19&lt;&gt;"Normal",$R$19&lt;&gt;"Lognormal"),"")</f>
        <v>4.6739999999999995</v>
      </c>
      <c r="P47" s="73" cm="1">
        <f t="array" ref="P47">_xlfn.IFS($R$19="normal",_xlfn.NORM.DIST(O47,$R$16,$P$28,FALSE),$R$19="lognormal",_xlfn.LOGNORM.DIST(O47,LN($R$16),$P$28,FALSE),AND($R$19&lt;&gt;"Normal",$R$19&lt;&gt;"Lognormal"),"")</f>
        <v>1.1756134672110836</v>
      </c>
      <c r="Q47" s="74"/>
      <c r="R47" s="74"/>
      <c r="S47" s="74"/>
      <c r="T47" s="74"/>
      <c r="U47" s="74"/>
      <c r="V47" s="74"/>
    </row>
    <row r="48" spans="1:22" x14ac:dyDescent="0.25">
      <c r="A48" s="72" cm="1">
        <f t="array" ref="A48">_xlfn.IFS($D$19="normal",A47+$G$19,$D$19="lognormal",EXP(LN(A47)+$G$19),AND($D$19&lt;&gt;"Normal",$D$19&lt;&gt;"Lognormal"),"")</f>
        <v>8.7240000000000073</v>
      </c>
      <c r="B48" s="73" cm="1">
        <f t="array" ref="B48">_xlfn.IFS($D$19="normal",_xlfn.NORM.DIST(A48,$D$16,$B$28,FALSE),$D$19="lognormal",_xlfn.LOGNORM.DIST(A48,LN($D$16),$B$28,FALSE),AND($D$19&lt;&gt;"Normal",$D$19&lt;&gt;"Lognormal"),"")</f>
        <v>0.82163581244048778</v>
      </c>
      <c r="C48" s="74"/>
      <c r="D48" s="74"/>
      <c r="E48" s="74"/>
      <c r="F48" s="74"/>
      <c r="G48" s="74"/>
      <c r="H48" s="72" cm="1">
        <f t="array" ref="H48">_xlfn.IFS($K$19="normal",H47+$N$19,$K$19="lognormal",EXP(LN(H47)+$N$19),AND($K$19&lt;&gt;"Normal",$K$19&lt;&gt;"Lognormal"),"")</f>
        <v>88.456000000000088</v>
      </c>
      <c r="I48" s="73" cm="1">
        <f t="array" ref="I48">_xlfn.IFS($K$19="normal",_xlfn.NORM.DIST(H48,$K$16,$I$28,FALSE),$K$19="lognormal",_xlfn.LOGNORM.DIST(H48,LN($K$16),$I$28,FALSE),AND($K$19&lt;&gt;"Normal",$K$19&lt;&gt;"Lognormal"),"")</f>
        <v>9.9480569219256007E-2</v>
      </c>
      <c r="J48" s="74"/>
      <c r="K48" s="74"/>
      <c r="L48" s="74"/>
      <c r="M48" s="74"/>
      <c r="N48" s="74"/>
      <c r="O48" s="72" cm="1">
        <f t="array" ref="O48">_xlfn.IFS($R$19="normal",O47+$U$19,$R$19="lognormal",EXP(LN(O47)+$U$19),AND($R$19&lt;&gt;"Normal",$R$19&lt;&gt;"Lognormal"),"")</f>
        <v>4.6819999999999995</v>
      </c>
      <c r="P48" s="73" cm="1">
        <f t="array" ref="P48">_xlfn.IFS($R$19="normal",_xlfn.NORM.DIST(O48,$R$16,$P$28,FALSE),$R$19="lognormal",_xlfn.LOGNORM.DIST(O48,LN($R$16),$P$28,FALSE),AND($R$19&lt;&gt;"Normal",$R$19&lt;&gt;"Lognormal"),"")</f>
        <v>1.3865104334931915</v>
      </c>
      <c r="Q48" s="74"/>
      <c r="R48" s="74"/>
      <c r="S48" s="74"/>
      <c r="T48" s="74"/>
      <c r="U48" s="74"/>
      <c r="V48" s="74"/>
    </row>
    <row r="49" spans="1:22" x14ac:dyDescent="0.25">
      <c r="A49" s="72" cm="1">
        <f t="array" ref="A49">_xlfn.IFS($D$19="normal",A48+$G$19,$D$19="lognormal",EXP(LN(A48)+$G$19),AND($D$19&lt;&gt;"Normal",$D$19&lt;&gt;"Lognormal"),"")</f>
        <v>8.7375000000000078</v>
      </c>
      <c r="B49" s="73" cm="1">
        <f t="array" ref="B49">_xlfn.IFS($D$19="normal",_xlfn.NORM.DIST(A49,$D$16,$B$28,FALSE),$D$19="lognormal",_xlfn.LOGNORM.DIST(A49,LN($D$16),$B$28,FALSE),AND($D$19&lt;&gt;"Normal",$D$19&lt;&gt;"Lognormal"),"")</f>
        <v>0.95938959752521269</v>
      </c>
      <c r="C49" s="74"/>
      <c r="D49" s="74"/>
      <c r="E49" s="74"/>
      <c r="F49" s="74"/>
      <c r="G49" s="74"/>
      <c r="H49" s="72" cm="1">
        <f t="array" ref="H49">_xlfn.IFS($K$19="normal",H48+$N$19,$K$19="lognormal",EXP(LN(H48)+$N$19),AND($K$19&lt;&gt;"Normal",$K$19&lt;&gt;"Lognormal"),"")</f>
        <v>88.567500000000095</v>
      </c>
      <c r="I49" s="73" cm="1">
        <f t="array" ref="I49">_xlfn.IFS($K$19="normal",_xlfn.NORM.DIST(H49,$K$16,$I$28,FALSE),$K$19="lognormal",_xlfn.LOGNORM.DIST(H49,LN($K$16),$I$28,FALSE),AND($K$19&lt;&gt;"Normal",$K$19&lt;&gt;"Lognormal"),"")</f>
        <v>0.11615927862413378</v>
      </c>
      <c r="J49" s="74"/>
      <c r="K49" s="74"/>
      <c r="L49" s="74"/>
      <c r="M49" s="74"/>
      <c r="N49" s="74"/>
      <c r="O49" s="72" cm="1">
        <f t="array" ref="O49">_xlfn.IFS($R$19="normal",O48+$U$19,$R$19="lognormal",EXP(LN(O48)+$U$19),AND($R$19&lt;&gt;"Normal",$R$19&lt;&gt;"Lognormal"),"")</f>
        <v>4.6899999999999995</v>
      </c>
      <c r="P49" s="73" cm="1">
        <f t="array" ref="P49">_xlfn.IFS($R$19="normal",_xlfn.NORM.DIST(O49,$R$16,$P$28,FALSE),$R$19="lognormal",_xlfn.LOGNORM.DIST(O49,LN($R$16),$P$28,FALSE),AND($R$19&lt;&gt;"Normal",$R$19&lt;&gt;"Lognormal"),"")</f>
        <v>1.6189699458236435</v>
      </c>
      <c r="Q49" s="74"/>
      <c r="R49" s="74"/>
      <c r="S49" s="74"/>
      <c r="T49" s="74"/>
      <c r="U49" s="74"/>
      <c r="V49" s="74"/>
    </row>
    <row r="50" spans="1:22" x14ac:dyDescent="0.25">
      <c r="A50" s="72" cm="1">
        <f t="array" ref="A50">_xlfn.IFS($D$19="normal",A49+$G$19,$D$19="lognormal",EXP(LN(A49)+$G$19),AND($D$19&lt;&gt;"Normal",$D$19&lt;&gt;"Lognormal"),"")</f>
        <v>8.7510000000000083</v>
      </c>
      <c r="B50" s="73" cm="1">
        <f t="array" ref="B50">_xlfn.IFS($D$19="normal",_xlfn.NORM.DIST(A50,$D$16,$B$28,FALSE),$D$19="lognormal",_xlfn.LOGNORM.DIST(A50,LN($D$16),$B$28,FALSE),AND($D$19&lt;&gt;"Normal",$D$19&lt;&gt;"Lognormal"),"")</f>
        <v>1.1090923380426558</v>
      </c>
      <c r="C50" s="74"/>
      <c r="D50" s="74"/>
      <c r="E50" s="74"/>
      <c r="F50" s="74"/>
      <c r="G50" s="74"/>
      <c r="H50" s="72" cm="1">
        <f t="array" ref="H50">_xlfn.IFS($K$19="normal",H49+$N$19,$K$19="lognormal",EXP(LN(H49)+$N$19),AND($K$19&lt;&gt;"Normal",$K$19&lt;&gt;"Lognormal"),"")</f>
        <v>88.679000000000102</v>
      </c>
      <c r="I50" s="73" cm="1">
        <f t="array" ref="I50">_xlfn.IFS($K$19="normal",_xlfn.NORM.DIST(H50,$K$16,$I$28,FALSE),$K$19="lognormal",_xlfn.LOGNORM.DIST(H50,LN($K$16),$I$28,FALSE),AND($K$19&lt;&gt;"Normal",$K$19&lt;&gt;"Lognormal"),"")</f>
        <v>0.13428472254328691</v>
      </c>
      <c r="J50" s="74"/>
      <c r="K50" s="74"/>
      <c r="L50" s="74"/>
      <c r="M50" s="74"/>
      <c r="N50" s="74"/>
      <c r="O50" s="72" cm="1">
        <f t="array" ref="O50">_xlfn.IFS($R$19="normal",O49+$U$19,$R$19="lognormal",EXP(LN(O49)+$U$19),AND($R$19&lt;&gt;"Normal",$R$19&lt;&gt;"Lognormal"),"")</f>
        <v>4.6979999999999995</v>
      </c>
      <c r="P50" s="73" cm="1">
        <f t="array" ref="P50">_xlfn.IFS($R$19="normal",_xlfn.NORM.DIST(O50,$R$16,$P$28,FALSE),$R$19="lognormal",_xlfn.LOGNORM.DIST(O50,LN($R$16),$P$28,FALSE),AND($R$19&lt;&gt;"Normal",$R$19&lt;&gt;"Lognormal"),"")</f>
        <v>1.8715933204468076</v>
      </c>
      <c r="Q50" s="74"/>
      <c r="R50" s="74"/>
      <c r="S50" s="74"/>
      <c r="T50" s="74"/>
      <c r="U50" s="74"/>
      <c r="V50" s="74"/>
    </row>
    <row r="51" spans="1:22" x14ac:dyDescent="0.25">
      <c r="A51" s="72" cm="1">
        <f t="array" ref="A51">_xlfn.IFS($D$19="normal",A50+$G$19,$D$19="lognormal",EXP(LN(A50)+$G$19),AND($D$19&lt;&gt;"Normal",$D$19&lt;&gt;"Lognormal"),"")</f>
        <v>8.7645000000000088</v>
      </c>
      <c r="B51" s="73" cm="1">
        <f t="array" ref="B51">_xlfn.IFS($D$19="normal",_xlfn.NORM.DIST(A51,$D$16,$B$28,FALSE),$D$19="lognormal",_xlfn.LOGNORM.DIST(A51,LN($D$16),$B$28,FALSE),AND($D$19&lt;&gt;"Normal",$D$19&lt;&gt;"Lognormal"),"")</f>
        <v>1.2693969781320205</v>
      </c>
      <c r="C51" s="74"/>
      <c r="D51" s="74"/>
      <c r="E51" s="74"/>
      <c r="F51" s="74"/>
      <c r="G51" s="74"/>
      <c r="H51" s="72" cm="1">
        <f t="array" ref="H51">_xlfn.IFS($K$19="normal",H50+$N$19,$K$19="lognormal",EXP(LN(H50)+$N$19),AND($K$19&lt;&gt;"Normal",$K$19&lt;&gt;"Lognormal"),"")</f>
        <v>88.790500000000108</v>
      </c>
      <c r="I51" s="73" cm="1">
        <f t="array" ref="I51">_xlfn.IFS($K$19="normal",_xlfn.NORM.DIST(H51,$K$16,$I$28,FALSE),$K$19="lognormal",_xlfn.LOGNORM.DIST(H51,LN($K$16),$I$28,FALSE),AND($K$19&lt;&gt;"Normal",$K$19&lt;&gt;"Lognormal"),"")</f>
        <v>0.1536938045272018</v>
      </c>
      <c r="J51" s="74"/>
      <c r="K51" s="74"/>
      <c r="L51" s="74"/>
      <c r="M51" s="74"/>
      <c r="N51" s="74"/>
      <c r="O51" s="72" cm="1">
        <f t="array" ref="O51">_xlfn.IFS($R$19="normal",O50+$U$19,$R$19="lognormal",EXP(LN(O50)+$U$19),AND($R$19&lt;&gt;"Normal",$R$19&lt;&gt;"Lognormal"),"")</f>
        <v>4.7059999999999995</v>
      </c>
      <c r="P51" s="73" cm="1">
        <f t="array" ref="P51">_xlfn.IFS($R$19="normal",_xlfn.NORM.DIST(O51,$R$16,$P$28,FALSE),$R$19="lognormal",_xlfn.LOGNORM.DIST(O51,LN($R$16),$P$28,FALSE),AND($R$19&lt;&gt;"Normal",$R$19&lt;&gt;"Lognormal"),"")</f>
        <v>2.1421074005975886</v>
      </c>
      <c r="Q51" s="74"/>
      <c r="R51" s="74"/>
      <c r="S51" s="74"/>
      <c r="T51" s="74"/>
      <c r="U51" s="74"/>
      <c r="V51" s="74"/>
    </row>
    <row r="52" spans="1:22" x14ac:dyDescent="0.25">
      <c r="A52" s="72" cm="1">
        <f t="array" ref="A52">_xlfn.IFS($D$19="normal",A51+$G$19,$D$19="lognormal",EXP(LN(A51)+$G$19),AND($D$19&lt;&gt;"Normal",$D$19&lt;&gt;"Lognormal"),"")</f>
        <v>8.7780000000000094</v>
      </c>
      <c r="B52" s="73" cm="1">
        <f t="array" ref="B52">_xlfn.IFS($D$19="normal",_xlfn.NORM.DIST(A52,$D$16,$B$28,FALSE),$D$19="lognormal",_xlfn.LOGNORM.DIST(A52,LN($D$16),$B$28,FALSE),AND($D$19&lt;&gt;"Normal",$D$19&lt;&gt;"Lognormal"),"")</f>
        <v>1.438415222098</v>
      </c>
      <c r="C52" s="74"/>
      <c r="D52" s="74"/>
      <c r="E52" s="74"/>
      <c r="F52" s="74"/>
      <c r="G52" s="74"/>
      <c r="H52" s="72" cm="1">
        <f t="array" ref="H52">_xlfn.IFS($K$19="normal",H51+$N$19,$K$19="lognormal",EXP(LN(H51)+$N$19),AND($K$19&lt;&gt;"Normal",$K$19&lt;&gt;"Lognormal"),"")</f>
        <v>88.902000000000115</v>
      </c>
      <c r="I52" s="73" cm="1">
        <f t="array" ref="I52">_xlfn.IFS($K$19="normal",_xlfn.NORM.DIST(H52,$K$16,$I$28,FALSE),$K$19="lognormal",_xlfn.LOGNORM.DIST(H52,LN($K$16),$I$28,FALSE),AND($K$19&lt;&gt;"Normal",$K$19&lt;&gt;"Lognormal"),"")</f>
        <v>0.1741578968459534</v>
      </c>
      <c r="J52" s="74"/>
      <c r="K52" s="74"/>
      <c r="L52" s="74"/>
      <c r="M52" s="74"/>
      <c r="N52" s="74"/>
      <c r="O52" s="72" cm="1">
        <f t="array" ref="O52">_xlfn.IFS($R$19="normal",O51+$U$19,$R$19="lognormal",EXP(LN(O51)+$U$19),AND($R$19&lt;&gt;"Normal",$R$19&lt;&gt;"Lognormal"),"")</f>
        <v>4.7139999999999995</v>
      </c>
      <c r="P52" s="73" cm="1">
        <f t="array" ref="P52">_xlfn.IFS($R$19="normal",_xlfn.NORM.DIST(O52,$R$16,$P$28,FALSE),$R$19="lognormal",_xlfn.LOGNORM.DIST(O52,LN($R$16),$P$28,FALSE),AND($R$19&lt;&gt;"Normal",$R$19&lt;&gt;"Lognormal"),"")</f>
        <v>2.4273256872901587</v>
      </c>
      <c r="Q52" s="74"/>
      <c r="R52" s="74"/>
      <c r="S52" s="74"/>
      <c r="T52" s="74"/>
      <c r="U52" s="74"/>
      <c r="V52" s="74"/>
    </row>
    <row r="53" spans="1:22" x14ac:dyDescent="0.25">
      <c r="A53" s="72" cm="1">
        <f t="array" ref="A53">_xlfn.IFS($D$19="normal",A52+$G$19,$D$19="lognormal",EXP(LN(A52)+$G$19),AND($D$19&lt;&gt;"Normal",$D$19&lt;&gt;"Lognormal"),"")</f>
        <v>8.7915000000000099</v>
      </c>
      <c r="B53" s="73" cm="1">
        <f t="array" ref="B53">_xlfn.IFS($D$19="normal",_xlfn.NORM.DIST(A53,$D$16,$B$28,FALSE),$D$19="lognormal",_xlfn.LOGNORM.DIST(A53,LN($D$16),$B$28,FALSE),AND($D$19&lt;&gt;"Normal",$D$19&lt;&gt;"Lognormal"),"")</f>
        <v>1.6137198298708808</v>
      </c>
      <c r="C53" s="74"/>
      <c r="D53" s="74"/>
      <c r="E53" s="74"/>
      <c r="F53" s="74"/>
      <c r="G53" s="74"/>
      <c r="H53" s="72" cm="1">
        <f t="array" ref="H53">_xlfn.IFS($K$19="normal",H52+$N$19,$K$19="lognormal",EXP(LN(H52)+$N$19),AND($K$19&lt;&gt;"Normal",$K$19&lt;&gt;"Lognormal"),"")</f>
        <v>89.013500000000121</v>
      </c>
      <c r="I53" s="73" cm="1">
        <f t="array" ref="I53">_xlfn.IFS($K$19="normal",_xlfn.NORM.DIST(H53,$K$16,$I$28,FALSE),$K$19="lognormal",_xlfn.LOGNORM.DIST(H53,LN($K$16),$I$28,FALSE),AND($K$19&lt;&gt;"Normal",$K$19&lt;&gt;"Lognormal"),"")</f>
        <v>0.19538311841486788</v>
      </c>
      <c r="J53" s="74"/>
      <c r="K53" s="74"/>
      <c r="L53" s="74"/>
      <c r="M53" s="74"/>
      <c r="N53" s="74"/>
      <c r="O53" s="72" cm="1">
        <f t="array" ref="O53">_xlfn.IFS($R$19="normal",O52+$U$19,$R$19="lognormal",EXP(LN(O52)+$U$19),AND($R$19&lt;&gt;"Normal",$R$19&lt;&gt;"Lognormal"),"")</f>
        <v>4.7219999999999995</v>
      </c>
      <c r="P53" s="73" cm="1">
        <f t="array" ref="P53">_xlfn.IFS($R$19="normal",_xlfn.NORM.DIST(O53,$R$16,$P$28,FALSE),$R$19="lognormal",_xlfn.LOGNORM.DIST(O53,LN($R$16),$P$28,FALSE),AND($R$19&lt;&gt;"Normal",$R$19&lt;&gt;"Lognormal"),"")</f>
        <v>2.723152212906879</v>
      </c>
      <c r="Q53" s="74"/>
      <c r="R53" s="74"/>
      <c r="S53" s="74"/>
      <c r="T53" s="74"/>
      <c r="U53" s="74"/>
      <c r="V53" s="74"/>
    </row>
    <row r="54" spans="1:22" x14ac:dyDescent="0.25">
      <c r="A54" s="72" cm="1">
        <f t="array" ref="A54">_xlfn.IFS($D$19="normal",A53+$G$19,$D$19="lognormal",EXP(LN(A53)+$G$19),AND($D$19&lt;&gt;"Normal",$D$19&lt;&gt;"Lognormal"),"")</f>
        <v>8.8050000000000104</v>
      </c>
      <c r="B54" s="73" cm="1">
        <f t="array" ref="B54">_xlfn.IFS($D$19="normal",_xlfn.NORM.DIST(A54,$D$16,$B$28,FALSE),$D$19="lognormal",_xlfn.LOGNORM.DIST(A54,LN($D$16),$B$28,FALSE),AND($D$19&lt;&gt;"Normal",$D$19&lt;&gt;"Lognormal"),"")</f>
        <v>1.7923757371789841</v>
      </c>
      <c r="C54" s="74"/>
      <c r="D54" s="74"/>
      <c r="E54" s="74"/>
      <c r="F54" s="74"/>
      <c r="G54" s="74"/>
      <c r="H54" s="72" cm="1">
        <f t="array" ref="H54">_xlfn.IFS($K$19="normal",H53+$N$19,$K$19="lognormal",EXP(LN(H53)+$N$19),AND($K$19&lt;&gt;"Normal",$K$19&lt;&gt;"Lognormal"),"")</f>
        <v>89.125000000000128</v>
      </c>
      <c r="I54" s="73" cm="1">
        <f t="array" ref="I54">_xlfn.IFS($K$19="normal",_xlfn.NORM.DIST(H54,$K$16,$I$28,FALSE),$K$19="lognormal",_xlfn.LOGNORM.DIST(H54,LN($K$16),$I$28,FALSE),AND($K$19&lt;&gt;"Normal",$K$19&lt;&gt;"Lognormal"),"")</f>
        <v>0.21701410270777777</v>
      </c>
      <c r="J54" s="74"/>
      <c r="K54" s="74"/>
      <c r="L54" s="74"/>
      <c r="M54" s="74"/>
      <c r="N54" s="74"/>
      <c r="O54" s="72" cm="1">
        <f t="array" ref="O54">_xlfn.IFS($R$19="normal",O53+$U$19,$R$19="lognormal",EXP(LN(O53)+$U$19),AND($R$19&lt;&gt;"Normal",$R$19&lt;&gt;"Lognormal"),"")</f>
        <v>4.7299999999999995</v>
      </c>
      <c r="P54" s="73" cm="1">
        <f t="array" ref="P54">_xlfn.IFS($R$19="normal",_xlfn.NORM.DIST(O54,$R$16,$P$28,FALSE),$R$19="lognormal",_xlfn.LOGNORM.DIST(O54,LN($R$16),$P$28,FALSE),AND($R$19&lt;&gt;"Normal",$R$19&lt;&gt;"Lognormal"),"")</f>
        <v>3.0246340564892895</v>
      </c>
      <c r="Q54" s="74"/>
      <c r="R54" s="74"/>
      <c r="S54" s="74"/>
      <c r="T54" s="74"/>
      <c r="U54" s="74"/>
      <c r="V54" s="74"/>
    </row>
    <row r="55" spans="1:22" x14ac:dyDescent="0.25">
      <c r="A55" s="72" cm="1">
        <f t="array" ref="A55">_xlfn.IFS($D$19="normal",A54+$G$19,$D$19="lognormal",EXP(LN(A54)+$G$19),AND($D$19&lt;&gt;"Normal",$D$19&lt;&gt;"Lognormal"),"")</f>
        <v>8.8185000000000109</v>
      </c>
      <c r="B55" s="73" cm="1">
        <f t="array" ref="B55">_xlfn.IFS($D$19="normal",_xlfn.NORM.DIST(A55,$D$16,$B$28,FALSE),$D$19="lognormal",_xlfn.LOGNORM.DIST(A55,LN($D$16),$B$28,FALSE),AND($D$19&lt;&gt;"Normal",$D$19&lt;&gt;"Lognormal"),"")</f>
        <v>1.9710018511020371</v>
      </c>
      <c r="C55" s="74"/>
      <c r="D55" s="74"/>
      <c r="E55" s="74"/>
      <c r="F55" s="74"/>
      <c r="G55" s="74"/>
      <c r="H55" s="72" cm="1">
        <f t="array" ref="H55">_xlfn.IFS($K$19="normal",H54+$N$19,$K$19="lognormal",EXP(LN(H54)+$N$19),AND($K$19&lt;&gt;"Normal",$K$19&lt;&gt;"Lognormal"),"")</f>
        <v>89.236500000000134</v>
      </c>
      <c r="I55" s="73" cm="1">
        <f t="array" ref="I55">_xlfn.IFS($K$19="normal",_xlfn.NORM.DIST(H55,$K$16,$I$28,FALSE),$K$19="lognormal",_xlfn.LOGNORM.DIST(H55,LN($K$16),$I$28,FALSE),AND($K$19&lt;&gt;"Normal",$K$19&lt;&gt;"Lognormal"),"")</f>
        <v>0.23864147972985184</v>
      </c>
      <c r="J55" s="74"/>
      <c r="K55" s="74"/>
      <c r="L55" s="74"/>
      <c r="M55" s="74"/>
      <c r="N55" s="74"/>
      <c r="O55" s="72" cm="1">
        <f t="array" ref="O55">_xlfn.IFS($R$19="normal",O54+$U$19,$R$19="lognormal",EXP(LN(O54)+$U$19),AND($R$19&lt;&gt;"Normal",$R$19&lt;&gt;"Lognormal"),"")</f>
        <v>4.7379999999999995</v>
      </c>
      <c r="P55" s="73" cm="1">
        <f t="array" ref="P55">_xlfn.IFS($R$19="normal",_xlfn.NORM.DIST(O55,$R$16,$P$28,FALSE),$R$19="lognormal",_xlfn.LOGNORM.DIST(O55,LN($R$16),$P$28,FALSE),AND($R$19&lt;&gt;"Normal",$R$19&lt;&gt;"Lognormal"),"")</f>
        <v>3.3260656237344333</v>
      </c>
      <c r="Q55" s="74"/>
      <c r="R55" s="74"/>
      <c r="S55" s="74"/>
      <c r="T55" s="74"/>
      <c r="U55" s="74"/>
      <c r="V55" s="74"/>
    </row>
    <row r="56" spans="1:22" x14ac:dyDescent="0.25">
      <c r="A56" s="72" cm="1">
        <f t="array" ref="A56">_xlfn.IFS($D$19="normal",A55+$G$19,$D$19="lognormal",EXP(LN(A55)+$G$19),AND($D$19&lt;&gt;"Normal",$D$19&lt;&gt;"Lognormal"),"")</f>
        <v>8.8320000000000114</v>
      </c>
      <c r="B56" s="73" cm="1">
        <f t="array" ref="B56">_xlfn.IFS($D$19="normal",_xlfn.NORM.DIST(A56,$D$16,$B$28,FALSE),$D$19="lognormal",_xlfn.LOGNORM.DIST(A56,LN($D$16),$B$28,FALSE),AND($D$19&lt;&gt;"Normal",$D$19&lt;&gt;"Lognormal"),"")</f>
        <v>2.1458633537889122</v>
      </c>
      <c r="C56" s="74"/>
      <c r="D56" s="74"/>
      <c r="E56" s="74"/>
      <c r="F56" s="74"/>
      <c r="G56" s="74"/>
      <c r="H56" s="72" cm="1">
        <f t="array" ref="H56">_xlfn.IFS($K$19="normal",H55+$N$19,$K$19="lognormal",EXP(LN(H55)+$N$19),AND($K$19&lt;&gt;"Normal",$K$19&lt;&gt;"Lognormal"),"")</f>
        <v>89.348000000000141</v>
      </c>
      <c r="I56" s="73" cm="1">
        <f t="array" ref="I56">_xlfn.IFS($K$19="normal",_xlfn.NORM.DIST(H56,$K$16,$I$28,FALSE),$K$19="lognormal",_xlfn.LOGNORM.DIST(H56,LN($K$16),$I$28,FALSE),AND($K$19&lt;&gt;"Normal",$K$19&lt;&gt;"Lognormal"),"")</f>
        <v>0.25981305180404768</v>
      </c>
      <c r="J56" s="74"/>
      <c r="K56" s="74"/>
      <c r="L56" s="74"/>
      <c r="M56" s="74"/>
      <c r="N56" s="74"/>
      <c r="O56" s="72" cm="1">
        <f t="array" ref="O56">_xlfn.IFS($R$19="normal",O55+$U$19,$R$19="lognormal",EXP(LN(O55)+$U$19),AND($R$19&lt;&gt;"Normal",$R$19&lt;&gt;"Lognormal"),"")</f>
        <v>4.7459999999999996</v>
      </c>
      <c r="P56" s="73" cm="1">
        <f t="array" ref="P56">_xlfn.IFS($R$19="normal",_xlfn.NORM.DIST(O56,$R$16,$P$28,FALSE),$R$19="lognormal",_xlfn.LOGNORM.DIST(O56,LN($R$16),$P$28,FALSE),AND($R$19&lt;&gt;"Normal",$R$19&lt;&gt;"Lognormal"),"")</f>
        <v>3.6211444095185326</v>
      </c>
      <c r="Q56" s="74"/>
      <c r="R56" s="74"/>
      <c r="S56" s="74"/>
      <c r="T56" s="74"/>
      <c r="U56" s="74"/>
      <c r="V56" s="74"/>
    </row>
    <row r="57" spans="1:22" x14ac:dyDescent="0.25">
      <c r="A57" s="72" cm="1">
        <f t="array" ref="A57">_xlfn.IFS($D$19="normal",A56+$G$19,$D$19="lognormal",EXP(LN(A56)+$G$19),AND($D$19&lt;&gt;"Normal",$D$19&lt;&gt;"Lognormal"),"")</f>
        <v>8.8455000000000119</v>
      </c>
      <c r="B57" s="73" cm="1">
        <f t="array" ref="B57">_xlfn.IFS($D$19="normal",_xlfn.NORM.DIST(A57,$D$16,$B$28,FALSE),$D$19="lognormal",_xlfn.LOGNORM.DIST(A57,LN($D$16),$B$28,FALSE),AND($D$19&lt;&gt;"Normal",$D$19&lt;&gt;"Lognormal"),"")</f>
        <v>2.3129920990131954</v>
      </c>
      <c r="C57" s="74"/>
      <c r="D57" s="74"/>
      <c r="E57" s="74"/>
      <c r="F57" s="74"/>
      <c r="G57" s="74"/>
      <c r="H57" s="72" cm="1">
        <f t="array" ref="H57">_xlfn.IFS($K$19="normal",H56+$N$19,$K$19="lognormal",EXP(LN(H56)+$N$19),AND($K$19&lt;&gt;"Normal",$K$19&lt;&gt;"Lognormal"),"")</f>
        <v>89.459500000000148</v>
      </c>
      <c r="I57" s="73" cm="1">
        <f t="array" ref="I57">_xlfn.IFS($K$19="normal",_xlfn.NORM.DIST(H57,$K$16,$I$28,FALSE),$K$19="lognormal",_xlfn.LOGNORM.DIST(H57,LN($K$16),$I$28,FALSE),AND($K$19&lt;&gt;"Normal",$K$19&lt;&gt;"Lognormal"),"")</f>
        <v>0.28004837073254824</v>
      </c>
      <c r="J57" s="74"/>
      <c r="K57" s="74"/>
      <c r="L57" s="74"/>
      <c r="M57" s="74"/>
      <c r="N57" s="74"/>
      <c r="O57" s="72" cm="1">
        <f t="array" ref="O57">_xlfn.IFS($R$19="normal",O56+$U$19,$R$19="lognormal",EXP(LN(O56)+$U$19),AND($R$19&lt;&gt;"Normal",$R$19&lt;&gt;"Lognormal"),"")</f>
        <v>4.7539999999999996</v>
      </c>
      <c r="P57" s="73" cm="1">
        <f t="array" ref="P57">_xlfn.IFS($R$19="normal",_xlfn.NORM.DIST(O57,$R$16,$P$28,FALSE),$R$19="lognormal",_xlfn.LOGNORM.DIST(O57,LN($R$16),$P$28,FALSE),AND($R$19&lt;&gt;"Normal",$R$19&lt;&gt;"Lognormal"),"")</f>
        <v>3.9031741670845137</v>
      </c>
      <c r="Q57" s="74"/>
      <c r="R57" s="74"/>
      <c r="S57" s="74"/>
      <c r="T57" s="74"/>
      <c r="U57" s="74"/>
      <c r="V57" s="74"/>
    </row>
    <row r="58" spans="1:22" x14ac:dyDescent="0.25">
      <c r="A58" s="72" cm="1">
        <f t="array" ref="A58">_xlfn.IFS($D$19="normal",A57+$G$19,$D$19="lognormal",EXP(LN(A57)+$G$19),AND($D$19&lt;&gt;"Normal",$D$19&lt;&gt;"Lognormal"),"")</f>
        <v>8.8590000000000124</v>
      </c>
      <c r="B58" s="73" cm="1">
        <f t="array" ref="B58">_xlfn.IFS($D$19="normal",_xlfn.NORM.DIST(A58,$D$16,$B$28,FALSE),$D$19="lognormal",_xlfn.LOGNORM.DIST(A58,LN($D$16),$B$28,FALSE),AND($D$19&lt;&gt;"Normal",$D$19&lt;&gt;"Lognormal"),"")</f>
        <v>2.46833039179125</v>
      </c>
      <c r="C58" s="74"/>
      <c r="D58" s="74"/>
      <c r="E58" s="74"/>
      <c r="F58" s="74"/>
      <c r="G58" s="74"/>
      <c r="H58" s="72" cm="1">
        <f t="array" ref="H58">_xlfn.IFS($K$19="normal",H57+$N$19,$K$19="lognormal",EXP(LN(H57)+$N$19),AND($K$19&lt;&gt;"Normal",$K$19&lt;&gt;"Lognormal"),"")</f>
        <v>89.571000000000154</v>
      </c>
      <c r="I58" s="73" cm="1">
        <f t="array" ref="I58">_xlfn.IFS($K$19="normal",_xlfn.NORM.DIST(H58,$K$16,$I$28,FALSE),$K$19="lognormal",_xlfn.LOGNORM.DIST(H58,LN($K$16),$I$28,FALSE),AND($K$19&lt;&gt;"Normal",$K$19&lt;&gt;"Lognormal"),"")</f>
        <v>0.29885614609132571</v>
      </c>
      <c r="J58" s="74"/>
      <c r="K58" s="74"/>
      <c r="L58" s="74"/>
      <c r="M58" s="74"/>
      <c r="N58" s="74"/>
      <c r="O58" s="72" cm="1">
        <f t="array" ref="O58">_xlfn.IFS($R$19="normal",O57+$U$19,$R$19="lognormal",EXP(LN(O57)+$U$19),AND($R$19&lt;&gt;"Normal",$R$19&lt;&gt;"Lognormal"),"")</f>
        <v>4.7619999999999996</v>
      </c>
      <c r="P58" s="73" cm="1">
        <f t="array" ref="P58">_xlfn.IFS($R$19="normal",_xlfn.NORM.DIST(O58,$R$16,$P$28,FALSE),$R$19="lognormal",_xlfn.LOGNORM.DIST(O58,LN($R$16),$P$28,FALSE),AND($R$19&lt;&gt;"Normal",$R$19&lt;&gt;"Lognormal"),"")</f>
        <v>4.1653075361474947</v>
      </c>
      <c r="Q58" s="74"/>
      <c r="R58" s="74"/>
      <c r="S58" s="74"/>
      <c r="T58" s="74"/>
      <c r="U58" s="74"/>
      <c r="V58" s="74"/>
    </row>
    <row r="59" spans="1:22" x14ac:dyDescent="0.25">
      <c r="A59" s="72" cm="1">
        <f t="array" ref="A59">_xlfn.IFS($D$19="normal",A58+$G$19,$D$19="lognormal",EXP(LN(A58)+$G$19),AND($D$19&lt;&gt;"Normal",$D$19&lt;&gt;"Lognormal"),"")</f>
        <v>8.8725000000000129</v>
      </c>
      <c r="B59" s="73" cm="1">
        <f t="array" ref="B59">_xlfn.IFS($D$19="normal",_xlfn.NORM.DIST(A59,$D$16,$B$28,FALSE),$D$19="lognormal",_xlfn.LOGNORM.DIST(A59,LN($D$16),$B$28,FALSE),AND($D$19&lt;&gt;"Normal",$D$19&lt;&gt;"Lognormal"),"")</f>
        <v>2.6078913093653111</v>
      </c>
      <c r="C59" s="74"/>
      <c r="D59" s="74"/>
      <c r="E59" s="74"/>
      <c r="F59" s="74"/>
      <c r="G59" s="74"/>
      <c r="H59" s="72" cm="1">
        <f t="array" ref="H59">_xlfn.IFS($K$19="normal",H58+$N$19,$K$19="lognormal",EXP(LN(H58)+$N$19),AND($K$19&lt;&gt;"Normal",$K$19&lt;&gt;"Lognormal"),"")</f>
        <v>89.682500000000161</v>
      </c>
      <c r="I59" s="73" cm="1">
        <f t="array" ref="I59">_xlfn.IFS($K$19="normal",_xlfn.NORM.DIST(H59,$K$16,$I$28,FALSE),$K$19="lognormal",_xlfn.LOGNORM.DIST(H59,LN($K$16),$I$28,FALSE),AND($K$19&lt;&gt;"Normal",$K$19&lt;&gt;"Lognormal"),"")</f>
        <v>0.31575365629087504</v>
      </c>
      <c r="J59" s="74"/>
      <c r="K59" s="74"/>
      <c r="L59" s="74"/>
      <c r="M59" s="74"/>
      <c r="N59" s="74"/>
      <c r="O59" s="72" cm="1">
        <f t="array" ref="O59">_xlfn.IFS($R$19="normal",O58+$U$19,$R$19="lognormal",EXP(LN(O58)+$U$19),AND($R$19&lt;&gt;"Normal",$R$19&lt;&gt;"Lognormal"),"")</f>
        <v>4.7699999999999996</v>
      </c>
      <c r="P59" s="73" cm="1">
        <f t="array" ref="P59">_xlfn.IFS($R$19="normal",_xlfn.NORM.DIST(O59,$R$16,$P$28,FALSE),$R$19="lognormal",_xlfn.LOGNORM.DIST(O59,LN($R$16),$P$28,FALSE),AND($R$19&lt;&gt;"Normal",$R$19&lt;&gt;"Lognormal"),"")</f>
        <v>4.400816584553743</v>
      </c>
      <c r="Q59" s="74"/>
      <c r="R59" s="74"/>
      <c r="S59" s="74"/>
      <c r="T59" s="74"/>
      <c r="U59" s="74"/>
      <c r="V59" s="74"/>
    </row>
    <row r="60" spans="1:22" x14ac:dyDescent="0.25">
      <c r="A60" s="72" cm="1">
        <f t="array" ref="A60">_xlfn.IFS($D$19="normal",A59+$G$19,$D$19="lognormal",EXP(LN(A59)+$G$19),AND($D$19&lt;&gt;"Normal",$D$19&lt;&gt;"Lognormal"),"")</f>
        <v>8.8860000000000134</v>
      </c>
      <c r="B60" s="73" cm="1">
        <f t="array" ref="B60">_xlfn.IFS($D$19="normal",_xlfn.NORM.DIST(A60,$D$16,$B$28,FALSE),$D$19="lognormal",_xlfn.LOGNORM.DIST(A60,LN($D$16),$B$28,FALSE),AND($D$19&lt;&gt;"Normal",$D$19&lt;&gt;"Lognormal"),"")</f>
        <v>2.7279269652099152</v>
      </c>
      <c r="C60" s="74"/>
      <c r="D60" s="74"/>
      <c r="E60" s="74"/>
      <c r="F60" s="74"/>
      <c r="G60" s="74"/>
      <c r="H60" s="72" cm="1">
        <f t="array" ref="H60">_xlfn.IFS($K$19="normal",H59+$N$19,$K$19="lognormal",EXP(LN(H59)+$N$19),AND($K$19&lt;&gt;"Normal",$K$19&lt;&gt;"Lognormal"),"")</f>
        <v>89.794000000000167</v>
      </c>
      <c r="I60" s="73" cm="1">
        <f t="array" ref="I60">_xlfn.IFS($K$19="normal",_xlfn.NORM.DIST(H60,$K$16,$I$28,FALSE),$K$19="lognormal",_xlfn.LOGNORM.DIST(H60,LN($K$16),$I$28,FALSE),AND($K$19&lt;&gt;"Normal",$K$19&lt;&gt;"Lognormal"),"")</f>
        <v>0.33028712134829252</v>
      </c>
      <c r="J60" s="74"/>
      <c r="K60" s="74"/>
      <c r="L60" s="74"/>
      <c r="M60" s="74"/>
      <c r="N60" s="74"/>
      <c r="O60" s="72" cm="1">
        <f t="array" ref="O60">_xlfn.IFS($R$19="normal",O59+$U$19,$R$19="lognormal",EXP(LN(O59)+$U$19),AND($R$19&lt;&gt;"Normal",$R$19&lt;&gt;"Lognormal"),"")</f>
        <v>4.7779999999999996</v>
      </c>
      <c r="P60" s="73" cm="1">
        <f t="array" ref="P60">_xlfn.IFS($R$19="normal",_xlfn.NORM.DIST(O60,$R$16,$P$28,FALSE),$R$19="lognormal",_xlfn.LOGNORM.DIST(O60,LN($R$16),$P$28,FALSE),AND($R$19&lt;&gt;"Normal",$R$19&lt;&gt;"Lognormal"),"")</f>
        <v>4.6033767537915411</v>
      </c>
      <c r="Q60" s="74"/>
      <c r="R60" s="74"/>
      <c r="S60" s="74"/>
      <c r="T60" s="74"/>
      <c r="U60" s="74"/>
      <c r="V60" s="74"/>
    </row>
    <row r="61" spans="1:22" x14ac:dyDescent="0.25">
      <c r="A61" s="72" cm="1">
        <f t="array" ref="A61">_xlfn.IFS($D$19="normal",A60+$G$19,$D$19="lognormal",EXP(LN(A60)+$G$19),AND($D$19&lt;&gt;"Normal",$D$19&lt;&gt;"Lognormal"),"")</f>
        <v>8.899500000000014</v>
      </c>
      <c r="B61" s="73" cm="1">
        <f t="array" ref="B61">_xlfn.IFS($D$19="normal",_xlfn.NORM.DIST(A61,$D$16,$B$28,FALSE),$D$19="lognormal",_xlfn.LOGNORM.DIST(A61,LN($D$16),$B$28,FALSE),AND($D$19&lt;&gt;"Normal",$D$19&lt;&gt;"Lognormal"),"")</f>
        <v>2.8250949293373062</v>
      </c>
      <c r="C61" s="74"/>
      <c r="D61" s="74"/>
      <c r="E61" s="74"/>
      <c r="F61" s="74"/>
      <c r="G61" s="74"/>
      <c r="H61" s="72" cm="1">
        <f t="array" ref="H61">_xlfn.IFS($K$19="normal",H60+$N$19,$K$19="lognormal",EXP(LN(H60)+$N$19),AND($K$19&lt;&gt;"Normal",$K$19&lt;&gt;"Lognormal"),"")</f>
        <v>89.905500000000174</v>
      </c>
      <c r="I61" s="73" cm="1">
        <f t="array" ref="I61">_xlfn.IFS($K$19="normal",_xlfn.NORM.DIST(H61,$K$16,$I$28,FALSE),$K$19="lognormal",_xlfn.LOGNORM.DIST(H61,LN($K$16),$I$28,FALSE),AND($K$19&lt;&gt;"Normal",$K$19&lt;&gt;"Lognormal"),"")</f>
        <v>0.3420518524309798</v>
      </c>
      <c r="J61" s="74"/>
      <c r="K61" s="74"/>
      <c r="L61" s="74"/>
      <c r="M61" s="74"/>
      <c r="N61" s="74"/>
      <c r="O61" s="72" cm="1">
        <f t="array" ref="O61">_xlfn.IFS($R$19="normal",O60+$U$19,$R$19="lognormal",EXP(LN(O60)+$U$19),AND($R$19&lt;&gt;"Normal",$R$19&lt;&gt;"Lognormal"),"")</f>
        <v>4.7859999999999996</v>
      </c>
      <c r="P61" s="73" cm="1">
        <f t="array" ref="P61">_xlfn.IFS($R$19="normal",_xlfn.NORM.DIST(O61,$R$16,$P$28,FALSE),$R$19="lognormal",_xlfn.LOGNORM.DIST(O61,LN($R$16),$P$28,FALSE),AND($R$19&lt;&gt;"Normal",$R$19&lt;&gt;"Lognormal"),"")</f>
        <v>4.7673476932565508</v>
      </c>
      <c r="Q61" s="74"/>
      <c r="R61" s="74"/>
      <c r="S61" s="74"/>
      <c r="T61" s="74"/>
      <c r="U61" s="74"/>
      <c r="V61" s="74"/>
    </row>
    <row r="62" spans="1:22" x14ac:dyDescent="0.25">
      <c r="A62" s="72" cm="1">
        <f t="array" ref="A62">_xlfn.IFS($D$19="normal",A61+$G$19,$D$19="lognormal",EXP(LN(A61)+$G$19),AND($D$19&lt;&gt;"Normal",$D$19&lt;&gt;"Lognormal"),"")</f>
        <v>8.9130000000000145</v>
      </c>
      <c r="B62" s="73" cm="1">
        <f t="array" ref="B62">_xlfn.IFS($D$19="normal",_xlfn.NORM.DIST(A62,$D$16,$B$28,FALSE),$D$19="lognormal",_xlfn.LOGNORM.DIST(A62,LN($D$16),$B$28,FALSE),AND($D$19&lt;&gt;"Normal",$D$19&lt;&gt;"Lognormal"),"")</f>
        <v>2.896612547966404</v>
      </c>
      <c r="C62" s="74"/>
      <c r="D62" s="74"/>
      <c r="E62" s="74"/>
      <c r="F62" s="74"/>
      <c r="G62" s="74"/>
      <c r="H62" s="72" cm="1">
        <f t="array" ref="H62">_xlfn.IFS($K$19="normal",H61+$N$19,$K$19="lognormal",EXP(LN(H61)+$N$19),AND($K$19&lt;&gt;"Normal",$K$19&lt;&gt;"Lognormal"),"")</f>
        <v>90.017000000000181</v>
      </c>
      <c r="I62" s="73" cm="1">
        <f t="array" ref="I62">_xlfn.IFS($K$19="normal",_xlfn.NORM.DIST(H62,$K$16,$I$28,FALSE),$K$19="lognormal",_xlfn.LOGNORM.DIST(H62,LN($K$16),$I$28,FALSE),AND($K$19&lt;&gt;"Normal",$K$19&lt;&gt;"Lognormal"),"")</f>
        <v>0.35071093630086897</v>
      </c>
      <c r="J62" s="74"/>
      <c r="K62" s="74"/>
      <c r="L62" s="74"/>
      <c r="M62" s="74"/>
      <c r="N62" s="74"/>
      <c r="O62" s="72" cm="1">
        <f t="array" ref="O62">_xlfn.IFS($R$19="normal",O61+$U$19,$R$19="lognormal",EXP(LN(O61)+$U$19),AND($R$19&lt;&gt;"Normal",$R$19&lt;&gt;"Lognormal"),"")</f>
        <v>4.7939999999999996</v>
      </c>
      <c r="P62" s="73" cm="1">
        <f t="array" ref="P62">_xlfn.IFS($R$19="normal",_xlfn.NORM.DIST(O62,$R$16,$P$28,FALSE),$R$19="lognormal",_xlfn.LOGNORM.DIST(O62,LN($R$16),$P$28,FALSE),AND($R$19&lt;&gt;"Normal",$R$19&lt;&gt;"Lognormal"),"")</f>
        <v>4.8880336746931983</v>
      </c>
      <c r="Q62" s="74"/>
      <c r="R62" s="74"/>
      <c r="S62" s="74"/>
      <c r="T62" s="74"/>
      <c r="U62" s="74"/>
      <c r="V62" s="74"/>
    </row>
    <row r="63" spans="1:22" x14ac:dyDescent="0.25">
      <c r="A63" s="72" cm="1">
        <f t="array" ref="A63">_xlfn.IFS($D$19="normal",A62+$G$19,$D$19="lognormal",EXP(LN(A62)+$G$19),AND($D$19&lt;&gt;"Normal",$D$19&lt;&gt;"Lognormal"),"")</f>
        <v>8.926500000000015</v>
      </c>
      <c r="B63" s="73" cm="1">
        <f t="array" ref="B63">_xlfn.IFS($D$19="normal",_xlfn.NORM.DIST(A63,$D$16,$B$28,FALSE),$D$19="lognormal",_xlfn.LOGNORM.DIST(A63,LN($D$16),$B$28,FALSE),AND($D$19&lt;&gt;"Normal",$D$19&lt;&gt;"Lognormal"),"")</f>
        <v>2.9403892405704912</v>
      </c>
      <c r="C63" s="74"/>
      <c r="D63" s="74"/>
      <c r="E63" s="74"/>
      <c r="F63" s="74"/>
      <c r="G63" s="74"/>
      <c r="H63" s="72" cm="1">
        <f t="array" ref="H63">_xlfn.IFS($K$19="normal",H62+$N$19,$K$19="lognormal",EXP(LN(H62)+$N$19),AND($K$19&lt;&gt;"Normal",$K$19&lt;&gt;"Lognormal"),"")</f>
        <v>90.128500000000187</v>
      </c>
      <c r="I63" s="73" cm="1">
        <f t="array" ref="I63">_xlfn.IFS($K$19="normal",_xlfn.NORM.DIST(H63,$K$16,$I$28,FALSE),$K$19="lognormal",_xlfn.LOGNORM.DIST(H63,LN($K$16),$I$28,FALSE),AND($K$19&lt;&gt;"Normal",$K$19&lt;&gt;"Lognormal"),"")</f>
        <v>0.35601125334261763</v>
      </c>
      <c r="J63" s="74"/>
      <c r="K63" s="74"/>
      <c r="L63" s="74"/>
      <c r="M63" s="74"/>
      <c r="N63" s="74"/>
      <c r="O63" s="72" cm="1">
        <f t="array" ref="O63">_xlfn.IFS($R$19="normal",O62+$U$19,$R$19="lognormal",EXP(LN(O62)+$U$19),AND($R$19&lt;&gt;"Normal",$R$19&lt;&gt;"Lognormal"),"")</f>
        <v>4.8019999999999996</v>
      </c>
      <c r="P63" s="73" cm="1">
        <f t="array" ref="P63">_xlfn.IFS($R$19="normal",_xlfn.NORM.DIST(O63,$R$16,$P$28,FALSE),$R$19="lognormal",_xlfn.LOGNORM.DIST(O63,LN($R$16),$P$28,FALSE),AND($R$19&lt;&gt;"Normal",$R$19&lt;&gt;"Lognormal"),"")</f>
        <v>4.9619068434626472</v>
      </c>
      <c r="Q63" s="74"/>
      <c r="R63" s="74"/>
      <c r="S63" s="74"/>
      <c r="T63" s="74"/>
      <c r="U63" s="74"/>
      <c r="V63" s="74"/>
    </row>
    <row r="64" spans="1:22" x14ac:dyDescent="0.25">
      <c r="A64" s="72" cm="1">
        <f t="array" ref="A64">_xlfn.IFS($D$19="normal",A63+$G$19,$D$19="lognormal",EXP(LN(A63)+$G$19),AND($D$19&lt;&gt;"Normal",$D$19&lt;&gt;"Lognormal"),"")</f>
        <v>8.9400000000000155</v>
      </c>
      <c r="B64" s="73" cm="1">
        <f t="array" ref="B64">_xlfn.IFS($D$19="normal",_xlfn.NORM.DIST(A64,$D$16,$B$28,FALSE),$D$19="lognormal",_xlfn.LOGNORM.DIST(A64,LN($D$16),$B$28,FALSE),AND($D$19&lt;&gt;"Normal",$D$19&lt;&gt;"Lognormal"),"")</f>
        <v>2.9551280029735754</v>
      </c>
      <c r="C64" s="74"/>
      <c r="D64" s="74"/>
      <c r="E64" s="74"/>
      <c r="F64" s="74"/>
      <c r="G64" s="74"/>
      <c r="H64" s="72" cm="1">
        <f t="array" ref="H64">_xlfn.IFS($K$19="normal",H63+$N$19,$K$19="lognormal",EXP(LN(H63)+$N$19),AND($K$19&lt;&gt;"Normal",$K$19&lt;&gt;"Lognormal"),"")</f>
        <v>90.240000000000194</v>
      </c>
      <c r="I64" s="73" cm="1">
        <f t="array" ref="I64">_xlfn.IFS($K$19="normal",_xlfn.NORM.DIST(H64,$K$16,$I$28,FALSE),$K$19="lognormal",_xlfn.LOGNORM.DIST(H64,LN($K$16),$I$28,FALSE),AND($K$19&lt;&gt;"Normal",$K$19&lt;&gt;"Lognormal"),"")</f>
        <v>0.35779576717617284</v>
      </c>
      <c r="J64" s="74"/>
      <c r="K64" s="74"/>
      <c r="L64" s="74"/>
      <c r="M64" s="74"/>
      <c r="N64" s="74"/>
      <c r="O64" s="72" cm="1">
        <f t="array" ref="O64">_xlfn.IFS($R$19="normal",O63+$U$19,$R$19="lognormal",EXP(LN(O63)+$U$19),AND($R$19&lt;&gt;"Normal",$R$19&lt;&gt;"Lognormal"),"")</f>
        <v>4.8099999999999996</v>
      </c>
      <c r="P64" s="73" cm="1">
        <f t="array" ref="P64">_xlfn.IFS($R$19="normal",_xlfn.NORM.DIST(O64,$R$16,$P$28,FALSE),$R$19="lognormal",_xlfn.LOGNORM.DIST(O64,LN($R$16),$P$28,FALSE),AND($R$19&lt;&gt;"Normal",$R$19&lt;&gt;"Lognormal"),"")</f>
        <v>4.9867785050179085</v>
      </c>
      <c r="Q64" s="74"/>
      <c r="R64" s="74"/>
      <c r="S64" s="74"/>
      <c r="T64" s="74"/>
      <c r="U64" s="74"/>
      <c r="V64" s="74"/>
    </row>
    <row r="65" spans="1:22" x14ac:dyDescent="0.25">
      <c r="A65" s="72" cm="1">
        <f t="array" ref="A65">_xlfn.IFS($D$19="normal",A64+$G$19,$D$19="lognormal",EXP(LN(A64)+$G$19),AND($D$19&lt;&gt;"Normal",$D$19&lt;&gt;"Lognormal"),"")</f>
        <v>8.953500000000016</v>
      </c>
      <c r="B65" s="73" cm="1">
        <f t="array" ref="B65">_xlfn.IFS($D$19="normal",_xlfn.NORM.DIST(A65,$D$16,$B$28,FALSE),$D$19="lognormal",_xlfn.LOGNORM.DIST(A65,LN($D$16),$B$28,FALSE),AND($D$19&lt;&gt;"Normal",$D$19&lt;&gt;"Lognormal"),"")</f>
        <v>2.9403892405704215</v>
      </c>
      <c r="C65" s="74"/>
      <c r="D65" s="74"/>
      <c r="E65" s="74"/>
      <c r="F65" s="74"/>
      <c r="G65" s="74"/>
      <c r="H65" s="72" cm="1">
        <f t="array" ref="H65">_xlfn.IFS($K$19="normal",H64+$N$19,$K$19="lognormal",EXP(LN(H64)+$N$19),AND($K$19&lt;&gt;"Normal",$K$19&lt;&gt;"Lognormal"),"")</f>
        <v>90.3515000000002</v>
      </c>
      <c r="I65" s="73" cm="1">
        <f t="array" ref="I65">_xlfn.IFS($K$19="normal",_xlfn.NORM.DIST(H65,$K$16,$I$28,FALSE),$K$19="lognormal",_xlfn.LOGNORM.DIST(H65,LN($K$16),$I$28,FALSE),AND($K$19&lt;&gt;"Normal",$K$19&lt;&gt;"Lognormal"),"")</f>
        <v>0.35601125334260492</v>
      </c>
      <c r="J65" s="74"/>
      <c r="K65" s="74"/>
      <c r="L65" s="74"/>
      <c r="M65" s="74"/>
      <c r="N65" s="74"/>
      <c r="O65" s="72" cm="1">
        <f t="array" ref="O65">_xlfn.IFS($R$19="normal",O64+$U$19,$R$19="lognormal",EXP(LN(O64)+$U$19),AND($R$19&lt;&gt;"Normal",$R$19&lt;&gt;"Lognormal"),"")</f>
        <v>4.8179999999999996</v>
      </c>
      <c r="P65" s="73" cm="1">
        <f t="array" ref="P65">_xlfn.IFS($R$19="normal",_xlfn.NORM.DIST(O65,$R$16,$P$28,FALSE),$R$19="lognormal",_xlfn.LOGNORM.DIST(O65,LN($R$16),$P$28,FALSE),AND($R$19&lt;&gt;"Normal",$R$19&lt;&gt;"Lognormal"),"")</f>
        <v>4.9619068434626472</v>
      </c>
      <c r="Q65" s="74"/>
      <c r="R65" s="74"/>
      <c r="S65" s="74"/>
      <c r="T65" s="74"/>
      <c r="U65" s="74"/>
      <c r="V65" s="74"/>
    </row>
    <row r="66" spans="1:22" x14ac:dyDescent="0.25">
      <c r="A66" s="72" cm="1">
        <f t="array" ref="A66">_xlfn.IFS($D$19="normal",A65+$G$19,$D$19="lognormal",EXP(LN(A65)+$G$19),AND($D$19&lt;&gt;"Normal",$D$19&lt;&gt;"Lognormal"),"")</f>
        <v>8.9670000000000165</v>
      </c>
      <c r="B66" s="73" cm="1">
        <f t="array" ref="B66">_xlfn.IFS($D$19="normal",_xlfn.NORM.DIST(A66,$D$16,$B$28,FALSE),$D$19="lognormal",_xlfn.LOGNORM.DIST(A66,LN($D$16),$B$28,FALSE),AND($D$19&lt;&gt;"Normal",$D$19&lt;&gt;"Lognormal"),"")</f>
        <v>2.8966125479662668</v>
      </c>
      <c r="C66" s="74"/>
      <c r="D66" s="74"/>
      <c r="E66" s="74"/>
      <c r="F66" s="74"/>
      <c r="G66" s="74"/>
      <c r="H66" s="72" cm="1">
        <f t="array" ref="H66">_xlfn.IFS($K$19="normal",H65+$N$19,$K$19="lognormal",EXP(LN(H65)+$N$19),AND($K$19&lt;&gt;"Normal",$K$19&lt;&gt;"Lognormal"),"")</f>
        <v>90.463000000000207</v>
      </c>
      <c r="I66" s="73" cm="1">
        <f t="array" ref="I66">_xlfn.IFS($K$19="normal",_xlfn.NORM.DIST(H66,$K$16,$I$28,FALSE),$K$19="lognormal",_xlfn.LOGNORM.DIST(H66,LN($K$16),$I$28,FALSE),AND($K$19&lt;&gt;"Normal",$K$19&lt;&gt;"Lognormal"),"")</f>
        <v>0.35071093630084399</v>
      </c>
      <c r="J66" s="74"/>
      <c r="K66" s="74"/>
      <c r="L66" s="74"/>
      <c r="M66" s="74"/>
      <c r="N66" s="74"/>
      <c r="O66" s="72" cm="1">
        <f t="array" ref="O66">_xlfn.IFS($R$19="normal",O65+$U$19,$R$19="lognormal",EXP(LN(O65)+$U$19),AND($R$19&lt;&gt;"Normal",$R$19&lt;&gt;"Lognormal"),"")</f>
        <v>4.8259999999999996</v>
      </c>
      <c r="P66" s="73" cm="1">
        <f t="array" ref="P66">_xlfn.IFS($R$19="normal",_xlfn.NORM.DIST(O66,$R$16,$P$28,FALSE),$R$19="lognormal",_xlfn.LOGNORM.DIST(O66,LN($R$16),$P$28,FALSE),AND($R$19&lt;&gt;"Normal",$R$19&lt;&gt;"Lognormal"),"")</f>
        <v>4.8880336746931983</v>
      </c>
      <c r="Q66" s="74"/>
      <c r="R66" s="74"/>
      <c r="S66" s="74"/>
      <c r="T66" s="74"/>
      <c r="U66" s="74"/>
      <c r="V66" s="74"/>
    </row>
    <row r="67" spans="1:22" x14ac:dyDescent="0.25">
      <c r="A67" s="72" cm="1">
        <f t="array" ref="A67">_xlfn.IFS($D$19="normal",A66+$G$19,$D$19="lognormal",EXP(LN(A66)+$G$19),AND($D$19&lt;&gt;"Normal",$D$19&lt;&gt;"Lognormal"),"")</f>
        <v>8.980500000000017</v>
      </c>
      <c r="B67" s="73" cm="1">
        <f t="array" ref="B67">_xlfn.IFS($D$19="normal",_xlfn.NORM.DIST(A67,$D$16,$B$28,FALSE),$D$19="lognormal",_xlfn.LOGNORM.DIST(A67,LN($D$16),$B$28,FALSE),AND($D$19&lt;&gt;"Normal",$D$19&lt;&gt;"Lognormal"),"")</f>
        <v>2.8250949293371055</v>
      </c>
      <c r="C67" s="74"/>
      <c r="D67" s="74"/>
      <c r="E67" s="74"/>
      <c r="F67" s="74"/>
      <c r="G67" s="74"/>
      <c r="H67" s="72" cm="1">
        <f t="array" ref="H67">_xlfn.IFS($K$19="normal",H66+$N$19,$K$19="lognormal",EXP(LN(H66)+$N$19),AND($K$19&lt;&gt;"Normal",$K$19&lt;&gt;"Lognormal"),"")</f>
        <v>90.574500000000214</v>
      </c>
      <c r="I67" s="73" cm="1">
        <f t="array" ref="I67">_xlfn.IFS($K$19="normal",_xlfn.NORM.DIST(H67,$K$16,$I$28,FALSE),$K$19="lognormal",_xlfn.LOGNORM.DIST(H67,LN($K$16),$I$28,FALSE),AND($K$19&lt;&gt;"Normal",$K$19&lt;&gt;"Lognormal"),"")</f>
        <v>0.34205185243094322</v>
      </c>
      <c r="J67" s="74"/>
      <c r="K67" s="74"/>
      <c r="L67" s="74"/>
      <c r="M67" s="74"/>
      <c r="N67" s="74"/>
      <c r="O67" s="72" cm="1">
        <f t="array" ref="O67">_xlfn.IFS($R$19="normal",O66+$U$19,$R$19="lognormal",EXP(LN(O66)+$U$19),AND($R$19&lt;&gt;"Normal",$R$19&lt;&gt;"Lognormal"),"")</f>
        <v>4.8339999999999996</v>
      </c>
      <c r="P67" s="73" cm="1">
        <f t="array" ref="P67">_xlfn.IFS($R$19="normal",_xlfn.NORM.DIST(O67,$R$16,$P$28,FALSE),$R$19="lognormal",_xlfn.LOGNORM.DIST(O67,LN($R$16),$P$28,FALSE),AND($R$19&lt;&gt;"Normal",$R$19&lt;&gt;"Lognormal"),"")</f>
        <v>4.7673476932565508</v>
      </c>
      <c r="Q67" s="74"/>
      <c r="R67" s="74"/>
      <c r="S67" s="74"/>
      <c r="T67" s="74"/>
      <c r="U67" s="74"/>
      <c r="V67" s="74"/>
    </row>
    <row r="68" spans="1:22" x14ac:dyDescent="0.25">
      <c r="A68" s="72" cm="1">
        <f t="array" ref="A68">_xlfn.IFS($D$19="normal",A67+$G$19,$D$19="lognormal",EXP(LN(A67)+$G$19),AND($D$19&lt;&gt;"Normal",$D$19&lt;&gt;"Lognormal"),"")</f>
        <v>8.9940000000000175</v>
      </c>
      <c r="B68" s="73" cm="1">
        <f t="array" ref="B68">_xlfn.IFS($D$19="normal",_xlfn.NORM.DIST(A68,$D$16,$B$28,FALSE),$D$19="lognormal",_xlfn.LOGNORM.DIST(A68,LN($D$16),$B$28,FALSE),AND($D$19&lt;&gt;"Normal",$D$19&lt;&gt;"Lognormal"),"")</f>
        <v>2.7279269652096563</v>
      </c>
      <c r="C68" s="74"/>
      <c r="D68" s="74"/>
      <c r="E68" s="74"/>
      <c r="F68" s="74"/>
      <c r="G68" s="74"/>
      <c r="H68" s="72" cm="1">
        <f t="array" ref="H68">_xlfn.IFS($K$19="normal",H67+$N$19,$K$19="lognormal",EXP(LN(H67)+$N$19),AND($K$19&lt;&gt;"Normal",$K$19&lt;&gt;"Lognormal"),"")</f>
        <v>90.68600000000022</v>
      </c>
      <c r="I68" s="73" cm="1">
        <f t="array" ref="I68">_xlfn.IFS($K$19="normal",_xlfn.NORM.DIST(H68,$K$16,$I$28,FALSE),$K$19="lognormal",_xlfn.LOGNORM.DIST(H68,LN($K$16),$I$28,FALSE),AND($K$19&lt;&gt;"Normal",$K$19&lt;&gt;"Lognormal"),"")</f>
        <v>0.33028712134824534</v>
      </c>
      <c r="J68" s="74"/>
      <c r="K68" s="74"/>
      <c r="L68" s="74"/>
      <c r="M68" s="74"/>
      <c r="N68" s="74"/>
      <c r="O68" s="72" cm="1">
        <f t="array" ref="O68">_xlfn.IFS($R$19="normal",O67+$U$19,$R$19="lognormal",EXP(LN(O67)+$U$19),AND($R$19&lt;&gt;"Normal",$R$19&lt;&gt;"Lognormal"),"")</f>
        <v>4.8419999999999996</v>
      </c>
      <c r="P68" s="73" cm="1">
        <f t="array" ref="P68">_xlfn.IFS($R$19="normal",_xlfn.NORM.DIST(O68,$R$16,$P$28,FALSE),$R$19="lognormal",_xlfn.LOGNORM.DIST(O68,LN($R$16),$P$28,FALSE),AND($R$19&lt;&gt;"Normal",$R$19&lt;&gt;"Lognormal"),"")</f>
        <v>4.6033767537915411</v>
      </c>
      <c r="Q68" s="74"/>
      <c r="R68" s="74"/>
      <c r="S68" s="74"/>
      <c r="T68" s="74"/>
      <c r="U68" s="74"/>
      <c r="V68" s="74"/>
    </row>
    <row r="69" spans="1:22" x14ac:dyDescent="0.25">
      <c r="A69" s="72" cm="1">
        <f t="array" ref="A69">_xlfn.IFS($D$19="normal",A68+$G$19,$D$19="lognormal",EXP(LN(A68)+$G$19),AND($D$19&lt;&gt;"Normal",$D$19&lt;&gt;"Lognormal"),"")</f>
        <v>9.007500000000018</v>
      </c>
      <c r="B69" s="73" cm="1">
        <f t="array" ref="B69">_xlfn.IFS($D$19="normal",_xlfn.NORM.DIST(A69,$D$16,$B$28,FALSE),$D$19="lognormal",_xlfn.LOGNORM.DIST(A69,LN($D$16),$B$28,FALSE),AND($D$19&lt;&gt;"Normal",$D$19&lt;&gt;"Lognormal"),"")</f>
        <v>2.607891309365002</v>
      </c>
      <c r="C69" s="74"/>
      <c r="D69" s="74"/>
      <c r="E69" s="74"/>
      <c r="F69" s="74"/>
      <c r="G69" s="74"/>
      <c r="H69" s="72" cm="1">
        <f t="array" ref="H69">_xlfn.IFS($K$19="normal",H68+$N$19,$K$19="lognormal",EXP(LN(H68)+$N$19),AND($K$19&lt;&gt;"Normal",$K$19&lt;&gt;"Lognormal"),"")</f>
        <v>90.797500000000227</v>
      </c>
      <c r="I69" s="73" cm="1">
        <f t="array" ref="I69">_xlfn.IFS($K$19="normal",_xlfn.NORM.DIST(H69,$K$16,$I$28,FALSE),$K$19="lognormal",_xlfn.LOGNORM.DIST(H69,LN($K$16),$I$28,FALSE),AND($K$19&lt;&gt;"Normal",$K$19&lt;&gt;"Lognormal"),"")</f>
        <v>0.3157536562908187</v>
      </c>
      <c r="J69" s="74"/>
      <c r="K69" s="74"/>
      <c r="L69" s="74"/>
      <c r="M69" s="74"/>
      <c r="N69" s="74"/>
      <c r="O69" s="72" cm="1">
        <f t="array" ref="O69">_xlfn.IFS($R$19="normal",O68+$U$19,$R$19="lognormal",EXP(LN(O68)+$U$19),AND($R$19&lt;&gt;"Normal",$R$19&lt;&gt;"Lognormal"),"")</f>
        <v>4.8499999999999996</v>
      </c>
      <c r="P69" s="73" cm="1">
        <f t="array" ref="P69">_xlfn.IFS($R$19="normal",_xlfn.NORM.DIST(O69,$R$16,$P$28,FALSE),$R$19="lognormal",_xlfn.LOGNORM.DIST(O69,LN($R$16),$P$28,FALSE),AND($R$19&lt;&gt;"Normal",$R$19&lt;&gt;"Lognormal"),"")</f>
        <v>4.400816584553743</v>
      </c>
      <c r="Q69" s="74"/>
      <c r="R69" s="74"/>
      <c r="S69" s="74"/>
      <c r="T69" s="74"/>
      <c r="U69" s="74"/>
      <c r="V69" s="74"/>
    </row>
    <row r="70" spans="1:22" x14ac:dyDescent="0.25">
      <c r="A70" s="72" cm="1">
        <f t="array" ref="A70">_xlfn.IFS($D$19="normal",A69+$G$19,$D$19="lognormal",EXP(LN(A69)+$G$19),AND($D$19&lt;&gt;"Normal",$D$19&lt;&gt;"Lognormal"),"")</f>
        <v>9.0210000000000186</v>
      </c>
      <c r="B70" s="73" cm="1">
        <f t="array" ref="B70">_xlfn.IFS($D$19="normal",_xlfn.NORM.DIST(A70,$D$16,$B$28,FALSE),$D$19="lognormal",_xlfn.LOGNORM.DIST(A70,LN($D$16),$B$28,FALSE),AND($D$19&lt;&gt;"Normal",$D$19&lt;&gt;"Lognormal"),"")</f>
        <v>2.4683303917908996</v>
      </c>
      <c r="C70" s="74"/>
      <c r="D70" s="74"/>
      <c r="E70" s="74"/>
      <c r="F70" s="74"/>
      <c r="G70" s="74"/>
      <c r="H70" s="72" cm="1">
        <f t="array" ref="H70">_xlfn.IFS($K$19="normal",H69+$N$19,$K$19="lognormal",EXP(LN(H69)+$N$19),AND($K$19&lt;&gt;"Normal",$K$19&lt;&gt;"Lognormal"),"")</f>
        <v>90.909000000000233</v>
      </c>
      <c r="I70" s="73" cm="1">
        <f t="array" ref="I70">_xlfn.IFS($K$19="normal",_xlfn.NORM.DIST(H70,$K$16,$I$28,FALSE),$K$19="lognormal",_xlfn.LOGNORM.DIST(H70,LN($K$16),$I$28,FALSE),AND($K$19&lt;&gt;"Normal",$K$19&lt;&gt;"Lognormal"),"")</f>
        <v>0.29885614609126177</v>
      </c>
      <c r="J70" s="74"/>
      <c r="K70" s="74"/>
      <c r="L70" s="74"/>
      <c r="M70" s="74"/>
      <c r="N70" s="74"/>
      <c r="O70" s="72" cm="1">
        <f t="array" ref="O70">_xlfn.IFS($R$19="normal",O69+$U$19,$R$19="lognormal",EXP(LN(O69)+$U$19),AND($R$19&lt;&gt;"Normal",$R$19&lt;&gt;"Lognormal"),"")</f>
        <v>4.8579999999999997</v>
      </c>
      <c r="P70" s="73" cm="1">
        <f t="array" ref="P70">_xlfn.IFS($R$19="normal",_xlfn.NORM.DIST(O70,$R$16,$P$28,FALSE),$R$19="lognormal",_xlfn.LOGNORM.DIST(O70,LN($R$16),$P$28,FALSE),AND($R$19&lt;&gt;"Normal",$R$19&lt;&gt;"Lognormal"),"")</f>
        <v>4.1653075361474947</v>
      </c>
      <c r="Q70" s="74"/>
      <c r="R70" s="74"/>
      <c r="S70" s="74"/>
      <c r="T70" s="74"/>
      <c r="U70" s="74"/>
      <c r="V70" s="74"/>
    </row>
    <row r="71" spans="1:22" x14ac:dyDescent="0.25">
      <c r="A71" s="72" cm="1">
        <f t="array" ref="A71">_xlfn.IFS($D$19="normal",A70+$G$19,$D$19="lognormal",EXP(LN(A70)+$G$19),AND($D$19&lt;&gt;"Normal",$D$19&lt;&gt;"Lognormal"),"")</f>
        <v>9.0345000000000191</v>
      </c>
      <c r="B71" s="73" cm="1">
        <f t="array" ref="B71">_xlfn.IFS($D$19="normal",_xlfn.NORM.DIST(A71,$D$16,$B$28,FALSE),$D$19="lognormal",_xlfn.LOGNORM.DIST(A71,LN($D$16),$B$28,FALSE),AND($D$19&lt;&gt;"Normal",$D$19&lt;&gt;"Lognormal"),"")</f>
        <v>2.3129920990128117</v>
      </c>
      <c r="C71" s="74"/>
      <c r="D71" s="74"/>
      <c r="E71" s="74"/>
      <c r="F71" s="74"/>
      <c r="G71" s="74"/>
      <c r="H71" s="72" cm="1">
        <f t="array" ref="H71">_xlfn.IFS($K$19="normal",H70+$N$19,$K$19="lognormal",EXP(LN(H70)+$N$19),AND($K$19&lt;&gt;"Normal",$K$19&lt;&gt;"Lognormal"),"")</f>
        <v>91.02050000000024</v>
      </c>
      <c r="I71" s="73" cm="1">
        <f t="array" ref="I71">_xlfn.IFS($K$19="normal",_xlfn.NORM.DIST(H71,$K$16,$I$28,FALSE),$K$19="lognormal",_xlfn.LOGNORM.DIST(H71,LN($K$16),$I$28,FALSE),AND($K$19&lt;&gt;"Normal",$K$19&lt;&gt;"Lognormal"),"")</f>
        <v>0.28004837073247824</v>
      </c>
      <c r="J71" s="74"/>
      <c r="K71" s="74"/>
      <c r="L71" s="74"/>
      <c r="M71" s="74"/>
      <c r="N71" s="74"/>
      <c r="O71" s="72" cm="1">
        <f t="array" ref="O71">_xlfn.IFS($R$19="normal",O70+$U$19,$R$19="lognormal",EXP(LN(O70)+$U$19),AND($R$19&lt;&gt;"Normal",$R$19&lt;&gt;"Lognormal"),"")</f>
        <v>4.8659999999999997</v>
      </c>
      <c r="P71" s="73" cm="1">
        <f t="array" ref="P71">_xlfn.IFS($R$19="normal",_xlfn.NORM.DIST(O71,$R$16,$P$28,FALSE),$R$19="lognormal",_xlfn.LOGNORM.DIST(O71,LN($R$16),$P$28,FALSE),AND($R$19&lt;&gt;"Normal",$R$19&lt;&gt;"Lognormal"),"")</f>
        <v>3.9031741670845137</v>
      </c>
      <c r="Q71" s="74"/>
      <c r="R71" s="74"/>
      <c r="S71" s="74"/>
      <c r="T71" s="74"/>
      <c r="U71" s="74"/>
      <c r="V71" s="74"/>
    </row>
    <row r="72" spans="1:22" x14ac:dyDescent="0.25">
      <c r="A72" s="72" cm="1">
        <f t="array" ref="A72">_xlfn.IFS($D$19="normal",A71+$G$19,$D$19="lognormal",EXP(LN(A71)+$G$19),AND($D$19&lt;&gt;"Normal",$D$19&lt;&gt;"Lognormal"),"")</f>
        <v>9.0480000000000196</v>
      </c>
      <c r="B72" s="73" cm="1">
        <f t="array" ref="B72">_xlfn.IFS($D$19="normal",_xlfn.NORM.DIST(A72,$D$16,$B$28,FALSE),$D$19="lognormal",_xlfn.LOGNORM.DIST(A72,LN($D$16),$B$28,FALSE),AND($D$19&lt;&gt;"Normal",$D$19&lt;&gt;"Lognormal"),"")</f>
        <v>2.1458633537885055</v>
      </c>
      <c r="C72" s="74"/>
      <c r="D72" s="74"/>
      <c r="E72" s="74"/>
      <c r="F72" s="74"/>
      <c r="G72" s="74"/>
      <c r="H72" s="72" cm="1">
        <f t="array" ref="H72">_xlfn.IFS($K$19="normal",H71+$N$19,$K$19="lognormal",EXP(LN(H71)+$N$19),AND($K$19&lt;&gt;"Normal",$K$19&lt;&gt;"Lognormal"),"")</f>
        <v>91.132000000000247</v>
      </c>
      <c r="I72" s="73" cm="1">
        <f t="array" ref="I72">_xlfn.IFS($K$19="normal",_xlfn.NORM.DIST(H72,$K$16,$I$28,FALSE),$K$19="lognormal",_xlfn.LOGNORM.DIST(H72,LN($K$16),$I$28,FALSE),AND($K$19&lt;&gt;"Normal",$K$19&lt;&gt;"Lognormal"),"")</f>
        <v>0.25981305180397352</v>
      </c>
      <c r="J72" s="74"/>
      <c r="K72" s="74"/>
      <c r="L72" s="74"/>
      <c r="M72" s="74"/>
      <c r="N72" s="74"/>
      <c r="O72" s="72" cm="1">
        <f t="array" ref="O72">_xlfn.IFS($R$19="normal",O71+$U$19,$R$19="lognormal",EXP(LN(O71)+$U$19),AND($R$19&lt;&gt;"Normal",$R$19&lt;&gt;"Lognormal"),"")</f>
        <v>4.8739999999999997</v>
      </c>
      <c r="P72" s="73" cm="1">
        <f t="array" ref="P72">_xlfn.IFS($R$19="normal",_xlfn.NORM.DIST(O72,$R$16,$P$28,FALSE),$R$19="lognormal",_xlfn.LOGNORM.DIST(O72,LN($R$16),$P$28,FALSE),AND($R$19&lt;&gt;"Normal",$R$19&lt;&gt;"Lognormal"),"")</f>
        <v>3.6211444095185326</v>
      </c>
      <c r="Q72" s="74"/>
      <c r="R72" s="74"/>
      <c r="S72" s="74"/>
      <c r="T72" s="74"/>
      <c r="U72" s="74"/>
      <c r="V72" s="74"/>
    </row>
    <row r="73" spans="1:22" x14ac:dyDescent="0.25">
      <c r="A73" s="72" cm="1">
        <f t="array" ref="A73">_xlfn.IFS($D$19="normal",A72+$G$19,$D$19="lognormal",EXP(LN(A72)+$G$19),AND($D$19&lt;&gt;"Normal",$D$19&lt;&gt;"Lognormal"),"")</f>
        <v>9.0615000000000201</v>
      </c>
      <c r="B73" s="73" cm="1">
        <f t="array" ref="B73">_xlfn.IFS($D$19="normal",_xlfn.NORM.DIST(A73,$D$16,$B$28,FALSE),$D$19="lognormal",_xlfn.LOGNORM.DIST(A73,LN($D$16),$B$28,FALSE),AND($D$19&lt;&gt;"Normal",$D$19&lt;&gt;"Lognormal"),"")</f>
        <v>1.9710018511016172</v>
      </c>
      <c r="C73" s="74"/>
      <c r="D73" s="74"/>
      <c r="E73" s="74"/>
      <c r="F73" s="74"/>
      <c r="G73" s="74"/>
      <c r="H73" s="72" cm="1">
        <f t="array" ref="H73">_xlfn.IFS($K$19="normal",H72+$N$19,$K$19="lognormal",EXP(LN(H72)+$N$19),AND($K$19&lt;&gt;"Normal",$K$19&lt;&gt;"Lognormal"),"")</f>
        <v>91.243500000000253</v>
      </c>
      <c r="I73" s="73" cm="1">
        <f t="array" ref="I73">_xlfn.IFS($K$19="normal",_xlfn.NORM.DIST(H73,$K$16,$I$28,FALSE),$K$19="lognormal",_xlfn.LOGNORM.DIST(H73,LN($K$16),$I$28,FALSE),AND($K$19&lt;&gt;"Normal",$K$19&lt;&gt;"Lognormal"),"")</f>
        <v>0.23864147972977523</v>
      </c>
      <c r="J73" s="74"/>
      <c r="K73" s="74"/>
      <c r="L73" s="74"/>
      <c r="M73" s="74"/>
      <c r="N73" s="74"/>
      <c r="O73" s="72" cm="1">
        <f t="array" ref="O73">_xlfn.IFS($R$19="normal",O72+$U$19,$R$19="lognormal",EXP(LN(O72)+$U$19),AND($R$19&lt;&gt;"Normal",$R$19&lt;&gt;"Lognormal"),"")</f>
        <v>4.8819999999999997</v>
      </c>
      <c r="P73" s="73" cm="1">
        <f t="array" ref="P73">_xlfn.IFS($R$19="normal",_xlfn.NORM.DIST(O73,$R$16,$P$28,FALSE),$R$19="lognormal",_xlfn.LOGNORM.DIST(O73,LN($R$16),$P$28,FALSE),AND($R$19&lt;&gt;"Normal",$R$19&lt;&gt;"Lognormal"),"")</f>
        <v>3.3260656237344333</v>
      </c>
      <c r="Q73" s="74"/>
      <c r="R73" s="74"/>
      <c r="S73" s="74"/>
      <c r="T73" s="74"/>
      <c r="U73" s="74"/>
      <c r="V73" s="74"/>
    </row>
    <row r="74" spans="1:22" x14ac:dyDescent="0.25">
      <c r="A74" s="72" cm="1">
        <f t="array" ref="A74">_xlfn.IFS($D$19="normal",A73+$G$19,$D$19="lognormal",EXP(LN(A73)+$G$19),AND($D$19&lt;&gt;"Normal",$D$19&lt;&gt;"Lognormal"),"")</f>
        <v>9.0750000000000206</v>
      </c>
      <c r="B74" s="73" cm="1">
        <f t="array" ref="B74">_xlfn.IFS($D$19="normal",_xlfn.NORM.DIST(A74,$D$16,$B$28,FALSE),$D$19="lognormal",_xlfn.LOGNORM.DIST(A74,LN($D$16),$B$28,FALSE),AND($D$19&lt;&gt;"Normal",$D$19&lt;&gt;"Lognormal"),"")</f>
        <v>1.7923757371785594</v>
      </c>
      <c r="C74" s="74"/>
      <c r="D74" s="74"/>
      <c r="E74" s="74"/>
      <c r="F74" s="74"/>
      <c r="G74" s="74"/>
      <c r="H74" s="72" cm="1">
        <f t="array" ref="H74">_xlfn.IFS($K$19="normal",H73+$N$19,$K$19="lognormal",EXP(LN(H73)+$N$19),AND($K$19&lt;&gt;"Normal",$K$19&lt;&gt;"Lognormal"),"")</f>
        <v>91.35500000000026</v>
      </c>
      <c r="I74" s="73" cm="1">
        <f t="array" ref="I74">_xlfn.IFS($K$19="normal",_xlfn.NORM.DIST(H74,$K$16,$I$28,FALSE),$K$19="lognormal",_xlfn.LOGNORM.DIST(H74,LN($K$16),$I$28,FALSE),AND($K$19&lt;&gt;"Normal",$K$19&lt;&gt;"Lognormal"),"")</f>
        <v>0.21701410270770036</v>
      </c>
      <c r="J74" s="74"/>
      <c r="K74" s="74"/>
      <c r="L74" s="74"/>
      <c r="M74" s="74"/>
      <c r="N74" s="74"/>
      <c r="O74" s="72" cm="1">
        <f t="array" ref="O74">_xlfn.IFS($R$19="normal",O73+$U$19,$R$19="lognormal",EXP(LN(O73)+$U$19),AND($R$19&lt;&gt;"Normal",$R$19&lt;&gt;"Lognormal"),"")</f>
        <v>4.8899999999999997</v>
      </c>
      <c r="P74" s="73" cm="1">
        <f t="array" ref="P74">_xlfn.IFS($R$19="normal",_xlfn.NORM.DIST(O74,$R$16,$P$28,FALSE),$R$19="lognormal",_xlfn.LOGNORM.DIST(O74,LN($R$16),$P$28,FALSE),AND($R$19&lt;&gt;"Normal",$R$19&lt;&gt;"Lognormal"),"")</f>
        <v>3.0246340564892895</v>
      </c>
      <c r="Q74" s="74"/>
      <c r="R74" s="74"/>
      <c r="S74" s="74"/>
      <c r="T74" s="74"/>
      <c r="U74" s="74"/>
      <c r="V74" s="74"/>
    </row>
    <row r="75" spans="1:22" x14ac:dyDescent="0.25">
      <c r="A75" s="72" cm="1">
        <f t="array" ref="A75">_xlfn.IFS($D$19="normal",A74+$G$19,$D$19="lognormal",EXP(LN(A74)+$G$19),AND($D$19&lt;&gt;"Normal",$D$19&lt;&gt;"Lognormal"),"")</f>
        <v>9.0885000000000211</v>
      </c>
      <c r="B75" s="73" cm="1">
        <f t="array" ref="B75">_xlfn.IFS($D$19="normal",_xlfn.NORM.DIST(A75,$D$16,$B$28,FALSE),$D$19="lognormal",_xlfn.LOGNORM.DIST(A75,LN($D$16),$B$28,FALSE),AND($D$19&lt;&gt;"Normal",$D$19&lt;&gt;"Lognormal"),"")</f>
        <v>1.6137198298704609</v>
      </c>
      <c r="C75" s="74"/>
      <c r="D75" s="74"/>
      <c r="E75" s="74"/>
      <c r="F75" s="74"/>
      <c r="G75" s="74"/>
      <c r="H75" s="72" cm="1">
        <f t="array" ref="H75">_xlfn.IFS($K$19="normal",H74+$N$19,$K$19="lognormal",EXP(LN(H74)+$N$19),AND($K$19&lt;&gt;"Normal",$K$19&lt;&gt;"Lognormal"),"")</f>
        <v>91.466500000000266</v>
      </c>
      <c r="I75" s="73" cm="1">
        <f t="array" ref="I75">_xlfn.IFS($K$19="normal",_xlfn.NORM.DIST(H75,$K$16,$I$28,FALSE),$K$19="lognormal",_xlfn.LOGNORM.DIST(H75,LN($K$16),$I$28,FALSE),AND($K$19&lt;&gt;"Normal",$K$19&lt;&gt;"Lognormal"),"")</f>
        <v>0.19538311841479122</v>
      </c>
      <c r="J75" s="74"/>
      <c r="K75" s="74"/>
      <c r="L75" s="74"/>
      <c r="M75" s="74"/>
      <c r="N75" s="74"/>
      <c r="O75" s="72" cm="1">
        <f t="array" ref="O75">_xlfn.IFS($R$19="normal",O74+$U$19,$R$19="lognormal",EXP(LN(O74)+$U$19),AND($R$19&lt;&gt;"Normal",$R$19&lt;&gt;"Lognormal"),"")</f>
        <v>4.8979999999999997</v>
      </c>
      <c r="P75" s="73" cm="1">
        <f t="array" ref="P75">_xlfn.IFS($R$19="normal",_xlfn.NORM.DIST(O75,$R$16,$P$28,FALSE),$R$19="lognormal",_xlfn.LOGNORM.DIST(O75,LN($R$16),$P$28,FALSE),AND($R$19&lt;&gt;"Normal",$R$19&lt;&gt;"Lognormal"),"")</f>
        <v>2.723152212906879</v>
      </c>
      <c r="Q75" s="74"/>
      <c r="R75" s="74"/>
      <c r="S75" s="74"/>
      <c r="T75" s="74"/>
      <c r="U75" s="74"/>
      <c r="V75" s="74"/>
    </row>
    <row r="76" spans="1:22" x14ac:dyDescent="0.25">
      <c r="A76" s="72" cm="1">
        <f t="array" ref="A76">_xlfn.IFS($D$19="normal",A75+$G$19,$D$19="lognormal",EXP(LN(A75)+$G$19),AND($D$19&lt;&gt;"Normal",$D$19&lt;&gt;"Lognormal"),"")</f>
        <v>9.1020000000000216</v>
      </c>
      <c r="B76" s="73" cm="1">
        <f t="array" ref="B76">_xlfn.IFS($D$19="normal",_xlfn.NORM.DIST(A76,$D$16,$B$28,FALSE),$D$19="lognormal",_xlfn.LOGNORM.DIST(A76,LN($D$16),$B$28,FALSE),AND($D$19&lt;&gt;"Normal",$D$19&lt;&gt;"Lognormal"),"")</f>
        <v>1.438415222097591</v>
      </c>
      <c r="C76" s="74"/>
      <c r="D76" s="74"/>
      <c r="E76" s="74"/>
      <c r="F76" s="74"/>
      <c r="G76" s="74"/>
      <c r="H76" s="72" cm="1">
        <f t="array" ref="H76">_xlfn.IFS($K$19="normal",H75+$N$19,$K$19="lognormal",EXP(LN(H75)+$N$19),AND($K$19&lt;&gt;"Normal",$K$19&lt;&gt;"Lognormal"),"")</f>
        <v>91.578000000000273</v>
      </c>
      <c r="I76" s="73" cm="1">
        <f t="array" ref="I76">_xlfn.IFS($K$19="normal",_xlfn.NORM.DIST(H76,$K$16,$I$28,FALSE),$K$19="lognormal",_xlfn.LOGNORM.DIST(H76,LN($K$16),$I$28,FALSE),AND($K$19&lt;&gt;"Normal",$K$19&lt;&gt;"Lognormal"),"")</f>
        <v>0.17415789684587879</v>
      </c>
      <c r="J76" s="74"/>
      <c r="K76" s="74"/>
      <c r="L76" s="74"/>
      <c r="M76" s="74"/>
      <c r="N76" s="74"/>
      <c r="O76" s="72" cm="1">
        <f t="array" ref="O76">_xlfn.IFS($R$19="normal",O75+$U$19,$R$19="lognormal",EXP(LN(O75)+$U$19),AND($R$19&lt;&gt;"Normal",$R$19&lt;&gt;"Lognormal"),"")</f>
        <v>4.9059999999999997</v>
      </c>
      <c r="P76" s="73" cm="1">
        <f t="array" ref="P76">_xlfn.IFS($R$19="normal",_xlfn.NORM.DIST(O76,$R$16,$P$28,FALSE),$R$19="lognormal",_xlfn.LOGNORM.DIST(O76,LN($R$16),$P$28,FALSE),AND($R$19&lt;&gt;"Normal",$R$19&lt;&gt;"Lognormal"),"")</f>
        <v>2.4273256872901587</v>
      </c>
      <c r="Q76" s="74"/>
      <c r="R76" s="74"/>
      <c r="S76" s="74"/>
      <c r="T76" s="74"/>
      <c r="U76" s="74"/>
      <c r="V76" s="74"/>
    </row>
    <row r="77" spans="1:22" x14ac:dyDescent="0.25">
      <c r="A77" s="72" cm="1">
        <f t="array" ref="A77">_xlfn.IFS($D$19="normal",A76+$G$19,$D$19="lognormal",EXP(LN(A76)+$G$19),AND($D$19&lt;&gt;"Normal",$D$19&lt;&gt;"Lognormal"),"")</f>
        <v>9.1155000000000221</v>
      </c>
      <c r="B77" s="73" cm="1">
        <f t="array" ref="B77">_xlfn.IFS($D$19="normal",_xlfn.NORM.DIST(A77,$D$16,$B$28,FALSE),$D$19="lognormal",_xlfn.LOGNORM.DIST(A77,LN($D$16),$B$28,FALSE),AND($D$19&lt;&gt;"Normal",$D$19&lt;&gt;"Lognormal"),"")</f>
        <v>1.2693969781316297</v>
      </c>
      <c r="C77" s="74"/>
      <c r="D77" s="74"/>
      <c r="E77" s="74"/>
      <c r="F77" s="74"/>
      <c r="G77" s="74"/>
      <c r="H77" s="72" cm="1">
        <f t="array" ref="H77">_xlfn.IFS($K$19="normal",H76+$N$19,$K$19="lognormal",EXP(LN(H76)+$N$19),AND($K$19&lt;&gt;"Normal",$K$19&lt;&gt;"Lognormal"),"")</f>
        <v>91.68950000000028</v>
      </c>
      <c r="I77" s="73" cm="1">
        <f t="array" ref="I77">_xlfn.IFS($K$19="normal",_xlfn.NORM.DIST(H77,$K$16,$I$28,FALSE),$K$19="lognormal",_xlfn.LOGNORM.DIST(H77,LN($K$16),$I$28,FALSE),AND($K$19&lt;&gt;"Normal",$K$19&lt;&gt;"Lognormal"),"")</f>
        <v>0.15369380452713047</v>
      </c>
      <c r="J77" s="74"/>
      <c r="K77" s="74"/>
      <c r="L77" s="74"/>
      <c r="M77" s="74"/>
      <c r="N77" s="74"/>
      <c r="O77" s="72" cm="1">
        <f t="array" ref="O77">_xlfn.IFS($R$19="normal",O76+$U$19,$R$19="lognormal",EXP(LN(O76)+$U$19),AND($R$19&lt;&gt;"Normal",$R$19&lt;&gt;"Lognormal"),"")</f>
        <v>4.9139999999999997</v>
      </c>
      <c r="P77" s="73" cm="1">
        <f t="array" ref="P77">_xlfn.IFS($R$19="normal",_xlfn.NORM.DIST(O77,$R$16,$P$28,FALSE),$R$19="lognormal",_xlfn.LOGNORM.DIST(O77,LN($R$16),$P$28,FALSE),AND($R$19&lt;&gt;"Normal",$R$19&lt;&gt;"Lognormal"),"")</f>
        <v>2.1421074005975886</v>
      </c>
      <c r="Q77" s="74"/>
      <c r="R77" s="74"/>
      <c r="S77" s="74"/>
      <c r="T77" s="74"/>
      <c r="U77" s="74"/>
      <c r="V77" s="74"/>
    </row>
    <row r="78" spans="1:22" x14ac:dyDescent="0.25">
      <c r="A78" s="72" cm="1">
        <f t="array" ref="A78">_xlfn.IFS($D$19="normal",A77+$G$19,$D$19="lognormal",EXP(LN(A77)+$G$19),AND($D$19&lt;&gt;"Normal",$D$19&lt;&gt;"Lognormal"),"")</f>
        <v>9.1290000000000227</v>
      </c>
      <c r="B78" s="73" cm="1">
        <f t="array" ref="B78">_xlfn.IFS($D$19="normal",_xlfn.NORM.DIST(A78,$D$16,$B$28,FALSE),$D$19="lognormal",_xlfn.LOGNORM.DIST(A78,LN($D$16),$B$28,FALSE),AND($D$19&lt;&gt;"Normal",$D$19&lt;&gt;"Lognormal"),"")</f>
        <v>1.1090923380422881</v>
      </c>
      <c r="C78" s="74"/>
      <c r="D78" s="74"/>
      <c r="E78" s="74"/>
      <c r="F78" s="74"/>
      <c r="G78" s="74"/>
      <c r="H78" s="72" cm="1">
        <f t="array" ref="H78">_xlfn.IFS($K$19="normal",H77+$N$19,$K$19="lognormal",EXP(LN(H77)+$N$19),AND($K$19&lt;&gt;"Normal",$K$19&lt;&gt;"Lognormal"),"")</f>
        <v>91.801000000000286</v>
      </c>
      <c r="I78" s="73" cm="1">
        <f t="array" ref="I78">_xlfn.IFS($K$19="normal",_xlfn.NORM.DIST(H78,$K$16,$I$28,FALSE),$K$19="lognormal",_xlfn.LOGNORM.DIST(H78,LN($K$16),$I$28,FALSE),AND($K$19&lt;&gt;"Normal",$K$19&lt;&gt;"Lognormal"),"")</f>
        <v>0.13428472254321983</v>
      </c>
      <c r="J78" s="74"/>
      <c r="K78" s="74"/>
      <c r="L78" s="74"/>
      <c r="M78" s="74"/>
      <c r="N78" s="74"/>
      <c r="O78" s="72" cm="1">
        <f t="array" ref="O78">_xlfn.IFS($R$19="normal",O77+$U$19,$R$19="lognormal",EXP(LN(O77)+$U$19),AND($R$19&lt;&gt;"Normal",$R$19&lt;&gt;"Lognormal"),"")</f>
        <v>4.9219999999999997</v>
      </c>
      <c r="P78" s="73" cm="1">
        <f t="array" ref="P78">_xlfn.IFS($R$19="normal",_xlfn.NORM.DIST(O78,$R$16,$P$28,FALSE),$R$19="lognormal",_xlfn.LOGNORM.DIST(O78,LN($R$16),$P$28,FALSE),AND($R$19&lt;&gt;"Normal",$R$19&lt;&gt;"Lognormal"),"")</f>
        <v>1.8715933204468076</v>
      </c>
      <c r="Q78" s="74"/>
      <c r="R78" s="74"/>
      <c r="S78" s="74"/>
      <c r="T78" s="74"/>
      <c r="U78" s="74"/>
      <c r="V78" s="74"/>
    </row>
    <row r="79" spans="1:22" x14ac:dyDescent="0.25">
      <c r="A79" s="72" cm="1">
        <f t="array" ref="A79">_xlfn.IFS($D$19="normal",A78+$G$19,$D$19="lognormal",EXP(LN(A78)+$G$19),AND($D$19&lt;&gt;"Normal",$D$19&lt;&gt;"Lognormal"),"")</f>
        <v>9.1425000000000232</v>
      </c>
      <c r="B79" s="73" cm="1">
        <f t="array" ref="B79">_xlfn.IFS($D$19="normal",_xlfn.NORM.DIST(A79,$D$16,$B$28,FALSE),$D$19="lognormal",_xlfn.LOGNORM.DIST(A79,LN($D$16),$B$28,FALSE),AND($D$19&lt;&gt;"Normal",$D$19&lt;&gt;"Lognormal"),"")</f>
        <v>0.95938959752487163</v>
      </c>
      <c r="C79" s="74"/>
      <c r="D79" s="74"/>
      <c r="E79" s="74"/>
      <c r="F79" s="74"/>
      <c r="G79" s="74"/>
      <c r="H79" s="72" cm="1">
        <f t="array" ref="H79">_xlfn.IFS($K$19="normal",H78+$N$19,$K$19="lognormal",EXP(LN(H78)+$N$19),AND($K$19&lt;&gt;"Normal",$K$19&lt;&gt;"Lognormal"),"")</f>
        <v>91.912500000000293</v>
      </c>
      <c r="I79" s="73" cm="1">
        <f t="array" ref="I79">_xlfn.IFS($K$19="normal",_xlfn.NORM.DIST(H79,$K$16,$I$28,FALSE),$K$19="lognormal",_xlfn.LOGNORM.DIST(H79,LN($K$16),$I$28,FALSE),AND($K$19&lt;&gt;"Normal",$K$19&lt;&gt;"Lognormal"),"")</f>
        <v>0.11615927862407162</v>
      </c>
      <c r="J79" s="74"/>
      <c r="K79" s="74"/>
      <c r="L79" s="74"/>
      <c r="M79" s="74"/>
      <c r="N79" s="74"/>
      <c r="O79" s="72" cm="1">
        <f t="array" ref="O79">_xlfn.IFS($R$19="normal",O78+$U$19,$R$19="lognormal",EXP(LN(O78)+$U$19),AND($R$19&lt;&gt;"Normal",$R$19&lt;&gt;"Lognormal"),"")</f>
        <v>4.93</v>
      </c>
      <c r="P79" s="73" cm="1">
        <f t="array" ref="P79">_xlfn.IFS($R$19="normal",_xlfn.NORM.DIST(O79,$R$16,$P$28,FALSE),$R$19="lognormal",_xlfn.LOGNORM.DIST(O79,LN($R$16),$P$28,FALSE),AND($R$19&lt;&gt;"Normal",$R$19&lt;&gt;"Lognormal"),"")</f>
        <v>1.6189699458236435</v>
      </c>
      <c r="Q79" s="74"/>
      <c r="R79" s="74"/>
      <c r="S79" s="74"/>
      <c r="T79" s="74"/>
      <c r="U79" s="74"/>
      <c r="V79" s="74"/>
    </row>
    <row r="80" spans="1:22" x14ac:dyDescent="0.25">
      <c r="A80" s="72" cm="1">
        <f t="array" ref="A80">_xlfn.IFS($D$19="normal",A79+$G$19,$D$19="lognormal",EXP(LN(A79)+$G$19),AND($D$19&lt;&gt;"Normal",$D$19&lt;&gt;"Lognormal"),"")</f>
        <v>9.1560000000000237</v>
      </c>
      <c r="B80" s="73" cm="1">
        <f t="array" ref="B80">_xlfn.IFS($D$19="normal",_xlfn.NORM.DIST(A80,$D$16,$B$28,FALSE),$D$19="lognormal",_xlfn.LOGNORM.DIST(A80,LN($D$16),$B$28,FALSE),AND($D$19&lt;&gt;"Normal",$D$19&lt;&gt;"Lognormal"),"")</f>
        <v>0.82163581244017614</v>
      </c>
      <c r="C80" s="74"/>
      <c r="D80" s="74"/>
      <c r="E80" s="74"/>
      <c r="F80" s="74"/>
      <c r="G80" s="74"/>
      <c r="H80" s="72" cm="1">
        <f t="array" ref="H80">_xlfn.IFS($K$19="normal",H79+$N$19,$K$19="lognormal",EXP(LN(H79)+$N$19),AND($K$19&lt;&gt;"Normal",$K$19&lt;&gt;"Lognormal"),"")</f>
        <v>92.024000000000299</v>
      </c>
      <c r="I80" s="73" cm="1">
        <f t="array" ref="I80">_xlfn.IFS($K$19="normal",_xlfn.NORM.DIST(H80,$K$16,$I$28,FALSE),$K$19="lognormal",_xlfn.LOGNORM.DIST(H80,LN($K$16),$I$28,FALSE),AND($K$19&lt;&gt;"Normal",$K$19&lt;&gt;"Lognormal"),"")</f>
        <v>9.9480569219199205E-2</v>
      </c>
      <c r="J80" s="74"/>
      <c r="K80" s="74"/>
      <c r="L80" s="74"/>
      <c r="M80" s="74"/>
      <c r="N80" s="74"/>
      <c r="O80" s="72" cm="1">
        <f t="array" ref="O80">_xlfn.IFS($R$19="normal",O79+$U$19,$R$19="lognormal",EXP(LN(O79)+$U$19),AND($R$19&lt;&gt;"Normal",$R$19&lt;&gt;"Lognormal"),"")</f>
        <v>4.9379999999999997</v>
      </c>
      <c r="P80" s="73" cm="1">
        <f t="array" ref="P80">_xlfn.IFS($R$19="normal",_xlfn.NORM.DIST(O80,$R$16,$P$28,FALSE),$R$19="lognormal",_xlfn.LOGNORM.DIST(O80,LN($R$16),$P$28,FALSE),AND($R$19&lt;&gt;"Normal",$R$19&lt;&gt;"Lognormal"),"")</f>
        <v>1.3865104334931915</v>
      </c>
      <c r="Q80" s="74"/>
      <c r="R80" s="74"/>
      <c r="S80" s="74"/>
      <c r="T80" s="74"/>
      <c r="U80" s="74"/>
      <c r="V80" s="74"/>
    </row>
    <row r="81" spans="1:22" x14ac:dyDescent="0.25">
      <c r="A81" s="72" cm="1">
        <f t="array" ref="A81">_xlfn.IFS($D$19="normal",A80+$G$19,$D$19="lognormal",EXP(LN(A80)+$G$19),AND($D$19&lt;&gt;"Normal",$D$19&lt;&gt;"Lognormal"),"")</f>
        <v>9.1695000000000242</v>
      </c>
      <c r="B81" s="73" cm="1">
        <f t="array" ref="B81">_xlfn.IFS($D$19="normal",_xlfn.NORM.DIST(A81,$D$16,$B$28,FALSE),$D$19="lognormal",_xlfn.LOGNORM.DIST(A81,LN($D$16),$B$28,FALSE),AND($D$19&lt;&gt;"Normal",$D$19&lt;&gt;"Lognormal"),"")</f>
        <v>0.69665983242116836</v>
      </c>
      <c r="C81" s="74"/>
      <c r="D81" s="74"/>
      <c r="E81" s="74"/>
      <c r="F81" s="74"/>
      <c r="G81" s="74"/>
      <c r="H81" s="72" cm="1">
        <f t="array" ref="H81">_xlfn.IFS($K$19="normal",H80+$N$19,$K$19="lognormal",EXP(LN(H80)+$N$19),AND($K$19&lt;&gt;"Normal",$K$19&lt;&gt;"Lognormal"),"")</f>
        <v>92.135500000000306</v>
      </c>
      <c r="I81" s="73" cm="1">
        <f t="array" ref="I81">_xlfn.IFS($K$19="normal",_xlfn.NORM.DIST(H81,$K$16,$I$28,FALSE),$K$19="lognormal",_xlfn.LOGNORM.DIST(H81,LN($K$16),$I$28,FALSE),AND($K$19&lt;&gt;"Normal",$K$19&lt;&gt;"Lognormal"),"")</f>
        <v>8.4348948320037948E-2</v>
      </c>
      <c r="J81" s="74"/>
      <c r="K81" s="74"/>
      <c r="L81" s="74"/>
      <c r="M81" s="74"/>
      <c r="N81" s="74"/>
      <c r="O81" s="72" cm="1">
        <f t="array" ref="O81">_xlfn.IFS($R$19="normal",O80+$U$19,$R$19="lognormal",EXP(LN(O80)+$U$19),AND($R$19&lt;&gt;"Normal",$R$19&lt;&gt;"Lognormal"),"")</f>
        <v>4.9459999999999997</v>
      </c>
      <c r="P81" s="73" cm="1">
        <f t="array" ref="P81">_xlfn.IFS($R$19="normal",_xlfn.NORM.DIST(O81,$R$16,$P$28,FALSE),$R$19="lognormal",_xlfn.LOGNORM.DIST(O81,LN($R$16),$P$28,FALSE),AND($R$19&lt;&gt;"Normal",$R$19&lt;&gt;"Lognormal"),"")</f>
        <v>1.1756134672110836</v>
      </c>
      <c r="Q81" s="74"/>
      <c r="R81" s="74"/>
      <c r="S81" s="74"/>
      <c r="T81" s="74"/>
      <c r="U81" s="74"/>
      <c r="V81" s="74"/>
    </row>
    <row r="82" spans="1:22" x14ac:dyDescent="0.25">
      <c r="A82" s="72" cm="1">
        <f t="array" ref="A82">_xlfn.IFS($D$19="normal",A81+$G$19,$D$19="lognormal",EXP(LN(A81)+$G$19),AND($D$19&lt;&gt;"Normal",$D$19&lt;&gt;"Lognormal"),"")</f>
        <v>9.1830000000000247</v>
      </c>
      <c r="B82" s="73" cm="1">
        <f t="array" ref="B82">_xlfn.IFS($D$19="normal",_xlfn.NORM.DIST(A82,$D$16,$B$28,FALSE),$D$19="lognormal",_xlfn.LOGNORM.DIST(A82,LN($D$16),$B$28,FALSE),AND($D$19&lt;&gt;"Normal",$D$19&lt;&gt;"Lognormal"),"")</f>
        <v>0.58481598741383434</v>
      </c>
      <c r="C82" s="74"/>
      <c r="D82" s="74"/>
      <c r="E82" s="74"/>
      <c r="F82" s="74"/>
      <c r="G82" s="74"/>
      <c r="H82" s="72" cm="1">
        <f t="array" ref="H82">_xlfn.IFS($K$19="normal",H81+$N$19,$K$19="lognormal",EXP(LN(H81)+$N$19),AND($K$19&lt;&gt;"Normal",$K$19&lt;&gt;"Lognormal"),"")</f>
        <v>92.247000000000313</v>
      </c>
      <c r="I82" s="73" cm="1">
        <f t="array" ref="I82">_xlfn.IFS($K$19="normal",_xlfn.NORM.DIST(H82,$K$16,$I$28,FALSE),$K$19="lognormal",_xlfn.LOGNORM.DIST(H82,LN($K$16),$I$28,FALSE),AND($K$19&lt;&gt;"Normal",$K$19&lt;&gt;"Lognormal"),"")</f>
        <v>7.0807316861752179E-2</v>
      </c>
      <c r="J82" s="74"/>
      <c r="K82" s="74"/>
      <c r="L82" s="74"/>
      <c r="M82" s="74"/>
      <c r="N82" s="74"/>
      <c r="O82" s="72" cm="1">
        <f t="array" ref="O82">_xlfn.IFS($R$19="normal",O81+$U$19,$R$19="lognormal",EXP(LN(O81)+$U$19),AND($R$19&lt;&gt;"Normal",$R$19&lt;&gt;"Lognormal"),"")</f>
        <v>4.9539999999999997</v>
      </c>
      <c r="P82" s="73" cm="1">
        <f t="array" ref="P82">_xlfn.IFS($R$19="normal",_xlfn.NORM.DIST(O82,$R$16,$P$28,FALSE),$R$19="lognormal",_xlfn.LOGNORM.DIST(O82,LN($R$16),$P$28,FALSE),AND($R$19&lt;&gt;"Normal",$R$19&lt;&gt;"Lognormal"),"")</f>
        <v>0.98687697876117431</v>
      </c>
      <c r="Q82" s="74"/>
      <c r="R82" s="74"/>
      <c r="S82" s="74"/>
      <c r="T82" s="74"/>
      <c r="U82" s="74"/>
      <c r="V82" s="74"/>
    </row>
    <row r="83" spans="1:22" x14ac:dyDescent="0.25">
      <c r="A83" s="72" cm="1">
        <f t="array" ref="A83">_xlfn.IFS($D$19="normal",A82+$G$19,$D$19="lognormal",EXP(LN(A82)+$G$19),AND($D$19&lt;&gt;"Normal",$D$19&lt;&gt;"Lognormal"),"")</f>
        <v>9.1965000000000252</v>
      </c>
      <c r="B83" s="73" cm="1">
        <f t="array" ref="B83">_xlfn.IFS($D$19="normal",_xlfn.NORM.DIST(A83,$D$16,$B$28,FALSE),$D$19="lognormal",_xlfn.LOGNORM.DIST(A83,LN($D$16),$B$28,FALSE),AND($D$19&lt;&gt;"Normal",$D$19&lt;&gt;"Lognormal"),"")</f>
        <v>0.48604307240483613</v>
      </c>
      <c r="C83" s="74"/>
      <c r="D83" s="74"/>
      <c r="E83" s="74"/>
      <c r="F83" s="74"/>
      <c r="G83" s="74"/>
      <c r="H83" s="72" cm="1">
        <f t="array" ref="H83">_xlfn.IFS($K$19="normal",H82+$N$19,$K$19="lognormal",EXP(LN(H82)+$N$19),AND($K$19&lt;&gt;"Normal",$K$19&lt;&gt;"Lognormal"),"")</f>
        <v>92.358500000000319</v>
      </c>
      <c r="I83" s="73" cm="1">
        <f t="array" ref="I83">_xlfn.IFS($K$19="normal",_xlfn.NORM.DIST(H83,$K$16,$I$28,FALSE),$K$19="lognormal",_xlfn.LOGNORM.DIST(H83,LN($K$16),$I$28,FALSE),AND($K$19&lt;&gt;"Normal",$K$19&lt;&gt;"Lognormal"),"")</f>
        <v>5.8848264371874737E-2</v>
      </c>
      <c r="J83" s="74"/>
      <c r="K83" s="74"/>
      <c r="L83" s="74"/>
      <c r="M83" s="74"/>
      <c r="N83" s="74"/>
      <c r="O83" s="72" cm="1">
        <f t="array" ref="O83">_xlfn.IFS($R$19="normal",O82+$U$19,$R$19="lognormal",EXP(LN(O82)+$U$19),AND($R$19&lt;&gt;"Normal",$R$19&lt;&gt;"Lognormal"),"")</f>
        <v>4.9619999999999997</v>
      </c>
      <c r="P83" s="73" cm="1">
        <f t="array" ref="P83">_xlfn.IFS($R$19="normal",_xlfn.NORM.DIST(O83,$R$16,$P$28,FALSE),$R$19="lognormal",_xlfn.LOGNORM.DIST(O83,LN($R$16),$P$28,FALSE),AND($R$19&lt;&gt;"Normal",$R$19&lt;&gt;"Lognormal"),"")</f>
        <v>0.82019768468345489</v>
      </c>
      <c r="Q83" s="74"/>
      <c r="R83" s="74"/>
      <c r="S83" s="74"/>
      <c r="T83" s="74"/>
      <c r="U83" s="74"/>
      <c r="V83" s="74"/>
    </row>
    <row r="84" spans="1:22" x14ac:dyDescent="0.25">
      <c r="A84" s="72" cm="1">
        <f t="array" ref="A84">_xlfn.IFS($D$19="normal",A83+$G$19,$D$19="lognormal",EXP(LN(A83)+$G$19),AND($D$19&lt;&gt;"Normal",$D$19&lt;&gt;"Lognormal"),"")</f>
        <v>9.2100000000000257</v>
      </c>
      <c r="B84" s="73" cm="1">
        <f t="array" ref="B84">_xlfn.IFS($D$19="normal",_xlfn.NORM.DIST(A84,$D$16,$B$28,FALSE),$D$19="lognormal",_xlfn.LOGNORM.DIST(A84,LN($D$16),$B$28,FALSE),AND($D$19&lt;&gt;"Normal",$D$19&lt;&gt;"Lognormal"),"")</f>
        <v>0.39993308528271926</v>
      </c>
      <c r="C84" s="74"/>
      <c r="D84" s="74"/>
      <c r="E84" s="74"/>
      <c r="F84" s="74"/>
      <c r="G84" s="74"/>
      <c r="H84" s="72" cm="1">
        <f t="array" ref="H84">_xlfn.IFS($K$19="normal",H83+$N$19,$K$19="lognormal",EXP(LN(H83)+$N$19),AND($K$19&lt;&gt;"Normal",$K$19&lt;&gt;"Lognormal"),"")</f>
        <v>92.470000000000326</v>
      </c>
      <c r="I84" s="73" cm="1">
        <f t="array" ref="I84">_xlfn.IFS($K$19="normal",_xlfn.NORM.DIST(H84,$K$16,$I$28,FALSE),$K$19="lognormal",_xlfn.LOGNORM.DIST(H84,LN($K$16),$I$28,FALSE),AND($K$19&lt;&gt;"Normal",$K$19&lt;&gt;"Lognormal"),"")</f>
        <v>4.8422391491619754E-2</v>
      </c>
      <c r="J84" s="74"/>
      <c r="K84" s="74"/>
      <c r="L84" s="74"/>
      <c r="M84" s="74"/>
      <c r="N84" s="74"/>
      <c r="O84" s="72" cm="1">
        <f t="array" ref="O84">_xlfn.IFS($R$19="normal",O83+$U$19,$R$19="lognormal",EXP(LN(O83)+$U$19),AND($R$19&lt;&gt;"Normal",$R$19&lt;&gt;"Lognormal"),"")</f>
        <v>4.97</v>
      </c>
      <c r="P84" s="73" cm="1">
        <f t="array" ref="P84">_xlfn.IFS($R$19="normal",_xlfn.NORM.DIST(O84,$R$16,$P$28,FALSE),$R$19="lognormal",_xlfn.LOGNORM.DIST(O84,LN($R$16),$P$28,FALSE),AND($R$19&lt;&gt;"Normal",$R$19&lt;&gt;"Lognormal"),"")</f>
        <v>0.67488708141484821</v>
      </c>
      <c r="Q84" s="74"/>
      <c r="R84" s="74"/>
      <c r="S84" s="74"/>
      <c r="T84" s="74"/>
      <c r="U84" s="74"/>
      <c r="V84" s="74"/>
    </row>
    <row r="85" spans="1:22" x14ac:dyDescent="0.25">
      <c r="A85" s="72" cm="1">
        <f t="array" ref="A85">_xlfn.IFS($D$19="normal",A84+$G$19,$D$19="lognormal",EXP(LN(A84)+$G$19),AND($D$19&lt;&gt;"Normal",$D$19&lt;&gt;"Lognormal"),"")</f>
        <v>9.2235000000000262</v>
      </c>
      <c r="B85" s="73" cm="1">
        <f t="array" ref="B85">_xlfn.IFS($D$19="normal",_xlfn.NORM.DIST(A85,$D$16,$B$28,FALSE),$D$19="lognormal",_xlfn.LOGNORM.DIST(A85,LN($D$16),$B$28,FALSE),AND($D$19&lt;&gt;"Normal",$D$19&lt;&gt;"Lognormal"),"")</f>
        <v>0.32580441466969573</v>
      </c>
      <c r="C85" s="74"/>
      <c r="D85" s="74"/>
      <c r="E85" s="74"/>
      <c r="F85" s="74"/>
      <c r="G85" s="74"/>
      <c r="H85" s="72" cm="1">
        <f t="array" ref="H85">_xlfn.IFS($K$19="normal",H84+$N$19,$K$19="lognormal",EXP(LN(H84)+$N$19),AND($K$19&lt;&gt;"Normal",$K$19&lt;&gt;"Lognormal"),"")</f>
        <v>92.581500000000332</v>
      </c>
      <c r="I85" s="73" cm="1">
        <f t="array" ref="I85">_xlfn.IFS($K$19="normal",_xlfn.NORM.DIST(H85,$K$16,$I$28,FALSE),$K$19="lognormal",_xlfn.LOGNORM.DIST(H85,LN($K$16),$I$28,FALSE),AND($K$19&lt;&gt;"Normal",$K$19&lt;&gt;"Lognormal"),"")</f>
        <v>3.9447171282869294E-2</v>
      </c>
      <c r="J85" s="74"/>
      <c r="K85" s="74"/>
      <c r="L85" s="74"/>
      <c r="M85" s="74"/>
      <c r="N85" s="74"/>
      <c r="O85" s="72" cm="1">
        <f t="array" ref="O85">_xlfn.IFS($R$19="normal",O84+$U$19,$R$19="lognormal",EXP(LN(O84)+$U$19),AND($R$19&lt;&gt;"Normal",$R$19&lt;&gt;"Lognormal"),"")</f>
        <v>4.9779999999999998</v>
      </c>
      <c r="P85" s="73" cm="1">
        <f t="array" ref="P85">_xlfn.IFS($R$19="normal",_xlfn.NORM.DIST(O85,$R$16,$P$28,FALSE),$R$19="lognormal",_xlfn.LOGNORM.DIST(O85,LN($R$16),$P$28,FALSE),AND($R$19&lt;&gt;"Normal",$R$19&lt;&gt;"Lognormal"),"")</f>
        <v>0.54979494975533771</v>
      </c>
      <c r="Q85" s="74"/>
      <c r="R85" s="74"/>
      <c r="S85" s="74"/>
      <c r="T85" s="74"/>
      <c r="U85" s="74"/>
      <c r="V85" s="74"/>
    </row>
    <row r="86" spans="1:22" x14ac:dyDescent="0.25">
      <c r="A86" s="72" cm="1">
        <f t="array" ref="A86">_xlfn.IFS($D$19="normal",A85+$G$19,$D$19="lognormal",EXP(LN(A85)+$G$19),AND($D$19&lt;&gt;"Normal",$D$19&lt;&gt;"Lognormal"),"")</f>
        <v>9.2370000000000267</v>
      </c>
      <c r="B86" s="73" cm="1">
        <f t="array" ref="B86">_xlfn.IFS($D$19="normal",_xlfn.NORM.DIST(A86,$D$16,$B$28,FALSE),$D$19="lognormal",_xlfn.LOGNORM.DIST(A86,LN($D$16),$B$28,FALSE),AND($D$19&lt;&gt;"Normal",$D$19&lt;&gt;"Lognormal"),"")</f>
        <v>0.26277476182381987</v>
      </c>
      <c r="C86" s="74"/>
      <c r="D86" s="74"/>
      <c r="E86" s="74"/>
      <c r="F86" s="74"/>
      <c r="G86" s="74"/>
      <c r="H86" s="72" cm="1">
        <f t="array" ref="H86">_xlfn.IFS($K$19="normal",H85+$N$19,$K$19="lognormal",EXP(LN(H85)+$N$19),AND($K$19&lt;&gt;"Normal",$K$19&lt;&gt;"Lognormal"),"")</f>
        <v>92.693000000000339</v>
      </c>
      <c r="I86" s="73" cm="1">
        <f t="array" ref="I86">_xlfn.IFS($K$19="normal",_xlfn.NORM.DIST(H86,$K$16,$I$28,FALSE),$K$19="lognormal",_xlfn.LOGNORM.DIST(H86,LN($K$16),$I$28,FALSE),AND($K$19&lt;&gt;"Normal",$K$19&lt;&gt;"Lognormal"),"")</f>
        <v>3.181577833740571E-2</v>
      </c>
      <c r="J86" s="74"/>
      <c r="K86" s="74"/>
      <c r="L86" s="74"/>
      <c r="M86" s="74"/>
      <c r="N86" s="74"/>
      <c r="O86" s="72" cm="1">
        <f t="array" ref="O86">_xlfn.IFS($R$19="normal",O85+$U$19,$R$19="lognormal",EXP(LN(O85)+$U$19),AND($R$19&lt;&gt;"Normal",$R$19&lt;&gt;"Lognormal"),"")</f>
        <v>4.9859999999999998</v>
      </c>
      <c r="P86" s="73" cm="1">
        <f t="array" ref="P86">_xlfn.IFS($R$19="normal",_xlfn.NORM.DIST(O86,$R$16,$P$28,FALSE),$R$19="lognormal",_xlfn.LOGNORM.DIST(O86,LN($R$16),$P$28,FALSE),AND($R$19&lt;&gt;"Normal",$R$19&lt;&gt;"Lognormal"),"")</f>
        <v>0.44343241057789101</v>
      </c>
      <c r="Q86" s="74"/>
      <c r="R86" s="74"/>
      <c r="S86" s="74"/>
      <c r="T86" s="74"/>
      <c r="U86" s="74"/>
      <c r="V86" s="74"/>
    </row>
    <row r="87" spans="1:22" x14ac:dyDescent="0.25">
      <c r="A87" s="72" cm="1">
        <f t="array" ref="A87">_xlfn.IFS($D$19="normal",A86+$G$19,$D$19="lognormal",EXP(LN(A86)+$G$19),AND($D$19&lt;&gt;"Normal",$D$19&lt;&gt;"Lognormal"),"")</f>
        <v>9.2505000000000273</v>
      </c>
      <c r="B87" s="73" cm="1">
        <f t="array" ref="B87">_xlfn.IFS($D$19="normal",_xlfn.NORM.DIST(A87,$D$16,$B$28,FALSE),$D$19="lognormal",_xlfn.LOGNORM.DIST(A87,LN($D$16),$B$28,FALSE),AND($D$19&lt;&gt;"Normal",$D$19&lt;&gt;"Lognormal"),"")</f>
        <v>0.20982990919694658</v>
      </c>
      <c r="C87" s="74"/>
      <c r="D87" s="74"/>
      <c r="E87" s="74"/>
      <c r="F87" s="74"/>
      <c r="G87" s="74"/>
      <c r="H87" s="72" cm="1">
        <f t="array" ref="H87">_xlfn.IFS($K$19="normal",H86+$N$19,$K$19="lognormal",EXP(LN(H86)+$N$19),AND($K$19&lt;&gt;"Normal",$K$19&lt;&gt;"Lognormal"),"")</f>
        <v>92.804500000000345</v>
      </c>
      <c r="I87" s="73" cm="1">
        <f t="array" ref="I87">_xlfn.IFS($K$19="normal",_xlfn.NORM.DIST(H87,$K$16,$I$28,FALSE),$K$19="lognormal",_xlfn.LOGNORM.DIST(H87,LN($K$16),$I$28,FALSE),AND($K$19&lt;&gt;"Normal",$K$19&lt;&gt;"Lognormal"),"")</f>
        <v>2.5405415014870553E-2</v>
      </c>
      <c r="J87" s="74"/>
      <c r="K87" s="74"/>
      <c r="L87" s="74"/>
      <c r="M87" s="74"/>
      <c r="N87" s="74"/>
      <c r="O87" s="72" cm="1">
        <f t="array" ref="O87">_xlfn.IFS($R$19="normal",O86+$U$19,$R$19="lognormal",EXP(LN(O86)+$U$19),AND($R$19&lt;&gt;"Normal",$R$19&lt;&gt;"Lognormal"),"")</f>
        <v>4.9939999999999998</v>
      </c>
      <c r="P87" s="73" cm="1">
        <f t="array" ref="P87">_xlfn.IFS($R$19="normal",_xlfn.NORM.DIST(O87,$R$16,$P$28,FALSE),$R$19="lognormal",_xlfn.LOGNORM.DIST(O87,LN($R$16),$P$28,FALSE),AND($R$19&lt;&gt;"Normal",$R$19&lt;&gt;"Lognormal"),"")</f>
        <v>0.35408797177001294</v>
      </c>
      <c r="Q87" s="74"/>
      <c r="R87" s="74"/>
      <c r="S87" s="74"/>
      <c r="T87" s="74"/>
      <c r="U87" s="74"/>
      <c r="V87" s="74"/>
    </row>
    <row r="88" spans="1:22" x14ac:dyDescent="0.25">
      <c r="A88" s="72" cm="1">
        <f t="array" ref="A88">_xlfn.IFS($D$19="normal",A87+$G$19,$D$19="lognormal",EXP(LN(A87)+$G$19),AND($D$19&lt;&gt;"Normal",$D$19&lt;&gt;"Lognormal"),"")</f>
        <v>9.2640000000000278</v>
      </c>
      <c r="B88" s="73" cm="1">
        <f t="array" ref="B88">_xlfn.IFS($D$19="normal",_xlfn.NORM.DIST(A88,$D$16,$B$28,FALSE),$D$19="lognormal",_xlfn.LOGNORM.DIST(A88,LN($D$16),$B$28,FALSE),AND($D$19&lt;&gt;"Normal",$D$19&lt;&gt;"Lognormal"),"")</f>
        <v>0.16588540959134565</v>
      </c>
      <c r="C88" s="74"/>
      <c r="D88" s="74"/>
      <c r="E88" s="74"/>
      <c r="F88" s="74"/>
      <c r="G88" s="74"/>
      <c r="H88" s="72" cm="1">
        <f t="array" ref="H88">_xlfn.IFS($K$19="normal",H87+$N$19,$K$19="lognormal",EXP(LN(H87)+$N$19),AND($K$19&lt;&gt;"Normal",$K$19&lt;&gt;"Lognormal"),"")</f>
        <v>92.916000000000352</v>
      </c>
      <c r="I88" s="73" cm="1">
        <f t="array" ref="I88">_xlfn.IFS($K$19="normal",_xlfn.NORM.DIST(H88,$K$16,$I$28,FALSE),$K$19="lognormal",_xlfn.LOGNORM.DIST(H88,LN($K$16),$I$28,FALSE),AND($K$19&lt;&gt;"Normal",$K$19&lt;&gt;"Lognormal"),"")</f>
        <v>2.008478053347593E-2</v>
      </c>
      <c r="J88" s="74"/>
      <c r="K88" s="74"/>
      <c r="L88" s="74"/>
      <c r="M88" s="74"/>
      <c r="N88" s="74"/>
      <c r="O88" s="72" cm="1">
        <f t="array" ref="O88">_xlfn.IFS($R$19="normal",O87+$U$19,$R$19="lognormal",EXP(LN(O87)+$U$19),AND($R$19&lt;&gt;"Normal",$R$19&lt;&gt;"Lognormal"),"")</f>
        <v>5.0019999999999998</v>
      </c>
      <c r="P88" s="73" cm="1">
        <f t="array" ref="P88">_xlfn.IFS($R$19="normal",_xlfn.NORM.DIST(O88,$R$16,$P$28,FALSE),$R$19="lognormal",_xlfn.LOGNORM.DIST(O88,LN($R$16),$P$28,FALSE),AND($R$19&lt;&gt;"Normal",$R$19&lt;&gt;"Lognormal"),"")</f>
        <v>0.27993162868553478</v>
      </c>
      <c r="Q88" s="74"/>
      <c r="R88" s="74"/>
      <c r="S88" s="74"/>
      <c r="T88" s="74"/>
      <c r="U88" s="74"/>
      <c r="V88" s="74"/>
    </row>
    <row r="89" spans="1:22" x14ac:dyDescent="0.25">
      <c r="A89" s="72" cm="1">
        <f t="array" ref="A89">_xlfn.IFS($D$19="normal",A88+$G$19,$D$19="lognormal",EXP(LN(A88)+$G$19),AND($D$19&lt;&gt;"Normal",$D$19&lt;&gt;"Lognormal"),"")</f>
        <v>9.2775000000000283</v>
      </c>
      <c r="B89" s="73" cm="1">
        <f t="array" ref="B89">_xlfn.IFS($D$19="normal",_xlfn.NORM.DIST(A89,$D$16,$B$28,FALSE),$D$19="lognormal",_xlfn.LOGNORM.DIST(A89,LN($D$16),$B$28,FALSE),AND($D$19&lt;&gt;"Normal",$D$19&lt;&gt;"Lognormal"),"")</f>
        <v>0.1298392629152533</v>
      </c>
      <c r="C89" s="74"/>
      <c r="D89" s="74"/>
      <c r="E89" s="74"/>
      <c r="F89" s="74"/>
      <c r="G89" s="74"/>
      <c r="H89" s="72" cm="1">
        <f t="array" ref="H89">_xlfn.IFS($K$19="normal",H88+$N$19,$K$19="lognormal",EXP(LN(H88)+$N$19),AND($K$19&lt;&gt;"Normal",$K$19&lt;&gt;"Lognormal"),"")</f>
        <v>93.027500000000359</v>
      </c>
      <c r="I89" s="73" cm="1">
        <f t="array" ref="I89">_xlfn.IFS($K$19="normal",_xlfn.NORM.DIST(H89,$K$16,$I$28,FALSE),$K$19="lognormal",_xlfn.LOGNORM.DIST(H89,LN($K$16),$I$28,FALSE),AND($K$19&lt;&gt;"Normal",$K$19&lt;&gt;"Lognormal"),"")</f>
        <v>1.572044887314281E-2</v>
      </c>
      <c r="J89" s="74"/>
      <c r="K89" s="74"/>
      <c r="L89" s="74"/>
      <c r="M89" s="74"/>
      <c r="N89" s="74"/>
      <c r="O89" s="72" cm="1">
        <f t="array" ref="O89">_xlfn.IFS($R$19="normal",O88+$U$19,$R$19="lognormal",EXP(LN(O88)+$U$19),AND($R$19&lt;&gt;"Normal",$R$19&lt;&gt;"Lognormal"),"")</f>
        <v>5.01</v>
      </c>
      <c r="P89" s="73" cm="1">
        <f t="array" ref="P89">_xlfn.IFS($R$19="normal",_xlfn.NORM.DIST(O89,$R$16,$P$28,FALSE),$R$19="lognormal",_xlfn.LOGNORM.DIST(O89,LN($R$16),$P$28,FALSE),AND($R$19&lt;&gt;"Normal",$R$19&lt;&gt;"Lognormal"),"")</f>
        <v>0.21910375616960556</v>
      </c>
      <c r="Q89" s="74"/>
      <c r="R89" s="74"/>
      <c r="S89" s="74"/>
      <c r="T89" s="74"/>
      <c r="U89" s="74"/>
      <c r="V89" s="74"/>
    </row>
    <row r="90" spans="1:22" x14ac:dyDescent="0.25">
      <c r="A90" s="72" cm="1">
        <f t="array" ref="A90">_xlfn.IFS($D$19="normal",A89+$G$19,$D$19="lognormal",EXP(LN(A89)+$G$19),AND($D$19&lt;&gt;"Normal",$D$19&lt;&gt;"Lognormal"),"")</f>
        <v>9.2910000000000288</v>
      </c>
      <c r="B90" s="73" cm="1">
        <f t="array" ref="B90">_xlfn.IFS($D$19="normal",_xlfn.NORM.DIST(A90,$D$16,$B$28,FALSE),$D$19="lognormal",_xlfn.LOGNORM.DIST(A90,LN($D$16),$B$28,FALSE),AND($D$19&lt;&gt;"Normal",$D$19&lt;&gt;"Lognormal"),"")</f>
        <v>0.10061458691613302</v>
      </c>
      <c r="C90" s="74"/>
      <c r="D90" s="74"/>
      <c r="E90" s="74"/>
      <c r="F90" s="74"/>
      <c r="G90" s="74"/>
      <c r="H90" s="72" cm="1">
        <f t="array" ref="H90">_xlfn.IFS($K$19="normal",H89+$N$19,$K$19="lognormal",EXP(LN(H89)+$N$19),AND($K$19&lt;&gt;"Normal",$K$19&lt;&gt;"Lognormal"),"")</f>
        <v>93.139000000000365</v>
      </c>
      <c r="I90" s="73" cm="1">
        <f t="array" ref="I90">_xlfn.IFS($K$19="normal",_xlfn.NORM.DIST(H90,$K$16,$I$28,FALSE),$K$19="lognormal",_xlfn.LOGNORM.DIST(H90,LN($K$16),$I$28,FALSE),AND($K$19&lt;&gt;"Normal",$K$19&lt;&gt;"Lognormal"),"")</f>
        <v>1.2182035187151464E-2</v>
      </c>
      <c r="J90" s="74"/>
      <c r="K90" s="74"/>
      <c r="L90" s="74"/>
      <c r="M90" s="74"/>
      <c r="N90" s="74"/>
      <c r="O90" s="72" cm="1">
        <f t="array" ref="O90">_xlfn.IFS($R$19="normal",O89+$U$19,$R$19="lognormal",EXP(LN(O89)+$U$19),AND($R$19&lt;&gt;"Normal",$R$19&lt;&gt;"Lognormal"),"")</f>
        <v>5.0179999999999998</v>
      </c>
      <c r="P90" s="73" cm="1">
        <f t="array" ref="P90">_xlfn.IFS($R$19="normal",_xlfn.NORM.DIST(O90,$R$16,$P$28,FALSE),$R$19="lognormal",_xlfn.LOGNORM.DIST(O90,LN($R$16),$P$28,FALSE),AND($R$19&lt;&gt;"Normal",$R$19&lt;&gt;"Lognormal"),"")</f>
        <v>0.1697871154210692</v>
      </c>
      <c r="Q90" s="74"/>
      <c r="R90" s="74"/>
      <c r="S90" s="74"/>
      <c r="T90" s="74"/>
      <c r="U90" s="74"/>
      <c r="V90" s="74"/>
    </row>
    <row r="91" spans="1:22" x14ac:dyDescent="0.25">
      <c r="A91" s="72" cm="1">
        <f t="array" ref="A91">_xlfn.IFS($D$19="normal",A90+$G$19,$D$19="lognormal",EXP(LN(A90)+$G$19),AND($D$19&lt;&gt;"Normal",$D$19&lt;&gt;"Lognormal"),"")</f>
        <v>9.3045000000000293</v>
      </c>
      <c r="B91" s="73" cm="1">
        <f t="array" ref="B91">_xlfn.IFS($D$19="normal",_xlfn.NORM.DIST(A91,$D$16,$B$28,FALSE),$D$19="lognormal",_xlfn.LOGNORM.DIST(A91,LN($D$16),$B$28,FALSE),AND($D$19&lt;&gt;"Normal",$D$19&lt;&gt;"Lognormal"),"")</f>
        <v>7.7192109736417741E-2</v>
      </c>
      <c r="C91" s="74"/>
      <c r="D91" s="74"/>
      <c r="E91" s="74"/>
      <c r="F91" s="74"/>
      <c r="G91" s="74"/>
      <c r="H91" s="72" cm="1">
        <f t="array" ref="H91">_xlfn.IFS($K$19="normal",H90+$N$19,$K$19="lognormal",EXP(LN(H90)+$N$19),AND($K$19&lt;&gt;"Normal",$K$19&lt;&gt;"Lognormal"),"")</f>
        <v>93.250500000000372</v>
      </c>
      <c r="I91" s="73" cm="1">
        <f t="array" ref="I91">_xlfn.IFS($K$19="normal",_xlfn.NORM.DIST(H91,$K$16,$I$28,FALSE),$K$19="lognormal",_xlfn.LOGNORM.DIST(H91,LN($K$16),$I$28,FALSE),AND($K$19&lt;&gt;"Normal",$K$19&lt;&gt;"Lognormal"),"")</f>
        <v>9.3461298783973808E-3</v>
      </c>
      <c r="J91" s="74"/>
      <c r="K91" s="74"/>
      <c r="L91" s="74"/>
      <c r="M91" s="74"/>
      <c r="N91" s="74"/>
      <c r="O91" s="72" cm="1">
        <f t="array" ref="O91">_xlfn.IFS($R$19="normal",O90+$U$19,$R$19="lognormal",EXP(LN(O90)+$U$19),AND($R$19&lt;&gt;"Normal",$R$19&lt;&gt;"Lognormal"),"")</f>
        <v>5.0259999999999998</v>
      </c>
      <c r="P91" s="73" cm="1">
        <f t="array" ref="P91">_xlfn.IFS($R$19="normal",_xlfn.NORM.DIST(O91,$R$16,$P$28,FALSE),$R$19="lognormal",_xlfn.LOGNORM.DIST(O91,LN($R$16),$P$28,FALSE),AND($R$19&lt;&gt;"Normal",$R$19&lt;&gt;"Lognormal"),"")</f>
        <v>0.13026168518028158</v>
      </c>
      <c r="Q91" s="74"/>
      <c r="R91" s="74"/>
      <c r="S91" s="74"/>
      <c r="T91" s="74"/>
      <c r="U91" s="74"/>
      <c r="V91" s="74"/>
    </row>
    <row r="92" spans="1:22" x14ac:dyDescent="0.25">
      <c r="A92" s="72" cm="1">
        <f t="array" ref="A92">_xlfn.IFS($D$19="normal",A91+$G$19,$D$19="lognormal",EXP(LN(A91)+$G$19),AND($D$19&lt;&gt;"Normal",$D$19&lt;&gt;"Lognormal"),"")</f>
        <v>9.3180000000000298</v>
      </c>
      <c r="B92" s="73" cm="1">
        <f t="array" ref="B92">_xlfn.IFS($D$19="normal",_xlfn.NORM.DIST(A92,$D$16,$B$28,FALSE),$D$19="lognormal",_xlfn.LOGNORM.DIST(A92,LN($D$16),$B$28,FALSE),AND($D$19&lt;&gt;"Normal",$D$19&lt;&gt;"Lognormal"),"")</f>
        <v>5.8632974688703605E-2</v>
      </c>
      <c r="C92" s="74"/>
      <c r="D92" s="74"/>
      <c r="E92" s="74"/>
      <c r="F92" s="74"/>
      <c r="G92" s="74"/>
      <c r="H92" s="72" cm="1">
        <f t="array" ref="H92">_xlfn.IFS($K$19="normal",H91+$N$19,$K$19="lognormal",EXP(LN(H91)+$N$19),AND($K$19&lt;&gt;"Normal",$K$19&lt;&gt;"Lognormal"),"")</f>
        <v>93.362000000000378</v>
      </c>
      <c r="I92" s="73" cm="1">
        <f t="array" ref="I92">_xlfn.IFS($K$19="normal",_xlfn.NORM.DIST(H92,$K$16,$I$28,FALSE),$K$19="lognormal",_xlfn.LOGNORM.DIST(H92,LN($K$16),$I$28,FALSE),AND($K$19&lt;&gt;"Normal",$K$19&lt;&gt;"Lognormal"),"")</f>
        <v>7.0990597156702605E-3</v>
      </c>
      <c r="J92" s="74"/>
      <c r="K92" s="74"/>
      <c r="L92" s="74"/>
      <c r="M92" s="74"/>
      <c r="N92" s="74"/>
      <c r="O92" s="72" cm="1">
        <f t="array" ref="O92">_xlfn.IFS($R$19="normal",O91+$U$19,$R$19="lognormal",EXP(LN(O91)+$U$19),AND($R$19&lt;&gt;"Normal",$R$19&lt;&gt;"Lognormal"),"")</f>
        <v>5.0339999999999998</v>
      </c>
      <c r="P92" s="73" cm="1">
        <f t="array" ref="P92">_xlfn.IFS($R$19="normal",_xlfn.NORM.DIST(O92,$R$16,$P$28,FALSE),$R$19="lognormal",_xlfn.LOGNORM.DIST(O92,LN($R$16),$P$28,FALSE),AND($R$19&lt;&gt;"Normal",$R$19&lt;&gt;"Lognormal"),"")</f>
        <v>9.8943144787248832E-2</v>
      </c>
      <c r="Q92" s="74"/>
      <c r="R92" s="74"/>
      <c r="S92" s="74"/>
      <c r="T92" s="74"/>
      <c r="U92" s="74"/>
      <c r="V92" s="74"/>
    </row>
    <row r="93" spans="1:22" x14ac:dyDescent="0.25">
      <c r="A93" s="72" cm="1">
        <f t="array" ref="A93">_xlfn.IFS($D$19="normal",A92+$G$19,$D$19="lognormal",EXP(LN(A92)+$G$19),AND($D$19&lt;&gt;"Normal",$D$19&lt;&gt;"Lognormal"),"")</f>
        <v>9.3315000000000303</v>
      </c>
      <c r="B93" s="73" cm="1">
        <f t="array" ref="B93">_xlfn.IFS($D$19="normal",_xlfn.NORM.DIST(A93,$D$16,$B$28,FALSE),$D$19="lognormal",_xlfn.LOGNORM.DIST(A93,LN($D$16),$B$28,FALSE),AND($D$19&lt;&gt;"Normal",$D$19&lt;&gt;"Lognormal"),"")</f>
        <v>4.4092832739051221E-2</v>
      </c>
      <c r="C93" s="74"/>
      <c r="D93" s="74"/>
      <c r="E93" s="74"/>
      <c r="F93" s="74"/>
      <c r="G93" s="74"/>
      <c r="H93" s="72" cm="1">
        <f t="array" ref="H93">_xlfn.IFS($K$19="normal",H92+$N$19,$K$19="lognormal",EXP(LN(H92)+$N$19),AND($K$19&lt;&gt;"Normal",$K$19&lt;&gt;"Lognormal"),"")</f>
        <v>93.473500000000385</v>
      </c>
      <c r="I93" s="73" cm="1">
        <f t="array" ref="I93">_xlfn.IFS($K$19="normal",_xlfn.NORM.DIST(H93,$K$16,$I$28,FALSE),$K$19="lognormal",_xlfn.LOGNORM.DIST(H93,LN($K$16),$I$28,FALSE),AND($K$19&lt;&gt;"Normal",$K$19&lt;&gt;"Lognormal"),"")</f>
        <v>5.3385940984482655E-3</v>
      </c>
      <c r="J93" s="74"/>
      <c r="K93" s="74"/>
      <c r="L93" s="74"/>
      <c r="M93" s="74"/>
      <c r="N93" s="74"/>
      <c r="O93" s="72" cm="1">
        <f t="array" ref="O93">_xlfn.IFS($R$19="normal",O92+$U$19,$R$19="lognormal",EXP(LN(O92)+$U$19),AND($R$19&lt;&gt;"Normal",$R$19&lt;&gt;"Lognormal"),"")</f>
        <v>5.0419999999999998</v>
      </c>
      <c r="P93" s="73" cm="1">
        <f t="array" ref="P93">_xlfn.IFS($R$19="normal",_xlfn.NORM.DIST(O93,$R$16,$P$28,FALSE),$R$19="lognormal",_xlfn.LOGNORM.DIST(O93,LN($R$16),$P$28,FALSE),AND($R$19&lt;&gt;"Normal",$R$19&lt;&gt;"Lognormal"),"")</f>
        <v>7.4406655247197639E-2</v>
      </c>
      <c r="Q93" s="74"/>
      <c r="R93" s="74"/>
      <c r="S93" s="74"/>
      <c r="T93" s="74"/>
      <c r="U93" s="74"/>
      <c r="V93" s="74"/>
    </row>
    <row r="94" spans="1:22" x14ac:dyDescent="0.25">
      <c r="A94" s="72" cm="1">
        <f t="array" ref="A94">_xlfn.IFS($D$19="normal",A93+$G$19,$D$19="lognormal",EXP(LN(A93)+$G$19),AND($D$19&lt;&gt;"Normal",$D$19&lt;&gt;"Lognormal"),"")</f>
        <v>9.3450000000000308</v>
      </c>
      <c r="B94" s="73" cm="1">
        <f t="array" ref="B94">_xlfn.IFS($D$19="normal",_xlfn.NORM.DIST(A94,$D$16,$B$28,FALSE),$D$19="lognormal",_xlfn.LOGNORM.DIST(A94,LN($D$16),$B$28,FALSE),AND($D$19&lt;&gt;"Normal",$D$19&lt;&gt;"Lognormal"),"")</f>
        <v>3.2828506755073518E-2</v>
      </c>
      <c r="C94" s="74"/>
      <c r="D94" s="74"/>
      <c r="E94" s="74"/>
      <c r="F94" s="74"/>
      <c r="G94" s="74"/>
      <c r="H94" s="72" cm="1">
        <f t="array" ref="H94">_xlfn.IFS($K$19="normal",H93+$N$19,$K$19="lognormal",EXP(LN(H93)+$N$19),AND($K$19&lt;&gt;"Normal",$K$19&lt;&gt;"Lognormal"),"")</f>
        <v>93.585000000000392</v>
      </c>
      <c r="I94" s="73" cm="1">
        <f t="array" ref="I94">_xlfn.IFS($K$19="normal",_xlfn.NORM.DIST(H94,$K$16,$I$28,FALSE),$K$19="lognormal",_xlfn.LOGNORM.DIST(H94,LN($K$16),$I$28,FALSE),AND($K$19&lt;&gt;"Normal",$K$19&lt;&gt;"Lognormal"),"")</f>
        <v>3.9747519389536105E-3</v>
      </c>
      <c r="J94" s="74"/>
      <c r="K94" s="74"/>
      <c r="L94" s="74"/>
      <c r="M94" s="74"/>
      <c r="N94" s="74"/>
      <c r="O94" s="72" cm="1">
        <f t="array" ref="O94">_xlfn.IFS($R$19="normal",O93+$U$19,$R$19="lognormal",EXP(LN(O93)+$U$19),AND($R$19&lt;&gt;"Normal",$R$19&lt;&gt;"Lognormal"),"")</f>
        <v>5.05</v>
      </c>
      <c r="P94" s="73" cm="1">
        <f t="array" ref="P94">_xlfn.IFS($R$19="normal",_xlfn.NORM.DIST(O94,$R$16,$P$28,FALSE),$R$19="lognormal",_xlfn.LOGNORM.DIST(O94,LN($R$16),$P$28,FALSE),AND($R$19&lt;&gt;"Normal",$R$19&lt;&gt;"Lognormal"),"")</f>
        <v>5.539810514922465E-2</v>
      </c>
      <c r="Q94" s="74"/>
      <c r="R94" s="74"/>
      <c r="S94" s="74"/>
      <c r="T94" s="74"/>
      <c r="U94" s="74"/>
      <c r="V94" s="74"/>
    </row>
    <row r="95" spans="1:22" x14ac:dyDescent="0.25">
      <c r="A95" s="72" cm="1">
        <f t="array" ref="A95">_xlfn.IFS($D$19="normal",A94+$G$19,$D$19="lognormal",EXP(LN(A94)+$G$19),AND($D$19&lt;&gt;"Normal",$D$19&lt;&gt;"Lognormal"),"")</f>
        <v>9.3585000000000313</v>
      </c>
      <c r="B95" s="73" cm="1">
        <f t="array" ref="B95">_xlfn.IFS($D$19="normal",_xlfn.NORM.DIST(A95,$D$16,$B$28,FALSE),$D$19="lognormal",_xlfn.LOGNORM.DIST(A95,LN($D$16),$B$28,FALSE),AND($D$19&lt;&gt;"Normal",$D$19&lt;&gt;"Lognormal"),"")</f>
        <v>2.4198659675537262E-2</v>
      </c>
      <c r="C95" s="74"/>
      <c r="D95" s="74"/>
      <c r="E95" s="74"/>
      <c r="F95" s="74"/>
      <c r="G95" s="74"/>
      <c r="H95" s="72" cm="1">
        <f t="array" ref="H95">_xlfn.IFS($K$19="normal",H94+$N$19,$K$19="lognormal",EXP(LN(H94)+$N$19),AND($K$19&lt;&gt;"Normal",$K$19&lt;&gt;"Lognormal"),"")</f>
        <v>93.696500000000398</v>
      </c>
      <c r="I95" s="73" cm="1">
        <f t="array" ref="I95">_xlfn.IFS($K$19="normal",_xlfn.NORM.DIST(H95,$K$16,$I$28,FALSE),$K$19="lognormal",_xlfn.LOGNORM.DIST(H95,LN($K$16),$I$28,FALSE),AND($K$19&lt;&gt;"Normal",$K$19&lt;&gt;"Lognormal"),"")</f>
        <v>2.929882561610996E-3</v>
      </c>
      <c r="J95" s="74"/>
      <c r="K95" s="74"/>
      <c r="L95" s="74"/>
      <c r="M95" s="74"/>
      <c r="N95" s="74"/>
      <c r="O95" s="72" cm="1">
        <f t="array" ref="O95">_xlfn.IFS($R$19="normal",O94+$U$19,$R$19="lognormal",EXP(LN(O94)+$U$19),AND($R$19&lt;&gt;"Normal",$R$19&lt;&gt;"Lognormal"),"")</f>
        <v>5.0579999999999998</v>
      </c>
      <c r="P95" s="73" cm="1">
        <f t="array" ref="P95">_xlfn.IFS($R$19="normal",_xlfn.NORM.DIST(O95,$R$16,$P$28,FALSE),$R$19="lognormal",_xlfn.LOGNORM.DIST(O95,LN($R$16),$P$28,FALSE),AND($R$19&lt;&gt;"Normal",$R$19&lt;&gt;"Lognormal"),"")</f>
        <v>4.083523820249866E-2</v>
      </c>
      <c r="Q95" s="74"/>
      <c r="R95" s="74"/>
      <c r="S95" s="74"/>
      <c r="T95" s="74"/>
      <c r="U95" s="74"/>
      <c r="V95" s="74"/>
    </row>
    <row r="96" spans="1:22" x14ac:dyDescent="0.25">
      <c r="A96" s="72" cm="1">
        <f t="array" ref="A96">_xlfn.IFS($D$19="normal",A95+$G$19,$D$19="lognormal",EXP(LN(A95)+$G$19),AND($D$19&lt;&gt;"Normal",$D$19&lt;&gt;"Lognormal"),"")</f>
        <v>9.3720000000000319</v>
      </c>
      <c r="B96" s="73" cm="1">
        <f t="array" ref="B96">_xlfn.IFS($D$19="normal",_xlfn.NORM.DIST(A96,$D$16,$B$28,FALSE),$D$19="lognormal",_xlfn.LOGNORM.DIST(A96,LN($D$16),$B$28,FALSE),AND($D$19&lt;&gt;"Normal",$D$19&lt;&gt;"Lognormal"),"")</f>
        <v>1.765991260342974E-2</v>
      </c>
      <c r="C96" s="74"/>
      <c r="D96" s="74"/>
      <c r="E96" s="74"/>
      <c r="F96" s="74"/>
      <c r="G96" s="74"/>
      <c r="H96" s="72" cm="1">
        <f t="array" ref="H96">_xlfn.IFS($K$19="normal",H95+$N$19,$K$19="lognormal",EXP(LN(H95)+$N$19),AND($K$19&lt;&gt;"Normal",$K$19&lt;&gt;"Lognormal"),"")</f>
        <v>93.808000000000405</v>
      </c>
      <c r="I96" s="73" cm="1">
        <f t="array" ref="I96">_xlfn.IFS($K$19="normal",_xlfn.NORM.DIST(H96,$K$16,$I$28,FALSE),$K$19="lognormal",_xlfn.LOGNORM.DIST(H96,LN($K$16),$I$28,FALSE),AND($K$19&lt;&gt;"Normal",$K$19&lt;&gt;"Lognormal"),"")</f>
        <v>2.1381956963785085E-3</v>
      </c>
      <c r="J96" s="74"/>
      <c r="K96" s="74"/>
      <c r="L96" s="74"/>
      <c r="M96" s="74"/>
      <c r="N96" s="74"/>
      <c r="O96" s="72" cm="1">
        <f t="array" ref="O96">_xlfn.IFS($R$19="normal",O95+$U$19,$R$19="lognormal",EXP(LN(O95)+$U$19),AND($R$19&lt;&gt;"Normal",$R$19&lt;&gt;"Lognormal"),"")</f>
        <v>5.0659999999999998</v>
      </c>
      <c r="P96" s="73" cm="1">
        <f t="array" ref="P96">_xlfn.IFS($R$19="normal",_xlfn.NORM.DIST(O96,$R$16,$P$28,FALSE),$R$19="lognormal",_xlfn.LOGNORM.DIST(O96,LN($R$16),$P$28,FALSE),AND($R$19&lt;&gt;"Normal",$R$19&lt;&gt;"Lognormal"),"")</f>
        <v>2.9801102518310269E-2</v>
      </c>
      <c r="Q96" s="74"/>
      <c r="R96" s="74"/>
      <c r="S96" s="74"/>
      <c r="T96" s="74"/>
      <c r="U96" s="74"/>
      <c r="V96" s="74"/>
    </row>
    <row r="97" spans="1:22" x14ac:dyDescent="0.25">
      <c r="A97" s="72" cm="1">
        <f t="array" ref="A97">_xlfn.IFS($D$19="normal",A96+$G$19,$D$19="lognormal",EXP(LN(A96)+$G$19),AND($D$19&lt;&gt;"Normal",$D$19&lt;&gt;"Lognormal"),"")</f>
        <v>9.3855000000000324</v>
      </c>
      <c r="B97" s="73" cm="1">
        <f t="array" ref="B97">_xlfn.IFS($D$19="normal",_xlfn.NORM.DIST(A97,$D$16,$B$28,FALSE),$D$19="lognormal",_xlfn.LOGNORM.DIST(A97,LN($D$16),$B$28,FALSE),AND($D$19&lt;&gt;"Normal",$D$19&lt;&gt;"Lognormal"),"")</f>
        <v>1.2759769918905912E-2</v>
      </c>
      <c r="C97" s="74"/>
      <c r="D97" s="74"/>
      <c r="E97" s="74"/>
      <c r="F97" s="74"/>
      <c r="G97" s="74"/>
      <c r="H97" s="72" cm="1">
        <f t="array" ref="H97">_xlfn.IFS($K$19="normal",H96+$N$19,$K$19="lognormal",EXP(LN(H96)+$N$19),AND($K$19&lt;&gt;"Normal",$K$19&lt;&gt;"Lognormal"),"")</f>
        <v>93.919500000000411</v>
      </c>
      <c r="I97" s="73" cm="1">
        <f t="array" ref="I97">_xlfn.IFS($K$19="normal",_xlfn.NORM.DIST(H97,$K$16,$I$28,FALSE),$K$19="lognormal",_xlfn.LOGNORM.DIST(H97,LN($K$16),$I$28,FALSE),AND($K$19&lt;&gt;"Normal",$K$19&lt;&gt;"Lognormal"),"")</f>
        <v>1.5449048780731445E-3</v>
      </c>
      <c r="J97" s="74"/>
      <c r="K97" s="74"/>
      <c r="L97" s="74"/>
      <c r="M97" s="74"/>
      <c r="N97" s="74"/>
      <c r="O97" s="72" cm="1">
        <f t="array" ref="O97">_xlfn.IFS($R$19="normal",O96+$U$19,$R$19="lognormal",EXP(LN(O96)+$U$19),AND($R$19&lt;&gt;"Normal",$R$19&lt;&gt;"Lognormal"),"")</f>
        <v>5.0739999999999998</v>
      </c>
      <c r="P97" s="73" cm="1">
        <f t="array" ref="P97">_xlfn.IFS($R$19="normal",_xlfn.NORM.DIST(O97,$R$16,$P$28,FALSE),$R$19="lognormal",_xlfn.LOGNORM.DIST(O97,LN($R$16),$P$28,FALSE),AND($R$19&lt;&gt;"Normal",$R$19&lt;&gt;"Lognormal"),"")</f>
        <v>2.1532111738170785E-2</v>
      </c>
      <c r="Q97" s="74"/>
      <c r="R97" s="74"/>
      <c r="S97" s="74"/>
      <c r="T97" s="74"/>
      <c r="U97" s="74"/>
      <c r="V97" s="74"/>
    </row>
    <row r="98" spans="1:22" x14ac:dyDescent="0.25">
      <c r="A98" s="72" cm="1">
        <f t="array" ref="A98">_xlfn.IFS($D$19="normal",A97+$G$19,$D$19="lognormal",EXP(LN(A97)+$G$19),AND($D$19&lt;&gt;"Normal",$D$19&lt;&gt;"Lognormal"),"")</f>
        <v>9.3990000000000329</v>
      </c>
      <c r="B98" s="73" cm="1">
        <f t="array" ref="B98">_xlfn.IFS($D$19="normal",_xlfn.NORM.DIST(A98,$D$16,$B$28,FALSE),$D$19="lognormal",_xlfn.LOGNORM.DIST(A98,LN($D$16),$B$28,FALSE),AND($D$19&lt;&gt;"Normal",$D$19&lt;&gt;"Lognormal"),"")</f>
        <v>9.1275493960887733E-3</v>
      </c>
      <c r="C98" s="74"/>
      <c r="D98" s="74"/>
      <c r="E98" s="74"/>
      <c r="F98" s="74"/>
      <c r="G98" s="74"/>
      <c r="H98" s="72" cm="1">
        <f t="array" ref="H98">_xlfn.IFS($K$19="normal",H97+$N$19,$K$19="lognormal",EXP(LN(H97)+$N$19),AND($K$19&lt;&gt;"Normal",$K$19&lt;&gt;"Lognormal"),"")</f>
        <v>94.031000000000418</v>
      </c>
      <c r="I98" s="73" cm="1">
        <f t="array" ref="I98">_xlfn.IFS($K$19="normal",_xlfn.NORM.DIST(H98,$K$16,$I$28,FALSE),$K$19="lognormal",_xlfn.LOGNORM.DIST(H98,LN($K$16),$I$28,FALSE),AND($K$19&lt;&gt;"Normal",$K$19&lt;&gt;"Lognormal"),"")</f>
        <v>1.1051292990775143E-3</v>
      </c>
      <c r="J98" s="74"/>
      <c r="K98" s="74"/>
      <c r="L98" s="74"/>
      <c r="M98" s="74"/>
      <c r="N98" s="74"/>
      <c r="O98" s="72" cm="1">
        <f t="array" ref="O98">_xlfn.IFS($R$19="normal",O97+$U$19,$R$19="lognormal",EXP(LN(O97)+$U$19),AND($R$19&lt;&gt;"Normal",$R$19&lt;&gt;"Lognormal"),"")</f>
        <v>5.0819999999999999</v>
      </c>
      <c r="P98" s="73" cm="1">
        <f t="array" ref="P98">_xlfn.IFS($R$19="normal",_xlfn.NORM.DIST(O98,$R$16,$P$28,FALSE),$R$19="lognormal",_xlfn.LOGNORM.DIST(O98,LN($R$16),$P$28,FALSE),AND($R$19&lt;&gt;"Normal",$R$19&lt;&gt;"Lognormal"),"")</f>
        <v>1.5402739605912583E-2</v>
      </c>
      <c r="Q98" s="74"/>
      <c r="R98" s="74"/>
      <c r="S98" s="74"/>
      <c r="T98" s="74"/>
      <c r="U98" s="74"/>
      <c r="V98" s="74"/>
    </row>
    <row r="101" spans="1:22" x14ac:dyDescent="0.25">
      <c r="C101" s="75"/>
    </row>
    <row r="102" spans="1:22" x14ac:dyDescent="0.25">
      <c r="C102" s="75"/>
    </row>
  </sheetData>
  <sheetProtection algorithmName="SHA-512" hashValue="P3iVWCh3CJCAvn1h1P8xX6aOgqcuW6aip8q5EE517wnLFCx6hdoMOnSkRJuONrqEE6+jjpNnY1XNmEmxfveIqQ==" saltValue="UKw4GIv9ImJmQ9bSYXOc9A==" spinCount="100000" sheet="1" objects="1" scenarios="1" selectLockedCells="1"/>
  <mergeCells count="82">
    <mergeCell ref="I23:J23"/>
    <mergeCell ref="B23:C23"/>
    <mergeCell ref="B11:G11"/>
    <mergeCell ref="I11:N11"/>
    <mergeCell ref="P11:U11"/>
    <mergeCell ref="B12:D12"/>
    <mergeCell ref="E12:G12"/>
    <mergeCell ref="I12:K12"/>
    <mergeCell ref="L12:N12"/>
    <mergeCell ref="P12:R12"/>
    <mergeCell ref="S12:U12"/>
    <mergeCell ref="S14:T14"/>
    <mergeCell ref="B13:C13"/>
    <mergeCell ref="E13:F13"/>
    <mergeCell ref="I13:J13"/>
    <mergeCell ref="L13:M13"/>
    <mergeCell ref="P13:Q13"/>
    <mergeCell ref="S13:T13"/>
    <mergeCell ref="B14:C14"/>
    <mergeCell ref="E14:F14"/>
    <mergeCell ref="I14:J14"/>
    <mergeCell ref="L14:M14"/>
    <mergeCell ref="P14:Q14"/>
    <mergeCell ref="S16:T16"/>
    <mergeCell ref="B15:C15"/>
    <mergeCell ref="E15:F15"/>
    <mergeCell ref="I15:J15"/>
    <mergeCell ref="L15:M15"/>
    <mergeCell ref="P15:Q15"/>
    <mergeCell ref="S15:T15"/>
    <mergeCell ref="B16:C16"/>
    <mergeCell ref="E16:F16"/>
    <mergeCell ref="I16:J16"/>
    <mergeCell ref="L16:M16"/>
    <mergeCell ref="P16:Q16"/>
    <mergeCell ref="S18:T18"/>
    <mergeCell ref="B17:C17"/>
    <mergeCell ref="E17:F17"/>
    <mergeCell ref="I17:J17"/>
    <mergeCell ref="L17:M17"/>
    <mergeCell ref="P17:Q17"/>
    <mergeCell ref="S17:T17"/>
    <mergeCell ref="B18:C18"/>
    <mergeCell ref="E18:F18"/>
    <mergeCell ref="I18:J18"/>
    <mergeCell ref="L18:M18"/>
    <mergeCell ref="P18:Q18"/>
    <mergeCell ref="S20:T20"/>
    <mergeCell ref="B19:C19"/>
    <mergeCell ref="E19:F19"/>
    <mergeCell ref="I19:J19"/>
    <mergeCell ref="L19:M19"/>
    <mergeCell ref="P19:Q19"/>
    <mergeCell ref="S19:T19"/>
    <mergeCell ref="B20:C20"/>
    <mergeCell ref="E20:F20"/>
    <mergeCell ref="I20:J20"/>
    <mergeCell ref="L20:M20"/>
    <mergeCell ref="P20:Q20"/>
    <mergeCell ref="B24:G24"/>
    <mergeCell ref="I24:N24"/>
    <mergeCell ref="P24:U24"/>
    <mergeCell ref="B21:G21"/>
    <mergeCell ref="I21:N21"/>
    <mergeCell ref="P21:U21"/>
    <mergeCell ref="E22:F23"/>
    <mergeCell ref="G22:G23"/>
    <mergeCell ref="L22:M23"/>
    <mergeCell ref="N22:N23"/>
    <mergeCell ref="S22:T23"/>
    <mergeCell ref="U22:U23"/>
    <mergeCell ref="P22:Q22"/>
    <mergeCell ref="I22:J22"/>
    <mergeCell ref="B22:C22"/>
    <mergeCell ref="P23:Q23"/>
    <mergeCell ref="D1:U3"/>
    <mergeCell ref="L9:N9"/>
    <mergeCell ref="L10:N10"/>
    <mergeCell ref="S9:U9"/>
    <mergeCell ref="S10:U10"/>
    <mergeCell ref="E9:G9"/>
    <mergeCell ref="E10:G10"/>
  </mergeCells>
  <conditionalFormatting sqref="D9">
    <cfRule type="expression" dxfId="21" priority="17">
      <formula>AND($E$10="lognormal")</formula>
    </cfRule>
  </conditionalFormatting>
  <conditionalFormatting sqref="D16">
    <cfRule type="cellIs" dxfId="20" priority="20" operator="equal">
      <formula>0</formula>
    </cfRule>
  </conditionalFormatting>
  <conditionalFormatting sqref="D19">
    <cfRule type="cellIs" dxfId="19" priority="19" operator="equal">
      <formula>0</formula>
    </cfRule>
  </conditionalFormatting>
  <conditionalFormatting sqref="R22 D22 K22">
    <cfRule type="expression" dxfId="18" priority="24">
      <formula>EXACT(G22,"Conforme")</formula>
    </cfRule>
    <cfRule type="expression" dxfId="17" priority="25">
      <formula>EXACT(G22,"No conforme")</formula>
    </cfRule>
  </conditionalFormatting>
  <conditionalFormatting sqref="E16:G16">
    <cfRule type="expression" dxfId="16" priority="23">
      <formula>AND($D$19="lognormal")</formula>
    </cfRule>
  </conditionalFormatting>
  <conditionalFormatting sqref="G22 N22 U22">
    <cfRule type="cellIs" dxfId="15" priority="27" operator="equal">
      <formula>"Conforme con riesgo de afectación ambiental"</formula>
    </cfRule>
    <cfRule type="cellIs" dxfId="14" priority="28" operator="equal">
      <formula>"Conforme"</formula>
    </cfRule>
    <cfRule type="cellIs" dxfId="13" priority="29" operator="equal">
      <formula>"No conforme"</formula>
    </cfRule>
  </conditionalFormatting>
  <conditionalFormatting sqref="K9">
    <cfRule type="expression" dxfId="12" priority="15">
      <formula>AND($L$10="lognormal")</formula>
    </cfRule>
  </conditionalFormatting>
  <conditionalFormatting sqref="K16">
    <cfRule type="cellIs" dxfId="11" priority="12" operator="equal">
      <formula>0</formula>
    </cfRule>
  </conditionalFormatting>
  <conditionalFormatting sqref="K19">
    <cfRule type="cellIs" dxfId="10" priority="11" operator="equal">
      <formula>0</formula>
    </cfRule>
  </conditionalFormatting>
  <conditionalFormatting sqref="R22 D22 K22">
    <cfRule type="expression" dxfId="9" priority="26">
      <formula>EXACT(G22,"Conforme con riesgo de afectación ambiental")</formula>
    </cfRule>
  </conditionalFormatting>
  <conditionalFormatting sqref="N16">
    <cfRule type="expression" dxfId="8" priority="22">
      <formula>AND($K$19="lognormal")</formula>
    </cfRule>
  </conditionalFormatting>
  <conditionalFormatting sqref="R9">
    <cfRule type="expression" dxfId="7" priority="13">
      <formula>AND($S$10="lognormal")</formula>
    </cfRule>
  </conditionalFormatting>
  <conditionalFormatting sqref="R16">
    <cfRule type="cellIs" dxfId="6" priority="10" operator="equal">
      <formula>0</formula>
    </cfRule>
  </conditionalFormatting>
  <conditionalFormatting sqref="R19">
    <cfRule type="cellIs" dxfId="5" priority="9" operator="equal">
      <formula>0</formula>
    </cfRule>
  </conditionalFormatting>
  <conditionalFormatting sqref="S16:U16">
    <cfRule type="expression" dxfId="4" priority="21">
      <formula>AND($R$19="Lognormal")</formula>
    </cfRule>
  </conditionalFormatting>
  <conditionalFormatting sqref="D23 K23 R23">
    <cfRule type="expression" dxfId="3" priority="4">
      <formula>EXACT(G22,"Conforme")</formula>
    </cfRule>
    <cfRule type="expression" dxfId="2" priority="3">
      <formula>EXACT(G22,"No conforme")</formula>
    </cfRule>
    <cfRule type="expression" dxfId="1" priority="2">
      <formula>EXACT(G22,"Conforme con riesgo de afectación ambiental")</formula>
    </cfRule>
  </conditionalFormatting>
  <conditionalFormatting sqref="L16:M16">
    <cfRule type="expression" dxfId="0" priority="1">
      <formula>AND($R$19="Lognormal")</formula>
    </cfRule>
  </conditionalFormatting>
  <dataValidations count="5">
    <dataValidation type="list" allowBlank="1" showInputMessage="1" showErrorMessage="1" sqref="D13 K13 R13" xr:uid="{85564D49-726F-4C8A-A9E2-B1B2DB905B27}">
      <formula1>"6 Sigma,3 Sigma,Cornare,Regla ILAC G8:2009,ISO 14253-1:2017,Aceptación Simple,No critico"</formula1>
    </dataValidation>
    <dataValidation type="list" allowBlank="1" showInputMessage="1" showErrorMessage="1" sqref="D19 S10 K19 E10 L10 R19" xr:uid="{C8C3C330-7485-4061-9E3D-9011EC5508AF}">
      <formula1>"Normal,Lognormal"</formula1>
    </dataValidation>
    <dataValidation type="custom" allowBlank="1" showInputMessage="1" showErrorMessage="1" sqref="K14" xr:uid="{AD81CC19-36E4-4711-B682-B55A98BC11FE}">
      <formula1>XEY9&gt;0</formula1>
    </dataValidation>
    <dataValidation type="custom" allowBlank="1" showInputMessage="1" showErrorMessage="1" sqref="B10:C10 R15 I10:J10 D15 P10:Q10" xr:uid="{9AD83021-29DF-480B-8640-D1C8EA0B45A0}">
      <formula1>B10&gt;0</formula1>
    </dataValidation>
    <dataValidation type="custom" allowBlank="1" showInputMessage="1" showErrorMessage="1" sqref="D14" xr:uid="{8396E485-38B1-4182-A0FC-B27631C2BE43}">
      <formula1>AND(D14&gt;0,D14&gt;D15)</formula1>
    </dataValidation>
  </dataValidations>
  <pageMargins left="0.7" right="0.7" top="0.75" bottom="0.75" header="0.3" footer="0.3"/>
  <pageSetup paperSize="120" scale="29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Descripción grafica</vt:lpstr>
      <vt:lpstr>Descripción grafica RD</vt:lpstr>
      <vt:lpstr>'Descripción grafica'!Área_de_impresión</vt:lpstr>
      <vt:lpstr>'Descripción grafica RD'!Área_de_impresión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Daniel Tejada Ortiz</dc:creator>
  <cp:keywords/>
  <dc:description/>
  <cp:lastModifiedBy>Luis Daniel Tejada Ortiz</cp:lastModifiedBy>
  <cp:revision/>
  <cp:lastPrinted>2024-06-13T06:10:35Z</cp:lastPrinted>
  <dcterms:created xsi:type="dcterms:W3CDTF">2023-03-04T16:09:47Z</dcterms:created>
  <dcterms:modified xsi:type="dcterms:W3CDTF">2024-06-18T01:03:55Z</dcterms:modified>
  <cp:category/>
  <cp:contentStatus/>
</cp:coreProperties>
</file>