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lan\Desktop\UdeA 2021-1 Practica\Proyecto de practica\01. Informes\02. Informe Final\01. Informe\Archivo_Repositorio\"/>
    </mc:Choice>
  </mc:AlternateContent>
  <xr:revisionPtr revIDLastSave="0" documentId="8_{CC3DC4E7-D88E-47B7-9C86-55BA2A366815}" xr6:coauthVersionLast="47" xr6:coauthVersionMax="47" xr10:uidLastSave="{00000000-0000-0000-0000-000000000000}"/>
  <bookViews>
    <workbookView xWindow="-108" yWindow="-108" windowWidth="23256" windowHeight="12576" xr2:uid="{ACBFB639-2E53-4D8C-A891-B81B59F6DC5F}"/>
  </bookViews>
  <sheets>
    <sheet name="RefuerzoTalon_Empresa" sheetId="8" r:id="rId1"/>
    <sheet name="Refuerzo Viga Cabezal_Empresa" sheetId="7" r:id="rId2"/>
    <sheet name="RefuerzoPilotes_Empresa" sheetId="6" r:id="rId3"/>
    <sheet name="AceroTalon_CCP-14" sheetId="5" r:id="rId4"/>
    <sheet name="Acero Pantalla_CCP-14" sheetId="4" r:id="rId5"/>
    <sheet name="Refuerzo Viga Cabezal_CCP-14" sheetId="3" r:id="rId6"/>
    <sheet name="RefuerzoPilotes_CCP-14" sheetId="2" r:id="rId7"/>
    <sheet name="Hoja1" sheetId="1" r:id="rId8"/>
  </sheets>
  <externalReferences>
    <externalReference r:id="rId9"/>
    <externalReference r:id="rId10"/>
    <externalReference r:id="rId11"/>
    <externalReference r:id="rId12"/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2" i="8" l="1"/>
  <c r="C140" i="8"/>
  <c r="C90" i="8"/>
  <c r="D25" i="8"/>
  <c r="D26" i="8" s="1"/>
  <c r="G27" i="8" s="1"/>
  <c r="J15" i="8"/>
  <c r="D12" i="8"/>
  <c r="D14" i="8" s="1"/>
  <c r="I15" i="8" s="1"/>
  <c r="D15" i="8" s="1"/>
  <c r="D11" i="8"/>
  <c r="D19" i="8" l="1"/>
  <c r="D18" i="8"/>
  <c r="B130" i="7" l="1"/>
  <c r="B129" i="7"/>
  <c r="G128" i="7"/>
  <c r="B128" i="7"/>
  <c r="G127" i="7"/>
  <c r="B127" i="7"/>
  <c r="B125" i="7"/>
  <c r="B124" i="7"/>
  <c r="G123" i="7"/>
  <c r="B123" i="7"/>
  <c r="G122" i="7"/>
  <c r="B122" i="7"/>
  <c r="B115" i="7"/>
  <c r="B111" i="7"/>
  <c r="B112" i="7" s="1"/>
  <c r="B110" i="7"/>
  <c r="B108" i="7"/>
  <c r="B109" i="7" s="1"/>
  <c r="D109" i="7" s="1"/>
  <c r="B96" i="7"/>
  <c r="D96" i="7" s="1"/>
  <c r="H95" i="7"/>
  <c r="B95" i="7"/>
  <c r="B94" i="7"/>
  <c r="B93" i="7"/>
  <c r="D93" i="7" s="1"/>
  <c r="H92" i="7"/>
  <c r="H93" i="7" s="1"/>
  <c r="E90" i="7"/>
  <c r="K89" i="7"/>
  <c r="K90" i="7" s="1"/>
  <c r="E89" i="7"/>
  <c r="H84" i="7"/>
  <c r="H87" i="7" s="1"/>
  <c r="B84" i="7"/>
  <c r="B87" i="7" s="1"/>
  <c r="H83" i="7"/>
  <c r="B81" i="7"/>
  <c r="H85" i="7" s="1"/>
  <c r="B77" i="7"/>
  <c r="B85" i="7" s="1"/>
  <c r="B75" i="7"/>
  <c r="B69" i="7"/>
  <c r="H67" i="7"/>
  <c r="B65" i="7"/>
  <c r="H60" i="7"/>
  <c r="H58" i="7"/>
  <c r="B58" i="7"/>
  <c r="H57" i="7"/>
  <c r="H59" i="7" s="1"/>
  <c r="H61" i="7" s="1"/>
  <c r="H62" i="7" s="1"/>
  <c r="H55" i="7"/>
  <c r="H54" i="7"/>
  <c r="H56" i="7" s="1"/>
  <c r="C53" i="7"/>
  <c r="B49" i="7"/>
  <c r="H41" i="7"/>
  <c r="H45" i="7" s="1"/>
  <c r="J45" i="7" s="1"/>
  <c r="H38" i="7"/>
  <c r="J38" i="7" s="1"/>
  <c r="B38" i="7"/>
  <c r="D38" i="7" s="1"/>
  <c r="H37" i="7"/>
  <c r="B37" i="7"/>
  <c r="H36" i="7"/>
  <c r="H35" i="7"/>
  <c r="B35" i="7"/>
  <c r="E33" i="7"/>
  <c r="E34" i="7" s="1"/>
  <c r="H26" i="7"/>
  <c r="B26" i="7"/>
  <c r="B25" i="7"/>
  <c r="B23" i="7"/>
  <c r="B64" i="7" s="1"/>
  <c r="B20" i="7"/>
  <c r="H25" i="7" s="1"/>
  <c r="B14" i="7"/>
  <c r="H24" i="7" s="1"/>
  <c r="B9" i="7"/>
  <c r="U4" i="7"/>
  <c r="T4" i="7"/>
  <c r="S4" i="7"/>
  <c r="R4" i="7"/>
  <c r="Q4" i="7"/>
  <c r="P4" i="7"/>
  <c r="U3" i="7"/>
  <c r="T3" i="7"/>
  <c r="S3" i="7"/>
  <c r="R3" i="7"/>
  <c r="Q3" i="7"/>
  <c r="P3" i="7"/>
  <c r="J35" i="7" l="1"/>
  <c r="H63" i="7"/>
  <c r="H68" i="7"/>
  <c r="E57" i="7"/>
  <c r="B116" i="7"/>
  <c r="J93" i="7"/>
  <c r="H99" i="7"/>
  <c r="H100" i="7" s="1"/>
  <c r="H103" i="7"/>
  <c r="J103" i="7" s="1"/>
  <c r="H94" i="7"/>
  <c r="B82" i="7"/>
  <c r="B86" i="7" s="1"/>
  <c r="B88" i="7" s="1"/>
  <c r="B89" i="7" s="1"/>
  <c r="B91" i="7" s="1"/>
  <c r="H96" i="7"/>
  <c r="D35" i="7"/>
  <c r="D37" i="7"/>
  <c r="H82" i="7"/>
  <c r="H86" i="7" s="1"/>
  <c r="H88" i="7" s="1"/>
  <c r="H89" i="7" s="1"/>
  <c r="H91" i="7" s="1"/>
  <c r="B27" i="7"/>
  <c r="B29" i="7" s="1"/>
  <c r="B53" i="7"/>
  <c r="B55" i="7" s="1"/>
  <c r="B56" i="7" s="1"/>
  <c r="B62" i="7"/>
  <c r="B63" i="7" s="1"/>
  <c r="D63" i="7" s="1"/>
  <c r="B83" i="7"/>
  <c r="B99" i="7"/>
  <c r="H23" i="7"/>
  <c r="H27" i="7"/>
  <c r="H29" i="7" s="1"/>
  <c r="J37" i="7"/>
  <c r="H42" i="7"/>
  <c r="H43" i="7" s="1"/>
  <c r="J43" i="7" s="1"/>
  <c r="D95" i="7"/>
  <c r="B41" i="7"/>
  <c r="B42" i="7" s="1"/>
  <c r="B24" i="7"/>
  <c r="B28" i="7"/>
  <c r="B36" i="7"/>
  <c r="H28" i="7"/>
  <c r="Q91" i="7"/>
  <c r="D94" i="7" l="1"/>
  <c r="G129" i="7"/>
  <c r="D116" i="7"/>
  <c r="B45" i="7"/>
  <c r="D45" i="7" s="1"/>
  <c r="H44" i="7"/>
  <c r="J44" i="7" s="1"/>
  <c r="B66" i="7"/>
  <c r="B70" i="7" s="1"/>
  <c r="H30" i="7"/>
  <c r="J94" i="7"/>
  <c r="D36" i="7"/>
  <c r="B30" i="7"/>
  <c r="B31" i="7" s="1"/>
  <c r="B103" i="7"/>
  <c r="D103" i="7" s="1"/>
  <c r="B100" i="7"/>
  <c r="H102" i="7"/>
  <c r="J102" i="7" s="1"/>
  <c r="H101" i="7"/>
  <c r="J101" i="7" s="1"/>
  <c r="B43" i="7"/>
  <c r="D43" i="7" s="1"/>
  <c r="B44" i="7"/>
  <c r="D44" i="7" s="1"/>
  <c r="D92" i="7"/>
  <c r="J92" i="7"/>
  <c r="H70" i="7"/>
  <c r="H65" i="7"/>
  <c r="J95" i="7"/>
  <c r="J96" i="7"/>
  <c r="J55" i="7"/>
  <c r="D56" i="7" s="1"/>
  <c r="D122" i="7" l="1"/>
  <c r="D124" i="7"/>
  <c r="D123" i="7"/>
  <c r="H31" i="7"/>
  <c r="H33" i="7" s="1"/>
  <c r="J36" i="7"/>
  <c r="H72" i="7"/>
  <c r="G124" i="7"/>
  <c r="J122" i="7" s="1"/>
  <c r="H71" i="7"/>
  <c r="D70" i="7"/>
  <c r="H69" i="7"/>
  <c r="J69" i="7" s="1"/>
  <c r="B101" i="7"/>
  <c r="D101" i="7" s="1"/>
  <c r="B102" i="7"/>
  <c r="D102" i="7" s="1"/>
  <c r="D129" i="7"/>
  <c r="D128" i="7"/>
  <c r="D127" i="7"/>
  <c r="B33" i="7"/>
  <c r="B50" i="7"/>
  <c r="D130" i="7" l="1"/>
  <c r="D125" i="7"/>
  <c r="AC1011" i="6" l="1"/>
  <c r="AD1011" i="6" s="1"/>
  <c r="AB1011" i="6"/>
  <c r="Z1011" i="6"/>
  <c r="U1011" i="6"/>
  <c r="R1011" i="6"/>
  <c r="O1011" i="6"/>
  <c r="S1011" i="6" s="1"/>
  <c r="H1011" i="6"/>
  <c r="N1011" i="6" s="1"/>
  <c r="AC1010" i="6"/>
  <c r="AD1010" i="6" s="1"/>
  <c r="AB1010" i="6"/>
  <c r="Z1010" i="6"/>
  <c r="U1010" i="6"/>
  <c r="R1010" i="6"/>
  <c r="O1010" i="6"/>
  <c r="S1010" i="6" s="1"/>
  <c r="H1010" i="6"/>
  <c r="N1010" i="6" s="1"/>
  <c r="AC1009" i="6"/>
  <c r="AD1009" i="6" s="1"/>
  <c r="AB1009" i="6"/>
  <c r="Z1009" i="6"/>
  <c r="U1009" i="6"/>
  <c r="R1009" i="6"/>
  <c r="S1009" i="6" s="1"/>
  <c r="O1009" i="6"/>
  <c r="H1009" i="6"/>
  <c r="N1009" i="6" s="1"/>
  <c r="AB1008" i="6"/>
  <c r="Z1008" i="6"/>
  <c r="AC1008" i="6" s="1"/>
  <c r="AD1008" i="6" s="1"/>
  <c r="U1008" i="6"/>
  <c r="R1008" i="6"/>
  <c r="O1008" i="6"/>
  <c r="S1008" i="6" s="1"/>
  <c r="N1008" i="6"/>
  <c r="H1008" i="6"/>
  <c r="AB1007" i="6"/>
  <c r="Z1007" i="6"/>
  <c r="AC1007" i="6" s="1"/>
  <c r="AD1007" i="6" s="1"/>
  <c r="U1007" i="6"/>
  <c r="S1007" i="6"/>
  <c r="R1007" i="6"/>
  <c r="O1007" i="6"/>
  <c r="N1007" i="6"/>
  <c r="H1007" i="6"/>
  <c r="AD1006" i="6"/>
  <c r="AB1006" i="6"/>
  <c r="Z1006" i="6"/>
  <c r="AC1006" i="6" s="1"/>
  <c r="U1006" i="6"/>
  <c r="S1006" i="6"/>
  <c r="R1006" i="6"/>
  <c r="O1006" i="6"/>
  <c r="N1006" i="6"/>
  <c r="H1006" i="6"/>
  <c r="AC1005" i="6"/>
  <c r="AB1005" i="6"/>
  <c r="AD1005" i="6" s="1"/>
  <c r="Z1005" i="6"/>
  <c r="U1005" i="6"/>
  <c r="S1005" i="6"/>
  <c r="R1005" i="6"/>
  <c r="O1005" i="6"/>
  <c r="N1005" i="6"/>
  <c r="H1005" i="6"/>
  <c r="AB1004" i="6"/>
  <c r="Z1004" i="6"/>
  <c r="AC1004" i="6" s="1"/>
  <c r="AD1004" i="6" s="1"/>
  <c r="U1004" i="6"/>
  <c r="R1004" i="6"/>
  <c r="O1004" i="6"/>
  <c r="S1004" i="6" s="1"/>
  <c r="N1004" i="6"/>
  <c r="H1004" i="6"/>
  <c r="AC1003" i="6"/>
  <c r="AD1003" i="6" s="1"/>
  <c r="AB1003" i="6"/>
  <c r="Z1003" i="6"/>
  <c r="U1003" i="6"/>
  <c r="R1003" i="6"/>
  <c r="O1003" i="6"/>
  <c r="S1003" i="6" s="1"/>
  <c r="H1003" i="6"/>
  <c r="N1003" i="6" s="1"/>
  <c r="AC1002" i="6"/>
  <c r="AD1002" i="6" s="1"/>
  <c r="AB1002" i="6"/>
  <c r="Z1002" i="6"/>
  <c r="U1002" i="6"/>
  <c r="R1002" i="6"/>
  <c r="O1002" i="6"/>
  <c r="S1002" i="6" s="1"/>
  <c r="H1002" i="6"/>
  <c r="N1002" i="6" s="1"/>
  <c r="AC1001" i="6"/>
  <c r="AD1001" i="6" s="1"/>
  <c r="AB1001" i="6"/>
  <c r="Z1001" i="6"/>
  <c r="U1001" i="6"/>
  <c r="R1001" i="6"/>
  <c r="S1001" i="6" s="1"/>
  <c r="O1001" i="6"/>
  <c r="H1001" i="6"/>
  <c r="N1001" i="6" s="1"/>
  <c r="AB1000" i="6"/>
  <c r="Z1000" i="6"/>
  <c r="AC1000" i="6" s="1"/>
  <c r="AD1000" i="6" s="1"/>
  <c r="U1000" i="6"/>
  <c r="R1000" i="6"/>
  <c r="O1000" i="6"/>
  <c r="S1000" i="6" s="1"/>
  <c r="N1000" i="6"/>
  <c r="H1000" i="6"/>
  <c r="AB999" i="6"/>
  <c r="Z999" i="6"/>
  <c r="AC999" i="6" s="1"/>
  <c r="AD999" i="6" s="1"/>
  <c r="U999" i="6"/>
  <c r="S999" i="6"/>
  <c r="R999" i="6"/>
  <c r="O999" i="6"/>
  <c r="N999" i="6"/>
  <c r="H999" i="6"/>
  <c r="AB998" i="6"/>
  <c r="Z998" i="6"/>
  <c r="AC998" i="6" s="1"/>
  <c r="AD998" i="6" s="1"/>
  <c r="U998" i="6"/>
  <c r="S998" i="6"/>
  <c r="R998" i="6"/>
  <c r="O998" i="6"/>
  <c r="N998" i="6"/>
  <c r="H998" i="6"/>
  <c r="AC997" i="6"/>
  <c r="AB997" i="6"/>
  <c r="AD997" i="6" s="1"/>
  <c r="Z997" i="6"/>
  <c r="U997" i="6"/>
  <c r="S997" i="6"/>
  <c r="R997" i="6"/>
  <c r="O997" i="6"/>
  <c r="N997" i="6"/>
  <c r="H997" i="6"/>
  <c r="AO996" i="6"/>
  <c r="AL996" i="6"/>
  <c r="AI996" i="6"/>
  <c r="AJ996" i="6" s="1"/>
  <c r="AM996" i="6" s="1"/>
  <c r="AN996" i="6" s="1"/>
  <c r="AH996" i="6"/>
  <c r="AG996" i="6"/>
  <c r="AD996" i="6"/>
  <c r="AB996" i="6"/>
  <c r="Z996" i="6"/>
  <c r="AC996" i="6" s="1"/>
  <c r="U996" i="6"/>
  <c r="S996" i="6"/>
  <c r="R996" i="6"/>
  <c r="O996" i="6"/>
  <c r="N996" i="6"/>
  <c r="H996" i="6"/>
  <c r="AO995" i="6"/>
  <c r="AL995" i="6"/>
  <c r="AI995" i="6"/>
  <c r="AJ995" i="6" s="1"/>
  <c r="AH995" i="6"/>
  <c r="AG995" i="6"/>
  <c r="AB995" i="6"/>
  <c r="Z995" i="6"/>
  <c r="AC995" i="6" s="1"/>
  <c r="AD995" i="6" s="1"/>
  <c r="U995" i="6"/>
  <c r="S995" i="6"/>
  <c r="R995" i="6"/>
  <c r="O995" i="6"/>
  <c r="N995" i="6"/>
  <c r="H995" i="6"/>
  <c r="AI994" i="6"/>
  <c r="AJ994" i="6" s="1"/>
  <c r="AH994" i="6"/>
  <c r="AG994" i="6"/>
  <c r="AB994" i="6"/>
  <c r="Z994" i="6"/>
  <c r="AC994" i="6" s="1"/>
  <c r="AD994" i="6" s="1"/>
  <c r="U994" i="6"/>
  <c r="R994" i="6"/>
  <c r="O994" i="6"/>
  <c r="S994" i="6" s="1"/>
  <c r="N994" i="6"/>
  <c r="H994" i="6"/>
  <c r="AJ993" i="6"/>
  <c r="AM993" i="6" s="1"/>
  <c r="AN993" i="6" s="1"/>
  <c r="AP993" i="6" s="1"/>
  <c r="AI993" i="6"/>
  <c r="AH993" i="6"/>
  <c r="AO993" i="6" s="1"/>
  <c r="AG993" i="6"/>
  <c r="AC993" i="6"/>
  <c r="AD993" i="6" s="1"/>
  <c r="AB993" i="6"/>
  <c r="Z993" i="6"/>
  <c r="U993" i="6"/>
  <c r="R993" i="6"/>
  <c r="S993" i="6" s="1"/>
  <c r="O993" i="6"/>
  <c r="H993" i="6"/>
  <c r="AJ992" i="6"/>
  <c r="AI992" i="6"/>
  <c r="AH992" i="6"/>
  <c r="AO992" i="6" s="1"/>
  <c r="AG992" i="6"/>
  <c r="AM992" i="6" s="1"/>
  <c r="AN992" i="6" s="1"/>
  <c r="AP992" i="6" s="1"/>
  <c r="AC992" i="6"/>
  <c r="AD992" i="6" s="1"/>
  <c r="AB992" i="6"/>
  <c r="Z992" i="6"/>
  <c r="U992" i="6"/>
  <c r="R992" i="6"/>
  <c r="O992" i="6"/>
  <c r="S992" i="6" s="1"/>
  <c r="H992" i="6"/>
  <c r="N992" i="6" s="1"/>
  <c r="AJ991" i="6"/>
  <c r="AI991" i="6"/>
  <c r="AH991" i="6"/>
  <c r="AG991" i="6"/>
  <c r="AC991" i="6"/>
  <c r="AD991" i="6" s="1"/>
  <c r="AB991" i="6"/>
  <c r="Z991" i="6"/>
  <c r="U991" i="6"/>
  <c r="R991" i="6"/>
  <c r="O991" i="6"/>
  <c r="S991" i="6" s="1"/>
  <c r="H991" i="6"/>
  <c r="N991" i="6" s="1"/>
  <c r="AM990" i="6"/>
  <c r="AN990" i="6" s="1"/>
  <c r="AL990" i="6"/>
  <c r="AJ990" i="6"/>
  <c r="AI990" i="6"/>
  <c r="AH990" i="6"/>
  <c r="AO990" i="6" s="1"/>
  <c r="AG990" i="6"/>
  <c r="AB990" i="6"/>
  <c r="Z990" i="6"/>
  <c r="AC990" i="6" s="1"/>
  <c r="AD990" i="6" s="1"/>
  <c r="U990" i="6"/>
  <c r="R990" i="6"/>
  <c r="O990" i="6"/>
  <c r="S990" i="6" s="1"/>
  <c r="H990" i="6"/>
  <c r="N990" i="6" s="1"/>
  <c r="F990" i="6"/>
  <c r="F991" i="6" s="1"/>
  <c r="F992" i="6" s="1"/>
  <c r="F993" i="6" s="1"/>
  <c r="F994" i="6" s="1"/>
  <c r="F995" i="6" s="1"/>
  <c r="F996" i="6" s="1"/>
  <c r="F997" i="6" s="1"/>
  <c r="F998" i="6" s="1"/>
  <c r="F999" i="6" s="1"/>
  <c r="F1000" i="6" s="1"/>
  <c r="F1001" i="6" s="1"/>
  <c r="F1002" i="6" s="1"/>
  <c r="F1003" i="6" s="1"/>
  <c r="F1004" i="6" s="1"/>
  <c r="F1005" i="6" s="1"/>
  <c r="F1006" i="6" s="1"/>
  <c r="F1007" i="6" s="1"/>
  <c r="F1008" i="6" s="1"/>
  <c r="F1009" i="6" s="1"/>
  <c r="F1010" i="6" s="1"/>
  <c r="F1011" i="6" s="1"/>
  <c r="AI989" i="6"/>
  <c r="AJ989" i="6" s="1"/>
  <c r="AM989" i="6" s="1"/>
  <c r="AN989" i="6" s="1"/>
  <c r="AH989" i="6"/>
  <c r="AG989" i="6"/>
  <c r="AO989" i="6" s="1"/>
  <c r="AC989" i="6"/>
  <c r="AB989" i="6"/>
  <c r="AD989" i="6" s="1"/>
  <c r="Z989" i="6"/>
  <c r="U989" i="6"/>
  <c r="S989" i="6"/>
  <c r="R989" i="6"/>
  <c r="O989" i="6"/>
  <c r="N989" i="6"/>
  <c r="H989" i="6"/>
  <c r="AL989" i="6" s="1"/>
  <c r="F989" i="6"/>
  <c r="AB988" i="6"/>
  <c r="Z988" i="6"/>
  <c r="AC988" i="6" s="1"/>
  <c r="U988" i="6"/>
  <c r="R988" i="6"/>
  <c r="O988" i="6"/>
  <c r="S988" i="6" s="1"/>
  <c r="H988" i="6"/>
  <c r="N988" i="6" s="1"/>
  <c r="AC987" i="6"/>
  <c r="AD987" i="6" s="1"/>
  <c r="AB987" i="6"/>
  <c r="Z987" i="6"/>
  <c r="U987" i="6"/>
  <c r="R987" i="6"/>
  <c r="O987" i="6"/>
  <c r="S987" i="6" s="1"/>
  <c r="H987" i="6"/>
  <c r="N987" i="6" s="1"/>
  <c r="AC986" i="6"/>
  <c r="AD986" i="6" s="1"/>
  <c r="AB986" i="6"/>
  <c r="Z986" i="6"/>
  <c r="U986" i="6"/>
  <c r="R986" i="6"/>
  <c r="O986" i="6"/>
  <c r="S986" i="6" s="1"/>
  <c r="H986" i="6"/>
  <c r="N986" i="6" s="1"/>
  <c r="AC985" i="6"/>
  <c r="AD985" i="6" s="1"/>
  <c r="AB985" i="6"/>
  <c r="Z985" i="6"/>
  <c r="U985" i="6"/>
  <c r="R985" i="6"/>
  <c r="S985" i="6" s="1"/>
  <c r="O985" i="6"/>
  <c r="H985" i="6"/>
  <c r="N985" i="6" s="1"/>
  <c r="AB984" i="6"/>
  <c r="Z984" i="6"/>
  <c r="AC984" i="6" s="1"/>
  <c r="AD984" i="6" s="1"/>
  <c r="U984" i="6"/>
  <c r="R984" i="6"/>
  <c r="O984" i="6"/>
  <c r="S984" i="6" s="1"/>
  <c r="N984" i="6"/>
  <c r="H984" i="6"/>
  <c r="AB983" i="6"/>
  <c r="Z983" i="6"/>
  <c r="AC983" i="6" s="1"/>
  <c r="AD983" i="6" s="1"/>
  <c r="U983" i="6"/>
  <c r="S983" i="6"/>
  <c r="R983" i="6"/>
  <c r="O983" i="6"/>
  <c r="N983" i="6"/>
  <c r="H983" i="6"/>
  <c r="AB982" i="6"/>
  <c r="Z982" i="6"/>
  <c r="AC982" i="6" s="1"/>
  <c r="AD982" i="6" s="1"/>
  <c r="U982" i="6"/>
  <c r="S982" i="6"/>
  <c r="R982" i="6"/>
  <c r="O982" i="6"/>
  <c r="N982" i="6"/>
  <c r="H982" i="6"/>
  <c r="AC981" i="6"/>
  <c r="AB981" i="6"/>
  <c r="AD981" i="6" s="1"/>
  <c r="Z981" i="6"/>
  <c r="U981" i="6"/>
  <c r="S981" i="6"/>
  <c r="R981" i="6"/>
  <c r="O981" i="6"/>
  <c r="N981" i="6"/>
  <c r="H981" i="6"/>
  <c r="AB980" i="6"/>
  <c r="Z980" i="6"/>
  <c r="AC980" i="6" s="1"/>
  <c r="AD980" i="6" s="1"/>
  <c r="U980" i="6"/>
  <c r="R980" i="6"/>
  <c r="O980" i="6"/>
  <c r="S980" i="6" s="1"/>
  <c r="H980" i="6"/>
  <c r="N980" i="6" s="1"/>
  <c r="AC979" i="6"/>
  <c r="AD979" i="6" s="1"/>
  <c r="AB979" i="6"/>
  <c r="Z979" i="6"/>
  <c r="U979" i="6"/>
  <c r="R979" i="6"/>
  <c r="O979" i="6"/>
  <c r="S979" i="6" s="1"/>
  <c r="H979" i="6"/>
  <c r="N979" i="6" s="1"/>
  <c r="AC978" i="6"/>
  <c r="AD978" i="6" s="1"/>
  <c r="AB978" i="6"/>
  <c r="Z978" i="6"/>
  <c r="U978" i="6"/>
  <c r="R978" i="6"/>
  <c r="O978" i="6"/>
  <c r="S978" i="6" s="1"/>
  <c r="H978" i="6"/>
  <c r="N978" i="6" s="1"/>
  <c r="AC977" i="6"/>
  <c r="AD977" i="6" s="1"/>
  <c r="AB977" i="6"/>
  <c r="Z977" i="6"/>
  <c r="U977" i="6"/>
  <c r="R977" i="6"/>
  <c r="S977" i="6" s="1"/>
  <c r="O977" i="6"/>
  <c r="H977" i="6"/>
  <c r="N977" i="6" s="1"/>
  <c r="AB976" i="6"/>
  <c r="Z976" i="6"/>
  <c r="AC976" i="6" s="1"/>
  <c r="AD976" i="6" s="1"/>
  <c r="U976" i="6"/>
  <c r="R976" i="6"/>
  <c r="O976" i="6"/>
  <c r="S976" i="6" s="1"/>
  <c r="N976" i="6"/>
  <c r="H976" i="6"/>
  <c r="AB975" i="6"/>
  <c r="Z975" i="6"/>
  <c r="AC975" i="6" s="1"/>
  <c r="AD975" i="6" s="1"/>
  <c r="U975" i="6"/>
  <c r="S975" i="6"/>
  <c r="R975" i="6"/>
  <c r="O975" i="6"/>
  <c r="N975" i="6"/>
  <c r="H975" i="6"/>
  <c r="AD974" i="6"/>
  <c r="AB974" i="6"/>
  <c r="Z974" i="6"/>
  <c r="AC974" i="6" s="1"/>
  <c r="U974" i="6"/>
  <c r="S974" i="6"/>
  <c r="R974" i="6"/>
  <c r="O974" i="6"/>
  <c r="N974" i="6"/>
  <c r="H974" i="6"/>
  <c r="AO973" i="6"/>
  <c r="AL973" i="6"/>
  <c r="AI973" i="6"/>
  <c r="AJ973" i="6" s="1"/>
  <c r="AH973" i="6"/>
  <c r="AG973" i="6"/>
  <c r="AM973" i="6" s="1"/>
  <c r="AN973" i="6" s="1"/>
  <c r="AP973" i="6" s="1"/>
  <c r="AB973" i="6"/>
  <c r="Z973" i="6"/>
  <c r="AC973" i="6" s="1"/>
  <c r="AD973" i="6" s="1"/>
  <c r="U973" i="6"/>
  <c r="S973" i="6"/>
  <c r="R973" i="6"/>
  <c r="O973" i="6"/>
  <c r="N973" i="6"/>
  <c r="H973" i="6"/>
  <c r="AI972" i="6"/>
  <c r="AJ972" i="6" s="1"/>
  <c r="AH972" i="6"/>
  <c r="AG972" i="6"/>
  <c r="AM972" i="6" s="1"/>
  <c r="AN972" i="6" s="1"/>
  <c r="AB972" i="6"/>
  <c r="Z972" i="6"/>
  <c r="AC972" i="6" s="1"/>
  <c r="AD972" i="6" s="1"/>
  <c r="U972" i="6"/>
  <c r="R972" i="6"/>
  <c r="O972" i="6"/>
  <c r="S972" i="6" s="1"/>
  <c r="N972" i="6"/>
  <c r="H972" i="6"/>
  <c r="AJ971" i="6"/>
  <c r="AM971" i="6" s="1"/>
  <c r="AN971" i="6" s="1"/>
  <c r="AP971" i="6" s="1"/>
  <c r="AI971" i="6"/>
  <c r="AH971" i="6"/>
  <c r="AO971" i="6" s="1"/>
  <c r="AG971" i="6"/>
  <c r="AC971" i="6"/>
  <c r="AD971" i="6" s="1"/>
  <c r="AB971" i="6"/>
  <c r="Z971" i="6"/>
  <c r="U971" i="6"/>
  <c r="R971" i="6"/>
  <c r="S971" i="6" s="1"/>
  <c r="O971" i="6"/>
  <c r="H971" i="6"/>
  <c r="AJ970" i="6"/>
  <c r="AI970" i="6"/>
  <c r="AH970" i="6"/>
  <c r="AO970" i="6" s="1"/>
  <c r="AG970" i="6"/>
  <c r="AM970" i="6" s="1"/>
  <c r="AN970" i="6" s="1"/>
  <c r="AP970" i="6" s="1"/>
  <c r="AC970" i="6"/>
  <c r="AD970" i="6" s="1"/>
  <c r="AB970" i="6"/>
  <c r="Z970" i="6"/>
  <c r="U970" i="6"/>
  <c r="R970" i="6"/>
  <c r="O970" i="6"/>
  <c r="S970" i="6" s="1"/>
  <c r="H970" i="6"/>
  <c r="N970" i="6" s="1"/>
  <c r="AJ969" i="6"/>
  <c r="AI969" i="6"/>
  <c r="AH969" i="6"/>
  <c r="AG969" i="6"/>
  <c r="AC969" i="6"/>
  <c r="AD969" i="6" s="1"/>
  <c r="AB969" i="6"/>
  <c r="Z969" i="6"/>
  <c r="U969" i="6"/>
  <c r="R969" i="6"/>
  <c r="O969" i="6"/>
  <c r="S969" i="6" s="1"/>
  <c r="H969" i="6"/>
  <c r="N969" i="6" s="1"/>
  <c r="AM968" i="6"/>
  <c r="AN968" i="6" s="1"/>
  <c r="AL968" i="6"/>
  <c r="AJ968" i="6"/>
  <c r="AI968" i="6"/>
  <c r="AH968" i="6"/>
  <c r="AO968" i="6" s="1"/>
  <c r="AG968" i="6"/>
  <c r="AB968" i="6"/>
  <c r="Z968" i="6"/>
  <c r="AC968" i="6" s="1"/>
  <c r="U968" i="6"/>
  <c r="R968" i="6"/>
  <c r="O968" i="6"/>
  <c r="S968" i="6" s="1"/>
  <c r="H968" i="6"/>
  <c r="N968" i="6" s="1"/>
  <c r="F968" i="6"/>
  <c r="F969" i="6" s="1"/>
  <c r="F970" i="6" s="1"/>
  <c r="F971" i="6" s="1"/>
  <c r="F972" i="6" s="1"/>
  <c r="F973" i="6" s="1"/>
  <c r="F974" i="6" s="1"/>
  <c r="F975" i="6" s="1"/>
  <c r="F976" i="6" s="1"/>
  <c r="F977" i="6" s="1"/>
  <c r="F978" i="6" s="1"/>
  <c r="F979" i="6" s="1"/>
  <c r="F980" i="6" s="1"/>
  <c r="F981" i="6" s="1"/>
  <c r="F982" i="6" s="1"/>
  <c r="F983" i="6" s="1"/>
  <c r="F984" i="6" s="1"/>
  <c r="F985" i="6" s="1"/>
  <c r="F986" i="6" s="1"/>
  <c r="F987" i="6" s="1"/>
  <c r="F988" i="6" s="1"/>
  <c r="AI967" i="6"/>
  <c r="AJ967" i="6" s="1"/>
  <c r="AM967" i="6" s="1"/>
  <c r="AN967" i="6" s="1"/>
  <c r="AP967" i="6" s="1"/>
  <c r="AQ967" i="6" s="1"/>
  <c r="AH967" i="6"/>
  <c r="AG967" i="6"/>
  <c r="AO967" i="6" s="1"/>
  <c r="AC967" i="6"/>
  <c r="AB967" i="6"/>
  <c r="AD967" i="6" s="1"/>
  <c r="Z967" i="6"/>
  <c r="U967" i="6"/>
  <c r="S967" i="6"/>
  <c r="R967" i="6"/>
  <c r="O967" i="6"/>
  <c r="N967" i="6"/>
  <c r="H967" i="6"/>
  <c r="AL967" i="6" s="1"/>
  <c r="F967" i="6"/>
  <c r="AO966" i="6"/>
  <c r="AL966" i="6"/>
  <c r="AI966" i="6"/>
  <c r="AJ966" i="6" s="1"/>
  <c r="AM966" i="6" s="1"/>
  <c r="AN966" i="6" s="1"/>
  <c r="AP966" i="6" s="1"/>
  <c r="AQ966" i="6" s="1"/>
  <c r="AH966" i="6"/>
  <c r="AG966" i="6"/>
  <c r="AB966" i="6"/>
  <c r="Z966" i="6"/>
  <c r="AC966" i="6" s="1"/>
  <c r="AD966" i="6" s="1"/>
  <c r="U966" i="6"/>
  <c r="S966" i="6"/>
  <c r="R966" i="6"/>
  <c r="O966" i="6"/>
  <c r="N966" i="6"/>
  <c r="H966" i="6"/>
  <c r="F966" i="6"/>
  <c r="AC965" i="6"/>
  <c r="AB965" i="6"/>
  <c r="AD965" i="6" s="1"/>
  <c r="Z965" i="6"/>
  <c r="U965" i="6"/>
  <c r="S965" i="6"/>
  <c r="R965" i="6"/>
  <c r="O965" i="6"/>
  <c r="N965" i="6"/>
  <c r="H965" i="6"/>
  <c r="AB964" i="6"/>
  <c r="Z964" i="6"/>
  <c r="AC964" i="6" s="1"/>
  <c r="U964" i="6"/>
  <c r="R964" i="6"/>
  <c r="O964" i="6"/>
  <c r="S964" i="6" s="1"/>
  <c r="H964" i="6"/>
  <c r="N964" i="6" s="1"/>
  <c r="AC963" i="6"/>
  <c r="AD963" i="6" s="1"/>
  <c r="AB963" i="6"/>
  <c r="Z963" i="6"/>
  <c r="U963" i="6"/>
  <c r="R963" i="6"/>
  <c r="O963" i="6"/>
  <c r="S963" i="6" s="1"/>
  <c r="H963" i="6"/>
  <c r="N963" i="6" s="1"/>
  <c r="AC962" i="6"/>
  <c r="AD962" i="6" s="1"/>
  <c r="AB962" i="6"/>
  <c r="Z962" i="6"/>
  <c r="U962" i="6"/>
  <c r="R962" i="6"/>
  <c r="O962" i="6"/>
  <c r="S962" i="6" s="1"/>
  <c r="H962" i="6"/>
  <c r="N962" i="6" s="1"/>
  <c r="AC961" i="6"/>
  <c r="AD961" i="6" s="1"/>
  <c r="AB961" i="6"/>
  <c r="Z961" i="6"/>
  <c r="U961" i="6"/>
  <c r="R961" i="6"/>
  <c r="S961" i="6" s="1"/>
  <c r="O961" i="6"/>
  <c r="H961" i="6"/>
  <c r="N961" i="6" s="1"/>
  <c r="AB960" i="6"/>
  <c r="Z960" i="6"/>
  <c r="AC960" i="6" s="1"/>
  <c r="AD960" i="6" s="1"/>
  <c r="U960" i="6"/>
  <c r="R960" i="6"/>
  <c r="O960" i="6"/>
  <c r="S960" i="6" s="1"/>
  <c r="N960" i="6"/>
  <c r="H960" i="6"/>
  <c r="AD959" i="6"/>
  <c r="AB959" i="6"/>
  <c r="Z959" i="6"/>
  <c r="AC959" i="6" s="1"/>
  <c r="U959" i="6"/>
  <c r="S959" i="6"/>
  <c r="R959" i="6"/>
  <c r="O959" i="6"/>
  <c r="N959" i="6"/>
  <c r="H959" i="6"/>
  <c r="AD958" i="6"/>
  <c r="AB958" i="6"/>
  <c r="Z958" i="6"/>
  <c r="AC958" i="6" s="1"/>
  <c r="U958" i="6"/>
  <c r="S958" i="6"/>
  <c r="R958" i="6"/>
  <c r="O958" i="6"/>
  <c r="N958" i="6"/>
  <c r="H958" i="6"/>
  <c r="AC957" i="6"/>
  <c r="AB957" i="6"/>
  <c r="AD957" i="6" s="1"/>
  <c r="Z957" i="6"/>
  <c r="U957" i="6"/>
  <c r="S957" i="6"/>
  <c r="R957" i="6"/>
  <c r="O957" i="6"/>
  <c r="N957" i="6"/>
  <c r="H957" i="6"/>
  <c r="AB956" i="6"/>
  <c r="Z956" i="6"/>
  <c r="AC956" i="6" s="1"/>
  <c r="U956" i="6"/>
  <c r="R956" i="6"/>
  <c r="O956" i="6"/>
  <c r="S956" i="6" s="1"/>
  <c r="H956" i="6"/>
  <c r="N956" i="6" s="1"/>
  <c r="AC955" i="6"/>
  <c r="AD955" i="6" s="1"/>
  <c r="AB955" i="6"/>
  <c r="Z955" i="6"/>
  <c r="U955" i="6"/>
  <c r="R955" i="6"/>
  <c r="O955" i="6"/>
  <c r="S955" i="6" s="1"/>
  <c r="H955" i="6"/>
  <c r="N955" i="6" s="1"/>
  <c r="AC954" i="6"/>
  <c r="AD954" i="6" s="1"/>
  <c r="AB954" i="6"/>
  <c r="Z954" i="6"/>
  <c r="U954" i="6"/>
  <c r="R954" i="6"/>
  <c r="O954" i="6"/>
  <c r="H954" i="6"/>
  <c r="N954" i="6" s="1"/>
  <c r="AB953" i="6"/>
  <c r="Z953" i="6"/>
  <c r="AC953" i="6" s="1"/>
  <c r="AD953" i="6" s="1"/>
  <c r="U953" i="6"/>
  <c r="R953" i="6"/>
  <c r="S953" i="6" s="1"/>
  <c r="O953" i="6"/>
  <c r="H953" i="6"/>
  <c r="N953" i="6" s="1"/>
  <c r="AD952" i="6"/>
  <c r="AB952" i="6"/>
  <c r="Z952" i="6"/>
  <c r="AC952" i="6" s="1"/>
  <c r="U952" i="6"/>
  <c r="R952" i="6"/>
  <c r="O952" i="6"/>
  <c r="N952" i="6"/>
  <c r="H952" i="6"/>
  <c r="AD951" i="6"/>
  <c r="AB951" i="6"/>
  <c r="Z951" i="6"/>
  <c r="AC951" i="6" s="1"/>
  <c r="U951" i="6"/>
  <c r="S951" i="6"/>
  <c r="R951" i="6"/>
  <c r="O951" i="6"/>
  <c r="N951" i="6"/>
  <c r="H951" i="6"/>
  <c r="AB950" i="6"/>
  <c r="Z950" i="6"/>
  <c r="AC950" i="6" s="1"/>
  <c r="AD950" i="6" s="1"/>
  <c r="U950" i="6"/>
  <c r="S950" i="6"/>
  <c r="R950" i="6"/>
  <c r="O950" i="6"/>
  <c r="N950" i="6"/>
  <c r="H950" i="6"/>
  <c r="AO949" i="6"/>
  <c r="AL949" i="6"/>
  <c r="AI949" i="6"/>
  <c r="AJ949" i="6" s="1"/>
  <c r="AH949" i="6"/>
  <c r="AG949" i="6"/>
  <c r="AM949" i="6" s="1"/>
  <c r="AN949" i="6" s="1"/>
  <c r="AD949" i="6"/>
  <c r="AB949" i="6"/>
  <c r="Z949" i="6"/>
  <c r="AC949" i="6" s="1"/>
  <c r="U949" i="6"/>
  <c r="S949" i="6"/>
  <c r="R949" i="6"/>
  <c r="O949" i="6"/>
  <c r="N949" i="6"/>
  <c r="H949" i="6"/>
  <c r="AI948" i="6"/>
  <c r="AJ948" i="6" s="1"/>
  <c r="AH948" i="6"/>
  <c r="AO948" i="6" s="1"/>
  <c r="AG948" i="6"/>
  <c r="AM948" i="6" s="1"/>
  <c r="AB948" i="6"/>
  <c r="Z948" i="6"/>
  <c r="AC948" i="6" s="1"/>
  <c r="AD948" i="6" s="1"/>
  <c r="U948" i="6"/>
  <c r="R948" i="6"/>
  <c r="O948" i="6"/>
  <c r="S948" i="6" s="1"/>
  <c r="H948" i="6"/>
  <c r="AJ947" i="6"/>
  <c r="AM947" i="6" s="1"/>
  <c r="AN947" i="6" s="1"/>
  <c r="AI947" i="6"/>
  <c r="AH947" i="6"/>
  <c r="AO947" i="6" s="1"/>
  <c r="AG947" i="6"/>
  <c r="AC947" i="6"/>
  <c r="AD947" i="6" s="1"/>
  <c r="AB947" i="6"/>
  <c r="Z947" i="6"/>
  <c r="U947" i="6"/>
  <c r="R947" i="6"/>
  <c r="S947" i="6" s="1"/>
  <c r="O947" i="6"/>
  <c r="H947" i="6"/>
  <c r="AJ946" i="6"/>
  <c r="AI946" i="6"/>
  <c r="AH946" i="6"/>
  <c r="AO946" i="6" s="1"/>
  <c r="AG946" i="6"/>
  <c r="AC946" i="6"/>
  <c r="AD946" i="6" s="1"/>
  <c r="AB946" i="6"/>
  <c r="Z946" i="6"/>
  <c r="U946" i="6"/>
  <c r="R946" i="6"/>
  <c r="O946" i="6"/>
  <c r="S946" i="6" s="1"/>
  <c r="H946" i="6"/>
  <c r="AO945" i="6"/>
  <c r="AJ945" i="6"/>
  <c r="AI945" i="6"/>
  <c r="AH945" i="6"/>
  <c r="AG945" i="6"/>
  <c r="AM945" i="6" s="1"/>
  <c r="AN945" i="6" s="1"/>
  <c r="AP945" i="6" s="1"/>
  <c r="AC945" i="6"/>
  <c r="AB945" i="6"/>
  <c r="AD945" i="6" s="1"/>
  <c r="Z945" i="6"/>
  <c r="U945" i="6"/>
  <c r="R945" i="6"/>
  <c r="O945" i="6"/>
  <c r="S945" i="6" s="1"/>
  <c r="H945" i="6"/>
  <c r="AL944" i="6"/>
  <c r="AI944" i="6"/>
  <c r="AJ944" i="6" s="1"/>
  <c r="AH944" i="6"/>
  <c r="AG944" i="6"/>
  <c r="AM944" i="6" s="1"/>
  <c r="AN944" i="6" s="1"/>
  <c r="AB944" i="6"/>
  <c r="Z944" i="6"/>
  <c r="AC944" i="6" s="1"/>
  <c r="AD944" i="6" s="1"/>
  <c r="U944" i="6"/>
  <c r="R944" i="6"/>
  <c r="O944" i="6"/>
  <c r="S944" i="6" s="1"/>
  <c r="H944" i="6"/>
  <c r="N944" i="6" s="1"/>
  <c r="F944" i="6"/>
  <c r="F945" i="6" s="1"/>
  <c r="F946" i="6" s="1"/>
  <c r="F947" i="6" s="1"/>
  <c r="F948" i="6" s="1"/>
  <c r="F949" i="6" s="1"/>
  <c r="F950" i="6" s="1"/>
  <c r="F951" i="6" s="1"/>
  <c r="F952" i="6" s="1"/>
  <c r="F953" i="6" s="1"/>
  <c r="F954" i="6" s="1"/>
  <c r="F955" i="6" s="1"/>
  <c r="F956" i="6" s="1"/>
  <c r="F957" i="6" s="1"/>
  <c r="F958" i="6" s="1"/>
  <c r="F959" i="6" s="1"/>
  <c r="F960" i="6" s="1"/>
  <c r="F961" i="6" s="1"/>
  <c r="F962" i="6" s="1"/>
  <c r="F963" i="6" s="1"/>
  <c r="F964" i="6" s="1"/>
  <c r="F965" i="6" s="1"/>
  <c r="AI943" i="6"/>
  <c r="AJ943" i="6" s="1"/>
  <c r="AM943" i="6" s="1"/>
  <c r="AN943" i="6" s="1"/>
  <c r="AP943" i="6" s="1"/>
  <c r="AH943" i="6"/>
  <c r="AO943" i="6" s="1"/>
  <c r="AG943" i="6"/>
  <c r="AC943" i="6"/>
  <c r="AB943" i="6"/>
  <c r="AD943" i="6" s="1"/>
  <c r="Z943" i="6"/>
  <c r="U943" i="6"/>
  <c r="R943" i="6"/>
  <c r="S943" i="6" s="1"/>
  <c r="O943" i="6"/>
  <c r="N943" i="6"/>
  <c r="H943" i="6"/>
  <c r="F943" i="6"/>
  <c r="AO942" i="6"/>
  <c r="AM942" i="6"/>
  <c r="AN942" i="6" s="1"/>
  <c r="AP942" i="6" s="1"/>
  <c r="AQ942" i="6" s="1"/>
  <c r="AL942" i="6"/>
  <c r="AI942" i="6"/>
  <c r="AJ942" i="6" s="1"/>
  <c r="AH942" i="6"/>
  <c r="AG942" i="6"/>
  <c r="AB942" i="6"/>
  <c r="Z942" i="6"/>
  <c r="AC942" i="6" s="1"/>
  <c r="AD942" i="6" s="1"/>
  <c r="U942" i="6"/>
  <c r="S942" i="6"/>
  <c r="R942" i="6"/>
  <c r="O942" i="6"/>
  <c r="N942" i="6"/>
  <c r="H942" i="6"/>
  <c r="F942" i="6"/>
  <c r="AJ941" i="6"/>
  <c r="AI941" i="6"/>
  <c r="AH941" i="6"/>
  <c r="AG941" i="6"/>
  <c r="AB941" i="6"/>
  <c r="Z941" i="6"/>
  <c r="AC941" i="6" s="1"/>
  <c r="AD941" i="6" s="1"/>
  <c r="U941" i="6"/>
  <c r="S941" i="6"/>
  <c r="R941" i="6"/>
  <c r="O941" i="6"/>
  <c r="N941" i="6"/>
  <c r="H941" i="6"/>
  <c r="F941" i="6"/>
  <c r="AB940" i="6"/>
  <c r="Z940" i="6"/>
  <c r="AC940" i="6" s="1"/>
  <c r="U940" i="6"/>
  <c r="S940" i="6"/>
  <c r="R940" i="6"/>
  <c r="O940" i="6"/>
  <c r="N940" i="6"/>
  <c r="H940" i="6"/>
  <c r="AD939" i="6"/>
  <c r="AC939" i="6"/>
  <c r="AB939" i="6"/>
  <c r="Z939" i="6"/>
  <c r="U939" i="6"/>
  <c r="R939" i="6"/>
  <c r="O939" i="6"/>
  <c r="S939" i="6" s="1"/>
  <c r="N939" i="6"/>
  <c r="H939" i="6"/>
  <c r="AB938" i="6"/>
  <c r="Z938" i="6"/>
  <c r="AC938" i="6" s="1"/>
  <c r="AD938" i="6" s="1"/>
  <c r="U938" i="6"/>
  <c r="R938" i="6"/>
  <c r="O938" i="6"/>
  <c r="S938" i="6" s="1"/>
  <c r="H938" i="6"/>
  <c r="N938" i="6" s="1"/>
  <c r="AC937" i="6"/>
  <c r="AD937" i="6" s="1"/>
  <c r="AB937" i="6"/>
  <c r="Z937" i="6"/>
  <c r="U937" i="6"/>
  <c r="R937" i="6"/>
  <c r="O937" i="6"/>
  <c r="S937" i="6" s="1"/>
  <c r="H937" i="6"/>
  <c r="N937" i="6" s="1"/>
  <c r="AC936" i="6"/>
  <c r="AD936" i="6" s="1"/>
  <c r="AB936" i="6"/>
  <c r="Z936" i="6"/>
  <c r="U936" i="6"/>
  <c r="S936" i="6"/>
  <c r="R936" i="6"/>
  <c r="O936" i="6"/>
  <c r="H936" i="6"/>
  <c r="N936" i="6" s="1"/>
  <c r="AB935" i="6"/>
  <c r="Z935" i="6"/>
  <c r="AC935" i="6" s="1"/>
  <c r="AD935" i="6" s="1"/>
  <c r="U935" i="6"/>
  <c r="R935" i="6"/>
  <c r="S935" i="6" s="1"/>
  <c r="O935" i="6"/>
  <c r="H935" i="6"/>
  <c r="N935" i="6" s="1"/>
  <c r="AB934" i="6"/>
  <c r="Z934" i="6"/>
  <c r="AC934" i="6" s="1"/>
  <c r="AD934" i="6" s="1"/>
  <c r="U934" i="6"/>
  <c r="R934" i="6"/>
  <c r="O934" i="6"/>
  <c r="S934" i="6" s="1"/>
  <c r="H934" i="6"/>
  <c r="N934" i="6" s="1"/>
  <c r="AB933" i="6"/>
  <c r="Z933" i="6"/>
  <c r="AC933" i="6" s="1"/>
  <c r="AD933" i="6" s="1"/>
  <c r="U933" i="6"/>
  <c r="R933" i="6"/>
  <c r="S933" i="6" s="1"/>
  <c r="O933" i="6"/>
  <c r="N933" i="6"/>
  <c r="H933" i="6"/>
  <c r="AC932" i="6"/>
  <c r="AB932" i="6"/>
  <c r="AD932" i="6" s="1"/>
  <c r="Z932" i="6"/>
  <c r="U932" i="6"/>
  <c r="S932" i="6"/>
  <c r="R932" i="6"/>
  <c r="O932" i="6"/>
  <c r="N932" i="6"/>
  <c r="H932" i="6"/>
  <c r="AC931" i="6"/>
  <c r="AB931" i="6"/>
  <c r="AD931" i="6" s="1"/>
  <c r="Z931" i="6"/>
  <c r="U931" i="6"/>
  <c r="R931" i="6"/>
  <c r="O931" i="6"/>
  <c r="S931" i="6" s="1"/>
  <c r="N931" i="6"/>
  <c r="H931" i="6"/>
  <c r="AB930" i="6"/>
  <c r="Z930" i="6"/>
  <c r="AC930" i="6" s="1"/>
  <c r="U930" i="6"/>
  <c r="S930" i="6"/>
  <c r="R930" i="6"/>
  <c r="O930" i="6"/>
  <c r="H930" i="6"/>
  <c r="N930" i="6" s="1"/>
  <c r="AC929" i="6"/>
  <c r="AB929" i="6"/>
  <c r="AD929" i="6" s="1"/>
  <c r="Z929" i="6"/>
  <c r="U929" i="6"/>
  <c r="R929" i="6"/>
  <c r="O929" i="6"/>
  <c r="S929" i="6" s="1"/>
  <c r="H929" i="6"/>
  <c r="N929" i="6" s="1"/>
  <c r="AC928" i="6"/>
  <c r="AD928" i="6" s="1"/>
  <c r="AB928" i="6"/>
  <c r="Z928" i="6"/>
  <c r="U928" i="6"/>
  <c r="R928" i="6"/>
  <c r="O928" i="6"/>
  <c r="S928" i="6" s="1"/>
  <c r="H928" i="6"/>
  <c r="N928" i="6" s="1"/>
  <c r="AC927" i="6"/>
  <c r="AB927" i="6"/>
  <c r="Z927" i="6"/>
  <c r="U927" i="6"/>
  <c r="R927" i="6"/>
  <c r="S927" i="6" s="1"/>
  <c r="O927" i="6"/>
  <c r="H927" i="6"/>
  <c r="N927" i="6" s="1"/>
  <c r="AB926" i="6"/>
  <c r="Z926" i="6"/>
  <c r="AC926" i="6" s="1"/>
  <c r="AD926" i="6" s="1"/>
  <c r="U926" i="6"/>
  <c r="R926" i="6"/>
  <c r="O926" i="6"/>
  <c r="S926" i="6" s="1"/>
  <c r="H926" i="6"/>
  <c r="N926" i="6" s="1"/>
  <c r="AB925" i="6"/>
  <c r="Z925" i="6"/>
  <c r="AC925" i="6" s="1"/>
  <c r="AD925" i="6" s="1"/>
  <c r="U925" i="6"/>
  <c r="R925" i="6"/>
  <c r="O925" i="6"/>
  <c r="S925" i="6" s="1"/>
  <c r="N925" i="6"/>
  <c r="H925" i="6"/>
  <c r="AI924" i="6"/>
  <c r="AJ924" i="6" s="1"/>
  <c r="AH924" i="6"/>
  <c r="AO924" i="6" s="1"/>
  <c r="AG924" i="6"/>
  <c r="AM924" i="6" s="1"/>
  <c r="AN924" i="6" s="1"/>
  <c r="AP924" i="6" s="1"/>
  <c r="AB924" i="6"/>
  <c r="AD924" i="6" s="1"/>
  <c r="Z924" i="6"/>
  <c r="AC924" i="6" s="1"/>
  <c r="U924" i="6"/>
  <c r="R924" i="6"/>
  <c r="O924" i="6"/>
  <c r="S924" i="6" s="1"/>
  <c r="H924" i="6"/>
  <c r="N924" i="6" s="1"/>
  <c r="AI923" i="6"/>
  <c r="AJ923" i="6" s="1"/>
  <c r="AM923" i="6" s="1"/>
  <c r="AN923" i="6" s="1"/>
  <c r="AP923" i="6" s="1"/>
  <c r="AH923" i="6"/>
  <c r="AO923" i="6" s="1"/>
  <c r="AG923" i="6"/>
  <c r="AB923" i="6"/>
  <c r="Z923" i="6"/>
  <c r="AC923" i="6" s="1"/>
  <c r="AD923" i="6" s="1"/>
  <c r="U923" i="6"/>
  <c r="R923" i="6"/>
  <c r="S923" i="6" s="1"/>
  <c r="O923" i="6"/>
  <c r="H923" i="6"/>
  <c r="N923" i="6" s="1"/>
  <c r="AI922" i="6"/>
  <c r="AJ922" i="6" s="1"/>
  <c r="AH922" i="6"/>
  <c r="AG922" i="6"/>
  <c r="AM922" i="6" s="1"/>
  <c r="AN922" i="6" s="1"/>
  <c r="AC922" i="6"/>
  <c r="AD922" i="6" s="1"/>
  <c r="AB922" i="6"/>
  <c r="Z922" i="6"/>
  <c r="U922" i="6"/>
  <c r="R922" i="6"/>
  <c r="O922" i="6"/>
  <c r="S922" i="6" s="1"/>
  <c r="H922" i="6"/>
  <c r="AO921" i="6"/>
  <c r="AM921" i="6"/>
  <c r="AN921" i="6" s="1"/>
  <c r="AP921" i="6" s="1"/>
  <c r="AJ921" i="6"/>
  <c r="AI921" i="6"/>
  <c r="AH921" i="6"/>
  <c r="AG921" i="6"/>
  <c r="AC921" i="6"/>
  <c r="AB921" i="6"/>
  <c r="Z921" i="6"/>
  <c r="U921" i="6"/>
  <c r="R921" i="6"/>
  <c r="O921" i="6"/>
  <c r="S921" i="6" s="1"/>
  <c r="H921" i="6"/>
  <c r="N921" i="6" s="1"/>
  <c r="AM920" i="6"/>
  <c r="AN920" i="6" s="1"/>
  <c r="AL920" i="6"/>
  <c r="AJ920" i="6"/>
  <c r="AI920" i="6"/>
  <c r="AH920" i="6"/>
  <c r="AG920" i="6"/>
  <c r="AB920" i="6"/>
  <c r="Z920" i="6"/>
  <c r="AC920" i="6" s="1"/>
  <c r="U920" i="6"/>
  <c r="R920" i="6"/>
  <c r="S920" i="6" s="1"/>
  <c r="O920" i="6"/>
  <c r="N920" i="6"/>
  <c r="H920" i="6"/>
  <c r="AN919" i="6"/>
  <c r="AI919" i="6"/>
  <c r="AJ919" i="6" s="1"/>
  <c r="AH919" i="6"/>
  <c r="AO919" i="6" s="1"/>
  <c r="AG919" i="6"/>
  <c r="AM919" i="6" s="1"/>
  <c r="AD919" i="6"/>
  <c r="AC919" i="6"/>
  <c r="AB919" i="6"/>
  <c r="Z919" i="6"/>
  <c r="U919" i="6"/>
  <c r="R919" i="6"/>
  <c r="S919" i="6" s="1"/>
  <c r="O919" i="6"/>
  <c r="N919" i="6"/>
  <c r="H919" i="6"/>
  <c r="AO918" i="6"/>
  <c r="AL918" i="6"/>
  <c r="AI918" i="6"/>
  <c r="AJ918" i="6" s="1"/>
  <c r="AH918" i="6"/>
  <c r="AG918" i="6"/>
  <c r="AC918" i="6"/>
  <c r="AD918" i="6" s="1"/>
  <c r="AB918" i="6"/>
  <c r="Z918" i="6"/>
  <c r="U918" i="6"/>
  <c r="S918" i="6"/>
  <c r="R918" i="6"/>
  <c r="O918" i="6"/>
  <c r="H918" i="6"/>
  <c r="N918" i="6" s="1"/>
  <c r="AJ917" i="6"/>
  <c r="AI917" i="6"/>
  <c r="AH917" i="6"/>
  <c r="AL917" i="6" s="1"/>
  <c r="AG917" i="6"/>
  <c r="AM917" i="6" s="1"/>
  <c r="AN917" i="6" s="1"/>
  <c r="AD917" i="6"/>
  <c r="AB917" i="6"/>
  <c r="Z917" i="6"/>
  <c r="AC917" i="6" s="1"/>
  <c r="U917" i="6"/>
  <c r="R917" i="6"/>
  <c r="O917" i="6"/>
  <c r="S917" i="6" s="1"/>
  <c r="N917" i="6"/>
  <c r="H917" i="6"/>
  <c r="AN916" i="6"/>
  <c r="AI916" i="6"/>
  <c r="AJ916" i="6" s="1"/>
  <c r="AH916" i="6"/>
  <c r="AG916" i="6"/>
  <c r="AM916" i="6" s="1"/>
  <c r="AC916" i="6"/>
  <c r="AD916" i="6" s="1"/>
  <c r="AB916" i="6"/>
  <c r="Z916" i="6"/>
  <c r="U916" i="6"/>
  <c r="R916" i="6"/>
  <c r="O916" i="6"/>
  <c r="S916" i="6" s="1"/>
  <c r="H916" i="6"/>
  <c r="N916" i="6" s="1"/>
  <c r="F916" i="6"/>
  <c r="F917" i="6" s="1"/>
  <c r="F918" i="6" s="1"/>
  <c r="F919" i="6" s="1"/>
  <c r="F920" i="6" s="1"/>
  <c r="F921" i="6" s="1"/>
  <c r="F922" i="6" s="1"/>
  <c r="F923" i="6" s="1"/>
  <c r="F924" i="6" s="1"/>
  <c r="F925" i="6" s="1"/>
  <c r="F926" i="6" s="1"/>
  <c r="F927" i="6" s="1"/>
  <c r="F928" i="6" s="1"/>
  <c r="F929" i="6" s="1"/>
  <c r="F930" i="6" s="1"/>
  <c r="F931" i="6" s="1"/>
  <c r="F932" i="6" s="1"/>
  <c r="F933" i="6" s="1"/>
  <c r="F934" i="6" s="1"/>
  <c r="F935" i="6" s="1"/>
  <c r="F936" i="6" s="1"/>
  <c r="F937" i="6" s="1"/>
  <c r="F938" i="6" s="1"/>
  <c r="F939" i="6" s="1"/>
  <c r="F940" i="6" s="1"/>
  <c r="AD915" i="6"/>
  <c r="AB915" i="6"/>
  <c r="Z915" i="6"/>
  <c r="AC915" i="6" s="1"/>
  <c r="U915" i="6"/>
  <c r="R915" i="6"/>
  <c r="O915" i="6"/>
  <c r="S915" i="6" s="1"/>
  <c r="N915" i="6"/>
  <c r="H915" i="6"/>
  <c r="AC914" i="6"/>
  <c r="AD914" i="6" s="1"/>
  <c r="AB914" i="6"/>
  <c r="Z914" i="6"/>
  <c r="U914" i="6"/>
  <c r="S914" i="6"/>
  <c r="R914" i="6"/>
  <c r="O914" i="6"/>
  <c r="H914" i="6"/>
  <c r="N914" i="6" s="1"/>
  <c r="AC913" i="6"/>
  <c r="AD913" i="6" s="1"/>
  <c r="AB913" i="6"/>
  <c r="Z913" i="6"/>
  <c r="U913" i="6"/>
  <c r="R913" i="6"/>
  <c r="S913" i="6" s="1"/>
  <c r="O913" i="6"/>
  <c r="H913" i="6"/>
  <c r="N913" i="6" s="1"/>
  <c r="AB912" i="6"/>
  <c r="Z912" i="6"/>
  <c r="AC912" i="6" s="1"/>
  <c r="AD912" i="6" s="1"/>
  <c r="U912" i="6"/>
  <c r="R912" i="6"/>
  <c r="S912" i="6" s="1"/>
  <c r="O912" i="6"/>
  <c r="H912" i="6"/>
  <c r="N912" i="6" s="1"/>
  <c r="AB911" i="6"/>
  <c r="Z911" i="6"/>
  <c r="AC911" i="6" s="1"/>
  <c r="AD911" i="6" s="1"/>
  <c r="U911" i="6"/>
  <c r="R911" i="6"/>
  <c r="O911" i="6"/>
  <c r="S911" i="6" s="1"/>
  <c r="N911" i="6"/>
  <c r="H911" i="6"/>
  <c r="AC910" i="6"/>
  <c r="AD910" i="6" s="1"/>
  <c r="AB910" i="6"/>
  <c r="Z910" i="6"/>
  <c r="U910" i="6"/>
  <c r="S910" i="6"/>
  <c r="R910" i="6"/>
  <c r="O910" i="6"/>
  <c r="H910" i="6"/>
  <c r="N910" i="6" s="1"/>
  <c r="AC909" i="6"/>
  <c r="AB909" i="6"/>
  <c r="Z909" i="6"/>
  <c r="U909" i="6"/>
  <c r="R909" i="6"/>
  <c r="S909" i="6" s="1"/>
  <c r="O909" i="6"/>
  <c r="H909" i="6"/>
  <c r="N909" i="6" s="1"/>
  <c r="AC908" i="6"/>
  <c r="AD908" i="6" s="1"/>
  <c r="AB908" i="6"/>
  <c r="Z908" i="6"/>
  <c r="U908" i="6"/>
  <c r="R908" i="6"/>
  <c r="O908" i="6"/>
  <c r="S908" i="6" s="1"/>
  <c r="H908" i="6"/>
  <c r="N908" i="6" s="1"/>
  <c r="AD907" i="6"/>
  <c r="AB907" i="6"/>
  <c r="Z907" i="6"/>
  <c r="AC907" i="6" s="1"/>
  <c r="U907" i="6"/>
  <c r="R907" i="6"/>
  <c r="O907" i="6"/>
  <c r="S907" i="6" s="1"/>
  <c r="N907" i="6"/>
  <c r="H907" i="6"/>
  <c r="AD906" i="6"/>
  <c r="AC906" i="6"/>
  <c r="AB906" i="6"/>
  <c r="Z906" i="6"/>
  <c r="U906" i="6"/>
  <c r="S906" i="6"/>
  <c r="R906" i="6"/>
  <c r="O906" i="6"/>
  <c r="N906" i="6"/>
  <c r="H906" i="6"/>
  <c r="AD905" i="6"/>
  <c r="AC905" i="6"/>
  <c r="AB905" i="6"/>
  <c r="Z905" i="6"/>
  <c r="U905" i="6"/>
  <c r="R905" i="6"/>
  <c r="S905" i="6" s="1"/>
  <c r="O905" i="6"/>
  <c r="N905" i="6"/>
  <c r="H905" i="6"/>
  <c r="AB904" i="6"/>
  <c r="Z904" i="6"/>
  <c r="AC904" i="6" s="1"/>
  <c r="AD904" i="6" s="1"/>
  <c r="U904" i="6"/>
  <c r="S904" i="6"/>
  <c r="R904" i="6"/>
  <c r="O904" i="6"/>
  <c r="H904" i="6"/>
  <c r="N904" i="6" s="1"/>
  <c r="AB903" i="6"/>
  <c r="Z903" i="6"/>
  <c r="AC903" i="6" s="1"/>
  <c r="AD903" i="6" s="1"/>
  <c r="U903" i="6"/>
  <c r="R903" i="6"/>
  <c r="O903" i="6"/>
  <c r="S903" i="6" s="1"/>
  <c r="N903" i="6"/>
  <c r="H903" i="6"/>
  <c r="AC902" i="6"/>
  <c r="AD902" i="6" s="1"/>
  <c r="AB902" i="6"/>
  <c r="Z902" i="6"/>
  <c r="U902" i="6"/>
  <c r="R902" i="6"/>
  <c r="O902" i="6"/>
  <c r="S902" i="6" s="1"/>
  <c r="H902" i="6"/>
  <c r="N902" i="6" s="1"/>
  <c r="AC901" i="6"/>
  <c r="AD901" i="6" s="1"/>
  <c r="AB901" i="6"/>
  <c r="Z901" i="6"/>
  <c r="U901" i="6"/>
  <c r="R901" i="6"/>
  <c r="S901" i="6" s="1"/>
  <c r="O901" i="6"/>
  <c r="H901" i="6"/>
  <c r="N901" i="6" s="1"/>
  <c r="AC900" i="6"/>
  <c r="AB900" i="6"/>
  <c r="Z900" i="6"/>
  <c r="U900" i="6"/>
  <c r="R900" i="6"/>
  <c r="O900" i="6"/>
  <c r="S900" i="6" s="1"/>
  <c r="H900" i="6"/>
  <c r="N900" i="6" s="1"/>
  <c r="AD899" i="6"/>
  <c r="AB899" i="6"/>
  <c r="Z899" i="6"/>
  <c r="AC899" i="6" s="1"/>
  <c r="U899" i="6"/>
  <c r="R899" i="6"/>
  <c r="O899" i="6"/>
  <c r="S899" i="6" s="1"/>
  <c r="N899" i="6"/>
  <c r="H899" i="6"/>
  <c r="AC898" i="6"/>
  <c r="AD898" i="6" s="1"/>
  <c r="AB898" i="6"/>
  <c r="Z898" i="6"/>
  <c r="U898" i="6"/>
  <c r="S898" i="6"/>
  <c r="R898" i="6"/>
  <c r="O898" i="6"/>
  <c r="H898" i="6"/>
  <c r="N898" i="6" s="1"/>
  <c r="AC897" i="6"/>
  <c r="AD897" i="6" s="1"/>
  <c r="AB897" i="6"/>
  <c r="Z897" i="6"/>
  <c r="U897" i="6"/>
  <c r="S897" i="6"/>
  <c r="R897" i="6"/>
  <c r="O897" i="6"/>
  <c r="H897" i="6"/>
  <c r="N897" i="6" s="1"/>
  <c r="AB896" i="6"/>
  <c r="Z896" i="6"/>
  <c r="AC896" i="6" s="1"/>
  <c r="AD896" i="6" s="1"/>
  <c r="U896" i="6"/>
  <c r="R896" i="6"/>
  <c r="S896" i="6" s="1"/>
  <c r="O896" i="6"/>
  <c r="H896" i="6"/>
  <c r="N896" i="6" s="1"/>
  <c r="AB895" i="6"/>
  <c r="Z895" i="6"/>
  <c r="AC895" i="6" s="1"/>
  <c r="AD895" i="6" s="1"/>
  <c r="U895" i="6"/>
  <c r="R895" i="6"/>
  <c r="O895" i="6"/>
  <c r="S895" i="6" s="1"/>
  <c r="N895" i="6"/>
  <c r="H895" i="6"/>
  <c r="AL894" i="6"/>
  <c r="AI894" i="6"/>
  <c r="AJ894" i="6" s="1"/>
  <c r="AH894" i="6"/>
  <c r="AG894" i="6"/>
  <c r="AM894" i="6" s="1"/>
  <c r="AN894" i="6" s="1"/>
  <c r="AB894" i="6"/>
  <c r="Z894" i="6"/>
  <c r="AC894" i="6" s="1"/>
  <c r="AD894" i="6" s="1"/>
  <c r="U894" i="6"/>
  <c r="R894" i="6"/>
  <c r="S894" i="6" s="1"/>
  <c r="O894" i="6"/>
  <c r="H894" i="6"/>
  <c r="N894" i="6" s="1"/>
  <c r="AO893" i="6"/>
  <c r="AI893" i="6"/>
  <c r="AJ893" i="6" s="1"/>
  <c r="AM893" i="6" s="1"/>
  <c r="AN893" i="6" s="1"/>
  <c r="AP893" i="6" s="1"/>
  <c r="AQ893" i="6" s="1"/>
  <c r="AH893" i="6"/>
  <c r="AG893" i="6"/>
  <c r="AC893" i="6"/>
  <c r="AD893" i="6" s="1"/>
  <c r="AB893" i="6"/>
  <c r="Z893" i="6"/>
  <c r="U893" i="6"/>
  <c r="S893" i="6"/>
  <c r="R893" i="6"/>
  <c r="O893" i="6"/>
  <c r="H893" i="6"/>
  <c r="AL893" i="6" s="1"/>
  <c r="AO892" i="6"/>
  <c r="AI892" i="6"/>
  <c r="AJ892" i="6" s="1"/>
  <c r="AH892" i="6"/>
  <c r="AG892" i="6"/>
  <c r="AC892" i="6"/>
  <c r="AD892" i="6" s="1"/>
  <c r="AB892" i="6"/>
  <c r="Z892" i="6"/>
  <c r="U892" i="6"/>
  <c r="S892" i="6"/>
  <c r="R892" i="6"/>
  <c r="O892" i="6"/>
  <c r="H892" i="6"/>
  <c r="AJ891" i="6"/>
  <c r="AI891" i="6"/>
  <c r="AH891" i="6"/>
  <c r="AG891" i="6"/>
  <c r="AM891" i="6" s="1"/>
  <c r="AN891" i="6" s="1"/>
  <c r="AD891" i="6"/>
  <c r="AB891" i="6"/>
  <c r="Z891" i="6"/>
  <c r="AC891" i="6" s="1"/>
  <c r="U891" i="6"/>
  <c r="R891" i="6"/>
  <c r="O891" i="6"/>
  <c r="S891" i="6" s="1"/>
  <c r="N891" i="6"/>
  <c r="H891" i="6"/>
  <c r="AI890" i="6"/>
  <c r="AJ890" i="6" s="1"/>
  <c r="AH890" i="6"/>
  <c r="AG890" i="6"/>
  <c r="AM890" i="6" s="1"/>
  <c r="AN890" i="6" s="1"/>
  <c r="AC890" i="6"/>
  <c r="AB890" i="6"/>
  <c r="Z890" i="6"/>
  <c r="U890" i="6"/>
  <c r="R890" i="6"/>
  <c r="O890" i="6"/>
  <c r="S890" i="6" s="1"/>
  <c r="H890" i="6"/>
  <c r="N890" i="6" s="1"/>
  <c r="F890" i="6"/>
  <c r="F891" i="6" s="1"/>
  <c r="F892" i="6" s="1"/>
  <c r="F893" i="6" s="1"/>
  <c r="F894" i="6" s="1"/>
  <c r="F895" i="6" s="1"/>
  <c r="F896" i="6" s="1"/>
  <c r="F897" i="6" s="1"/>
  <c r="F898" i="6" s="1"/>
  <c r="F899" i="6" s="1"/>
  <c r="F900" i="6" s="1"/>
  <c r="F901" i="6" s="1"/>
  <c r="F902" i="6" s="1"/>
  <c r="F903" i="6" s="1"/>
  <c r="F904" i="6" s="1"/>
  <c r="F905" i="6" s="1"/>
  <c r="F906" i="6" s="1"/>
  <c r="F907" i="6" s="1"/>
  <c r="F908" i="6" s="1"/>
  <c r="F909" i="6" s="1"/>
  <c r="F910" i="6" s="1"/>
  <c r="F911" i="6" s="1"/>
  <c r="F912" i="6" s="1"/>
  <c r="F913" i="6" s="1"/>
  <c r="F914" i="6" s="1"/>
  <c r="F915" i="6" s="1"/>
  <c r="AI889" i="6"/>
  <c r="AJ889" i="6" s="1"/>
  <c r="AM889" i="6" s="1"/>
  <c r="AN889" i="6" s="1"/>
  <c r="AP889" i="6" s="1"/>
  <c r="AH889" i="6"/>
  <c r="AO889" i="6" s="1"/>
  <c r="AG889" i="6"/>
  <c r="AC889" i="6"/>
  <c r="AD889" i="6" s="1"/>
  <c r="AB889" i="6"/>
  <c r="Z889" i="6"/>
  <c r="U889" i="6"/>
  <c r="R889" i="6"/>
  <c r="S889" i="6" s="1"/>
  <c r="O889" i="6"/>
  <c r="H889" i="6"/>
  <c r="F889" i="6"/>
  <c r="AO888" i="6"/>
  <c r="AI888" i="6"/>
  <c r="AJ888" i="6" s="1"/>
  <c r="AH888" i="6"/>
  <c r="AG888" i="6"/>
  <c r="AD888" i="6"/>
  <c r="AC888" i="6"/>
  <c r="AB888" i="6"/>
  <c r="Z888" i="6"/>
  <c r="U888" i="6"/>
  <c r="R888" i="6"/>
  <c r="O888" i="6"/>
  <c r="S888" i="6" s="1"/>
  <c r="N888" i="6"/>
  <c r="H888" i="6"/>
  <c r="AL888" i="6" s="1"/>
  <c r="AL887" i="6"/>
  <c r="AJ887" i="6"/>
  <c r="AI887" i="6"/>
  <c r="AH887" i="6"/>
  <c r="AG887" i="6"/>
  <c r="AO887" i="6" s="1"/>
  <c r="AD887" i="6"/>
  <c r="AB887" i="6"/>
  <c r="Z887" i="6"/>
  <c r="AC887" i="6" s="1"/>
  <c r="U887" i="6"/>
  <c r="R887" i="6"/>
  <c r="O887" i="6"/>
  <c r="S887" i="6" s="1"/>
  <c r="N887" i="6"/>
  <c r="H887" i="6"/>
  <c r="F887" i="6"/>
  <c r="F888" i="6" s="1"/>
  <c r="AI886" i="6"/>
  <c r="AJ886" i="6" s="1"/>
  <c r="AH886" i="6"/>
  <c r="AG886" i="6"/>
  <c r="AM886" i="6" s="1"/>
  <c r="AN886" i="6" s="1"/>
  <c r="AB886" i="6"/>
  <c r="Z886" i="6"/>
  <c r="AC886" i="6" s="1"/>
  <c r="U886" i="6"/>
  <c r="R886" i="6"/>
  <c r="O886" i="6"/>
  <c r="S886" i="6" s="1"/>
  <c r="H886" i="6"/>
  <c r="N886" i="6" s="1"/>
  <c r="F886" i="6"/>
  <c r="AD885" i="6"/>
  <c r="AB885" i="6"/>
  <c r="Z885" i="6"/>
  <c r="AC885" i="6" s="1"/>
  <c r="U885" i="6"/>
  <c r="R885" i="6"/>
  <c r="O885" i="6"/>
  <c r="S885" i="6" s="1"/>
  <c r="N885" i="6"/>
  <c r="H885" i="6"/>
  <c r="AC884" i="6"/>
  <c r="AD884" i="6" s="1"/>
  <c r="AB884" i="6"/>
  <c r="Z884" i="6"/>
  <c r="U884" i="6"/>
  <c r="S884" i="6"/>
  <c r="R884" i="6"/>
  <c r="O884" i="6"/>
  <c r="H884" i="6"/>
  <c r="N884" i="6" s="1"/>
  <c r="AC883" i="6"/>
  <c r="AB883" i="6"/>
  <c r="Z883" i="6"/>
  <c r="U883" i="6"/>
  <c r="R883" i="6"/>
  <c r="S883" i="6" s="1"/>
  <c r="O883" i="6"/>
  <c r="H883" i="6"/>
  <c r="N883" i="6" s="1"/>
  <c r="AB882" i="6"/>
  <c r="Z882" i="6"/>
  <c r="AC882" i="6" s="1"/>
  <c r="AD882" i="6" s="1"/>
  <c r="U882" i="6"/>
  <c r="R882" i="6"/>
  <c r="O882" i="6"/>
  <c r="H882" i="6"/>
  <c r="N882" i="6" s="1"/>
  <c r="AB881" i="6"/>
  <c r="Z881" i="6"/>
  <c r="AC881" i="6" s="1"/>
  <c r="AD881" i="6" s="1"/>
  <c r="U881" i="6"/>
  <c r="R881" i="6"/>
  <c r="O881" i="6"/>
  <c r="N881" i="6"/>
  <c r="H881" i="6"/>
  <c r="AC880" i="6"/>
  <c r="AD880" i="6" s="1"/>
  <c r="AB880" i="6"/>
  <c r="Z880" i="6"/>
  <c r="U880" i="6"/>
  <c r="S880" i="6"/>
  <c r="R880" i="6"/>
  <c r="O880" i="6"/>
  <c r="H880" i="6"/>
  <c r="N880" i="6" s="1"/>
  <c r="AD879" i="6"/>
  <c r="AC879" i="6"/>
  <c r="AB879" i="6"/>
  <c r="Z879" i="6"/>
  <c r="U879" i="6"/>
  <c r="R879" i="6"/>
  <c r="S879" i="6" s="1"/>
  <c r="O879" i="6"/>
  <c r="N879" i="6"/>
  <c r="H879" i="6"/>
  <c r="AB878" i="6"/>
  <c r="Z878" i="6"/>
  <c r="AC878" i="6" s="1"/>
  <c r="AD878" i="6" s="1"/>
  <c r="U878" i="6"/>
  <c r="R878" i="6"/>
  <c r="O878" i="6"/>
  <c r="S878" i="6" s="1"/>
  <c r="H878" i="6"/>
  <c r="N878" i="6" s="1"/>
  <c r="AB877" i="6"/>
  <c r="Z877" i="6"/>
  <c r="AC877" i="6" s="1"/>
  <c r="AD877" i="6" s="1"/>
  <c r="U877" i="6"/>
  <c r="R877" i="6"/>
  <c r="O877" i="6"/>
  <c r="S877" i="6" s="1"/>
  <c r="N877" i="6"/>
  <c r="H877" i="6"/>
  <c r="AC876" i="6"/>
  <c r="AD876" i="6" s="1"/>
  <c r="AB876" i="6"/>
  <c r="Z876" i="6"/>
  <c r="U876" i="6"/>
  <c r="S876" i="6"/>
  <c r="R876" i="6"/>
  <c r="O876" i="6"/>
  <c r="H876" i="6"/>
  <c r="N876" i="6" s="1"/>
  <c r="AC875" i="6"/>
  <c r="AB875" i="6"/>
  <c r="Z875" i="6"/>
  <c r="U875" i="6"/>
  <c r="S875" i="6"/>
  <c r="R875" i="6"/>
  <c r="O875" i="6"/>
  <c r="H875" i="6"/>
  <c r="N875" i="6" s="1"/>
  <c r="AC874" i="6"/>
  <c r="AD874" i="6" s="1"/>
  <c r="AB874" i="6"/>
  <c r="Z874" i="6"/>
  <c r="U874" i="6"/>
  <c r="R874" i="6"/>
  <c r="O874" i="6"/>
  <c r="S874" i="6" s="1"/>
  <c r="H874" i="6"/>
  <c r="N874" i="6" s="1"/>
  <c r="AB873" i="6"/>
  <c r="AD873" i="6" s="1"/>
  <c r="Z873" i="6"/>
  <c r="AC873" i="6" s="1"/>
  <c r="U873" i="6"/>
  <c r="R873" i="6"/>
  <c r="O873" i="6"/>
  <c r="S873" i="6" s="1"/>
  <c r="N873" i="6"/>
  <c r="H873" i="6"/>
  <c r="AB872" i="6"/>
  <c r="Z872" i="6"/>
  <c r="AC872" i="6" s="1"/>
  <c r="AD872" i="6" s="1"/>
  <c r="U872" i="6"/>
  <c r="S872" i="6"/>
  <c r="R872" i="6"/>
  <c r="O872" i="6"/>
  <c r="N872" i="6"/>
  <c r="H872" i="6"/>
  <c r="AC871" i="6"/>
  <c r="AD871" i="6" s="1"/>
  <c r="AB871" i="6"/>
  <c r="Z871" i="6"/>
  <c r="U871" i="6"/>
  <c r="R871" i="6"/>
  <c r="S871" i="6" s="1"/>
  <c r="O871" i="6"/>
  <c r="H871" i="6"/>
  <c r="N871" i="6" s="1"/>
  <c r="AC870" i="6"/>
  <c r="AB870" i="6"/>
  <c r="Z870" i="6"/>
  <c r="U870" i="6"/>
  <c r="R870" i="6"/>
  <c r="O870" i="6"/>
  <c r="S870" i="6" s="1"/>
  <c r="H870" i="6"/>
  <c r="N870" i="6" s="1"/>
  <c r="AD869" i="6"/>
  <c r="AB869" i="6"/>
  <c r="Z869" i="6"/>
  <c r="AC869" i="6" s="1"/>
  <c r="U869" i="6"/>
  <c r="R869" i="6"/>
  <c r="O869" i="6"/>
  <c r="S869" i="6" s="1"/>
  <c r="N869" i="6"/>
  <c r="H869" i="6"/>
  <c r="AC868" i="6"/>
  <c r="AD868" i="6" s="1"/>
  <c r="AB868" i="6"/>
  <c r="Z868" i="6"/>
  <c r="U868" i="6"/>
  <c r="R868" i="6"/>
  <c r="O868" i="6"/>
  <c r="S868" i="6" s="1"/>
  <c r="H868" i="6"/>
  <c r="N868" i="6" s="1"/>
  <c r="AC867" i="6"/>
  <c r="AD867" i="6" s="1"/>
  <c r="AB867" i="6"/>
  <c r="Z867" i="6"/>
  <c r="U867" i="6"/>
  <c r="S867" i="6"/>
  <c r="R867" i="6"/>
  <c r="O867" i="6"/>
  <c r="H867" i="6"/>
  <c r="N867" i="6" s="1"/>
  <c r="AB866" i="6"/>
  <c r="Z866" i="6"/>
  <c r="AC866" i="6" s="1"/>
  <c r="AD866" i="6" s="1"/>
  <c r="U866" i="6"/>
  <c r="S866" i="6"/>
  <c r="R866" i="6"/>
  <c r="O866" i="6"/>
  <c r="H866" i="6"/>
  <c r="N866" i="6" s="1"/>
  <c r="AB865" i="6"/>
  <c r="AD865" i="6" s="1"/>
  <c r="Z865" i="6"/>
  <c r="AC865" i="6" s="1"/>
  <c r="U865" i="6"/>
  <c r="R865" i="6"/>
  <c r="O865" i="6"/>
  <c r="S865" i="6" s="1"/>
  <c r="N865" i="6"/>
  <c r="H865" i="6"/>
  <c r="AI864" i="6"/>
  <c r="AJ864" i="6" s="1"/>
  <c r="AH864" i="6"/>
  <c r="AG864" i="6"/>
  <c r="AM864" i="6" s="1"/>
  <c r="AN864" i="6" s="1"/>
  <c r="AC864" i="6"/>
  <c r="AD864" i="6" s="1"/>
  <c r="AB864" i="6"/>
  <c r="Z864" i="6"/>
  <c r="U864" i="6"/>
  <c r="R864" i="6"/>
  <c r="O864" i="6"/>
  <c r="S864" i="6" s="1"/>
  <c r="H864" i="6"/>
  <c r="N864" i="6" s="1"/>
  <c r="F864" i="6"/>
  <c r="F865" i="6" s="1"/>
  <c r="F866" i="6" s="1"/>
  <c r="F867" i="6" s="1"/>
  <c r="F868" i="6" s="1"/>
  <c r="F869" i="6" s="1"/>
  <c r="F870" i="6" s="1"/>
  <c r="F871" i="6" s="1"/>
  <c r="F872" i="6" s="1"/>
  <c r="F873" i="6" s="1"/>
  <c r="F874" i="6" s="1"/>
  <c r="F875" i="6" s="1"/>
  <c r="F876" i="6" s="1"/>
  <c r="F877" i="6" s="1"/>
  <c r="F878" i="6" s="1"/>
  <c r="F879" i="6" s="1"/>
  <c r="F880" i="6" s="1"/>
  <c r="F881" i="6" s="1"/>
  <c r="F882" i="6" s="1"/>
  <c r="F883" i="6" s="1"/>
  <c r="F884" i="6" s="1"/>
  <c r="F885" i="6" s="1"/>
  <c r="AO863" i="6"/>
  <c r="AI863" i="6"/>
  <c r="AJ863" i="6" s="1"/>
  <c r="AM863" i="6" s="1"/>
  <c r="AN863" i="6" s="1"/>
  <c r="AP863" i="6" s="1"/>
  <c r="AH863" i="6"/>
  <c r="AG863" i="6"/>
  <c r="AC863" i="6"/>
  <c r="AD863" i="6" s="1"/>
  <c r="AB863" i="6"/>
  <c r="Z863" i="6"/>
  <c r="U863" i="6"/>
  <c r="R863" i="6"/>
  <c r="S863" i="6" s="1"/>
  <c r="O863" i="6"/>
  <c r="H863" i="6"/>
  <c r="AO862" i="6"/>
  <c r="AL862" i="6"/>
  <c r="AJ862" i="6"/>
  <c r="AI862" i="6"/>
  <c r="AH862" i="6"/>
  <c r="AG862" i="6"/>
  <c r="AB862" i="6"/>
  <c r="Z862" i="6"/>
  <c r="AC862" i="6" s="1"/>
  <c r="AD862" i="6" s="1"/>
  <c r="U862" i="6"/>
  <c r="S862" i="6"/>
  <c r="R862" i="6"/>
  <c r="O862" i="6"/>
  <c r="H862" i="6"/>
  <c r="N862" i="6" s="1"/>
  <c r="AO861" i="6"/>
  <c r="AL861" i="6"/>
  <c r="AJ861" i="6"/>
  <c r="AI861" i="6"/>
  <c r="AH861" i="6"/>
  <c r="AG861" i="6"/>
  <c r="AM861" i="6" s="1"/>
  <c r="AN861" i="6" s="1"/>
  <c r="AP861" i="6" s="1"/>
  <c r="AQ861" i="6" s="1"/>
  <c r="AD861" i="6"/>
  <c r="AB861" i="6"/>
  <c r="Z861" i="6"/>
  <c r="AC861" i="6" s="1"/>
  <c r="U861" i="6"/>
  <c r="R861" i="6"/>
  <c r="O861" i="6"/>
  <c r="N861" i="6"/>
  <c r="H861" i="6"/>
  <c r="F861" i="6"/>
  <c r="F862" i="6" s="1"/>
  <c r="F863" i="6" s="1"/>
  <c r="AI860" i="6"/>
  <c r="AJ860" i="6" s="1"/>
  <c r="AH860" i="6"/>
  <c r="AG860" i="6"/>
  <c r="AM860" i="6" s="1"/>
  <c r="AB860" i="6"/>
  <c r="Z860" i="6"/>
  <c r="U860" i="6"/>
  <c r="R860" i="6"/>
  <c r="O860" i="6"/>
  <c r="S860" i="6" s="1"/>
  <c r="H860" i="6"/>
  <c r="AL860" i="6" s="1"/>
  <c r="AL859" i="6"/>
  <c r="AJ859" i="6"/>
  <c r="AM859" i="6" s="1"/>
  <c r="AN859" i="6" s="1"/>
  <c r="AP859" i="6" s="1"/>
  <c r="AQ859" i="6" s="1"/>
  <c r="AI859" i="6"/>
  <c r="AH859" i="6"/>
  <c r="AO859" i="6" s="1"/>
  <c r="AG859" i="6"/>
  <c r="AB859" i="6"/>
  <c r="Z859" i="6"/>
  <c r="AC859" i="6" s="1"/>
  <c r="AD859" i="6" s="1"/>
  <c r="U859" i="6"/>
  <c r="R859" i="6"/>
  <c r="S859" i="6" s="1"/>
  <c r="O859" i="6"/>
  <c r="H859" i="6"/>
  <c r="N859" i="6" s="1"/>
  <c r="AJ858" i="6"/>
  <c r="AI858" i="6"/>
  <c r="AH858" i="6"/>
  <c r="AG858" i="6"/>
  <c r="AM858" i="6" s="1"/>
  <c r="AN858" i="6" s="1"/>
  <c r="AC858" i="6"/>
  <c r="AD858" i="6" s="1"/>
  <c r="AB858" i="6"/>
  <c r="Z858" i="6"/>
  <c r="U858" i="6"/>
  <c r="R858" i="6"/>
  <c r="O858" i="6"/>
  <c r="H858" i="6"/>
  <c r="AJ857" i="6"/>
  <c r="AM857" i="6" s="1"/>
  <c r="AN857" i="6" s="1"/>
  <c r="AP857" i="6" s="1"/>
  <c r="AI857" i="6"/>
  <c r="AH857" i="6"/>
  <c r="AG857" i="6"/>
  <c r="AO857" i="6" s="1"/>
  <c r="AC857" i="6"/>
  <c r="AB857" i="6"/>
  <c r="Z857" i="6"/>
  <c r="U857" i="6"/>
  <c r="R857" i="6"/>
  <c r="O857" i="6"/>
  <c r="S857" i="6" s="1"/>
  <c r="H857" i="6"/>
  <c r="F857" i="6"/>
  <c r="F858" i="6" s="1"/>
  <c r="F859" i="6" s="1"/>
  <c r="F860" i="6" s="1"/>
  <c r="AJ856" i="6"/>
  <c r="AI856" i="6"/>
  <c r="AH856" i="6"/>
  <c r="AG856" i="6"/>
  <c r="AB856" i="6"/>
  <c r="Z856" i="6"/>
  <c r="AC856" i="6" s="1"/>
  <c r="AD856" i="6" s="1"/>
  <c r="U856" i="6"/>
  <c r="R856" i="6"/>
  <c r="O856" i="6"/>
  <c r="S856" i="6" s="1"/>
  <c r="H856" i="6"/>
  <c r="N856" i="6" s="1"/>
  <c r="F856" i="6"/>
  <c r="AC855" i="6"/>
  <c r="AD855" i="6" s="1"/>
  <c r="AB855" i="6"/>
  <c r="Z855" i="6"/>
  <c r="U855" i="6"/>
  <c r="R855" i="6"/>
  <c r="O855" i="6"/>
  <c r="S855" i="6" s="1"/>
  <c r="H855" i="6"/>
  <c r="N855" i="6" s="1"/>
  <c r="AC854" i="6"/>
  <c r="AD854" i="6" s="1"/>
  <c r="AB854" i="6"/>
  <c r="Z854" i="6"/>
  <c r="U854" i="6"/>
  <c r="R854" i="6"/>
  <c r="O854" i="6"/>
  <c r="H854" i="6"/>
  <c r="N854" i="6" s="1"/>
  <c r="AB853" i="6"/>
  <c r="Z853" i="6"/>
  <c r="AC853" i="6" s="1"/>
  <c r="AD853" i="6" s="1"/>
  <c r="U853" i="6"/>
  <c r="R853" i="6"/>
  <c r="S853" i="6" s="1"/>
  <c r="O853" i="6"/>
  <c r="H853" i="6"/>
  <c r="N853" i="6" s="1"/>
  <c r="AD852" i="6"/>
  <c r="AC852" i="6"/>
  <c r="AB852" i="6"/>
  <c r="Z852" i="6"/>
  <c r="U852" i="6"/>
  <c r="R852" i="6"/>
  <c r="O852" i="6"/>
  <c r="S852" i="6" s="1"/>
  <c r="N852" i="6"/>
  <c r="H852" i="6"/>
  <c r="AD851" i="6"/>
  <c r="AB851" i="6"/>
  <c r="Z851" i="6"/>
  <c r="AC851" i="6" s="1"/>
  <c r="U851" i="6"/>
  <c r="S851" i="6"/>
  <c r="R851" i="6"/>
  <c r="O851" i="6"/>
  <c r="N851" i="6"/>
  <c r="H851" i="6"/>
  <c r="AB850" i="6"/>
  <c r="Z850" i="6"/>
  <c r="AC850" i="6" s="1"/>
  <c r="U850" i="6"/>
  <c r="S850" i="6"/>
  <c r="R850" i="6"/>
  <c r="O850" i="6"/>
  <c r="N850" i="6"/>
  <c r="H850" i="6"/>
  <c r="AC849" i="6"/>
  <c r="AB849" i="6"/>
  <c r="AD849" i="6" s="1"/>
  <c r="Z849" i="6"/>
  <c r="U849" i="6"/>
  <c r="R849" i="6"/>
  <c r="O849" i="6"/>
  <c r="S849" i="6" s="1"/>
  <c r="N849" i="6"/>
  <c r="H849" i="6"/>
  <c r="AB848" i="6"/>
  <c r="Z848" i="6"/>
  <c r="AC848" i="6" s="1"/>
  <c r="AD848" i="6" s="1"/>
  <c r="U848" i="6"/>
  <c r="S848" i="6"/>
  <c r="R848" i="6"/>
  <c r="O848" i="6"/>
  <c r="H848" i="6"/>
  <c r="N848" i="6" s="1"/>
  <c r="AC847" i="6"/>
  <c r="AB847" i="6"/>
  <c r="Z847" i="6"/>
  <c r="U847" i="6"/>
  <c r="R847" i="6"/>
  <c r="O847" i="6"/>
  <c r="S847" i="6" s="1"/>
  <c r="H847" i="6"/>
  <c r="N847" i="6" s="1"/>
  <c r="AC846" i="6"/>
  <c r="AD846" i="6" s="1"/>
  <c r="AB846" i="6"/>
  <c r="Z846" i="6"/>
  <c r="U846" i="6"/>
  <c r="R846" i="6"/>
  <c r="O846" i="6"/>
  <c r="H846" i="6"/>
  <c r="N846" i="6" s="1"/>
  <c r="AB845" i="6"/>
  <c r="Z845" i="6"/>
  <c r="AC845" i="6" s="1"/>
  <c r="AD845" i="6" s="1"/>
  <c r="U845" i="6"/>
  <c r="R845" i="6"/>
  <c r="S845" i="6" s="1"/>
  <c r="O845" i="6"/>
  <c r="H845" i="6"/>
  <c r="N845" i="6" s="1"/>
  <c r="AC844" i="6"/>
  <c r="AD844" i="6" s="1"/>
  <c r="AB844" i="6"/>
  <c r="Z844" i="6"/>
  <c r="U844" i="6"/>
  <c r="R844" i="6"/>
  <c r="O844" i="6"/>
  <c r="S844" i="6" s="1"/>
  <c r="N844" i="6"/>
  <c r="H844" i="6"/>
  <c r="AD843" i="6"/>
  <c r="AB843" i="6"/>
  <c r="Z843" i="6"/>
  <c r="AC843" i="6" s="1"/>
  <c r="U843" i="6"/>
  <c r="R843" i="6"/>
  <c r="S843" i="6" s="1"/>
  <c r="O843" i="6"/>
  <c r="N843" i="6"/>
  <c r="H843" i="6"/>
  <c r="AB842" i="6"/>
  <c r="Z842" i="6"/>
  <c r="AC842" i="6" s="1"/>
  <c r="U842" i="6"/>
  <c r="S842" i="6"/>
  <c r="R842" i="6"/>
  <c r="O842" i="6"/>
  <c r="N842" i="6"/>
  <c r="H842" i="6"/>
  <c r="AI841" i="6"/>
  <c r="AJ841" i="6" s="1"/>
  <c r="AH841" i="6"/>
  <c r="AG841" i="6"/>
  <c r="AM841" i="6" s="1"/>
  <c r="AN841" i="6" s="1"/>
  <c r="AD841" i="6"/>
  <c r="AB841" i="6"/>
  <c r="Z841" i="6"/>
  <c r="AC841" i="6" s="1"/>
  <c r="U841" i="6"/>
  <c r="S841" i="6"/>
  <c r="R841" i="6"/>
  <c r="O841" i="6"/>
  <c r="N841" i="6"/>
  <c r="H841" i="6"/>
  <c r="AO840" i="6"/>
  <c r="AI840" i="6"/>
  <c r="AJ840" i="6" s="1"/>
  <c r="AH840" i="6"/>
  <c r="AG840" i="6"/>
  <c r="AM840" i="6" s="1"/>
  <c r="AN840" i="6" s="1"/>
  <c r="AP840" i="6" s="1"/>
  <c r="AD840" i="6"/>
  <c r="AC840" i="6"/>
  <c r="AB840" i="6"/>
  <c r="Z840" i="6"/>
  <c r="U840" i="6"/>
  <c r="R840" i="6"/>
  <c r="O840" i="6"/>
  <c r="S840" i="6" s="1"/>
  <c r="H840" i="6"/>
  <c r="AL840" i="6" s="1"/>
  <c r="AL839" i="6"/>
  <c r="AJ839" i="6"/>
  <c r="AM839" i="6" s="1"/>
  <c r="AI839" i="6"/>
  <c r="AH839" i="6"/>
  <c r="AO839" i="6" s="1"/>
  <c r="AG839" i="6"/>
  <c r="AB839" i="6"/>
  <c r="Z839" i="6"/>
  <c r="AC839" i="6" s="1"/>
  <c r="AD839" i="6" s="1"/>
  <c r="U839" i="6"/>
  <c r="R839" i="6"/>
  <c r="S839" i="6" s="1"/>
  <c r="O839" i="6"/>
  <c r="H839" i="6"/>
  <c r="N839" i="6" s="1"/>
  <c r="AN838" i="6"/>
  <c r="AP838" i="6" s="1"/>
  <c r="AJ838" i="6"/>
  <c r="AI838" i="6"/>
  <c r="AH838" i="6"/>
  <c r="AO838" i="6" s="1"/>
  <c r="AG838" i="6"/>
  <c r="AM838" i="6" s="1"/>
  <c r="AC838" i="6"/>
  <c r="AD838" i="6" s="1"/>
  <c r="AB838" i="6"/>
  <c r="Z838" i="6"/>
  <c r="U838" i="6"/>
  <c r="R838" i="6"/>
  <c r="O838" i="6"/>
  <c r="H838" i="6"/>
  <c r="AJ837" i="6"/>
  <c r="AM837" i="6" s="1"/>
  <c r="AN837" i="6" s="1"/>
  <c r="AP837" i="6" s="1"/>
  <c r="AI837" i="6"/>
  <c r="AH837" i="6"/>
  <c r="AG837" i="6"/>
  <c r="AO837" i="6" s="1"/>
  <c r="AC837" i="6"/>
  <c r="AB837" i="6"/>
  <c r="Z837" i="6"/>
  <c r="U837" i="6"/>
  <c r="R837" i="6"/>
  <c r="O837" i="6"/>
  <c r="S837" i="6" s="1"/>
  <c r="H837" i="6"/>
  <c r="AJ836" i="6"/>
  <c r="AI836" i="6"/>
  <c r="AH836" i="6"/>
  <c r="AG836" i="6"/>
  <c r="AB836" i="6"/>
  <c r="Z836" i="6"/>
  <c r="AC836" i="6" s="1"/>
  <c r="AD836" i="6" s="1"/>
  <c r="U836" i="6"/>
  <c r="S836" i="6"/>
  <c r="R836" i="6"/>
  <c r="O836" i="6"/>
  <c r="H836" i="6"/>
  <c r="N836" i="6" s="1"/>
  <c r="AI835" i="6"/>
  <c r="AJ835" i="6" s="1"/>
  <c r="AM835" i="6" s="1"/>
  <c r="AN835" i="6" s="1"/>
  <c r="AP835" i="6" s="1"/>
  <c r="AQ835" i="6" s="1"/>
  <c r="AH835" i="6"/>
  <c r="AG835" i="6"/>
  <c r="AO835" i="6" s="1"/>
  <c r="AC835" i="6"/>
  <c r="AB835" i="6"/>
  <c r="AD835" i="6" s="1"/>
  <c r="Z835" i="6"/>
  <c r="U835" i="6"/>
  <c r="R835" i="6"/>
  <c r="O835" i="6"/>
  <c r="S835" i="6" s="1"/>
  <c r="N835" i="6"/>
  <c r="H835" i="6"/>
  <c r="AL835" i="6" s="1"/>
  <c r="AO834" i="6"/>
  <c r="AL834" i="6"/>
  <c r="AI834" i="6"/>
  <c r="AJ834" i="6" s="1"/>
  <c r="AM834" i="6" s="1"/>
  <c r="AN834" i="6" s="1"/>
  <c r="AP834" i="6" s="1"/>
  <c r="AH834" i="6"/>
  <c r="AG834" i="6"/>
  <c r="AB834" i="6"/>
  <c r="Z834" i="6"/>
  <c r="AC834" i="6" s="1"/>
  <c r="U834" i="6"/>
  <c r="S834" i="6"/>
  <c r="R834" i="6"/>
  <c r="O834" i="6"/>
  <c r="N834" i="6"/>
  <c r="H834" i="6"/>
  <c r="F834" i="6"/>
  <c r="F835" i="6" s="1"/>
  <c r="F836" i="6" s="1"/>
  <c r="F837" i="6" s="1"/>
  <c r="F838" i="6" s="1"/>
  <c r="F839" i="6" s="1"/>
  <c r="F840" i="6" s="1"/>
  <c r="F841" i="6" s="1"/>
  <c r="F842" i="6" s="1"/>
  <c r="F843" i="6" s="1"/>
  <c r="F844" i="6" s="1"/>
  <c r="F845" i="6" s="1"/>
  <c r="F846" i="6" s="1"/>
  <c r="F847" i="6" s="1"/>
  <c r="F848" i="6" s="1"/>
  <c r="F849" i="6" s="1"/>
  <c r="F850" i="6" s="1"/>
  <c r="F851" i="6" s="1"/>
  <c r="F852" i="6" s="1"/>
  <c r="F853" i="6" s="1"/>
  <c r="F854" i="6" s="1"/>
  <c r="F855" i="6" s="1"/>
  <c r="AC833" i="6"/>
  <c r="AB833" i="6"/>
  <c r="AD833" i="6" s="1"/>
  <c r="Z833" i="6"/>
  <c r="U833" i="6"/>
  <c r="R833" i="6"/>
  <c r="O833" i="6"/>
  <c r="S833" i="6" s="1"/>
  <c r="N833" i="6"/>
  <c r="H833" i="6"/>
  <c r="AB832" i="6"/>
  <c r="Z832" i="6"/>
  <c r="AC832" i="6" s="1"/>
  <c r="AD832" i="6" s="1"/>
  <c r="U832" i="6"/>
  <c r="S832" i="6"/>
  <c r="R832" i="6"/>
  <c r="O832" i="6"/>
  <c r="H832" i="6"/>
  <c r="N832" i="6" s="1"/>
  <c r="AC831" i="6"/>
  <c r="AD831" i="6" s="1"/>
  <c r="AB831" i="6"/>
  <c r="Z831" i="6"/>
  <c r="U831" i="6"/>
  <c r="R831" i="6"/>
  <c r="O831" i="6"/>
  <c r="S831" i="6" s="1"/>
  <c r="H831" i="6"/>
  <c r="N831" i="6" s="1"/>
  <c r="AC830" i="6"/>
  <c r="AD830" i="6" s="1"/>
  <c r="AB830" i="6"/>
  <c r="Z830" i="6"/>
  <c r="U830" i="6"/>
  <c r="R830" i="6"/>
  <c r="O830" i="6"/>
  <c r="S830" i="6" s="1"/>
  <c r="H830" i="6"/>
  <c r="N830" i="6" s="1"/>
  <c r="AB829" i="6"/>
  <c r="Z829" i="6"/>
  <c r="AC829" i="6" s="1"/>
  <c r="AD829" i="6" s="1"/>
  <c r="U829" i="6"/>
  <c r="R829" i="6"/>
  <c r="S829" i="6" s="1"/>
  <c r="O829" i="6"/>
  <c r="H829" i="6"/>
  <c r="N829" i="6" s="1"/>
  <c r="AB828" i="6"/>
  <c r="Z828" i="6"/>
  <c r="AC828" i="6" s="1"/>
  <c r="AD828" i="6" s="1"/>
  <c r="U828" i="6"/>
  <c r="R828" i="6"/>
  <c r="O828" i="6"/>
  <c r="N828" i="6"/>
  <c r="H828" i="6"/>
  <c r="AB827" i="6"/>
  <c r="Z827" i="6"/>
  <c r="AC827" i="6" s="1"/>
  <c r="AD827" i="6" s="1"/>
  <c r="U827" i="6"/>
  <c r="R827" i="6"/>
  <c r="S827" i="6" s="1"/>
  <c r="O827" i="6"/>
  <c r="N827" i="6"/>
  <c r="H827" i="6"/>
  <c r="AB826" i="6"/>
  <c r="Z826" i="6"/>
  <c r="AC826" i="6" s="1"/>
  <c r="U826" i="6"/>
  <c r="S826" i="6"/>
  <c r="R826" i="6"/>
  <c r="O826" i="6"/>
  <c r="N826" i="6"/>
  <c r="H826" i="6"/>
  <c r="AD825" i="6"/>
  <c r="AC825" i="6"/>
  <c r="AB825" i="6"/>
  <c r="Z825" i="6"/>
  <c r="U825" i="6"/>
  <c r="R825" i="6"/>
  <c r="O825" i="6"/>
  <c r="S825" i="6" s="1"/>
  <c r="N825" i="6"/>
  <c r="H825" i="6"/>
  <c r="AB824" i="6"/>
  <c r="Z824" i="6"/>
  <c r="AC824" i="6" s="1"/>
  <c r="U824" i="6"/>
  <c r="R824" i="6"/>
  <c r="O824" i="6"/>
  <c r="S824" i="6" s="1"/>
  <c r="H824" i="6"/>
  <c r="N824" i="6" s="1"/>
  <c r="AB823" i="6"/>
  <c r="Z823" i="6"/>
  <c r="AC823" i="6" s="1"/>
  <c r="AD823" i="6" s="1"/>
  <c r="U823" i="6"/>
  <c r="R823" i="6"/>
  <c r="O823" i="6"/>
  <c r="S823" i="6" s="1"/>
  <c r="N823" i="6"/>
  <c r="H823" i="6"/>
  <c r="AD822" i="6"/>
  <c r="AC822" i="6"/>
  <c r="AB822" i="6"/>
  <c r="Z822" i="6"/>
  <c r="U822" i="6"/>
  <c r="S822" i="6"/>
  <c r="R822" i="6"/>
  <c r="O822" i="6"/>
  <c r="N822" i="6"/>
  <c r="H822" i="6"/>
  <c r="AC821" i="6"/>
  <c r="AB821" i="6"/>
  <c r="Z821" i="6"/>
  <c r="U821" i="6"/>
  <c r="S821" i="6"/>
  <c r="R821" i="6"/>
  <c r="O821" i="6"/>
  <c r="H821" i="6"/>
  <c r="N821" i="6" s="1"/>
  <c r="AD820" i="6"/>
  <c r="AC820" i="6"/>
  <c r="AB820" i="6"/>
  <c r="Z820" i="6"/>
  <c r="U820" i="6"/>
  <c r="R820" i="6"/>
  <c r="O820" i="6"/>
  <c r="H820" i="6"/>
  <c r="N820" i="6" s="1"/>
  <c r="AI819" i="6"/>
  <c r="AJ819" i="6" s="1"/>
  <c r="AM819" i="6" s="1"/>
  <c r="AN819" i="6" s="1"/>
  <c r="AH819" i="6"/>
  <c r="AG819" i="6"/>
  <c r="AC819" i="6"/>
  <c r="AD819" i="6" s="1"/>
  <c r="AB819" i="6"/>
  <c r="Z819" i="6"/>
  <c r="U819" i="6"/>
  <c r="R819" i="6"/>
  <c r="S819" i="6" s="1"/>
  <c r="O819" i="6"/>
  <c r="H819" i="6"/>
  <c r="N819" i="6" s="1"/>
  <c r="AI818" i="6"/>
  <c r="AJ818" i="6" s="1"/>
  <c r="AH818" i="6"/>
  <c r="AG818" i="6"/>
  <c r="AO818" i="6" s="1"/>
  <c r="AD818" i="6"/>
  <c r="AC818" i="6"/>
  <c r="AB818" i="6"/>
  <c r="Z818" i="6"/>
  <c r="U818" i="6"/>
  <c r="S818" i="6"/>
  <c r="R818" i="6"/>
  <c r="O818" i="6"/>
  <c r="N818" i="6"/>
  <c r="H818" i="6"/>
  <c r="AN817" i="6"/>
  <c r="AP817" i="6" s="1"/>
  <c r="AQ817" i="6" s="1"/>
  <c r="AM817" i="6"/>
  <c r="AL817" i="6"/>
  <c r="AJ817" i="6"/>
  <c r="AI817" i="6"/>
  <c r="AH817" i="6"/>
  <c r="AG817" i="6"/>
  <c r="AO817" i="6" s="1"/>
  <c r="AC817" i="6"/>
  <c r="AD817" i="6" s="1"/>
  <c r="AB817" i="6"/>
  <c r="Z817" i="6"/>
  <c r="U817" i="6"/>
  <c r="R817" i="6"/>
  <c r="O817" i="6"/>
  <c r="S817" i="6" s="1"/>
  <c r="N817" i="6"/>
  <c r="H817" i="6"/>
  <c r="AI816" i="6"/>
  <c r="AJ816" i="6" s="1"/>
  <c r="AH816" i="6"/>
  <c r="AG816" i="6"/>
  <c r="AM816" i="6" s="1"/>
  <c r="AN816" i="6" s="1"/>
  <c r="AB816" i="6"/>
  <c r="Z816" i="6"/>
  <c r="AC816" i="6" s="1"/>
  <c r="U816" i="6"/>
  <c r="R816" i="6"/>
  <c r="O816" i="6"/>
  <c r="S816" i="6" s="1"/>
  <c r="N816" i="6"/>
  <c r="H816" i="6"/>
  <c r="AI815" i="6"/>
  <c r="AJ815" i="6" s="1"/>
  <c r="AH815" i="6"/>
  <c r="AO815" i="6" s="1"/>
  <c r="AG815" i="6"/>
  <c r="AM815" i="6" s="1"/>
  <c r="AN815" i="6" s="1"/>
  <c r="AC815" i="6"/>
  <c r="AD815" i="6" s="1"/>
  <c r="AB815" i="6"/>
  <c r="Z815" i="6"/>
  <c r="U815" i="6"/>
  <c r="R815" i="6"/>
  <c r="O815" i="6"/>
  <c r="S815" i="6" s="1"/>
  <c r="H815" i="6"/>
  <c r="N815" i="6" s="1"/>
  <c r="AO814" i="6"/>
  <c r="AL814" i="6"/>
  <c r="AJ814" i="6"/>
  <c r="AM814" i="6" s="1"/>
  <c r="AN814" i="6" s="1"/>
  <c r="AP814" i="6" s="1"/>
  <c r="AI814" i="6"/>
  <c r="AH814" i="6"/>
  <c r="AG814" i="6"/>
  <c r="AB814" i="6"/>
  <c r="Z814" i="6"/>
  <c r="AC814" i="6" s="1"/>
  <c r="AD814" i="6" s="1"/>
  <c r="U814" i="6"/>
  <c r="S814" i="6"/>
  <c r="R814" i="6"/>
  <c r="O814" i="6"/>
  <c r="H814" i="6"/>
  <c r="N814" i="6" s="1"/>
  <c r="AJ813" i="6"/>
  <c r="AI813" i="6"/>
  <c r="AH813" i="6"/>
  <c r="AO813" i="6" s="1"/>
  <c r="AG813" i="6"/>
  <c r="AM813" i="6" s="1"/>
  <c r="AD813" i="6"/>
  <c r="AB813" i="6"/>
  <c r="Z813" i="6"/>
  <c r="AC813" i="6" s="1"/>
  <c r="U813" i="6"/>
  <c r="R813" i="6"/>
  <c r="O813" i="6"/>
  <c r="S813" i="6" s="1"/>
  <c r="H813" i="6"/>
  <c r="F813" i="6"/>
  <c r="F814" i="6" s="1"/>
  <c r="F815" i="6" s="1"/>
  <c r="F816" i="6" s="1"/>
  <c r="F817" i="6" s="1"/>
  <c r="F818" i="6" s="1"/>
  <c r="F819" i="6" s="1"/>
  <c r="F820" i="6" s="1"/>
  <c r="F821" i="6" s="1"/>
  <c r="F822" i="6" s="1"/>
  <c r="F823" i="6" s="1"/>
  <c r="F824" i="6" s="1"/>
  <c r="F825" i="6" s="1"/>
  <c r="F826" i="6" s="1"/>
  <c r="F827" i="6" s="1"/>
  <c r="F828" i="6" s="1"/>
  <c r="F829" i="6" s="1"/>
  <c r="F830" i="6" s="1"/>
  <c r="F831" i="6" s="1"/>
  <c r="F832" i="6" s="1"/>
  <c r="F833" i="6" s="1"/>
  <c r="AJ812" i="6"/>
  <c r="AI812" i="6"/>
  <c r="AH812" i="6"/>
  <c r="AO812" i="6" s="1"/>
  <c r="AG812" i="6"/>
  <c r="AM812" i="6" s="1"/>
  <c r="AN812" i="6" s="1"/>
  <c r="AP812" i="6" s="1"/>
  <c r="AB812" i="6"/>
  <c r="Z812" i="6"/>
  <c r="AC812" i="6" s="1"/>
  <c r="AD812" i="6" s="1"/>
  <c r="U812" i="6"/>
  <c r="S812" i="6"/>
  <c r="R812" i="6"/>
  <c r="O812" i="6"/>
  <c r="N812" i="6"/>
  <c r="H812" i="6"/>
  <c r="F812" i="6"/>
  <c r="AC811" i="6"/>
  <c r="AB811" i="6"/>
  <c r="Z811" i="6"/>
  <c r="U811" i="6"/>
  <c r="R811" i="6"/>
  <c r="O811" i="6"/>
  <c r="S811" i="6" s="1"/>
  <c r="H811" i="6"/>
  <c r="N811" i="6" s="1"/>
  <c r="AC810" i="6"/>
  <c r="AD810" i="6" s="1"/>
  <c r="AB810" i="6"/>
  <c r="Z810" i="6"/>
  <c r="U810" i="6"/>
  <c r="R810" i="6"/>
  <c r="O810" i="6"/>
  <c r="S810" i="6" s="1"/>
  <c r="H810" i="6"/>
  <c r="N810" i="6" s="1"/>
  <c r="AB809" i="6"/>
  <c r="Z809" i="6"/>
  <c r="AC809" i="6" s="1"/>
  <c r="AD809" i="6" s="1"/>
  <c r="U809" i="6"/>
  <c r="R809" i="6"/>
  <c r="S809" i="6" s="1"/>
  <c r="O809" i="6"/>
  <c r="H809" i="6"/>
  <c r="N809" i="6" s="1"/>
  <c r="AC808" i="6"/>
  <c r="AD808" i="6" s="1"/>
  <c r="AB808" i="6"/>
  <c r="Z808" i="6"/>
  <c r="U808" i="6"/>
  <c r="R808" i="6"/>
  <c r="O808" i="6"/>
  <c r="S808" i="6" s="1"/>
  <c r="H808" i="6"/>
  <c r="N808" i="6" s="1"/>
  <c r="AB807" i="6"/>
  <c r="Z807" i="6"/>
  <c r="AC807" i="6" s="1"/>
  <c r="AD807" i="6" s="1"/>
  <c r="U807" i="6"/>
  <c r="S807" i="6"/>
  <c r="R807" i="6"/>
  <c r="O807" i="6"/>
  <c r="N807" i="6"/>
  <c r="H807" i="6"/>
  <c r="AB806" i="6"/>
  <c r="Z806" i="6"/>
  <c r="AC806" i="6" s="1"/>
  <c r="U806" i="6"/>
  <c r="S806" i="6"/>
  <c r="R806" i="6"/>
  <c r="O806" i="6"/>
  <c r="N806" i="6"/>
  <c r="H806" i="6"/>
  <c r="AD805" i="6"/>
  <c r="AC805" i="6"/>
  <c r="AB805" i="6"/>
  <c r="Z805" i="6"/>
  <c r="U805" i="6"/>
  <c r="R805" i="6"/>
  <c r="O805" i="6"/>
  <c r="S805" i="6" s="1"/>
  <c r="N805" i="6"/>
  <c r="H805" i="6"/>
  <c r="AB804" i="6"/>
  <c r="Z804" i="6"/>
  <c r="AC804" i="6" s="1"/>
  <c r="AD804" i="6" s="1"/>
  <c r="U804" i="6"/>
  <c r="S804" i="6"/>
  <c r="R804" i="6"/>
  <c r="O804" i="6"/>
  <c r="N804" i="6"/>
  <c r="H804" i="6"/>
  <c r="AC803" i="6"/>
  <c r="AB803" i="6"/>
  <c r="Z803" i="6"/>
  <c r="U803" i="6"/>
  <c r="R803" i="6"/>
  <c r="O803" i="6"/>
  <c r="S803" i="6" s="1"/>
  <c r="H803" i="6"/>
  <c r="N803" i="6" s="1"/>
  <c r="AC802" i="6"/>
  <c r="AD802" i="6" s="1"/>
  <c r="AB802" i="6"/>
  <c r="Z802" i="6"/>
  <c r="U802" i="6"/>
  <c r="R802" i="6"/>
  <c r="O802" i="6"/>
  <c r="S802" i="6" s="1"/>
  <c r="H802" i="6"/>
  <c r="N802" i="6" s="1"/>
  <c r="AB801" i="6"/>
  <c r="Z801" i="6"/>
  <c r="AC801" i="6" s="1"/>
  <c r="AD801" i="6" s="1"/>
  <c r="U801" i="6"/>
  <c r="R801" i="6"/>
  <c r="S801" i="6" s="1"/>
  <c r="O801" i="6"/>
  <c r="H801" i="6"/>
  <c r="N801" i="6" s="1"/>
  <c r="AC800" i="6"/>
  <c r="AD800" i="6" s="1"/>
  <c r="AB800" i="6"/>
  <c r="Z800" i="6"/>
  <c r="U800" i="6"/>
  <c r="R800" i="6"/>
  <c r="O800" i="6"/>
  <c r="S800" i="6" s="1"/>
  <c r="H800" i="6"/>
  <c r="N800" i="6" s="1"/>
  <c r="AL799" i="6"/>
  <c r="AJ799" i="6"/>
  <c r="AM799" i="6" s="1"/>
  <c r="AN799" i="6" s="1"/>
  <c r="AI799" i="6"/>
  <c r="AH799" i="6"/>
  <c r="AO799" i="6" s="1"/>
  <c r="AG799" i="6"/>
  <c r="AB799" i="6"/>
  <c r="Z799" i="6"/>
  <c r="AC799" i="6" s="1"/>
  <c r="AD799" i="6" s="1"/>
  <c r="U799" i="6"/>
  <c r="R799" i="6"/>
  <c r="S799" i="6" s="1"/>
  <c r="O799" i="6"/>
  <c r="H799" i="6"/>
  <c r="N799" i="6" s="1"/>
  <c r="AJ798" i="6"/>
  <c r="AI798" i="6"/>
  <c r="AH798" i="6"/>
  <c r="AG798" i="6"/>
  <c r="AM798" i="6" s="1"/>
  <c r="AN798" i="6" s="1"/>
  <c r="AC798" i="6"/>
  <c r="AD798" i="6" s="1"/>
  <c r="AB798" i="6"/>
  <c r="Z798" i="6"/>
  <c r="U798" i="6"/>
  <c r="R798" i="6"/>
  <c r="O798" i="6"/>
  <c r="H798" i="6"/>
  <c r="AL798" i="6" s="1"/>
  <c r="AN797" i="6"/>
  <c r="AP797" i="6" s="1"/>
  <c r="AM797" i="6"/>
  <c r="AJ797" i="6"/>
  <c r="AI797" i="6"/>
  <c r="AH797" i="6"/>
  <c r="AG797" i="6"/>
  <c r="AO797" i="6" s="1"/>
  <c r="AC797" i="6"/>
  <c r="AB797" i="6"/>
  <c r="Z797" i="6"/>
  <c r="U797" i="6"/>
  <c r="R797" i="6"/>
  <c r="O797" i="6"/>
  <c r="S797" i="6" s="1"/>
  <c r="H797" i="6"/>
  <c r="AI796" i="6"/>
  <c r="AJ796" i="6" s="1"/>
  <c r="AH796" i="6"/>
  <c r="AO796" i="6" s="1"/>
  <c r="AG796" i="6"/>
  <c r="AB796" i="6"/>
  <c r="Z796" i="6"/>
  <c r="AC796" i="6" s="1"/>
  <c r="AD796" i="6" s="1"/>
  <c r="U796" i="6"/>
  <c r="S796" i="6"/>
  <c r="R796" i="6"/>
  <c r="O796" i="6"/>
  <c r="H796" i="6"/>
  <c r="N796" i="6" s="1"/>
  <c r="AI795" i="6"/>
  <c r="AJ795" i="6" s="1"/>
  <c r="AH795" i="6"/>
  <c r="AG795" i="6"/>
  <c r="AO795" i="6" s="1"/>
  <c r="AD795" i="6"/>
  <c r="AC795" i="6"/>
  <c r="AB795" i="6"/>
  <c r="Z795" i="6"/>
  <c r="U795" i="6"/>
  <c r="R795" i="6"/>
  <c r="O795" i="6"/>
  <c r="S795" i="6" s="1"/>
  <c r="N795" i="6"/>
  <c r="H795" i="6"/>
  <c r="AL795" i="6" s="1"/>
  <c r="AO794" i="6"/>
  <c r="AM794" i="6"/>
  <c r="AN794" i="6" s="1"/>
  <c r="AP794" i="6" s="1"/>
  <c r="AQ794" i="6" s="1"/>
  <c r="AL794" i="6"/>
  <c r="AI794" i="6"/>
  <c r="AJ794" i="6" s="1"/>
  <c r="AH794" i="6"/>
  <c r="AG794" i="6"/>
  <c r="AB794" i="6"/>
  <c r="Z794" i="6"/>
  <c r="AC794" i="6" s="1"/>
  <c r="U794" i="6"/>
  <c r="S794" i="6"/>
  <c r="R794" i="6"/>
  <c r="O794" i="6"/>
  <c r="N794" i="6"/>
  <c r="H794" i="6"/>
  <c r="AI793" i="6"/>
  <c r="AJ793" i="6" s="1"/>
  <c r="AH793" i="6"/>
  <c r="AG793" i="6"/>
  <c r="AB793" i="6"/>
  <c r="Z793" i="6"/>
  <c r="AC793" i="6" s="1"/>
  <c r="AD793" i="6" s="1"/>
  <c r="U793" i="6"/>
  <c r="S793" i="6"/>
  <c r="R793" i="6"/>
  <c r="O793" i="6"/>
  <c r="N793" i="6"/>
  <c r="H793" i="6"/>
  <c r="AO792" i="6"/>
  <c r="AN792" i="6"/>
  <c r="AP792" i="6" s="1"/>
  <c r="AQ792" i="6" s="1"/>
  <c r="AI792" i="6"/>
  <c r="AJ792" i="6" s="1"/>
  <c r="AM792" i="6" s="1"/>
  <c r="AH792" i="6"/>
  <c r="AG792" i="6"/>
  <c r="AC792" i="6"/>
  <c r="AD792" i="6" s="1"/>
  <c r="AB792" i="6"/>
  <c r="Z792" i="6"/>
  <c r="U792" i="6"/>
  <c r="R792" i="6"/>
  <c r="O792" i="6"/>
  <c r="S792" i="6" s="1"/>
  <c r="H792" i="6"/>
  <c r="AL792" i="6" s="1"/>
  <c r="AB791" i="6"/>
  <c r="Z791" i="6"/>
  <c r="AC791" i="6" s="1"/>
  <c r="AD791" i="6" s="1"/>
  <c r="U791" i="6"/>
  <c r="S791" i="6"/>
  <c r="R791" i="6"/>
  <c r="O791" i="6"/>
  <c r="N791" i="6"/>
  <c r="H791" i="6"/>
  <c r="AB790" i="6"/>
  <c r="Z790" i="6"/>
  <c r="AC790" i="6" s="1"/>
  <c r="U790" i="6"/>
  <c r="S790" i="6"/>
  <c r="R790" i="6"/>
  <c r="O790" i="6"/>
  <c r="N790" i="6"/>
  <c r="H790" i="6"/>
  <c r="AD789" i="6"/>
  <c r="AC789" i="6"/>
  <c r="AB789" i="6"/>
  <c r="Z789" i="6"/>
  <c r="U789" i="6"/>
  <c r="R789" i="6"/>
  <c r="O789" i="6"/>
  <c r="S789" i="6" s="1"/>
  <c r="N789" i="6"/>
  <c r="H789" i="6"/>
  <c r="AB788" i="6"/>
  <c r="Z788" i="6"/>
  <c r="AC788" i="6" s="1"/>
  <c r="AD788" i="6" s="1"/>
  <c r="U788" i="6"/>
  <c r="S788" i="6"/>
  <c r="R788" i="6"/>
  <c r="O788" i="6"/>
  <c r="H788" i="6"/>
  <c r="N788" i="6" s="1"/>
  <c r="AC787" i="6"/>
  <c r="AD787" i="6" s="1"/>
  <c r="AB787" i="6"/>
  <c r="Z787" i="6"/>
  <c r="U787" i="6"/>
  <c r="R787" i="6"/>
  <c r="O787" i="6"/>
  <c r="S787" i="6" s="1"/>
  <c r="H787" i="6"/>
  <c r="N787" i="6" s="1"/>
  <c r="F787" i="6"/>
  <c r="F788" i="6" s="1"/>
  <c r="F789" i="6" s="1"/>
  <c r="F790" i="6" s="1"/>
  <c r="F791" i="6" s="1"/>
  <c r="F792" i="6" s="1"/>
  <c r="F793" i="6" s="1"/>
  <c r="F794" i="6" s="1"/>
  <c r="F795" i="6" s="1"/>
  <c r="F796" i="6" s="1"/>
  <c r="F797" i="6" s="1"/>
  <c r="F798" i="6" s="1"/>
  <c r="F799" i="6" s="1"/>
  <c r="F800" i="6" s="1"/>
  <c r="F801" i="6" s="1"/>
  <c r="F802" i="6" s="1"/>
  <c r="F803" i="6" s="1"/>
  <c r="F804" i="6" s="1"/>
  <c r="F805" i="6" s="1"/>
  <c r="F806" i="6" s="1"/>
  <c r="F807" i="6" s="1"/>
  <c r="F808" i="6" s="1"/>
  <c r="F809" i="6" s="1"/>
  <c r="F810" i="6" s="1"/>
  <c r="F811" i="6" s="1"/>
  <c r="AC786" i="6"/>
  <c r="AD786" i="6" s="1"/>
  <c r="AB786" i="6"/>
  <c r="Z786" i="6"/>
  <c r="U786" i="6"/>
  <c r="R786" i="6"/>
  <c r="O786" i="6"/>
  <c r="H786" i="6"/>
  <c r="N786" i="6" s="1"/>
  <c r="AB785" i="6"/>
  <c r="Z785" i="6"/>
  <c r="AC785" i="6" s="1"/>
  <c r="AD785" i="6" s="1"/>
  <c r="U785" i="6"/>
  <c r="R785" i="6"/>
  <c r="S785" i="6" s="1"/>
  <c r="O785" i="6"/>
  <c r="H785" i="6"/>
  <c r="N785" i="6" s="1"/>
  <c r="AC784" i="6"/>
  <c r="AD784" i="6" s="1"/>
  <c r="AB784" i="6"/>
  <c r="Z784" i="6"/>
  <c r="U784" i="6"/>
  <c r="R784" i="6"/>
  <c r="O784" i="6"/>
  <c r="S784" i="6" s="1"/>
  <c r="N784" i="6"/>
  <c r="H784" i="6"/>
  <c r="F784" i="6"/>
  <c r="F785" i="6" s="1"/>
  <c r="F786" i="6" s="1"/>
  <c r="AJ783" i="6"/>
  <c r="AM783" i="6" s="1"/>
  <c r="AI783" i="6"/>
  <c r="AH783" i="6"/>
  <c r="AO783" i="6" s="1"/>
  <c r="AG783" i="6"/>
  <c r="AB783" i="6"/>
  <c r="Z783" i="6"/>
  <c r="AC783" i="6" s="1"/>
  <c r="AD783" i="6" s="1"/>
  <c r="U783" i="6"/>
  <c r="R783" i="6"/>
  <c r="S783" i="6" s="1"/>
  <c r="O783" i="6"/>
  <c r="H783" i="6"/>
  <c r="N783" i="6" s="1"/>
  <c r="F783" i="6"/>
  <c r="AJ782" i="6"/>
  <c r="AI782" i="6"/>
  <c r="AH782" i="6"/>
  <c r="AG782" i="6"/>
  <c r="AM782" i="6" s="1"/>
  <c r="AN782" i="6" s="1"/>
  <c r="AC782" i="6"/>
  <c r="AD782" i="6" s="1"/>
  <c r="AB782" i="6"/>
  <c r="Z782" i="6"/>
  <c r="U782" i="6"/>
  <c r="R782" i="6"/>
  <c r="O782" i="6"/>
  <c r="H782" i="6"/>
  <c r="F782" i="6"/>
  <c r="AB781" i="6"/>
  <c r="Z781" i="6"/>
  <c r="AC781" i="6" s="1"/>
  <c r="AD781" i="6" s="1"/>
  <c r="U781" i="6"/>
  <c r="R781" i="6"/>
  <c r="S781" i="6" s="1"/>
  <c r="O781" i="6"/>
  <c r="H781" i="6"/>
  <c r="N781" i="6" s="1"/>
  <c r="AC780" i="6"/>
  <c r="AD780" i="6" s="1"/>
  <c r="AB780" i="6"/>
  <c r="Z780" i="6"/>
  <c r="U780" i="6"/>
  <c r="R780" i="6"/>
  <c r="O780" i="6"/>
  <c r="S780" i="6" s="1"/>
  <c r="N780" i="6"/>
  <c r="H780" i="6"/>
  <c r="AD779" i="6"/>
  <c r="AB779" i="6"/>
  <c r="Z779" i="6"/>
  <c r="AC779" i="6" s="1"/>
  <c r="U779" i="6"/>
  <c r="R779" i="6"/>
  <c r="S779" i="6" s="1"/>
  <c r="O779" i="6"/>
  <c r="N779" i="6"/>
  <c r="H779" i="6"/>
  <c r="AB778" i="6"/>
  <c r="Z778" i="6"/>
  <c r="AC778" i="6" s="1"/>
  <c r="U778" i="6"/>
  <c r="S778" i="6"/>
  <c r="R778" i="6"/>
  <c r="O778" i="6"/>
  <c r="N778" i="6"/>
  <c r="H778" i="6"/>
  <c r="AC777" i="6"/>
  <c r="AB777" i="6"/>
  <c r="AD777" i="6" s="1"/>
  <c r="Z777" i="6"/>
  <c r="U777" i="6"/>
  <c r="R777" i="6"/>
  <c r="O777" i="6"/>
  <c r="S777" i="6" s="1"/>
  <c r="N777" i="6"/>
  <c r="H777" i="6"/>
  <c r="AB776" i="6"/>
  <c r="Z776" i="6"/>
  <c r="AC776" i="6" s="1"/>
  <c r="AD776" i="6" s="1"/>
  <c r="U776" i="6"/>
  <c r="R776" i="6"/>
  <c r="O776" i="6"/>
  <c r="S776" i="6" s="1"/>
  <c r="N776" i="6"/>
  <c r="H776" i="6"/>
  <c r="AC775" i="6"/>
  <c r="AB775" i="6"/>
  <c r="Z775" i="6"/>
  <c r="U775" i="6"/>
  <c r="R775" i="6"/>
  <c r="O775" i="6"/>
  <c r="S775" i="6" s="1"/>
  <c r="H775" i="6"/>
  <c r="N775" i="6" s="1"/>
  <c r="AC774" i="6"/>
  <c r="AD774" i="6" s="1"/>
  <c r="AB774" i="6"/>
  <c r="Z774" i="6"/>
  <c r="U774" i="6"/>
  <c r="R774" i="6"/>
  <c r="O774" i="6"/>
  <c r="H774" i="6"/>
  <c r="N774" i="6" s="1"/>
  <c r="AB773" i="6"/>
  <c r="Z773" i="6"/>
  <c r="AC773" i="6" s="1"/>
  <c r="AD773" i="6" s="1"/>
  <c r="U773" i="6"/>
  <c r="R773" i="6"/>
  <c r="S773" i="6" s="1"/>
  <c r="O773" i="6"/>
  <c r="H773" i="6"/>
  <c r="N773" i="6" s="1"/>
  <c r="AB772" i="6"/>
  <c r="Z772" i="6"/>
  <c r="AC772" i="6" s="1"/>
  <c r="AD772" i="6" s="1"/>
  <c r="U772" i="6"/>
  <c r="R772" i="6"/>
  <c r="O772" i="6"/>
  <c r="S772" i="6" s="1"/>
  <c r="N772" i="6"/>
  <c r="H772" i="6"/>
  <c r="AB771" i="6"/>
  <c r="Z771" i="6"/>
  <c r="AC771" i="6" s="1"/>
  <c r="AD771" i="6" s="1"/>
  <c r="U771" i="6"/>
  <c r="S771" i="6"/>
  <c r="R771" i="6"/>
  <c r="O771" i="6"/>
  <c r="N771" i="6"/>
  <c r="H771" i="6"/>
  <c r="AB770" i="6"/>
  <c r="Z770" i="6"/>
  <c r="AC770" i="6" s="1"/>
  <c r="AD770" i="6" s="1"/>
  <c r="U770" i="6"/>
  <c r="S770" i="6"/>
  <c r="R770" i="6"/>
  <c r="O770" i="6"/>
  <c r="N770" i="6"/>
  <c r="H770" i="6"/>
  <c r="AO769" i="6"/>
  <c r="AI769" i="6"/>
  <c r="AJ769" i="6" s="1"/>
  <c r="AH769" i="6"/>
  <c r="AL769" i="6" s="1"/>
  <c r="AG769" i="6"/>
  <c r="AM769" i="6" s="1"/>
  <c r="AN769" i="6" s="1"/>
  <c r="AP769" i="6" s="1"/>
  <c r="AQ769" i="6" s="1"/>
  <c r="AD769" i="6"/>
  <c r="AB769" i="6"/>
  <c r="Z769" i="6"/>
  <c r="AC769" i="6" s="1"/>
  <c r="U769" i="6"/>
  <c r="S769" i="6"/>
  <c r="R769" i="6"/>
  <c r="O769" i="6"/>
  <c r="N769" i="6"/>
  <c r="H769" i="6"/>
  <c r="AO768" i="6"/>
  <c r="AI768" i="6"/>
  <c r="AJ768" i="6" s="1"/>
  <c r="AM768" i="6" s="1"/>
  <c r="AN768" i="6" s="1"/>
  <c r="AP768" i="6" s="1"/>
  <c r="AQ768" i="6" s="1"/>
  <c r="AH768" i="6"/>
  <c r="AG768" i="6"/>
  <c r="AD768" i="6"/>
  <c r="AC768" i="6"/>
  <c r="AB768" i="6"/>
  <c r="Z768" i="6"/>
  <c r="U768" i="6"/>
  <c r="R768" i="6"/>
  <c r="O768" i="6"/>
  <c r="S768" i="6" s="1"/>
  <c r="H768" i="6"/>
  <c r="AL768" i="6" s="1"/>
  <c r="AJ767" i="6"/>
  <c r="AM767" i="6" s="1"/>
  <c r="AI767" i="6"/>
  <c r="AH767" i="6"/>
  <c r="AO767" i="6" s="1"/>
  <c r="AG767" i="6"/>
  <c r="AB767" i="6"/>
  <c r="Z767" i="6"/>
  <c r="AC767" i="6" s="1"/>
  <c r="AD767" i="6" s="1"/>
  <c r="U767" i="6"/>
  <c r="R767" i="6"/>
  <c r="S767" i="6" s="1"/>
  <c r="O767" i="6"/>
  <c r="H767" i="6"/>
  <c r="N767" i="6" s="1"/>
  <c r="AJ766" i="6"/>
  <c r="AI766" i="6"/>
  <c r="AH766" i="6"/>
  <c r="AO766" i="6" s="1"/>
  <c r="AG766" i="6"/>
  <c r="AM766" i="6" s="1"/>
  <c r="AN766" i="6" s="1"/>
  <c r="AP766" i="6" s="1"/>
  <c r="AC766" i="6"/>
  <c r="AD766" i="6" s="1"/>
  <c r="AB766" i="6"/>
  <c r="Z766" i="6"/>
  <c r="U766" i="6"/>
  <c r="R766" i="6"/>
  <c r="O766" i="6"/>
  <c r="H766" i="6"/>
  <c r="AM765" i="6"/>
  <c r="AN765" i="6" s="1"/>
  <c r="AP765" i="6" s="1"/>
  <c r="AJ765" i="6"/>
  <c r="AI765" i="6"/>
  <c r="AH765" i="6"/>
  <c r="AG765" i="6"/>
  <c r="AO765" i="6" s="1"/>
  <c r="AC765" i="6"/>
  <c r="AD765" i="6" s="1"/>
  <c r="AB765" i="6"/>
  <c r="Z765" i="6"/>
  <c r="U765" i="6"/>
  <c r="R765" i="6"/>
  <c r="O765" i="6"/>
  <c r="S765" i="6" s="1"/>
  <c r="H765" i="6"/>
  <c r="AJ764" i="6"/>
  <c r="AI764" i="6"/>
  <c r="AH764" i="6"/>
  <c r="AO764" i="6" s="1"/>
  <c r="AG764" i="6"/>
  <c r="AM764" i="6" s="1"/>
  <c r="AN764" i="6" s="1"/>
  <c r="AP764" i="6" s="1"/>
  <c r="AB764" i="6"/>
  <c r="Z764" i="6"/>
  <c r="AC764" i="6" s="1"/>
  <c r="AD764" i="6" s="1"/>
  <c r="U764" i="6"/>
  <c r="S764" i="6"/>
  <c r="R764" i="6"/>
  <c r="O764" i="6"/>
  <c r="H764" i="6"/>
  <c r="N764" i="6" s="1"/>
  <c r="AI763" i="6"/>
  <c r="AJ763" i="6" s="1"/>
  <c r="AH763" i="6"/>
  <c r="AG763" i="6"/>
  <c r="AO763" i="6" s="1"/>
  <c r="AC763" i="6"/>
  <c r="AB763" i="6"/>
  <c r="AD763" i="6" s="1"/>
  <c r="Z763" i="6"/>
  <c r="U763" i="6"/>
  <c r="R763" i="6"/>
  <c r="O763" i="6"/>
  <c r="S763" i="6" s="1"/>
  <c r="N763" i="6"/>
  <c r="H763" i="6"/>
  <c r="AL763" i="6" s="1"/>
  <c r="AO762" i="6"/>
  <c r="AL762" i="6"/>
  <c r="AI762" i="6"/>
  <c r="AJ762" i="6" s="1"/>
  <c r="AM762" i="6" s="1"/>
  <c r="AN762" i="6" s="1"/>
  <c r="AP762" i="6" s="1"/>
  <c r="AQ762" i="6" s="1"/>
  <c r="AH762" i="6"/>
  <c r="AG762" i="6"/>
  <c r="AB762" i="6"/>
  <c r="Z762" i="6"/>
  <c r="AC762" i="6" s="1"/>
  <c r="AD762" i="6" s="1"/>
  <c r="U762" i="6"/>
  <c r="S762" i="6"/>
  <c r="R762" i="6"/>
  <c r="O762" i="6"/>
  <c r="N762" i="6"/>
  <c r="H762" i="6"/>
  <c r="AD761" i="6"/>
  <c r="AC761" i="6"/>
  <c r="AB761" i="6"/>
  <c r="Z761" i="6"/>
  <c r="U761" i="6"/>
  <c r="R761" i="6"/>
  <c r="O761" i="6"/>
  <c r="S761" i="6" s="1"/>
  <c r="N761" i="6"/>
  <c r="H761" i="6"/>
  <c r="AB760" i="6"/>
  <c r="Z760" i="6"/>
  <c r="AC760" i="6" s="1"/>
  <c r="AD760" i="6" s="1"/>
  <c r="U760" i="6"/>
  <c r="S760" i="6"/>
  <c r="R760" i="6"/>
  <c r="O760" i="6"/>
  <c r="H760" i="6"/>
  <c r="N760" i="6" s="1"/>
  <c r="AC759" i="6"/>
  <c r="AD759" i="6" s="1"/>
  <c r="AB759" i="6"/>
  <c r="Z759" i="6"/>
  <c r="U759" i="6"/>
  <c r="R759" i="6"/>
  <c r="O759" i="6"/>
  <c r="S759" i="6" s="1"/>
  <c r="H759" i="6"/>
  <c r="N759" i="6" s="1"/>
  <c r="AC758" i="6"/>
  <c r="AD758" i="6" s="1"/>
  <c r="AB758" i="6"/>
  <c r="Z758" i="6"/>
  <c r="U758" i="6"/>
  <c r="R758" i="6"/>
  <c r="O758" i="6"/>
  <c r="H758" i="6"/>
  <c r="N758" i="6" s="1"/>
  <c r="AB757" i="6"/>
  <c r="Z757" i="6"/>
  <c r="AC757" i="6" s="1"/>
  <c r="AD757" i="6" s="1"/>
  <c r="U757" i="6"/>
  <c r="R757" i="6"/>
  <c r="S757" i="6" s="1"/>
  <c r="O757" i="6"/>
  <c r="H757" i="6"/>
  <c r="N757" i="6" s="1"/>
  <c r="AB756" i="6"/>
  <c r="Z756" i="6"/>
  <c r="AC756" i="6" s="1"/>
  <c r="AD756" i="6" s="1"/>
  <c r="U756" i="6"/>
  <c r="R756" i="6"/>
  <c r="O756" i="6"/>
  <c r="S756" i="6" s="1"/>
  <c r="N756" i="6"/>
  <c r="H756" i="6"/>
  <c r="AB755" i="6"/>
  <c r="Z755" i="6"/>
  <c r="AC755" i="6" s="1"/>
  <c r="AD755" i="6" s="1"/>
  <c r="U755" i="6"/>
  <c r="R755" i="6"/>
  <c r="S755" i="6" s="1"/>
  <c r="O755" i="6"/>
  <c r="N755" i="6"/>
  <c r="H755" i="6"/>
  <c r="AB754" i="6"/>
  <c r="Z754" i="6"/>
  <c r="AC754" i="6" s="1"/>
  <c r="AD754" i="6" s="1"/>
  <c r="U754" i="6"/>
  <c r="S754" i="6"/>
  <c r="R754" i="6"/>
  <c r="O754" i="6"/>
  <c r="N754" i="6"/>
  <c r="H754" i="6"/>
  <c r="AI753" i="6"/>
  <c r="AJ753" i="6" s="1"/>
  <c r="AH753" i="6"/>
  <c r="AL753" i="6" s="1"/>
  <c r="AG753" i="6"/>
  <c r="AB753" i="6"/>
  <c r="Z753" i="6"/>
  <c r="AC753" i="6" s="1"/>
  <c r="AD753" i="6" s="1"/>
  <c r="U753" i="6"/>
  <c r="R753" i="6"/>
  <c r="O753" i="6"/>
  <c r="N753" i="6"/>
  <c r="H753" i="6"/>
  <c r="AO752" i="6"/>
  <c r="AL752" i="6"/>
  <c r="AI752" i="6"/>
  <c r="AJ752" i="6" s="1"/>
  <c r="AM752" i="6" s="1"/>
  <c r="AN752" i="6" s="1"/>
  <c r="AP752" i="6" s="1"/>
  <c r="AQ752" i="6" s="1"/>
  <c r="AH752" i="6"/>
  <c r="AG752" i="6"/>
  <c r="AC752" i="6"/>
  <c r="AD752" i="6" s="1"/>
  <c r="AB752" i="6"/>
  <c r="Z752" i="6"/>
  <c r="U752" i="6"/>
  <c r="R752" i="6"/>
  <c r="O752" i="6"/>
  <c r="S752" i="6" s="1"/>
  <c r="N752" i="6"/>
  <c r="H752" i="6"/>
  <c r="F752" i="6"/>
  <c r="F753" i="6" s="1"/>
  <c r="F754" i="6" s="1"/>
  <c r="F755" i="6" s="1"/>
  <c r="F756" i="6" s="1"/>
  <c r="F757" i="6" s="1"/>
  <c r="F758" i="6" s="1"/>
  <c r="F759" i="6" s="1"/>
  <c r="F760" i="6" s="1"/>
  <c r="F761" i="6" s="1"/>
  <c r="F762" i="6" s="1"/>
  <c r="F763" i="6" s="1"/>
  <c r="F764" i="6" s="1"/>
  <c r="F765" i="6" s="1"/>
  <c r="F766" i="6" s="1"/>
  <c r="F767" i="6" s="1"/>
  <c r="F768" i="6" s="1"/>
  <c r="F769" i="6" s="1"/>
  <c r="F770" i="6" s="1"/>
  <c r="F771" i="6" s="1"/>
  <c r="F772" i="6" s="1"/>
  <c r="F773" i="6" s="1"/>
  <c r="F774" i="6" s="1"/>
  <c r="F775" i="6" s="1"/>
  <c r="F776" i="6" s="1"/>
  <c r="F777" i="6" s="1"/>
  <c r="F778" i="6" s="1"/>
  <c r="F779" i="6" s="1"/>
  <c r="F780" i="6" s="1"/>
  <c r="F781" i="6" s="1"/>
  <c r="AD751" i="6"/>
  <c r="AB751" i="6"/>
  <c r="Z751" i="6"/>
  <c r="AC751" i="6" s="1"/>
  <c r="U751" i="6"/>
  <c r="S751" i="6"/>
  <c r="R751" i="6"/>
  <c r="O751" i="6"/>
  <c r="N751" i="6"/>
  <c r="H751" i="6"/>
  <c r="AB750" i="6"/>
  <c r="Z750" i="6"/>
  <c r="AC750" i="6" s="1"/>
  <c r="U750" i="6"/>
  <c r="S750" i="6"/>
  <c r="R750" i="6"/>
  <c r="O750" i="6"/>
  <c r="N750" i="6"/>
  <c r="H750" i="6"/>
  <c r="AC749" i="6"/>
  <c r="AD749" i="6" s="1"/>
  <c r="AB749" i="6"/>
  <c r="Z749" i="6"/>
  <c r="U749" i="6"/>
  <c r="S749" i="6"/>
  <c r="R749" i="6"/>
  <c r="O749" i="6"/>
  <c r="H749" i="6"/>
  <c r="N749" i="6" s="1"/>
  <c r="AB748" i="6"/>
  <c r="Z748" i="6"/>
  <c r="AC748" i="6" s="1"/>
  <c r="U748" i="6"/>
  <c r="S748" i="6"/>
  <c r="R748" i="6"/>
  <c r="O748" i="6"/>
  <c r="H748" i="6"/>
  <c r="N748" i="6" s="1"/>
  <c r="AB747" i="6"/>
  <c r="Z747" i="6"/>
  <c r="AC747" i="6" s="1"/>
  <c r="AD747" i="6" s="1"/>
  <c r="U747" i="6"/>
  <c r="R747" i="6"/>
  <c r="O747" i="6"/>
  <c r="S747" i="6" s="1"/>
  <c r="H747" i="6"/>
  <c r="N747" i="6" s="1"/>
  <c r="AD746" i="6"/>
  <c r="AC746" i="6"/>
  <c r="AB746" i="6"/>
  <c r="Z746" i="6"/>
  <c r="U746" i="6"/>
  <c r="R746" i="6"/>
  <c r="O746" i="6"/>
  <c r="S746" i="6" s="1"/>
  <c r="N746" i="6"/>
  <c r="H746" i="6"/>
  <c r="AC745" i="6"/>
  <c r="AB745" i="6"/>
  <c r="Z745" i="6"/>
  <c r="U745" i="6"/>
  <c r="S745" i="6"/>
  <c r="R745" i="6"/>
  <c r="O745" i="6"/>
  <c r="H745" i="6"/>
  <c r="N745" i="6" s="1"/>
  <c r="AB744" i="6"/>
  <c r="Z744" i="6"/>
  <c r="AC744" i="6" s="1"/>
  <c r="AD744" i="6" s="1"/>
  <c r="U744" i="6"/>
  <c r="R744" i="6"/>
  <c r="O744" i="6"/>
  <c r="H744" i="6"/>
  <c r="N744" i="6" s="1"/>
  <c r="AB743" i="6"/>
  <c r="Z743" i="6"/>
  <c r="AC743" i="6" s="1"/>
  <c r="AD743" i="6" s="1"/>
  <c r="U743" i="6"/>
  <c r="R743" i="6"/>
  <c r="O743" i="6"/>
  <c r="S743" i="6" s="1"/>
  <c r="N743" i="6"/>
  <c r="H743" i="6"/>
  <c r="AD742" i="6"/>
  <c r="AC742" i="6"/>
  <c r="AB742" i="6"/>
  <c r="Z742" i="6"/>
  <c r="U742" i="6"/>
  <c r="S742" i="6"/>
  <c r="R742" i="6"/>
  <c r="O742" i="6"/>
  <c r="N742" i="6"/>
  <c r="H742" i="6"/>
  <c r="AC741" i="6"/>
  <c r="AD741" i="6" s="1"/>
  <c r="AB741" i="6"/>
  <c r="Z741" i="6"/>
  <c r="U741" i="6"/>
  <c r="S741" i="6"/>
  <c r="R741" i="6"/>
  <c r="O741" i="6"/>
  <c r="H741" i="6"/>
  <c r="N741" i="6" s="1"/>
  <c r="AB740" i="6"/>
  <c r="Z740" i="6"/>
  <c r="AC740" i="6" s="1"/>
  <c r="U740" i="6"/>
  <c r="S740" i="6"/>
  <c r="R740" i="6"/>
  <c r="O740" i="6"/>
  <c r="H740" i="6"/>
  <c r="N740" i="6" s="1"/>
  <c r="AB739" i="6"/>
  <c r="Z739" i="6"/>
  <c r="AC739" i="6" s="1"/>
  <c r="AD739" i="6" s="1"/>
  <c r="U739" i="6"/>
  <c r="R739" i="6"/>
  <c r="O739" i="6"/>
  <c r="S739" i="6" s="1"/>
  <c r="N739" i="6"/>
  <c r="H739" i="6"/>
  <c r="AI738" i="6"/>
  <c r="AJ738" i="6" s="1"/>
  <c r="AM738" i="6" s="1"/>
  <c r="AN738" i="6" s="1"/>
  <c r="AP738" i="6" s="1"/>
  <c r="AH738" i="6"/>
  <c r="AO738" i="6" s="1"/>
  <c r="AG738" i="6"/>
  <c r="AB738" i="6"/>
  <c r="Z738" i="6"/>
  <c r="AC738" i="6" s="1"/>
  <c r="U738" i="6"/>
  <c r="R738" i="6"/>
  <c r="O738" i="6"/>
  <c r="S738" i="6" s="1"/>
  <c r="H738" i="6"/>
  <c r="N738" i="6" s="1"/>
  <c r="AO737" i="6"/>
  <c r="AI737" i="6"/>
  <c r="AJ737" i="6" s="1"/>
  <c r="AM737" i="6" s="1"/>
  <c r="AN737" i="6" s="1"/>
  <c r="AP737" i="6" s="1"/>
  <c r="AQ737" i="6" s="1"/>
  <c r="AH737" i="6"/>
  <c r="AG737" i="6"/>
  <c r="AD737" i="6"/>
  <c r="AC737" i="6"/>
  <c r="AB737" i="6"/>
  <c r="Z737" i="6"/>
  <c r="U737" i="6"/>
  <c r="S737" i="6"/>
  <c r="R737" i="6"/>
  <c r="O737" i="6"/>
  <c r="N737" i="6"/>
  <c r="H737" i="6"/>
  <c r="AL737" i="6" s="1"/>
  <c r="AO736" i="6"/>
  <c r="AJ736" i="6"/>
  <c r="AM736" i="6" s="1"/>
  <c r="AN736" i="6" s="1"/>
  <c r="AP736" i="6" s="1"/>
  <c r="AI736" i="6"/>
  <c r="AH736" i="6"/>
  <c r="AG736" i="6"/>
  <c r="AC736" i="6"/>
  <c r="AD736" i="6" s="1"/>
  <c r="AB736" i="6"/>
  <c r="Z736" i="6"/>
  <c r="U736" i="6"/>
  <c r="S736" i="6"/>
  <c r="R736" i="6"/>
  <c r="O736" i="6"/>
  <c r="H736" i="6"/>
  <c r="N736" i="6" s="1"/>
  <c r="AL735" i="6"/>
  <c r="AJ735" i="6"/>
  <c r="AI735" i="6"/>
  <c r="AH735" i="6"/>
  <c r="AG735" i="6"/>
  <c r="AB735" i="6"/>
  <c r="Z735" i="6"/>
  <c r="AC735" i="6" s="1"/>
  <c r="AD735" i="6" s="1"/>
  <c r="U735" i="6"/>
  <c r="R735" i="6"/>
  <c r="O735" i="6"/>
  <c r="S735" i="6" s="1"/>
  <c r="N735" i="6"/>
  <c r="H735" i="6"/>
  <c r="AM734" i="6"/>
  <c r="AN734" i="6" s="1"/>
  <c r="AJ734" i="6"/>
  <c r="AI734" i="6"/>
  <c r="AH734" i="6"/>
  <c r="AL734" i="6" s="1"/>
  <c r="AG734" i="6"/>
  <c r="AB734" i="6"/>
  <c r="Z734" i="6"/>
  <c r="AC734" i="6" s="1"/>
  <c r="U734" i="6"/>
  <c r="R734" i="6"/>
  <c r="O734" i="6"/>
  <c r="S734" i="6" s="1"/>
  <c r="N734" i="6"/>
  <c r="H734" i="6"/>
  <c r="AI733" i="6"/>
  <c r="AJ733" i="6" s="1"/>
  <c r="AM733" i="6" s="1"/>
  <c r="AN733" i="6" s="1"/>
  <c r="AP733" i="6" s="1"/>
  <c r="AH733" i="6"/>
  <c r="AO733" i="6" s="1"/>
  <c r="AG733" i="6"/>
  <c r="AC733" i="6"/>
  <c r="AD733" i="6" s="1"/>
  <c r="AB733" i="6"/>
  <c r="Z733" i="6"/>
  <c r="U733" i="6"/>
  <c r="S733" i="6"/>
  <c r="R733" i="6"/>
  <c r="O733" i="6"/>
  <c r="H733" i="6"/>
  <c r="N733" i="6" s="1"/>
  <c r="AO732" i="6"/>
  <c r="AI732" i="6"/>
  <c r="AJ732" i="6" s="1"/>
  <c r="AM732" i="6" s="1"/>
  <c r="AN732" i="6" s="1"/>
  <c r="AP732" i="6" s="1"/>
  <c r="AH732" i="6"/>
  <c r="AG732" i="6"/>
  <c r="AD732" i="6"/>
  <c r="AC732" i="6"/>
  <c r="AB732" i="6"/>
  <c r="Z732" i="6"/>
  <c r="U732" i="6"/>
  <c r="S732" i="6"/>
  <c r="R732" i="6"/>
  <c r="O732" i="6"/>
  <c r="N732" i="6"/>
  <c r="H732" i="6"/>
  <c r="AL732" i="6" s="1"/>
  <c r="AO731" i="6"/>
  <c r="AL731" i="6"/>
  <c r="AJ731" i="6"/>
  <c r="AI731" i="6"/>
  <c r="AH731" i="6"/>
  <c r="AG731" i="6"/>
  <c r="AM731" i="6" s="1"/>
  <c r="AB731" i="6"/>
  <c r="Z731" i="6"/>
  <c r="AC731" i="6" s="1"/>
  <c r="AD731" i="6" s="1"/>
  <c r="U731" i="6"/>
  <c r="R731" i="6"/>
  <c r="O731" i="6"/>
  <c r="S731" i="6" s="1"/>
  <c r="N731" i="6"/>
  <c r="H731" i="6"/>
  <c r="AM730" i="6"/>
  <c r="AN730" i="6" s="1"/>
  <c r="AJ730" i="6"/>
  <c r="AI730" i="6"/>
  <c r="AH730" i="6"/>
  <c r="AG730" i="6"/>
  <c r="AB730" i="6"/>
  <c r="Z730" i="6"/>
  <c r="AC730" i="6" s="1"/>
  <c r="AD730" i="6" s="1"/>
  <c r="U730" i="6"/>
  <c r="R730" i="6"/>
  <c r="O730" i="6"/>
  <c r="S730" i="6" s="1"/>
  <c r="N730" i="6"/>
  <c r="H730" i="6"/>
  <c r="AI729" i="6"/>
  <c r="AJ729" i="6" s="1"/>
  <c r="AM729" i="6" s="1"/>
  <c r="AN729" i="6" s="1"/>
  <c r="AP729" i="6" s="1"/>
  <c r="AH729" i="6"/>
  <c r="AO729" i="6" s="1"/>
  <c r="AG729" i="6"/>
  <c r="AC729" i="6"/>
  <c r="AD729" i="6" s="1"/>
  <c r="AB729" i="6"/>
  <c r="Z729" i="6"/>
  <c r="U729" i="6"/>
  <c r="R729" i="6"/>
  <c r="S729" i="6" s="1"/>
  <c r="O729" i="6"/>
  <c r="H729" i="6"/>
  <c r="AO728" i="6"/>
  <c r="AJ728" i="6"/>
  <c r="AM728" i="6" s="1"/>
  <c r="AN728" i="6" s="1"/>
  <c r="AP728" i="6" s="1"/>
  <c r="AI728" i="6"/>
  <c r="AH728" i="6"/>
  <c r="AG728" i="6"/>
  <c r="AC728" i="6"/>
  <c r="AD728" i="6" s="1"/>
  <c r="AB728" i="6"/>
  <c r="Z728" i="6"/>
  <c r="U728" i="6"/>
  <c r="S728" i="6"/>
  <c r="R728" i="6"/>
  <c r="O728" i="6"/>
  <c r="H728" i="6"/>
  <c r="N728" i="6" s="1"/>
  <c r="AC727" i="6"/>
  <c r="AD727" i="6" s="1"/>
  <c r="AB727" i="6"/>
  <c r="Z727" i="6"/>
  <c r="U727" i="6"/>
  <c r="R727" i="6"/>
  <c r="S727" i="6" s="1"/>
  <c r="O727" i="6"/>
  <c r="H727" i="6"/>
  <c r="N727" i="6" s="1"/>
  <c r="AB726" i="6"/>
  <c r="Z726" i="6"/>
  <c r="AC726" i="6" s="1"/>
  <c r="AD726" i="6" s="1"/>
  <c r="U726" i="6"/>
  <c r="R726" i="6"/>
  <c r="O726" i="6"/>
  <c r="S726" i="6" s="1"/>
  <c r="N726" i="6"/>
  <c r="H726" i="6"/>
  <c r="AB725" i="6"/>
  <c r="Z725" i="6"/>
  <c r="AC725" i="6" s="1"/>
  <c r="AD725" i="6" s="1"/>
  <c r="U725" i="6"/>
  <c r="R725" i="6"/>
  <c r="O725" i="6"/>
  <c r="S725" i="6" s="1"/>
  <c r="N725" i="6"/>
  <c r="H725" i="6"/>
  <c r="AD724" i="6"/>
  <c r="AC724" i="6"/>
  <c r="AB724" i="6"/>
  <c r="Z724" i="6"/>
  <c r="U724" i="6"/>
  <c r="S724" i="6"/>
  <c r="R724" i="6"/>
  <c r="O724" i="6"/>
  <c r="N724" i="6"/>
  <c r="H724" i="6"/>
  <c r="AC723" i="6"/>
  <c r="AD723" i="6" s="1"/>
  <c r="AB723" i="6"/>
  <c r="Z723" i="6"/>
  <c r="U723" i="6"/>
  <c r="S723" i="6"/>
  <c r="R723" i="6"/>
  <c r="O723" i="6"/>
  <c r="H723" i="6"/>
  <c r="N723" i="6" s="1"/>
  <c r="AB722" i="6"/>
  <c r="Z722" i="6"/>
  <c r="AC722" i="6" s="1"/>
  <c r="U722" i="6"/>
  <c r="R722" i="6"/>
  <c r="O722" i="6"/>
  <c r="S722" i="6" s="1"/>
  <c r="N722" i="6"/>
  <c r="H722" i="6"/>
  <c r="AB721" i="6"/>
  <c r="Z721" i="6"/>
  <c r="AC721" i="6" s="1"/>
  <c r="AD721" i="6" s="1"/>
  <c r="U721" i="6"/>
  <c r="R721" i="6"/>
  <c r="O721" i="6"/>
  <c r="S721" i="6" s="1"/>
  <c r="N721" i="6"/>
  <c r="H721" i="6"/>
  <c r="AC720" i="6"/>
  <c r="AD720" i="6" s="1"/>
  <c r="AB720" i="6"/>
  <c r="Z720" i="6"/>
  <c r="U720" i="6"/>
  <c r="S720" i="6"/>
  <c r="R720" i="6"/>
  <c r="O720" i="6"/>
  <c r="H720" i="6"/>
  <c r="N720" i="6" s="1"/>
  <c r="AC719" i="6"/>
  <c r="AD719" i="6" s="1"/>
  <c r="AB719" i="6"/>
  <c r="Z719" i="6"/>
  <c r="U719" i="6"/>
  <c r="R719" i="6"/>
  <c r="S719" i="6" s="1"/>
  <c r="O719" i="6"/>
  <c r="H719" i="6"/>
  <c r="N719" i="6" s="1"/>
  <c r="AB718" i="6"/>
  <c r="Z718" i="6"/>
  <c r="AC718" i="6" s="1"/>
  <c r="AD718" i="6" s="1"/>
  <c r="U718" i="6"/>
  <c r="R718" i="6"/>
  <c r="O718" i="6"/>
  <c r="S718" i="6" s="1"/>
  <c r="N718" i="6"/>
  <c r="H718" i="6"/>
  <c r="AD717" i="6"/>
  <c r="AB717" i="6"/>
  <c r="Z717" i="6"/>
  <c r="AC717" i="6" s="1"/>
  <c r="U717" i="6"/>
  <c r="R717" i="6"/>
  <c r="O717" i="6"/>
  <c r="S717" i="6" s="1"/>
  <c r="N717" i="6"/>
  <c r="H717" i="6"/>
  <c r="AD716" i="6"/>
  <c r="AC716" i="6"/>
  <c r="AB716" i="6"/>
  <c r="Z716" i="6"/>
  <c r="U716" i="6"/>
  <c r="S716" i="6"/>
  <c r="R716" i="6"/>
  <c r="O716" i="6"/>
  <c r="H716" i="6"/>
  <c r="N716" i="6" s="1"/>
  <c r="AC715" i="6"/>
  <c r="AB715" i="6"/>
  <c r="Z715" i="6"/>
  <c r="U715" i="6"/>
  <c r="R715" i="6"/>
  <c r="S715" i="6" s="1"/>
  <c r="O715" i="6"/>
  <c r="H715" i="6"/>
  <c r="N715" i="6" s="1"/>
  <c r="AO714" i="6"/>
  <c r="AI714" i="6"/>
  <c r="AJ714" i="6" s="1"/>
  <c r="AM714" i="6" s="1"/>
  <c r="AN714" i="6" s="1"/>
  <c r="AP714" i="6" s="1"/>
  <c r="AQ714" i="6" s="1"/>
  <c r="AH714" i="6"/>
  <c r="AG714" i="6"/>
  <c r="AC714" i="6"/>
  <c r="AD714" i="6" s="1"/>
  <c r="AB714" i="6"/>
  <c r="Z714" i="6"/>
  <c r="U714" i="6"/>
  <c r="S714" i="6"/>
  <c r="R714" i="6"/>
  <c r="O714" i="6"/>
  <c r="H714" i="6"/>
  <c r="AL714" i="6" s="1"/>
  <c r="AO713" i="6"/>
  <c r="AL713" i="6"/>
  <c r="AJ713" i="6"/>
  <c r="AI713" i="6"/>
  <c r="AH713" i="6"/>
  <c r="AG713" i="6"/>
  <c r="AM713" i="6" s="1"/>
  <c r="AN713" i="6" s="1"/>
  <c r="AP713" i="6" s="1"/>
  <c r="AD713" i="6"/>
  <c r="AB713" i="6"/>
  <c r="Z713" i="6"/>
  <c r="AC713" i="6" s="1"/>
  <c r="U713" i="6"/>
  <c r="R713" i="6"/>
  <c r="O713" i="6"/>
  <c r="S713" i="6" s="1"/>
  <c r="N713" i="6"/>
  <c r="H713" i="6"/>
  <c r="AL712" i="6"/>
  <c r="AJ712" i="6"/>
  <c r="AI712" i="6"/>
  <c r="AH712" i="6"/>
  <c r="AG712" i="6"/>
  <c r="AM712" i="6" s="1"/>
  <c r="AN712" i="6" s="1"/>
  <c r="AB712" i="6"/>
  <c r="Z712" i="6"/>
  <c r="AC712" i="6" s="1"/>
  <c r="AD712" i="6" s="1"/>
  <c r="U712" i="6"/>
  <c r="R712" i="6"/>
  <c r="O712" i="6"/>
  <c r="N712" i="6"/>
  <c r="H712" i="6"/>
  <c r="F712" i="6"/>
  <c r="F713" i="6" s="1"/>
  <c r="F714" i="6" s="1"/>
  <c r="F715" i="6" s="1"/>
  <c r="F716" i="6" s="1"/>
  <c r="F717" i="6" s="1"/>
  <c r="F718" i="6" s="1"/>
  <c r="F719" i="6" s="1"/>
  <c r="F720" i="6" s="1"/>
  <c r="F721" i="6" s="1"/>
  <c r="F722" i="6" s="1"/>
  <c r="F723" i="6" s="1"/>
  <c r="F724" i="6" s="1"/>
  <c r="F725" i="6" s="1"/>
  <c r="F726" i="6" s="1"/>
  <c r="F727" i="6" s="1"/>
  <c r="F728" i="6" s="1"/>
  <c r="F729" i="6" s="1"/>
  <c r="F730" i="6" s="1"/>
  <c r="F731" i="6" s="1"/>
  <c r="F732" i="6" s="1"/>
  <c r="F733" i="6" s="1"/>
  <c r="F734" i="6" s="1"/>
  <c r="F735" i="6" s="1"/>
  <c r="F736" i="6" s="1"/>
  <c r="F737" i="6" s="1"/>
  <c r="F738" i="6" s="1"/>
  <c r="F739" i="6" s="1"/>
  <c r="F740" i="6" s="1"/>
  <c r="F741" i="6" s="1"/>
  <c r="F742" i="6" s="1"/>
  <c r="F743" i="6" s="1"/>
  <c r="F744" i="6" s="1"/>
  <c r="F745" i="6" s="1"/>
  <c r="F746" i="6" s="1"/>
  <c r="F747" i="6" s="1"/>
  <c r="F748" i="6" s="1"/>
  <c r="F749" i="6" s="1"/>
  <c r="F750" i="6" s="1"/>
  <c r="F751" i="6" s="1"/>
  <c r="AI711" i="6"/>
  <c r="AJ711" i="6" s="1"/>
  <c r="AM711" i="6" s="1"/>
  <c r="AN711" i="6" s="1"/>
  <c r="AP711" i="6" s="1"/>
  <c r="AH711" i="6"/>
  <c r="AO711" i="6" s="1"/>
  <c r="AG711" i="6"/>
  <c r="AC711" i="6"/>
  <c r="AB711" i="6"/>
  <c r="Z711" i="6"/>
  <c r="U711" i="6"/>
  <c r="R711" i="6"/>
  <c r="S711" i="6" s="1"/>
  <c r="O711" i="6"/>
  <c r="H711" i="6"/>
  <c r="F711" i="6"/>
  <c r="AB710" i="6"/>
  <c r="Z710" i="6"/>
  <c r="AC710" i="6" s="1"/>
  <c r="U710" i="6"/>
  <c r="R710" i="6"/>
  <c r="O710" i="6"/>
  <c r="S710" i="6" s="1"/>
  <c r="N710" i="6"/>
  <c r="H710" i="6"/>
  <c r="AB709" i="6"/>
  <c r="Z709" i="6"/>
  <c r="AC709" i="6" s="1"/>
  <c r="AD709" i="6" s="1"/>
  <c r="U709" i="6"/>
  <c r="R709" i="6"/>
  <c r="O709" i="6"/>
  <c r="S709" i="6" s="1"/>
  <c r="N709" i="6"/>
  <c r="H709" i="6"/>
  <c r="AD708" i="6"/>
  <c r="AC708" i="6"/>
  <c r="AB708" i="6"/>
  <c r="Z708" i="6"/>
  <c r="U708" i="6"/>
  <c r="S708" i="6"/>
  <c r="R708" i="6"/>
  <c r="O708" i="6"/>
  <c r="N708" i="6"/>
  <c r="H708" i="6"/>
  <c r="AC707" i="6"/>
  <c r="AD707" i="6" s="1"/>
  <c r="AB707" i="6"/>
  <c r="Z707" i="6"/>
  <c r="U707" i="6"/>
  <c r="S707" i="6"/>
  <c r="R707" i="6"/>
  <c r="O707" i="6"/>
  <c r="H707" i="6"/>
  <c r="N707" i="6" s="1"/>
  <c r="AB706" i="6"/>
  <c r="Z706" i="6"/>
  <c r="AC706" i="6" s="1"/>
  <c r="AD706" i="6" s="1"/>
  <c r="U706" i="6"/>
  <c r="R706" i="6"/>
  <c r="O706" i="6"/>
  <c r="N706" i="6"/>
  <c r="H706" i="6"/>
  <c r="AB705" i="6"/>
  <c r="Z705" i="6"/>
  <c r="AC705" i="6" s="1"/>
  <c r="AD705" i="6" s="1"/>
  <c r="U705" i="6"/>
  <c r="R705" i="6"/>
  <c r="O705" i="6"/>
  <c r="S705" i="6" s="1"/>
  <c r="N705" i="6"/>
  <c r="H705" i="6"/>
  <c r="AC704" i="6"/>
  <c r="AD704" i="6" s="1"/>
  <c r="AB704" i="6"/>
  <c r="Z704" i="6"/>
  <c r="U704" i="6"/>
  <c r="S704" i="6"/>
  <c r="R704" i="6"/>
  <c r="O704" i="6"/>
  <c r="H704" i="6"/>
  <c r="N704" i="6" s="1"/>
  <c r="AC703" i="6"/>
  <c r="AB703" i="6"/>
  <c r="Z703" i="6"/>
  <c r="U703" i="6"/>
  <c r="R703" i="6"/>
  <c r="S703" i="6" s="1"/>
  <c r="O703" i="6"/>
  <c r="H703" i="6"/>
  <c r="N703" i="6" s="1"/>
  <c r="AB702" i="6"/>
  <c r="Z702" i="6"/>
  <c r="AC702" i="6" s="1"/>
  <c r="U702" i="6"/>
  <c r="R702" i="6"/>
  <c r="O702" i="6"/>
  <c r="S702" i="6" s="1"/>
  <c r="N702" i="6"/>
  <c r="H702" i="6"/>
  <c r="AD701" i="6"/>
  <c r="AB701" i="6"/>
  <c r="Z701" i="6"/>
  <c r="AC701" i="6" s="1"/>
  <c r="U701" i="6"/>
  <c r="R701" i="6"/>
  <c r="O701" i="6"/>
  <c r="S701" i="6" s="1"/>
  <c r="N701" i="6"/>
  <c r="H701" i="6"/>
  <c r="AD700" i="6"/>
  <c r="AC700" i="6"/>
  <c r="AB700" i="6"/>
  <c r="Z700" i="6"/>
  <c r="U700" i="6"/>
  <c r="S700" i="6"/>
  <c r="R700" i="6"/>
  <c r="O700" i="6"/>
  <c r="N700" i="6"/>
  <c r="H700" i="6"/>
  <c r="AC699" i="6"/>
  <c r="AD699" i="6" s="1"/>
  <c r="AB699" i="6"/>
  <c r="Z699" i="6"/>
  <c r="U699" i="6"/>
  <c r="S699" i="6"/>
  <c r="R699" i="6"/>
  <c r="O699" i="6"/>
  <c r="H699" i="6"/>
  <c r="N699" i="6" s="1"/>
  <c r="AO698" i="6"/>
  <c r="AI698" i="6"/>
  <c r="AJ698" i="6" s="1"/>
  <c r="AM698" i="6" s="1"/>
  <c r="AN698" i="6" s="1"/>
  <c r="AP698" i="6" s="1"/>
  <c r="AQ698" i="6" s="1"/>
  <c r="AH698" i="6"/>
  <c r="AG698" i="6"/>
  <c r="AC698" i="6"/>
  <c r="AD698" i="6" s="1"/>
  <c r="AB698" i="6"/>
  <c r="Z698" i="6"/>
  <c r="U698" i="6"/>
  <c r="S698" i="6"/>
  <c r="R698" i="6"/>
  <c r="O698" i="6"/>
  <c r="H698" i="6"/>
  <c r="AL698" i="6" s="1"/>
  <c r="AO697" i="6"/>
  <c r="AL697" i="6"/>
  <c r="AJ697" i="6"/>
  <c r="AI697" i="6"/>
  <c r="AH697" i="6"/>
  <c r="AG697" i="6"/>
  <c r="AB697" i="6"/>
  <c r="Z697" i="6"/>
  <c r="AC697" i="6" s="1"/>
  <c r="AD697" i="6" s="1"/>
  <c r="U697" i="6"/>
  <c r="R697" i="6"/>
  <c r="O697" i="6"/>
  <c r="S697" i="6" s="1"/>
  <c r="N697" i="6"/>
  <c r="H697" i="6"/>
  <c r="AM696" i="6"/>
  <c r="AN696" i="6" s="1"/>
  <c r="AP696" i="6" s="1"/>
  <c r="AJ696" i="6"/>
  <c r="AI696" i="6"/>
  <c r="AH696" i="6"/>
  <c r="AO696" i="6" s="1"/>
  <c r="AG696" i="6"/>
  <c r="AB696" i="6"/>
  <c r="Z696" i="6"/>
  <c r="AC696" i="6" s="1"/>
  <c r="U696" i="6"/>
  <c r="R696" i="6"/>
  <c r="O696" i="6"/>
  <c r="S696" i="6" s="1"/>
  <c r="N696" i="6"/>
  <c r="H696" i="6"/>
  <c r="AM695" i="6"/>
  <c r="AN695" i="6" s="1"/>
  <c r="AP695" i="6" s="1"/>
  <c r="AI695" i="6"/>
  <c r="AJ695" i="6" s="1"/>
  <c r="AH695" i="6"/>
  <c r="AO695" i="6" s="1"/>
  <c r="AG695" i="6"/>
  <c r="AC695" i="6"/>
  <c r="AD695" i="6" s="1"/>
  <c r="AB695" i="6"/>
  <c r="Z695" i="6"/>
  <c r="U695" i="6"/>
  <c r="S695" i="6"/>
  <c r="R695" i="6"/>
  <c r="O695" i="6"/>
  <c r="H695" i="6"/>
  <c r="AO694" i="6"/>
  <c r="AI694" i="6"/>
  <c r="AJ694" i="6" s="1"/>
  <c r="AM694" i="6" s="1"/>
  <c r="AN694" i="6" s="1"/>
  <c r="AP694" i="6" s="1"/>
  <c r="AQ694" i="6" s="1"/>
  <c r="AH694" i="6"/>
  <c r="AG694" i="6"/>
  <c r="AC694" i="6"/>
  <c r="AD694" i="6" s="1"/>
  <c r="AB694" i="6"/>
  <c r="Z694" i="6"/>
  <c r="U694" i="6"/>
  <c r="S694" i="6"/>
  <c r="R694" i="6"/>
  <c r="O694" i="6"/>
  <c r="H694" i="6"/>
  <c r="AL694" i="6" s="1"/>
  <c r="AO693" i="6"/>
  <c r="AL693" i="6"/>
  <c r="AJ693" i="6"/>
  <c r="AI693" i="6"/>
  <c r="AH693" i="6"/>
  <c r="AG693" i="6"/>
  <c r="AD693" i="6"/>
  <c r="AB693" i="6"/>
  <c r="Z693" i="6"/>
  <c r="AC693" i="6" s="1"/>
  <c r="U693" i="6"/>
  <c r="R693" i="6"/>
  <c r="O693" i="6"/>
  <c r="S693" i="6" s="1"/>
  <c r="N693" i="6"/>
  <c r="H693" i="6"/>
  <c r="AM692" i="6"/>
  <c r="AN692" i="6" s="1"/>
  <c r="AP692" i="6" s="1"/>
  <c r="AJ692" i="6"/>
  <c r="AI692" i="6"/>
  <c r="AH692" i="6"/>
  <c r="AO692" i="6" s="1"/>
  <c r="AG692" i="6"/>
  <c r="AB692" i="6"/>
  <c r="Z692" i="6"/>
  <c r="AC692" i="6" s="1"/>
  <c r="U692" i="6"/>
  <c r="R692" i="6"/>
  <c r="O692" i="6"/>
  <c r="S692" i="6" s="1"/>
  <c r="N692" i="6"/>
  <c r="H692" i="6"/>
  <c r="AM691" i="6"/>
  <c r="AN691" i="6" s="1"/>
  <c r="AP691" i="6" s="1"/>
  <c r="AI691" i="6"/>
  <c r="AJ691" i="6" s="1"/>
  <c r="AH691" i="6"/>
  <c r="AO691" i="6" s="1"/>
  <c r="AG691" i="6"/>
  <c r="AC691" i="6"/>
  <c r="AD691" i="6" s="1"/>
  <c r="AB691" i="6"/>
  <c r="Z691" i="6"/>
  <c r="U691" i="6"/>
  <c r="S691" i="6"/>
  <c r="R691" i="6"/>
  <c r="O691" i="6"/>
  <c r="H691" i="6"/>
  <c r="AO690" i="6"/>
  <c r="AI690" i="6"/>
  <c r="AJ690" i="6" s="1"/>
  <c r="AM690" i="6" s="1"/>
  <c r="AN690" i="6" s="1"/>
  <c r="AP690" i="6" s="1"/>
  <c r="AH690" i="6"/>
  <c r="AG690" i="6"/>
  <c r="AC690" i="6"/>
  <c r="AD690" i="6" s="1"/>
  <c r="AB690" i="6"/>
  <c r="Z690" i="6"/>
  <c r="U690" i="6"/>
  <c r="S690" i="6"/>
  <c r="R690" i="6"/>
  <c r="O690" i="6"/>
  <c r="H690" i="6"/>
  <c r="AO689" i="6"/>
  <c r="AL689" i="6"/>
  <c r="AJ689" i="6"/>
  <c r="AI689" i="6"/>
  <c r="AH689" i="6"/>
  <c r="AG689" i="6"/>
  <c r="AB689" i="6"/>
  <c r="Z689" i="6"/>
  <c r="AC689" i="6" s="1"/>
  <c r="AD689" i="6" s="1"/>
  <c r="U689" i="6"/>
  <c r="R689" i="6"/>
  <c r="O689" i="6"/>
  <c r="S689" i="6" s="1"/>
  <c r="N689" i="6"/>
  <c r="H689" i="6"/>
  <c r="AM688" i="6"/>
  <c r="AJ688" i="6"/>
  <c r="AI688" i="6"/>
  <c r="AH688" i="6"/>
  <c r="AG688" i="6"/>
  <c r="AD688" i="6"/>
  <c r="AB688" i="6"/>
  <c r="Z688" i="6"/>
  <c r="AC688" i="6" s="1"/>
  <c r="U688" i="6"/>
  <c r="R688" i="6"/>
  <c r="O688" i="6"/>
  <c r="N688" i="6"/>
  <c r="H688" i="6"/>
  <c r="AB687" i="6"/>
  <c r="Z687" i="6"/>
  <c r="AC687" i="6" s="1"/>
  <c r="AD687" i="6" s="1"/>
  <c r="U687" i="6"/>
  <c r="R687" i="6"/>
  <c r="O687" i="6"/>
  <c r="S687" i="6" s="1"/>
  <c r="N687" i="6"/>
  <c r="H687" i="6"/>
  <c r="AD686" i="6"/>
  <c r="AC686" i="6"/>
  <c r="AB686" i="6"/>
  <c r="Z686" i="6"/>
  <c r="U686" i="6"/>
  <c r="S686" i="6"/>
  <c r="R686" i="6"/>
  <c r="O686" i="6"/>
  <c r="N686" i="6"/>
  <c r="H686" i="6"/>
  <c r="AC685" i="6"/>
  <c r="AB685" i="6"/>
  <c r="Z685" i="6"/>
  <c r="U685" i="6"/>
  <c r="R685" i="6"/>
  <c r="O685" i="6"/>
  <c r="S685" i="6" s="1"/>
  <c r="H685" i="6"/>
  <c r="N685" i="6" s="1"/>
  <c r="AB684" i="6"/>
  <c r="Z684" i="6"/>
  <c r="AC684" i="6" s="1"/>
  <c r="U684" i="6"/>
  <c r="R684" i="6"/>
  <c r="O684" i="6"/>
  <c r="S684" i="6" s="1"/>
  <c r="N684" i="6"/>
  <c r="H684" i="6"/>
  <c r="AD683" i="6"/>
  <c r="AC683" i="6"/>
  <c r="AB683" i="6"/>
  <c r="Z683" i="6"/>
  <c r="U683" i="6"/>
  <c r="R683" i="6"/>
  <c r="O683" i="6"/>
  <c r="S683" i="6" s="1"/>
  <c r="H683" i="6"/>
  <c r="N683" i="6" s="1"/>
  <c r="AC682" i="6"/>
  <c r="AD682" i="6" s="1"/>
  <c r="AB682" i="6"/>
  <c r="Z682" i="6"/>
  <c r="U682" i="6"/>
  <c r="S682" i="6"/>
  <c r="R682" i="6"/>
  <c r="O682" i="6"/>
  <c r="H682" i="6"/>
  <c r="N682" i="6" s="1"/>
  <c r="AB681" i="6"/>
  <c r="Z681" i="6"/>
  <c r="AC681" i="6" s="1"/>
  <c r="U681" i="6"/>
  <c r="R681" i="6"/>
  <c r="S681" i="6" s="1"/>
  <c r="O681" i="6"/>
  <c r="H681" i="6"/>
  <c r="N681" i="6" s="1"/>
  <c r="AB680" i="6"/>
  <c r="Z680" i="6"/>
  <c r="AC680" i="6" s="1"/>
  <c r="AD680" i="6" s="1"/>
  <c r="U680" i="6"/>
  <c r="R680" i="6"/>
  <c r="O680" i="6"/>
  <c r="N680" i="6"/>
  <c r="H680" i="6"/>
  <c r="AD679" i="6"/>
  <c r="AB679" i="6"/>
  <c r="Z679" i="6"/>
  <c r="AC679" i="6" s="1"/>
  <c r="U679" i="6"/>
  <c r="S679" i="6"/>
  <c r="R679" i="6"/>
  <c r="O679" i="6"/>
  <c r="N679" i="6"/>
  <c r="H679" i="6"/>
  <c r="AD678" i="6"/>
  <c r="AC678" i="6"/>
  <c r="AB678" i="6"/>
  <c r="Z678" i="6"/>
  <c r="U678" i="6"/>
  <c r="S678" i="6"/>
  <c r="R678" i="6"/>
  <c r="O678" i="6"/>
  <c r="N678" i="6"/>
  <c r="H678" i="6"/>
  <c r="AC677" i="6"/>
  <c r="AB677" i="6"/>
  <c r="Z677" i="6"/>
  <c r="U677" i="6"/>
  <c r="R677" i="6"/>
  <c r="S677" i="6" s="1"/>
  <c r="O677" i="6"/>
  <c r="H677" i="6"/>
  <c r="N677" i="6" s="1"/>
  <c r="AB676" i="6"/>
  <c r="Z676" i="6"/>
  <c r="AC676" i="6" s="1"/>
  <c r="U676" i="6"/>
  <c r="R676" i="6"/>
  <c r="O676" i="6"/>
  <c r="S676" i="6" s="1"/>
  <c r="N676" i="6"/>
  <c r="H676" i="6"/>
  <c r="AB675" i="6"/>
  <c r="Z675" i="6"/>
  <c r="AC675" i="6" s="1"/>
  <c r="AD675" i="6" s="1"/>
  <c r="U675" i="6"/>
  <c r="R675" i="6"/>
  <c r="O675" i="6"/>
  <c r="S675" i="6" s="1"/>
  <c r="H675" i="6"/>
  <c r="N675" i="6" s="1"/>
  <c r="AC674" i="6"/>
  <c r="AD674" i="6" s="1"/>
  <c r="AB674" i="6"/>
  <c r="Z674" i="6"/>
  <c r="U674" i="6"/>
  <c r="S674" i="6"/>
  <c r="R674" i="6"/>
  <c r="O674" i="6"/>
  <c r="H674" i="6"/>
  <c r="N674" i="6" s="1"/>
  <c r="AO673" i="6"/>
  <c r="AL673" i="6"/>
  <c r="AJ673" i="6"/>
  <c r="AI673" i="6"/>
  <c r="AH673" i="6"/>
  <c r="AG673" i="6"/>
  <c r="AM673" i="6" s="1"/>
  <c r="AB673" i="6"/>
  <c r="Z673" i="6"/>
  <c r="AC673" i="6" s="1"/>
  <c r="AD673" i="6" s="1"/>
  <c r="U673" i="6"/>
  <c r="R673" i="6"/>
  <c r="O673" i="6"/>
  <c r="S673" i="6" s="1"/>
  <c r="N673" i="6"/>
  <c r="H673" i="6"/>
  <c r="AM672" i="6"/>
  <c r="AN672" i="6" s="1"/>
  <c r="AJ672" i="6"/>
  <c r="AI672" i="6"/>
  <c r="AH672" i="6"/>
  <c r="AG672" i="6"/>
  <c r="AB672" i="6"/>
  <c r="Z672" i="6"/>
  <c r="AC672" i="6" s="1"/>
  <c r="U672" i="6"/>
  <c r="R672" i="6"/>
  <c r="O672" i="6"/>
  <c r="S672" i="6" s="1"/>
  <c r="N672" i="6"/>
  <c r="H672" i="6"/>
  <c r="AI671" i="6"/>
  <c r="AJ671" i="6" s="1"/>
  <c r="AH671" i="6"/>
  <c r="AG671" i="6"/>
  <c r="AM671" i="6" s="1"/>
  <c r="AN671" i="6" s="1"/>
  <c r="AC671" i="6"/>
  <c r="AB671" i="6"/>
  <c r="Z671" i="6"/>
  <c r="U671" i="6"/>
  <c r="R671" i="6"/>
  <c r="S671" i="6" s="1"/>
  <c r="O671" i="6"/>
  <c r="H671" i="6"/>
  <c r="F671" i="6"/>
  <c r="F672" i="6" s="1"/>
  <c r="F673" i="6" s="1"/>
  <c r="F674" i="6" s="1"/>
  <c r="F675" i="6" s="1"/>
  <c r="F676" i="6" s="1"/>
  <c r="F677" i="6" s="1"/>
  <c r="F678" i="6" s="1"/>
  <c r="F679" i="6" s="1"/>
  <c r="F680" i="6" s="1"/>
  <c r="F681" i="6" s="1"/>
  <c r="F682" i="6" s="1"/>
  <c r="F683" i="6" s="1"/>
  <c r="F684" i="6" s="1"/>
  <c r="F685" i="6" s="1"/>
  <c r="F686" i="6" s="1"/>
  <c r="F687" i="6" s="1"/>
  <c r="F688" i="6" s="1"/>
  <c r="F689" i="6" s="1"/>
  <c r="F690" i="6" s="1"/>
  <c r="F691" i="6" s="1"/>
  <c r="F692" i="6" s="1"/>
  <c r="F693" i="6" s="1"/>
  <c r="F694" i="6" s="1"/>
  <c r="F695" i="6" s="1"/>
  <c r="F696" i="6" s="1"/>
  <c r="F697" i="6" s="1"/>
  <c r="F698" i="6" s="1"/>
  <c r="F699" i="6" s="1"/>
  <c r="F700" i="6" s="1"/>
  <c r="F701" i="6" s="1"/>
  <c r="F702" i="6" s="1"/>
  <c r="F703" i="6" s="1"/>
  <c r="F704" i="6" s="1"/>
  <c r="F705" i="6" s="1"/>
  <c r="F706" i="6" s="1"/>
  <c r="F707" i="6" s="1"/>
  <c r="F708" i="6" s="1"/>
  <c r="F709" i="6" s="1"/>
  <c r="F710" i="6" s="1"/>
  <c r="AO670" i="6"/>
  <c r="AI670" i="6"/>
  <c r="AJ670" i="6" s="1"/>
  <c r="AM670" i="6" s="1"/>
  <c r="AN670" i="6" s="1"/>
  <c r="AP670" i="6" s="1"/>
  <c r="AH670" i="6"/>
  <c r="AG670" i="6"/>
  <c r="AC670" i="6"/>
  <c r="AD670" i="6" s="1"/>
  <c r="AB670" i="6"/>
  <c r="Z670" i="6"/>
  <c r="U670" i="6"/>
  <c r="S670" i="6"/>
  <c r="R670" i="6"/>
  <c r="O670" i="6"/>
  <c r="H670" i="6"/>
  <c r="F670" i="6"/>
  <c r="AC669" i="6"/>
  <c r="AD669" i="6" s="1"/>
  <c r="AB669" i="6"/>
  <c r="Z669" i="6"/>
  <c r="U669" i="6"/>
  <c r="S669" i="6"/>
  <c r="R669" i="6"/>
  <c r="O669" i="6"/>
  <c r="H669" i="6"/>
  <c r="N669" i="6" s="1"/>
  <c r="AB668" i="6"/>
  <c r="Z668" i="6"/>
  <c r="AC668" i="6" s="1"/>
  <c r="AD668" i="6" s="1"/>
  <c r="U668" i="6"/>
  <c r="R668" i="6"/>
  <c r="O668" i="6"/>
  <c r="N668" i="6"/>
  <c r="H668" i="6"/>
  <c r="AC667" i="6"/>
  <c r="AD667" i="6" s="1"/>
  <c r="AB667" i="6"/>
  <c r="Z667" i="6"/>
  <c r="U667" i="6"/>
  <c r="R667" i="6"/>
  <c r="O667" i="6"/>
  <c r="S667" i="6" s="1"/>
  <c r="N667" i="6"/>
  <c r="H667" i="6"/>
  <c r="AD666" i="6"/>
  <c r="AC666" i="6"/>
  <c r="AB666" i="6"/>
  <c r="Z666" i="6"/>
  <c r="U666" i="6"/>
  <c r="R666" i="6"/>
  <c r="S666" i="6" s="1"/>
  <c r="O666" i="6"/>
  <c r="N666" i="6"/>
  <c r="H666" i="6"/>
  <c r="AC665" i="6"/>
  <c r="AD665" i="6" s="1"/>
  <c r="AB665" i="6"/>
  <c r="Z665" i="6"/>
  <c r="U665" i="6"/>
  <c r="S665" i="6"/>
  <c r="R665" i="6"/>
  <c r="O665" i="6"/>
  <c r="H665" i="6"/>
  <c r="N665" i="6" s="1"/>
  <c r="AB664" i="6"/>
  <c r="AD664" i="6" s="1"/>
  <c r="Z664" i="6"/>
  <c r="AC664" i="6" s="1"/>
  <c r="U664" i="6"/>
  <c r="R664" i="6"/>
  <c r="O664" i="6"/>
  <c r="S664" i="6" s="1"/>
  <c r="N664" i="6"/>
  <c r="H664" i="6"/>
  <c r="AD663" i="6"/>
  <c r="AB663" i="6"/>
  <c r="Z663" i="6"/>
  <c r="AC663" i="6" s="1"/>
  <c r="U663" i="6"/>
  <c r="R663" i="6"/>
  <c r="O663" i="6"/>
  <c r="S663" i="6" s="1"/>
  <c r="N663" i="6"/>
  <c r="H663" i="6"/>
  <c r="AC662" i="6"/>
  <c r="AB662" i="6"/>
  <c r="Z662" i="6"/>
  <c r="U662" i="6"/>
  <c r="S662" i="6"/>
  <c r="R662" i="6"/>
  <c r="O662" i="6"/>
  <c r="H662" i="6"/>
  <c r="N662" i="6" s="1"/>
  <c r="AC661" i="6"/>
  <c r="AD661" i="6" s="1"/>
  <c r="AB661" i="6"/>
  <c r="Z661" i="6"/>
  <c r="U661" i="6"/>
  <c r="R661" i="6"/>
  <c r="O661" i="6"/>
  <c r="S661" i="6" s="1"/>
  <c r="H661" i="6"/>
  <c r="N661" i="6" s="1"/>
  <c r="AB660" i="6"/>
  <c r="Z660" i="6"/>
  <c r="AC660" i="6" s="1"/>
  <c r="AD660" i="6" s="1"/>
  <c r="U660" i="6"/>
  <c r="R660" i="6"/>
  <c r="O660" i="6"/>
  <c r="N660" i="6"/>
  <c r="H660" i="6"/>
  <c r="AC659" i="6"/>
  <c r="AD659" i="6" s="1"/>
  <c r="AB659" i="6"/>
  <c r="Z659" i="6"/>
  <c r="U659" i="6"/>
  <c r="R659" i="6"/>
  <c r="O659" i="6"/>
  <c r="S659" i="6" s="1"/>
  <c r="N659" i="6"/>
  <c r="H659" i="6"/>
  <c r="AD658" i="6"/>
  <c r="AC658" i="6"/>
  <c r="AB658" i="6"/>
  <c r="Z658" i="6"/>
  <c r="U658" i="6"/>
  <c r="S658" i="6"/>
  <c r="R658" i="6"/>
  <c r="O658" i="6"/>
  <c r="N658" i="6"/>
  <c r="H658" i="6"/>
  <c r="AB657" i="6"/>
  <c r="Z657" i="6"/>
  <c r="AC657" i="6" s="1"/>
  <c r="AD657" i="6" s="1"/>
  <c r="U657" i="6"/>
  <c r="S657" i="6"/>
  <c r="R657" i="6"/>
  <c r="O657" i="6"/>
  <c r="H657" i="6"/>
  <c r="N657" i="6" s="1"/>
  <c r="AB656" i="6"/>
  <c r="Z656" i="6"/>
  <c r="AC656" i="6" s="1"/>
  <c r="AD656" i="6" s="1"/>
  <c r="U656" i="6"/>
  <c r="R656" i="6"/>
  <c r="O656" i="6"/>
  <c r="S656" i="6" s="1"/>
  <c r="N656" i="6"/>
  <c r="H656" i="6"/>
  <c r="AB655" i="6"/>
  <c r="Z655" i="6"/>
  <c r="AC655" i="6" s="1"/>
  <c r="AD655" i="6" s="1"/>
  <c r="U655" i="6"/>
  <c r="R655" i="6"/>
  <c r="O655" i="6"/>
  <c r="S655" i="6" s="1"/>
  <c r="N655" i="6"/>
  <c r="H655" i="6"/>
  <c r="AC654" i="6"/>
  <c r="AD654" i="6" s="1"/>
  <c r="AB654" i="6"/>
  <c r="Z654" i="6"/>
  <c r="U654" i="6"/>
  <c r="S654" i="6"/>
  <c r="R654" i="6"/>
  <c r="O654" i="6"/>
  <c r="H654" i="6"/>
  <c r="N654" i="6" s="1"/>
  <c r="AC653" i="6"/>
  <c r="AD653" i="6" s="1"/>
  <c r="AB653" i="6"/>
  <c r="Z653" i="6"/>
  <c r="U653" i="6"/>
  <c r="R653" i="6"/>
  <c r="O653" i="6"/>
  <c r="S653" i="6" s="1"/>
  <c r="H653" i="6"/>
  <c r="N653" i="6" s="1"/>
  <c r="AB652" i="6"/>
  <c r="Z652" i="6"/>
  <c r="AC652" i="6" s="1"/>
  <c r="AD652" i="6" s="1"/>
  <c r="U652" i="6"/>
  <c r="R652" i="6"/>
  <c r="O652" i="6"/>
  <c r="N652" i="6"/>
  <c r="H652" i="6"/>
  <c r="AB651" i="6"/>
  <c r="Z651" i="6"/>
  <c r="AC651" i="6" s="1"/>
  <c r="AD651" i="6" s="1"/>
  <c r="U651" i="6"/>
  <c r="R651" i="6"/>
  <c r="O651" i="6"/>
  <c r="S651" i="6" s="1"/>
  <c r="N651" i="6"/>
  <c r="H651" i="6"/>
  <c r="AD650" i="6"/>
  <c r="AC650" i="6"/>
  <c r="AB650" i="6"/>
  <c r="Z650" i="6"/>
  <c r="U650" i="6"/>
  <c r="R650" i="6"/>
  <c r="S650" i="6" s="1"/>
  <c r="O650" i="6"/>
  <c r="N650" i="6"/>
  <c r="H650" i="6"/>
  <c r="AO649" i="6"/>
  <c r="AJ649" i="6"/>
  <c r="AI649" i="6"/>
  <c r="AH649" i="6"/>
  <c r="AG649" i="6"/>
  <c r="AC649" i="6"/>
  <c r="AD649" i="6" s="1"/>
  <c r="AB649" i="6"/>
  <c r="Z649" i="6"/>
  <c r="U649" i="6"/>
  <c r="R649" i="6"/>
  <c r="O649" i="6"/>
  <c r="S649" i="6" s="1"/>
  <c r="H649" i="6"/>
  <c r="AJ648" i="6"/>
  <c r="AI648" i="6"/>
  <c r="AH648" i="6"/>
  <c r="AG648" i="6"/>
  <c r="AM648" i="6" s="1"/>
  <c r="AN648" i="6" s="1"/>
  <c r="AB648" i="6"/>
  <c r="Z648" i="6"/>
  <c r="AC648" i="6" s="1"/>
  <c r="AD648" i="6" s="1"/>
  <c r="U648" i="6"/>
  <c r="R648" i="6"/>
  <c r="O648" i="6"/>
  <c r="N648" i="6"/>
  <c r="H648" i="6"/>
  <c r="AM647" i="6"/>
  <c r="AN647" i="6" s="1"/>
  <c r="AP647" i="6" s="1"/>
  <c r="AI647" i="6"/>
  <c r="AJ647" i="6" s="1"/>
  <c r="AH647" i="6"/>
  <c r="AO647" i="6" s="1"/>
  <c r="AG647" i="6"/>
  <c r="AB647" i="6"/>
  <c r="Z647" i="6"/>
  <c r="AC647" i="6" s="1"/>
  <c r="AD647" i="6" s="1"/>
  <c r="U647" i="6"/>
  <c r="R647" i="6"/>
  <c r="O647" i="6"/>
  <c r="S647" i="6" s="1"/>
  <c r="H647" i="6"/>
  <c r="AI646" i="6"/>
  <c r="AJ646" i="6" s="1"/>
  <c r="AM646" i="6" s="1"/>
  <c r="AN646" i="6" s="1"/>
  <c r="AP646" i="6" s="1"/>
  <c r="AH646" i="6"/>
  <c r="AO646" i="6" s="1"/>
  <c r="AG646" i="6"/>
  <c r="AD646" i="6"/>
  <c r="AC646" i="6"/>
  <c r="AB646" i="6"/>
  <c r="Z646" i="6"/>
  <c r="U646" i="6"/>
  <c r="S646" i="6"/>
  <c r="R646" i="6"/>
  <c r="O646" i="6"/>
  <c r="N646" i="6"/>
  <c r="H646" i="6"/>
  <c r="AI645" i="6"/>
  <c r="AJ645" i="6" s="1"/>
  <c r="AH645" i="6"/>
  <c r="AG645" i="6"/>
  <c r="AM645" i="6" s="1"/>
  <c r="AN645" i="6" s="1"/>
  <c r="AC645" i="6"/>
  <c r="AD645" i="6" s="1"/>
  <c r="AB645" i="6"/>
  <c r="Z645" i="6"/>
  <c r="U645" i="6"/>
  <c r="S645" i="6"/>
  <c r="R645" i="6"/>
  <c r="O645" i="6"/>
  <c r="H645" i="6"/>
  <c r="N645" i="6" s="1"/>
  <c r="AJ644" i="6"/>
  <c r="AM644" i="6" s="1"/>
  <c r="AN644" i="6" s="1"/>
  <c r="AI644" i="6"/>
  <c r="AH644" i="6"/>
  <c r="AG644" i="6"/>
  <c r="AD644" i="6"/>
  <c r="AB644" i="6"/>
  <c r="Z644" i="6"/>
  <c r="AC644" i="6" s="1"/>
  <c r="U644" i="6"/>
  <c r="R644" i="6"/>
  <c r="O644" i="6"/>
  <c r="N644" i="6"/>
  <c r="H644" i="6"/>
  <c r="AI643" i="6"/>
  <c r="AJ643" i="6" s="1"/>
  <c r="AH643" i="6"/>
  <c r="AG643" i="6"/>
  <c r="AM643" i="6" s="1"/>
  <c r="AN643" i="6" s="1"/>
  <c r="AB643" i="6"/>
  <c r="Z643" i="6"/>
  <c r="AC643" i="6" s="1"/>
  <c r="U643" i="6"/>
  <c r="R643" i="6"/>
  <c r="O643" i="6"/>
  <c r="S643" i="6" s="1"/>
  <c r="H643" i="6"/>
  <c r="AJ642" i="6"/>
  <c r="AM642" i="6" s="1"/>
  <c r="AN642" i="6" s="1"/>
  <c r="AP642" i="6" s="1"/>
  <c r="AI642" i="6"/>
  <c r="AH642" i="6"/>
  <c r="AO642" i="6" s="1"/>
  <c r="AG642" i="6"/>
  <c r="AC642" i="6"/>
  <c r="AB642" i="6"/>
  <c r="AD642" i="6" s="1"/>
  <c r="Z642" i="6"/>
  <c r="U642" i="6"/>
  <c r="R642" i="6"/>
  <c r="S642" i="6" s="1"/>
  <c r="O642" i="6"/>
  <c r="N642" i="6"/>
  <c r="H642" i="6"/>
  <c r="AO641" i="6"/>
  <c r="AI641" i="6"/>
  <c r="AJ641" i="6" s="1"/>
  <c r="AH641" i="6"/>
  <c r="AG641" i="6"/>
  <c r="AB641" i="6"/>
  <c r="Z641" i="6"/>
  <c r="AC641" i="6" s="1"/>
  <c r="AD641" i="6" s="1"/>
  <c r="U641" i="6"/>
  <c r="R641" i="6"/>
  <c r="O641" i="6"/>
  <c r="S641" i="6" s="1"/>
  <c r="H641" i="6"/>
  <c r="N641" i="6" s="1"/>
  <c r="AJ640" i="6"/>
  <c r="AM640" i="6" s="1"/>
  <c r="AN640" i="6" s="1"/>
  <c r="AI640" i="6"/>
  <c r="AH640" i="6"/>
  <c r="AG640" i="6"/>
  <c r="AB640" i="6"/>
  <c r="Z640" i="6"/>
  <c r="AC640" i="6" s="1"/>
  <c r="AD640" i="6" s="1"/>
  <c r="U640" i="6"/>
  <c r="R640" i="6"/>
  <c r="O640" i="6"/>
  <c r="N640" i="6"/>
  <c r="H640" i="6"/>
  <c r="AI639" i="6"/>
  <c r="AJ639" i="6" s="1"/>
  <c r="AM639" i="6" s="1"/>
  <c r="AN639" i="6" s="1"/>
  <c r="AH639" i="6"/>
  <c r="AO639" i="6" s="1"/>
  <c r="AG639" i="6"/>
  <c r="AB639" i="6"/>
  <c r="Z639" i="6"/>
  <c r="AC639" i="6" s="1"/>
  <c r="U639" i="6"/>
  <c r="R639" i="6"/>
  <c r="O639" i="6"/>
  <c r="S639" i="6" s="1"/>
  <c r="H639" i="6"/>
  <c r="AI638" i="6"/>
  <c r="AJ638" i="6" s="1"/>
  <c r="AM638" i="6" s="1"/>
  <c r="AN638" i="6" s="1"/>
  <c r="AP638" i="6" s="1"/>
  <c r="AQ638" i="6" s="1"/>
  <c r="AH638" i="6"/>
  <c r="AO638" i="6" s="1"/>
  <c r="AG638" i="6"/>
  <c r="AC638" i="6"/>
  <c r="AD638" i="6" s="1"/>
  <c r="AB638" i="6"/>
  <c r="Z638" i="6"/>
  <c r="U638" i="6"/>
  <c r="S638" i="6"/>
  <c r="R638" i="6"/>
  <c r="O638" i="6"/>
  <c r="H638" i="6"/>
  <c r="AL638" i="6" s="1"/>
  <c r="AB637" i="6"/>
  <c r="Z637" i="6"/>
  <c r="AC637" i="6" s="1"/>
  <c r="U637" i="6"/>
  <c r="R637" i="6"/>
  <c r="O637" i="6"/>
  <c r="S637" i="6" s="1"/>
  <c r="H637" i="6"/>
  <c r="N637" i="6" s="1"/>
  <c r="AB636" i="6"/>
  <c r="Z636" i="6"/>
  <c r="AC636" i="6" s="1"/>
  <c r="AD636" i="6" s="1"/>
  <c r="U636" i="6"/>
  <c r="R636" i="6"/>
  <c r="O636" i="6"/>
  <c r="N636" i="6"/>
  <c r="H636" i="6"/>
  <c r="AB635" i="6"/>
  <c r="Z635" i="6"/>
  <c r="AC635" i="6" s="1"/>
  <c r="AD635" i="6" s="1"/>
  <c r="U635" i="6"/>
  <c r="R635" i="6"/>
  <c r="O635" i="6"/>
  <c r="S635" i="6" s="1"/>
  <c r="H635" i="6"/>
  <c r="N635" i="6" s="1"/>
  <c r="AC634" i="6"/>
  <c r="AB634" i="6"/>
  <c r="Z634" i="6"/>
  <c r="U634" i="6"/>
  <c r="R634" i="6"/>
  <c r="S634" i="6" s="1"/>
  <c r="O634" i="6"/>
  <c r="H634" i="6"/>
  <c r="N634" i="6" s="1"/>
  <c r="AB633" i="6"/>
  <c r="Z633" i="6"/>
  <c r="AC633" i="6" s="1"/>
  <c r="AD633" i="6" s="1"/>
  <c r="U633" i="6"/>
  <c r="R633" i="6"/>
  <c r="O633" i="6"/>
  <c r="S633" i="6" s="1"/>
  <c r="H633" i="6"/>
  <c r="N633" i="6" s="1"/>
  <c r="AB632" i="6"/>
  <c r="Z632" i="6"/>
  <c r="AC632" i="6" s="1"/>
  <c r="AD632" i="6" s="1"/>
  <c r="U632" i="6"/>
  <c r="R632" i="6"/>
  <c r="O632" i="6"/>
  <c r="S632" i="6" s="1"/>
  <c r="N632" i="6"/>
  <c r="H632" i="6"/>
  <c r="AD631" i="6"/>
  <c r="AC631" i="6"/>
  <c r="AB631" i="6"/>
  <c r="Z631" i="6"/>
  <c r="U631" i="6"/>
  <c r="R631" i="6"/>
  <c r="S631" i="6" s="1"/>
  <c r="O631" i="6"/>
  <c r="N631" i="6"/>
  <c r="H631" i="6"/>
  <c r="AC630" i="6"/>
  <c r="AD630" i="6" s="1"/>
  <c r="AB630" i="6"/>
  <c r="Z630" i="6"/>
  <c r="U630" i="6"/>
  <c r="R630" i="6"/>
  <c r="S630" i="6" s="1"/>
  <c r="O630" i="6"/>
  <c r="H630" i="6"/>
  <c r="N630" i="6" s="1"/>
  <c r="AD629" i="6"/>
  <c r="AB629" i="6"/>
  <c r="Z629" i="6"/>
  <c r="AC629" i="6" s="1"/>
  <c r="U629" i="6"/>
  <c r="R629" i="6"/>
  <c r="O629" i="6"/>
  <c r="N629" i="6"/>
  <c r="H629" i="6"/>
  <c r="AB628" i="6"/>
  <c r="Z628" i="6"/>
  <c r="AC628" i="6" s="1"/>
  <c r="AD628" i="6" s="1"/>
  <c r="U628" i="6"/>
  <c r="R628" i="6"/>
  <c r="O628" i="6"/>
  <c r="S628" i="6" s="1"/>
  <c r="H628" i="6"/>
  <c r="N628" i="6" s="1"/>
  <c r="AC627" i="6"/>
  <c r="AD627" i="6" s="1"/>
  <c r="AB627" i="6"/>
  <c r="Z627" i="6"/>
  <c r="U627" i="6"/>
  <c r="S627" i="6"/>
  <c r="R627" i="6"/>
  <c r="O627" i="6"/>
  <c r="H627" i="6"/>
  <c r="N627" i="6" s="1"/>
  <c r="AB626" i="6"/>
  <c r="Z626" i="6"/>
  <c r="AC626" i="6" s="1"/>
  <c r="AD626" i="6" s="1"/>
  <c r="U626" i="6"/>
  <c r="R626" i="6"/>
  <c r="O626" i="6"/>
  <c r="S626" i="6" s="1"/>
  <c r="H626" i="6"/>
  <c r="N626" i="6" s="1"/>
  <c r="AO625" i="6"/>
  <c r="AM625" i="6"/>
  <c r="AN625" i="6" s="1"/>
  <c r="AP625" i="6" s="1"/>
  <c r="AQ625" i="6" s="1"/>
  <c r="AI625" i="6"/>
  <c r="AJ625" i="6" s="1"/>
  <c r="AH625" i="6"/>
  <c r="AG625" i="6"/>
  <c r="AD625" i="6"/>
  <c r="AC625" i="6"/>
  <c r="AB625" i="6"/>
  <c r="Z625" i="6"/>
  <c r="U625" i="6"/>
  <c r="S625" i="6"/>
  <c r="R625" i="6"/>
  <c r="O625" i="6"/>
  <c r="N625" i="6"/>
  <c r="H625" i="6"/>
  <c r="AL625" i="6" s="1"/>
  <c r="AO624" i="6"/>
  <c r="AI624" i="6"/>
  <c r="AJ624" i="6" s="1"/>
  <c r="AH624" i="6"/>
  <c r="AG624" i="6"/>
  <c r="AD624" i="6"/>
  <c r="AC624" i="6"/>
  <c r="AB624" i="6"/>
  <c r="Z624" i="6"/>
  <c r="U624" i="6"/>
  <c r="S624" i="6"/>
  <c r="R624" i="6"/>
  <c r="O624" i="6"/>
  <c r="N624" i="6"/>
  <c r="H624" i="6"/>
  <c r="AL624" i="6" s="1"/>
  <c r="AO623" i="6"/>
  <c r="AL623" i="6"/>
  <c r="AJ623" i="6"/>
  <c r="AI623" i="6"/>
  <c r="AH623" i="6"/>
  <c r="AG623" i="6"/>
  <c r="AM623" i="6" s="1"/>
  <c r="AN623" i="6" s="1"/>
  <c r="AP623" i="6" s="1"/>
  <c r="AQ623" i="6" s="1"/>
  <c r="AB623" i="6"/>
  <c r="Z623" i="6"/>
  <c r="AC623" i="6" s="1"/>
  <c r="AD623" i="6" s="1"/>
  <c r="U623" i="6"/>
  <c r="R623" i="6"/>
  <c r="O623" i="6"/>
  <c r="S623" i="6" s="1"/>
  <c r="N623" i="6"/>
  <c r="H623" i="6"/>
  <c r="AN622" i="6"/>
  <c r="AP622" i="6" s="1"/>
  <c r="AI622" i="6"/>
  <c r="AJ622" i="6" s="1"/>
  <c r="AH622" i="6"/>
  <c r="AO622" i="6" s="1"/>
  <c r="AG622" i="6"/>
  <c r="AM622" i="6" s="1"/>
  <c r="AB622" i="6"/>
  <c r="Z622" i="6"/>
  <c r="AC622" i="6" s="1"/>
  <c r="AD622" i="6" s="1"/>
  <c r="U622" i="6"/>
  <c r="R622" i="6"/>
  <c r="O622" i="6"/>
  <c r="S622" i="6" s="1"/>
  <c r="H622" i="6"/>
  <c r="N622" i="6" s="1"/>
  <c r="F622" i="6"/>
  <c r="F623" i="6" s="1"/>
  <c r="F624" i="6" s="1"/>
  <c r="F625" i="6" s="1"/>
  <c r="F626" i="6" s="1"/>
  <c r="F627" i="6" s="1"/>
  <c r="F628" i="6" s="1"/>
  <c r="F629" i="6" s="1"/>
  <c r="F630" i="6" s="1"/>
  <c r="F631" i="6" s="1"/>
  <c r="F632" i="6" s="1"/>
  <c r="F633" i="6" s="1"/>
  <c r="F634" i="6" s="1"/>
  <c r="F635" i="6" s="1"/>
  <c r="F636" i="6" s="1"/>
  <c r="F637" i="6" s="1"/>
  <c r="F638" i="6" s="1"/>
  <c r="F639" i="6" s="1"/>
  <c r="F640" i="6" s="1"/>
  <c r="F641" i="6" s="1"/>
  <c r="F642" i="6" s="1"/>
  <c r="F643" i="6" s="1"/>
  <c r="F644" i="6" s="1"/>
  <c r="F645" i="6" s="1"/>
  <c r="F646" i="6" s="1"/>
  <c r="F647" i="6" s="1"/>
  <c r="F648" i="6" s="1"/>
  <c r="F649" i="6" s="1"/>
  <c r="F650" i="6" s="1"/>
  <c r="F651" i="6" s="1"/>
  <c r="F652" i="6" s="1"/>
  <c r="F653" i="6" s="1"/>
  <c r="F654" i="6" s="1"/>
  <c r="F655" i="6" s="1"/>
  <c r="F656" i="6" s="1"/>
  <c r="F657" i="6" s="1"/>
  <c r="F658" i="6" s="1"/>
  <c r="F659" i="6" s="1"/>
  <c r="F660" i="6" s="1"/>
  <c r="F661" i="6" s="1"/>
  <c r="F662" i="6" s="1"/>
  <c r="F663" i="6" s="1"/>
  <c r="F664" i="6" s="1"/>
  <c r="F665" i="6" s="1"/>
  <c r="F666" i="6" s="1"/>
  <c r="F667" i="6" s="1"/>
  <c r="F668" i="6" s="1"/>
  <c r="F669" i="6" s="1"/>
  <c r="AB621" i="6"/>
  <c r="AD621" i="6" s="1"/>
  <c r="Z621" i="6"/>
  <c r="AC621" i="6" s="1"/>
  <c r="U621" i="6"/>
  <c r="R621" i="6"/>
  <c r="O621" i="6"/>
  <c r="N621" i="6"/>
  <c r="H621" i="6"/>
  <c r="AD620" i="6"/>
  <c r="AB620" i="6"/>
  <c r="Z620" i="6"/>
  <c r="AC620" i="6" s="1"/>
  <c r="U620" i="6"/>
  <c r="R620" i="6"/>
  <c r="O620" i="6"/>
  <c r="S620" i="6" s="1"/>
  <c r="N620" i="6"/>
  <c r="H620" i="6"/>
  <c r="AC619" i="6"/>
  <c r="AD619" i="6" s="1"/>
  <c r="AB619" i="6"/>
  <c r="Z619" i="6"/>
  <c r="U619" i="6"/>
  <c r="S619" i="6"/>
  <c r="R619" i="6"/>
  <c r="O619" i="6"/>
  <c r="H619" i="6"/>
  <c r="N619" i="6" s="1"/>
  <c r="AB618" i="6"/>
  <c r="Z618" i="6"/>
  <c r="AC618" i="6" s="1"/>
  <c r="AD618" i="6" s="1"/>
  <c r="U618" i="6"/>
  <c r="R618" i="6"/>
  <c r="O618" i="6"/>
  <c r="S618" i="6" s="1"/>
  <c r="H618" i="6"/>
  <c r="N618" i="6" s="1"/>
  <c r="AD617" i="6"/>
  <c r="AB617" i="6"/>
  <c r="Z617" i="6"/>
  <c r="AC617" i="6" s="1"/>
  <c r="U617" i="6"/>
  <c r="R617" i="6"/>
  <c r="O617" i="6"/>
  <c r="N617" i="6"/>
  <c r="H617" i="6"/>
  <c r="AB616" i="6"/>
  <c r="Z616" i="6"/>
  <c r="AC616" i="6" s="1"/>
  <c r="AD616" i="6" s="1"/>
  <c r="U616" i="6"/>
  <c r="R616" i="6"/>
  <c r="O616" i="6"/>
  <c r="S616" i="6" s="1"/>
  <c r="H616" i="6"/>
  <c r="N616" i="6" s="1"/>
  <c r="AC615" i="6"/>
  <c r="AB615" i="6"/>
  <c r="Z615" i="6"/>
  <c r="U615" i="6"/>
  <c r="R615" i="6"/>
  <c r="S615" i="6" s="1"/>
  <c r="O615" i="6"/>
  <c r="H615" i="6"/>
  <c r="N615" i="6" s="1"/>
  <c r="AC614" i="6"/>
  <c r="AD614" i="6" s="1"/>
  <c r="AB614" i="6"/>
  <c r="Z614" i="6"/>
  <c r="U614" i="6"/>
  <c r="S614" i="6"/>
  <c r="R614" i="6"/>
  <c r="O614" i="6"/>
  <c r="H614" i="6"/>
  <c r="N614" i="6" s="1"/>
  <c r="AB613" i="6"/>
  <c r="Z613" i="6"/>
  <c r="AC613" i="6" s="1"/>
  <c r="AD613" i="6" s="1"/>
  <c r="U613" i="6"/>
  <c r="R613" i="6"/>
  <c r="O613" i="6"/>
  <c r="S613" i="6" s="1"/>
  <c r="N613" i="6"/>
  <c r="H613" i="6"/>
  <c r="AD612" i="6"/>
  <c r="AC612" i="6"/>
  <c r="AB612" i="6"/>
  <c r="Z612" i="6"/>
  <c r="U612" i="6"/>
  <c r="S612" i="6"/>
  <c r="R612" i="6"/>
  <c r="O612" i="6"/>
  <c r="N612" i="6"/>
  <c r="H612" i="6"/>
  <c r="AC611" i="6"/>
  <c r="AB611" i="6"/>
  <c r="AD611" i="6" s="1"/>
  <c r="Z611" i="6"/>
  <c r="U611" i="6"/>
  <c r="R611" i="6"/>
  <c r="S611" i="6" s="1"/>
  <c r="O611" i="6"/>
  <c r="N611" i="6"/>
  <c r="H611" i="6"/>
  <c r="AC610" i="6"/>
  <c r="AD610" i="6" s="1"/>
  <c r="AB610" i="6"/>
  <c r="Z610" i="6"/>
  <c r="U610" i="6"/>
  <c r="S610" i="6"/>
  <c r="R610" i="6"/>
  <c r="O610" i="6"/>
  <c r="H610" i="6"/>
  <c r="N610" i="6" s="1"/>
  <c r="AB609" i="6"/>
  <c r="Z609" i="6"/>
  <c r="AC609" i="6" s="1"/>
  <c r="AD609" i="6" s="1"/>
  <c r="U609" i="6"/>
  <c r="R609" i="6"/>
  <c r="O609" i="6"/>
  <c r="N609" i="6"/>
  <c r="H609" i="6"/>
  <c r="AB608" i="6"/>
  <c r="Z608" i="6"/>
  <c r="AC608" i="6" s="1"/>
  <c r="AD608" i="6" s="1"/>
  <c r="U608" i="6"/>
  <c r="R608" i="6"/>
  <c r="O608" i="6"/>
  <c r="S608" i="6" s="1"/>
  <c r="H608" i="6"/>
  <c r="N608" i="6" s="1"/>
  <c r="AC607" i="6"/>
  <c r="AD607" i="6" s="1"/>
  <c r="AB607" i="6"/>
  <c r="Z607" i="6"/>
  <c r="U607" i="6"/>
  <c r="S607" i="6"/>
  <c r="R607" i="6"/>
  <c r="O607" i="6"/>
  <c r="H607" i="6"/>
  <c r="N607" i="6" s="1"/>
  <c r="AO606" i="6"/>
  <c r="AI606" i="6"/>
  <c r="AJ606" i="6" s="1"/>
  <c r="AH606" i="6"/>
  <c r="AG606" i="6"/>
  <c r="AC606" i="6"/>
  <c r="AD606" i="6" s="1"/>
  <c r="AB606" i="6"/>
  <c r="Z606" i="6"/>
  <c r="U606" i="6"/>
  <c r="S606" i="6"/>
  <c r="R606" i="6"/>
  <c r="O606" i="6"/>
  <c r="H606" i="6"/>
  <c r="AL606" i="6" s="1"/>
  <c r="AL605" i="6"/>
  <c r="AJ605" i="6"/>
  <c r="AI605" i="6"/>
  <c r="AH605" i="6"/>
  <c r="AO605" i="6" s="1"/>
  <c r="AG605" i="6"/>
  <c r="AM605" i="6" s="1"/>
  <c r="AN605" i="6" s="1"/>
  <c r="AP605" i="6" s="1"/>
  <c r="AQ605" i="6" s="1"/>
  <c r="AB605" i="6"/>
  <c r="Z605" i="6"/>
  <c r="AC605" i="6" s="1"/>
  <c r="AD605" i="6" s="1"/>
  <c r="U605" i="6"/>
  <c r="R605" i="6"/>
  <c r="O605" i="6"/>
  <c r="S605" i="6" s="1"/>
  <c r="N605" i="6"/>
  <c r="H605" i="6"/>
  <c r="AL604" i="6"/>
  <c r="AI604" i="6"/>
  <c r="AJ604" i="6" s="1"/>
  <c r="AM604" i="6" s="1"/>
  <c r="AN604" i="6" s="1"/>
  <c r="AP604" i="6" s="1"/>
  <c r="AQ604" i="6" s="1"/>
  <c r="AH604" i="6"/>
  <c r="AO604" i="6" s="1"/>
  <c r="AG604" i="6"/>
  <c r="AC604" i="6"/>
  <c r="AB604" i="6"/>
  <c r="Z604" i="6"/>
  <c r="U604" i="6"/>
  <c r="R604" i="6"/>
  <c r="S604" i="6" s="1"/>
  <c r="O604" i="6"/>
  <c r="H604" i="6"/>
  <c r="N604" i="6" s="1"/>
  <c r="AO603" i="6"/>
  <c r="AI603" i="6"/>
  <c r="AJ603" i="6" s="1"/>
  <c r="AM603" i="6" s="1"/>
  <c r="AN603" i="6" s="1"/>
  <c r="AP603" i="6" s="1"/>
  <c r="AQ603" i="6" s="1"/>
  <c r="AH603" i="6"/>
  <c r="AG603" i="6"/>
  <c r="AC603" i="6"/>
  <c r="AD603" i="6" s="1"/>
  <c r="AB603" i="6"/>
  <c r="Z603" i="6"/>
  <c r="U603" i="6"/>
  <c r="S603" i="6"/>
  <c r="R603" i="6"/>
  <c r="O603" i="6"/>
  <c r="H603" i="6"/>
  <c r="AL603" i="6" s="1"/>
  <c r="AO602" i="6"/>
  <c r="AJ602" i="6"/>
  <c r="AI602" i="6"/>
  <c r="AH602" i="6"/>
  <c r="AG602" i="6"/>
  <c r="AD602" i="6"/>
  <c r="AC602" i="6"/>
  <c r="AB602" i="6"/>
  <c r="Z602" i="6"/>
  <c r="U602" i="6"/>
  <c r="S602" i="6"/>
  <c r="R602" i="6"/>
  <c r="O602" i="6"/>
  <c r="N602" i="6"/>
  <c r="H602" i="6"/>
  <c r="AL602" i="6" s="1"/>
  <c r="AO601" i="6"/>
  <c r="AI601" i="6"/>
  <c r="AJ601" i="6" s="1"/>
  <c r="AM601" i="6" s="1"/>
  <c r="AN601" i="6" s="1"/>
  <c r="AP601" i="6" s="1"/>
  <c r="AH601" i="6"/>
  <c r="AG601" i="6"/>
  <c r="AB601" i="6"/>
  <c r="Z601" i="6"/>
  <c r="AC601" i="6" s="1"/>
  <c r="AD601" i="6" s="1"/>
  <c r="U601" i="6"/>
  <c r="R601" i="6"/>
  <c r="O601" i="6"/>
  <c r="S601" i="6" s="1"/>
  <c r="H601" i="6"/>
  <c r="AO600" i="6"/>
  <c r="AI600" i="6"/>
  <c r="AJ600" i="6" s="1"/>
  <c r="AM600" i="6" s="1"/>
  <c r="AN600" i="6" s="1"/>
  <c r="AP600" i="6" s="1"/>
  <c r="AQ600" i="6" s="1"/>
  <c r="AH600" i="6"/>
  <c r="AG600" i="6"/>
  <c r="AC600" i="6"/>
  <c r="AD600" i="6" s="1"/>
  <c r="AB600" i="6"/>
  <c r="Z600" i="6"/>
  <c r="U600" i="6"/>
  <c r="S600" i="6"/>
  <c r="R600" i="6"/>
  <c r="O600" i="6"/>
  <c r="H600" i="6"/>
  <c r="AL600" i="6" s="1"/>
  <c r="AO599" i="6"/>
  <c r="AI599" i="6"/>
  <c r="AJ599" i="6" s="1"/>
  <c r="AH599" i="6"/>
  <c r="AG599" i="6"/>
  <c r="AC599" i="6"/>
  <c r="AD599" i="6" s="1"/>
  <c r="AB599" i="6"/>
  <c r="Z599" i="6"/>
  <c r="U599" i="6"/>
  <c r="S599" i="6"/>
  <c r="R599" i="6"/>
  <c r="O599" i="6"/>
  <c r="H599" i="6"/>
  <c r="N599" i="6" s="1"/>
  <c r="AL598" i="6"/>
  <c r="AJ598" i="6"/>
  <c r="AI598" i="6"/>
  <c r="AH598" i="6"/>
  <c r="AO598" i="6" s="1"/>
  <c r="AG598" i="6"/>
  <c r="AM598" i="6" s="1"/>
  <c r="AN598" i="6" s="1"/>
  <c r="AP598" i="6" s="1"/>
  <c r="AQ598" i="6" s="1"/>
  <c r="AB598" i="6"/>
  <c r="Z598" i="6"/>
  <c r="AC598" i="6" s="1"/>
  <c r="AD598" i="6" s="1"/>
  <c r="U598" i="6"/>
  <c r="R598" i="6"/>
  <c r="O598" i="6"/>
  <c r="S598" i="6" s="1"/>
  <c r="N598" i="6"/>
  <c r="H598" i="6"/>
  <c r="AI597" i="6"/>
  <c r="AJ597" i="6" s="1"/>
  <c r="AH597" i="6"/>
  <c r="AO597" i="6" s="1"/>
  <c r="AG597" i="6"/>
  <c r="AM597" i="6" s="1"/>
  <c r="AN597" i="6" s="1"/>
  <c r="AP597" i="6" s="1"/>
  <c r="AB597" i="6"/>
  <c r="Z597" i="6"/>
  <c r="AC597" i="6" s="1"/>
  <c r="AD597" i="6" s="1"/>
  <c r="U597" i="6"/>
  <c r="R597" i="6"/>
  <c r="O597" i="6"/>
  <c r="S597" i="6" s="1"/>
  <c r="H597" i="6"/>
  <c r="N597" i="6" s="1"/>
  <c r="AO596" i="6"/>
  <c r="AI596" i="6"/>
  <c r="AJ596" i="6" s="1"/>
  <c r="AM596" i="6" s="1"/>
  <c r="AN596" i="6" s="1"/>
  <c r="AP596" i="6" s="1"/>
  <c r="AQ596" i="6" s="1"/>
  <c r="AH596" i="6"/>
  <c r="AG596" i="6"/>
  <c r="AC596" i="6"/>
  <c r="AD596" i="6" s="1"/>
  <c r="AB596" i="6"/>
  <c r="Z596" i="6"/>
  <c r="U596" i="6"/>
  <c r="S596" i="6"/>
  <c r="R596" i="6"/>
  <c r="O596" i="6"/>
  <c r="H596" i="6"/>
  <c r="AL596" i="6" s="1"/>
  <c r="AO595" i="6"/>
  <c r="AI595" i="6"/>
  <c r="AJ595" i="6" s="1"/>
  <c r="AH595" i="6"/>
  <c r="AG595" i="6"/>
  <c r="AC595" i="6"/>
  <c r="AD595" i="6" s="1"/>
  <c r="AB595" i="6"/>
  <c r="Z595" i="6"/>
  <c r="U595" i="6"/>
  <c r="S595" i="6"/>
  <c r="R595" i="6"/>
  <c r="O595" i="6"/>
  <c r="H595" i="6"/>
  <c r="N595" i="6" s="1"/>
  <c r="AD594" i="6"/>
  <c r="AC594" i="6"/>
  <c r="AB594" i="6"/>
  <c r="Z594" i="6"/>
  <c r="U594" i="6"/>
  <c r="R594" i="6"/>
  <c r="S594" i="6" s="1"/>
  <c r="O594" i="6"/>
  <c r="N594" i="6"/>
  <c r="H594" i="6"/>
  <c r="AC593" i="6"/>
  <c r="AB593" i="6"/>
  <c r="Z593" i="6"/>
  <c r="U593" i="6"/>
  <c r="R593" i="6"/>
  <c r="S593" i="6" s="1"/>
  <c r="O593" i="6"/>
  <c r="H593" i="6"/>
  <c r="N593" i="6" s="1"/>
  <c r="AD592" i="6"/>
  <c r="AB592" i="6"/>
  <c r="Z592" i="6"/>
  <c r="AC592" i="6" s="1"/>
  <c r="U592" i="6"/>
  <c r="R592" i="6"/>
  <c r="O592" i="6"/>
  <c r="N592" i="6"/>
  <c r="H592" i="6"/>
  <c r="AB591" i="6"/>
  <c r="Z591" i="6"/>
  <c r="AC591" i="6" s="1"/>
  <c r="AD591" i="6" s="1"/>
  <c r="U591" i="6"/>
  <c r="R591" i="6"/>
  <c r="O591" i="6"/>
  <c r="S591" i="6" s="1"/>
  <c r="H591" i="6"/>
  <c r="N591" i="6" s="1"/>
  <c r="AC590" i="6"/>
  <c r="AD590" i="6" s="1"/>
  <c r="AB590" i="6"/>
  <c r="Z590" i="6"/>
  <c r="U590" i="6"/>
  <c r="S590" i="6"/>
  <c r="R590" i="6"/>
  <c r="O590" i="6"/>
  <c r="H590" i="6"/>
  <c r="N590" i="6" s="1"/>
  <c r="AB589" i="6"/>
  <c r="Z589" i="6"/>
  <c r="AC589" i="6" s="1"/>
  <c r="AD589" i="6" s="1"/>
  <c r="U589" i="6"/>
  <c r="R589" i="6"/>
  <c r="O589" i="6"/>
  <c r="S589" i="6" s="1"/>
  <c r="H589" i="6"/>
  <c r="N589" i="6" s="1"/>
  <c r="AB588" i="6"/>
  <c r="AD588" i="6" s="1"/>
  <c r="Z588" i="6"/>
  <c r="AC588" i="6" s="1"/>
  <c r="U588" i="6"/>
  <c r="R588" i="6"/>
  <c r="O588" i="6"/>
  <c r="S588" i="6" s="1"/>
  <c r="N588" i="6"/>
  <c r="H588" i="6"/>
  <c r="AB587" i="6"/>
  <c r="Z587" i="6"/>
  <c r="AC587" i="6" s="1"/>
  <c r="AD587" i="6" s="1"/>
  <c r="U587" i="6"/>
  <c r="R587" i="6"/>
  <c r="O587" i="6"/>
  <c r="S587" i="6" s="1"/>
  <c r="N587" i="6"/>
  <c r="H587" i="6"/>
  <c r="AC586" i="6"/>
  <c r="AD586" i="6" s="1"/>
  <c r="AB586" i="6"/>
  <c r="Z586" i="6"/>
  <c r="U586" i="6"/>
  <c r="R586" i="6"/>
  <c r="S586" i="6" s="1"/>
  <c r="O586" i="6"/>
  <c r="H586" i="6"/>
  <c r="N586" i="6" s="1"/>
  <c r="AB585" i="6"/>
  <c r="Z585" i="6"/>
  <c r="AC585" i="6" s="1"/>
  <c r="AD585" i="6" s="1"/>
  <c r="U585" i="6"/>
  <c r="R585" i="6"/>
  <c r="O585" i="6"/>
  <c r="S585" i="6" s="1"/>
  <c r="H585" i="6"/>
  <c r="N585" i="6" s="1"/>
  <c r="AB584" i="6"/>
  <c r="Z584" i="6"/>
  <c r="AC584" i="6" s="1"/>
  <c r="AD584" i="6" s="1"/>
  <c r="U584" i="6"/>
  <c r="R584" i="6"/>
  <c r="O584" i="6"/>
  <c r="S584" i="6" s="1"/>
  <c r="N584" i="6"/>
  <c r="H584" i="6"/>
  <c r="AC583" i="6"/>
  <c r="AD583" i="6" s="1"/>
  <c r="AB583" i="6"/>
  <c r="Z583" i="6"/>
  <c r="U583" i="6"/>
  <c r="S583" i="6"/>
  <c r="R583" i="6"/>
  <c r="O583" i="6"/>
  <c r="H583" i="6"/>
  <c r="N583" i="6" s="1"/>
  <c r="AC582" i="6"/>
  <c r="AD582" i="6" s="1"/>
  <c r="AB582" i="6"/>
  <c r="Z582" i="6"/>
  <c r="U582" i="6"/>
  <c r="R582" i="6"/>
  <c r="S582" i="6" s="1"/>
  <c r="O582" i="6"/>
  <c r="H582" i="6"/>
  <c r="N582" i="6" s="1"/>
  <c r="AC581" i="6"/>
  <c r="AD581" i="6" s="1"/>
  <c r="AB581" i="6"/>
  <c r="Z581" i="6"/>
  <c r="U581" i="6"/>
  <c r="S581" i="6"/>
  <c r="R581" i="6"/>
  <c r="O581" i="6"/>
  <c r="H581" i="6"/>
  <c r="N581" i="6" s="1"/>
  <c r="AB580" i="6"/>
  <c r="Z580" i="6"/>
  <c r="AC580" i="6" s="1"/>
  <c r="AD580" i="6" s="1"/>
  <c r="U580" i="6"/>
  <c r="R580" i="6"/>
  <c r="O580" i="6"/>
  <c r="S580" i="6" s="1"/>
  <c r="N580" i="6"/>
  <c r="H580" i="6"/>
  <c r="AC579" i="6"/>
  <c r="AD579" i="6" s="1"/>
  <c r="AB579" i="6"/>
  <c r="Z579" i="6"/>
  <c r="U579" i="6"/>
  <c r="S579" i="6"/>
  <c r="R579" i="6"/>
  <c r="O579" i="6"/>
  <c r="H579" i="6"/>
  <c r="N579" i="6" s="1"/>
  <c r="AD578" i="6"/>
  <c r="AC578" i="6"/>
  <c r="AB578" i="6"/>
  <c r="Z578" i="6"/>
  <c r="U578" i="6"/>
  <c r="R578" i="6"/>
  <c r="S578" i="6" s="1"/>
  <c r="O578" i="6"/>
  <c r="N578" i="6"/>
  <c r="H578" i="6"/>
  <c r="AO577" i="6"/>
  <c r="AI577" i="6"/>
  <c r="AJ577" i="6" s="1"/>
  <c r="AH577" i="6"/>
  <c r="AG577" i="6"/>
  <c r="AC577" i="6"/>
  <c r="AD577" i="6" s="1"/>
  <c r="AB577" i="6"/>
  <c r="Z577" i="6"/>
  <c r="U577" i="6"/>
  <c r="S577" i="6"/>
  <c r="R577" i="6"/>
  <c r="O577" i="6"/>
  <c r="H577" i="6"/>
  <c r="N577" i="6" s="1"/>
  <c r="AM576" i="6"/>
  <c r="AN576" i="6" s="1"/>
  <c r="AP576" i="6" s="1"/>
  <c r="AJ576" i="6"/>
  <c r="AI576" i="6"/>
  <c r="AH576" i="6"/>
  <c r="AO576" i="6" s="1"/>
  <c r="AG576" i="6"/>
  <c r="AB576" i="6"/>
  <c r="Z576" i="6"/>
  <c r="AC576" i="6" s="1"/>
  <c r="AD576" i="6" s="1"/>
  <c r="U576" i="6"/>
  <c r="R576" i="6"/>
  <c r="O576" i="6"/>
  <c r="S576" i="6" s="1"/>
  <c r="N576" i="6"/>
  <c r="H576" i="6"/>
  <c r="AL575" i="6"/>
  <c r="AI575" i="6"/>
  <c r="AJ575" i="6" s="1"/>
  <c r="AM575" i="6" s="1"/>
  <c r="AN575" i="6" s="1"/>
  <c r="AH575" i="6"/>
  <c r="AG575" i="6"/>
  <c r="AC575" i="6"/>
  <c r="AB575" i="6"/>
  <c r="Z575" i="6"/>
  <c r="U575" i="6"/>
  <c r="R575" i="6"/>
  <c r="S575" i="6" s="1"/>
  <c r="O575" i="6"/>
  <c r="H575" i="6"/>
  <c r="N575" i="6" s="1"/>
  <c r="F575" i="6"/>
  <c r="F576" i="6" s="1"/>
  <c r="F577" i="6" s="1"/>
  <c r="F578" i="6" s="1"/>
  <c r="F579" i="6" s="1"/>
  <c r="F580" i="6" s="1"/>
  <c r="F581" i="6" s="1"/>
  <c r="F582" i="6" s="1"/>
  <c r="F583" i="6" s="1"/>
  <c r="F584" i="6" s="1"/>
  <c r="F585" i="6" s="1"/>
  <c r="F586" i="6" s="1"/>
  <c r="F587" i="6" s="1"/>
  <c r="F588" i="6" s="1"/>
  <c r="F589" i="6" s="1"/>
  <c r="F590" i="6" s="1"/>
  <c r="F591" i="6" s="1"/>
  <c r="F592" i="6" s="1"/>
  <c r="F593" i="6" s="1"/>
  <c r="F594" i="6" s="1"/>
  <c r="F595" i="6" s="1"/>
  <c r="F596" i="6" s="1"/>
  <c r="F597" i="6" s="1"/>
  <c r="F598" i="6" s="1"/>
  <c r="F599" i="6" s="1"/>
  <c r="F600" i="6" s="1"/>
  <c r="F601" i="6" s="1"/>
  <c r="F602" i="6" s="1"/>
  <c r="F603" i="6" s="1"/>
  <c r="F604" i="6" s="1"/>
  <c r="F605" i="6" s="1"/>
  <c r="F606" i="6" s="1"/>
  <c r="F607" i="6" s="1"/>
  <c r="F608" i="6" s="1"/>
  <c r="F609" i="6" s="1"/>
  <c r="F610" i="6" s="1"/>
  <c r="F611" i="6" s="1"/>
  <c r="F612" i="6" s="1"/>
  <c r="F613" i="6" s="1"/>
  <c r="F614" i="6" s="1"/>
  <c r="F615" i="6" s="1"/>
  <c r="F616" i="6" s="1"/>
  <c r="F617" i="6" s="1"/>
  <c r="F618" i="6" s="1"/>
  <c r="F619" i="6" s="1"/>
  <c r="F620" i="6" s="1"/>
  <c r="F621" i="6" s="1"/>
  <c r="AJ574" i="6"/>
  <c r="AM574" i="6" s="1"/>
  <c r="AN574" i="6" s="1"/>
  <c r="AP574" i="6" s="1"/>
  <c r="AI574" i="6"/>
  <c r="AH574" i="6"/>
  <c r="AO574" i="6" s="1"/>
  <c r="AG574" i="6"/>
  <c r="AD574" i="6"/>
  <c r="AC574" i="6"/>
  <c r="AB574" i="6"/>
  <c r="Z574" i="6"/>
  <c r="U574" i="6"/>
  <c r="R574" i="6"/>
  <c r="S574" i="6" s="1"/>
  <c r="O574" i="6"/>
  <c r="N574" i="6"/>
  <c r="H574" i="6"/>
  <c r="F574" i="6"/>
  <c r="AC573" i="6"/>
  <c r="AB573" i="6"/>
  <c r="Z573" i="6"/>
  <c r="U573" i="6"/>
  <c r="R573" i="6"/>
  <c r="S573" i="6" s="1"/>
  <c r="O573" i="6"/>
  <c r="H573" i="6"/>
  <c r="N573" i="6" s="1"/>
  <c r="AD572" i="6"/>
  <c r="AB572" i="6"/>
  <c r="Z572" i="6"/>
  <c r="AC572" i="6" s="1"/>
  <c r="U572" i="6"/>
  <c r="R572" i="6"/>
  <c r="O572" i="6"/>
  <c r="N572" i="6"/>
  <c r="H572" i="6"/>
  <c r="AB571" i="6"/>
  <c r="Z571" i="6"/>
  <c r="AC571" i="6" s="1"/>
  <c r="AD571" i="6" s="1"/>
  <c r="U571" i="6"/>
  <c r="R571" i="6"/>
  <c r="O571" i="6"/>
  <c r="S571" i="6" s="1"/>
  <c r="H571" i="6"/>
  <c r="N571" i="6" s="1"/>
  <c r="AC570" i="6"/>
  <c r="AD570" i="6" s="1"/>
  <c r="AB570" i="6"/>
  <c r="Z570" i="6"/>
  <c r="U570" i="6"/>
  <c r="S570" i="6"/>
  <c r="R570" i="6"/>
  <c r="O570" i="6"/>
  <c r="H570" i="6"/>
  <c r="N570" i="6" s="1"/>
  <c r="AB569" i="6"/>
  <c r="Z569" i="6"/>
  <c r="AC569" i="6" s="1"/>
  <c r="AD569" i="6" s="1"/>
  <c r="U569" i="6"/>
  <c r="R569" i="6"/>
  <c r="O569" i="6"/>
  <c r="S569" i="6" s="1"/>
  <c r="H569" i="6"/>
  <c r="N569" i="6" s="1"/>
  <c r="AB568" i="6"/>
  <c r="AD568" i="6" s="1"/>
  <c r="Z568" i="6"/>
  <c r="AC568" i="6" s="1"/>
  <c r="U568" i="6"/>
  <c r="R568" i="6"/>
  <c r="O568" i="6"/>
  <c r="S568" i="6" s="1"/>
  <c r="N568" i="6"/>
  <c r="H568" i="6"/>
  <c r="AB567" i="6"/>
  <c r="Z567" i="6"/>
  <c r="AC567" i="6" s="1"/>
  <c r="AD567" i="6" s="1"/>
  <c r="U567" i="6"/>
  <c r="R567" i="6"/>
  <c r="O567" i="6"/>
  <c r="S567" i="6" s="1"/>
  <c r="N567" i="6"/>
  <c r="H567" i="6"/>
  <c r="AC566" i="6"/>
  <c r="AB566" i="6"/>
  <c r="Z566" i="6"/>
  <c r="U566" i="6"/>
  <c r="R566" i="6"/>
  <c r="S566" i="6" s="1"/>
  <c r="O566" i="6"/>
  <c r="H566" i="6"/>
  <c r="N566" i="6" s="1"/>
  <c r="AB565" i="6"/>
  <c r="Z565" i="6"/>
  <c r="AC565" i="6" s="1"/>
  <c r="AD565" i="6" s="1"/>
  <c r="U565" i="6"/>
  <c r="R565" i="6"/>
  <c r="O565" i="6"/>
  <c r="S565" i="6" s="1"/>
  <c r="H565" i="6"/>
  <c r="N565" i="6" s="1"/>
  <c r="AB564" i="6"/>
  <c r="Z564" i="6"/>
  <c r="AC564" i="6" s="1"/>
  <c r="AD564" i="6" s="1"/>
  <c r="U564" i="6"/>
  <c r="R564" i="6"/>
  <c r="O564" i="6"/>
  <c r="S564" i="6" s="1"/>
  <c r="N564" i="6"/>
  <c r="H564" i="6"/>
  <c r="AC563" i="6"/>
  <c r="AD563" i="6" s="1"/>
  <c r="AB563" i="6"/>
  <c r="Z563" i="6"/>
  <c r="U563" i="6"/>
  <c r="S563" i="6"/>
  <c r="R563" i="6"/>
  <c r="O563" i="6"/>
  <c r="H563" i="6"/>
  <c r="N563" i="6" s="1"/>
  <c r="AC562" i="6"/>
  <c r="AD562" i="6" s="1"/>
  <c r="AB562" i="6"/>
  <c r="Z562" i="6"/>
  <c r="U562" i="6"/>
  <c r="R562" i="6"/>
  <c r="S562" i="6" s="1"/>
  <c r="O562" i="6"/>
  <c r="H562" i="6"/>
  <c r="N562" i="6" s="1"/>
  <c r="AC561" i="6"/>
  <c r="AD561" i="6" s="1"/>
  <c r="AB561" i="6"/>
  <c r="Z561" i="6"/>
  <c r="U561" i="6"/>
  <c r="S561" i="6"/>
  <c r="R561" i="6"/>
  <c r="O561" i="6"/>
  <c r="H561" i="6"/>
  <c r="N561" i="6" s="1"/>
  <c r="F561" i="6"/>
  <c r="F562" i="6" s="1"/>
  <c r="F563" i="6" s="1"/>
  <c r="F564" i="6" s="1"/>
  <c r="F565" i="6" s="1"/>
  <c r="F566" i="6" s="1"/>
  <c r="F567" i="6" s="1"/>
  <c r="F568" i="6" s="1"/>
  <c r="F569" i="6" s="1"/>
  <c r="F570" i="6" s="1"/>
  <c r="F571" i="6" s="1"/>
  <c r="F572" i="6" s="1"/>
  <c r="F573" i="6" s="1"/>
  <c r="AI560" i="6"/>
  <c r="AJ560" i="6" s="1"/>
  <c r="AM560" i="6" s="1"/>
  <c r="AN560" i="6" s="1"/>
  <c r="AP560" i="6" s="1"/>
  <c r="AH560" i="6"/>
  <c r="AO560" i="6" s="1"/>
  <c r="AG560" i="6"/>
  <c r="AC560" i="6"/>
  <c r="AD560" i="6" s="1"/>
  <c r="AB560" i="6"/>
  <c r="Z560" i="6"/>
  <c r="U560" i="6"/>
  <c r="R560" i="6"/>
  <c r="S560" i="6" s="1"/>
  <c r="O560" i="6"/>
  <c r="H560" i="6"/>
  <c r="N560" i="6" s="1"/>
  <c r="AL559" i="6"/>
  <c r="AJ559" i="6"/>
  <c r="AI559" i="6"/>
  <c r="AH559" i="6"/>
  <c r="AG559" i="6"/>
  <c r="AO559" i="6" s="1"/>
  <c r="AD559" i="6"/>
  <c r="AB559" i="6"/>
  <c r="Z559" i="6"/>
  <c r="AC559" i="6" s="1"/>
  <c r="U559" i="6"/>
  <c r="R559" i="6"/>
  <c r="O559" i="6"/>
  <c r="S559" i="6" s="1"/>
  <c r="N559" i="6"/>
  <c r="H559" i="6"/>
  <c r="AO558" i="6"/>
  <c r="AL558" i="6"/>
  <c r="AJ558" i="6"/>
  <c r="AI558" i="6"/>
  <c r="AH558" i="6"/>
  <c r="AG558" i="6"/>
  <c r="AM558" i="6" s="1"/>
  <c r="AN558" i="6" s="1"/>
  <c r="AB558" i="6"/>
  <c r="AD558" i="6" s="1"/>
  <c r="Z558" i="6"/>
  <c r="AC558" i="6" s="1"/>
  <c r="U558" i="6"/>
  <c r="R558" i="6"/>
  <c r="O558" i="6"/>
  <c r="S558" i="6" s="1"/>
  <c r="N558" i="6"/>
  <c r="H558" i="6"/>
  <c r="AL557" i="6"/>
  <c r="AI557" i="6"/>
  <c r="AJ557" i="6" s="1"/>
  <c r="AH557" i="6"/>
  <c r="AG557" i="6"/>
  <c r="AM557" i="6" s="1"/>
  <c r="AN557" i="6" s="1"/>
  <c r="AC557" i="6"/>
  <c r="AD557" i="6" s="1"/>
  <c r="AB557" i="6"/>
  <c r="Z557" i="6"/>
  <c r="U557" i="6"/>
  <c r="S557" i="6"/>
  <c r="R557" i="6"/>
  <c r="O557" i="6"/>
  <c r="H557" i="6"/>
  <c r="N557" i="6" s="1"/>
  <c r="F557" i="6"/>
  <c r="F558" i="6" s="1"/>
  <c r="F559" i="6" s="1"/>
  <c r="F560" i="6" s="1"/>
  <c r="AM556" i="6"/>
  <c r="AN556" i="6" s="1"/>
  <c r="AP556" i="6" s="1"/>
  <c r="AI556" i="6"/>
  <c r="AJ556" i="6" s="1"/>
  <c r="AH556" i="6"/>
  <c r="AO556" i="6" s="1"/>
  <c r="AG556" i="6"/>
  <c r="AC556" i="6"/>
  <c r="AD556" i="6" s="1"/>
  <c r="AB556" i="6"/>
  <c r="Z556" i="6"/>
  <c r="U556" i="6"/>
  <c r="R556" i="6"/>
  <c r="S556" i="6" s="1"/>
  <c r="O556" i="6"/>
  <c r="H556" i="6"/>
  <c r="N556" i="6" s="1"/>
  <c r="F556" i="6"/>
  <c r="AL555" i="6"/>
  <c r="AJ555" i="6"/>
  <c r="AI555" i="6"/>
  <c r="AH555" i="6"/>
  <c r="AG555" i="6"/>
  <c r="AO555" i="6" s="1"/>
  <c r="AB555" i="6"/>
  <c r="Z555" i="6"/>
  <c r="AC555" i="6" s="1"/>
  <c r="AD555" i="6" s="1"/>
  <c r="U555" i="6"/>
  <c r="R555" i="6"/>
  <c r="O555" i="6"/>
  <c r="S555" i="6" s="1"/>
  <c r="N555" i="6"/>
  <c r="H555" i="6"/>
  <c r="F555" i="6"/>
  <c r="AC554" i="6"/>
  <c r="AD554" i="6" s="1"/>
  <c r="AB554" i="6"/>
  <c r="Z554" i="6"/>
  <c r="U554" i="6"/>
  <c r="S554" i="6"/>
  <c r="R554" i="6"/>
  <c r="O554" i="6"/>
  <c r="H554" i="6"/>
  <c r="N554" i="6" s="1"/>
  <c r="AB553" i="6"/>
  <c r="Z553" i="6"/>
  <c r="AC553" i="6" s="1"/>
  <c r="AD553" i="6" s="1"/>
  <c r="U553" i="6"/>
  <c r="R553" i="6"/>
  <c r="O553" i="6"/>
  <c r="S553" i="6" s="1"/>
  <c r="H553" i="6"/>
  <c r="N553" i="6" s="1"/>
  <c r="AB552" i="6"/>
  <c r="AD552" i="6" s="1"/>
  <c r="Z552" i="6"/>
  <c r="AC552" i="6" s="1"/>
  <c r="U552" i="6"/>
  <c r="R552" i="6"/>
  <c r="O552" i="6"/>
  <c r="S552" i="6" s="1"/>
  <c r="N552" i="6"/>
  <c r="H552" i="6"/>
  <c r="AD551" i="6"/>
  <c r="AB551" i="6"/>
  <c r="Z551" i="6"/>
  <c r="AC551" i="6" s="1"/>
  <c r="U551" i="6"/>
  <c r="R551" i="6"/>
  <c r="O551" i="6"/>
  <c r="S551" i="6" s="1"/>
  <c r="N551" i="6"/>
  <c r="H551" i="6"/>
  <c r="AC550" i="6"/>
  <c r="AD550" i="6" s="1"/>
  <c r="AB550" i="6"/>
  <c r="Z550" i="6"/>
  <c r="U550" i="6"/>
  <c r="R550" i="6"/>
  <c r="S550" i="6" s="1"/>
  <c r="O550" i="6"/>
  <c r="H550" i="6"/>
  <c r="N550" i="6" s="1"/>
  <c r="AB549" i="6"/>
  <c r="Z549" i="6"/>
  <c r="AC549" i="6" s="1"/>
  <c r="AD549" i="6" s="1"/>
  <c r="U549" i="6"/>
  <c r="R549" i="6"/>
  <c r="O549" i="6"/>
  <c r="S549" i="6" s="1"/>
  <c r="H549" i="6"/>
  <c r="N549" i="6" s="1"/>
  <c r="AB548" i="6"/>
  <c r="Z548" i="6"/>
  <c r="AC548" i="6" s="1"/>
  <c r="AD548" i="6" s="1"/>
  <c r="U548" i="6"/>
  <c r="R548" i="6"/>
  <c r="O548" i="6"/>
  <c r="S548" i="6" s="1"/>
  <c r="N548" i="6"/>
  <c r="H548" i="6"/>
  <c r="AC547" i="6"/>
  <c r="AD547" i="6" s="1"/>
  <c r="AB547" i="6"/>
  <c r="Z547" i="6"/>
  <c r="U547" i="6"/>
  <c r="S547" i="6"/>
  <c r="R547" i="6"/>
  <c r="O547" i="6"/>
  <c r="H547" i="6"/>
  <c r="N547" i="6" s="1"/>
  <c r="AC546" i="6"/>
  <c r="AD546" i="6" s="1"/>
  <c r="AB546" i="6"/>
  <c r="Z546" i="6"/>
  <c r="U546" i="6"/>
  <c r="R546" i="6"/>
  <c r="O546" i="6"/>
  <c r="S546" i="6" s="1"/>
  <c r="H546" i="6"/>
  <c r="N546" i="6" s="1"/>
  <c r="AD545" i="6"/>
  <c r="AB545" i="6"/>
  <c r="Z545" i="6"/>
  <c r="AC545" i="6" s="1"/>
  <c r="U545" i="6"/>
  <c r="R545" i="6"/>
  <c r="O545" i="6"/>
  <c r="S545" i="6" s="1"/>
  <c r="N545" i="6"/>
  <c r="H545" i="6"/>
  <c r="AC544" i="6"/>
  <c r="AD544" i="6" s="1"/>
  <c r="AB544" i="6"/>
  <c r="Z544" i="6"/>
  <c r="U544" i="6"/>
  <c r="S544" i="6"/>
  <c r="R544" i="6"/>
  <c r="O544" i="6"/>
  <c r="H544" i="6"/>
  <c r="N544" i="6" s="1"/>
  <c r="AC543" i="6"/>
  <c r="AB543" i="6"/>
  <c r="Z543" i="6"/>
  <c r="U543" i="6"/>
  <c r="R543" i="6"/>
  <c r="S543" i="6" s="1"/>
  <c r="O543" i="6"/>
  <c r="H543" i="6"/>
  <c r="N543" i="6" s="1"/>
  <c r="AB542" i="6"/>
  <c r="Z542" i="6"/>
  <c r="AC542" i="6" s="1"/>
  <c r="AD542" i="6" s="1"/>
  <c r="U542" i="6"/>
  <c r="R542" i="6"/>
  <c r="O542" i="6"/>
  <c r="S542" i="6" s="1"/>
  <c r="H542" i="6"/>
  <c r="N542" i="6" s="1"/>
  <c r="AM541" i="6"/>
  <c r="AN541" i="6" s="1"/>
  <c r="AI541" i="6"/>
  <c r="AJ541" i="6" s="1"/>
  <c r="AH541" i="6"/>
  <c r="AO541" i="6" s="1"/>
  <c r="AG541" i="6"/>
  <c r="AC541" i="6"/>
  <c r="AB541" i="6"/>
  <c r="Z541" i="6"/>
  <c r="U541" i="6"/>
  <c r="R541" i="6"/>
  <c r="S541" i="6" s="1"/>
  <c r="O541" i="6"/>
  <c r="H541" i="6"/>
  <c r="N541" i="6" s="1"/>
  <c r="AO540" i="6"/>
  <c r="AN540" i="6"/>
  <c r="AP540" i="6" s="1"/>
  <c r="AI540" i="6"/>
  <c r="AJ540" i="6" s="1"/>
  <c r="AH540" i="6"/>
  <c r="AG540" i="6"/>
  <c r="AM540" i="6" s="1"/>
  <c r="AC540" i="6"/>
  <c r="AD540" i="6" s="1"/>
  <c r="AB540" i="6"/>
  <c r="Z540" i="6"/>
  <c r="U540" i="6"/>
  <c r="S540" i="6"/>
  <c r="R540" i="6"/>
  <c r="O540" i="6"/>
  <c r="H540" i="6"/>
  <c r="AO539" i="6"/>
  <c r="AL539" i="6"/>
  <c r="AJ539" i="6"/>
  <c r="AI539" i="6"/>
  <c r="AH539" i="6"/>
  <c r="AG539" i="6"/>
  <c r="AM539" i="6" s="1"/>
  <c r="AN539" i="6" s="1"/>
  <c r="AP539" i="6" s="1"/>
  <c r="AQ539" i="6" s="1"/>
  <c r="AB539" i="6"/>
  <c r="Z539" i="6"/>
  <c r="AC539" i="6" s="1"/>
  <c r="AD539" i="6" s="1"/>
  <c r="U539" i="6"/>
  <c r="R539" i="6"/>
  <c r="O539" i="6"/>
  <c r="S539" i="6" s="1"/>
  <c r="N539" i="6"/>
  <c r="H539" i="6"/>
  <c r="AL538" i="6"/>
  <c r="AI538" i="6"/>
  <c r="AJ538" i="6" s="1"/>
  <c r="AH538" i="6"/>
  <c r="AO538" i="6" s="1"/>
  <c r="AG538" i="6"/>
  <c r="AB538" i="6"/>
  <c r="Z538" i="6"/>
  <c r="AC538" i="6" s="1"/>
  <c r="AD538" i="6" s="1"/>
  <c r="U538" i="6"/>
  <c r="R538" i="6"/>
  <c r="O538" i="6"/>
  <c r="S538" i="6" s="1"/>
  <c r="H538" i="6"/>
  <c r="N538" i="6" s="1"/>
  <c r="AI537" i="6"/>
  <c r="AJ537" i="6" s="1"/>
  <c r="AM537" i="6" s="1"/>
  <c r="AN537" i="6" s="1"/>
  <c r="AP537" i="6" s="1"/>
  <c r="AH537" i="6"/>
  <c r="AO537" i="6" s="1"/>
  <c r="AG537" i="6"/>
  <c r="AC537" i="6"/>
  <c r="AB537" i="6"/>
  <c r="Z537" i="6"/>
  <c r="U537" i="6"/>
  <c r="R537" i="6"/>
  <c r="S537" i="6" s="1"/>
  <c r="O537" i="6"/>
  <c r="H537" i="6"/>
  <c r="N537" i="6" s="1"/>
  <c r="F537" i="6"/>
  <c r="F538" i="6" s="1"/>
  <c r="F539" i="6" s="1"/>
  <c r="F540" i="6" s="1"/>
  <c r="F541" i="6" s="1"/>
  <c r="F542" i="6" s="1"/>
  <c r="F543" i="6" s="1"/>
  <c r="F544" i="6" s="1"/>
  <c r="F545" i="6" s="1"/>
  <c r="F546" i="6" s="1"/>
  <c r="F547" i="6" s="1"/>
  <c r="F548" i="6" s="1"/>
  <c r="F549" i="6" s="1"/>
  <c r="F550" i="6" s="1"/>
  <c r="F551" i="6" s="1"/>
  <c r="F552" i="6" s="1"/>
  <c r="F553" i="6" s="1"/>
  <c r="F554" i="6" s="1"/>
  <c r="AO536" i="6"/>
  <c r="AI536" i="6"/>
  <c r="AJ536" i="6" s="1"/>
  <c r="AH536" i="6"/>
  <c r="AG536" i="6"/>
  <c r="AC536" i="6"/>
  <c r="AD536" i="6" s="1"/>
  <c r="AB536" i="6"/>
  <c r="Z536" i="6"/>
  <c r="U536" i="6"/>
  <c r="S536" i="6"/>
  <c r="R536" i="6"/>
  <c r="O536" i="6"/>
  <c r="H536" i="6"/>
  <c r="F536" i="6"/>
  <c r="AC535" i="6"/>
  <c r="AD535" i="6" s="1"/>
  <c r="AB535" i="6"/>
  <c r="Z535" i="6"/>
  <c r="U535" i="6"/>
  <c r="R535" i="6"/>
  <c r="S535" i="6" s="1"/>
  <c r="O535" i="6"/>
  <c r="H535" i="6"/>
  <c r="N535" i="6" s="1"/>
  <c r="AB534" i="6"/>
  <c r="Z534" i="6"/>
  <c r="AC534" i="6" s="1"/>
  <c r="AD534" i="6" s="1"/>
  <c r="U534" i="6"/>
  <c r="R534" i="6"/>
  <c r="O534" i="6"/>
  <c r="S534" i="6" s="1"/>
  <c r="H534" i="6"/>
  <c r="N534" i="6" s="1"/>
  <c r="AB533" i="6"/>
  <c r="Z533" i="6"/>
  <c r="AC533" i="6" s="1"/>
  <c r="AD533" i="6" s="1"/>
  <c r="U533" i="6"/>
  <c r="R533" i="6"/>
  <c r="O533" i="6"/>
  <c r="S533" i="6" s="1"/>
  <c r="N533" i="6"/>
  <c r="H533" i="6"/>
  <c r="AC532" i="6"/>
  <c r="AD532" i="6" s="1"/>
  <c r="AB532" i="6"/>
  <c r="Z532" i="6"/>
  <c r="U532" i="6"/>
  <c r="S532" i="6"/>
  <c r="R532" i="6"/>
  <c r="O532" i="6"/>
  <c r="H532" i="6"/>
  <c r="N532" i="6" s="1"/>
  <c r="AC531" i="6"/>
  <c r="AB531" i="6"/>
  <c r="Z531" i="6"/>
  <c r="U531" i="6"/>
  <c r="R531" i="6"/>
  <c r="S531" i="6" s="1"/>
  <c r="O531" i="6"/>
  <c r="H531" i="6"/>
  <c r="N531" i="6" s="1"/>
  <c r="AB530" i="6"/>
  <c r="Z530" i="6"/>
  <c r="AC530" i="6" s="1"/>
  <c r="AD530" i="6" s="1"/>
  <c r="U530" i="6"/>
  <c r="R530" i="6"/>
  <c r="O530" i="6"/>
  <c r="S530" i="6" s="1"/>
  <c r="H530" i="6"/>
  <c r="N530" i="6" s="1"/>
  <c r="AD529" i="6"/>
  <c r="AB529" i="6"/>
  <c r="Z529" i="6"/>
  <c r="AC529" i="6" s="1"/>
  <c r="U529" i="6"/>
  <c r="R529" i="6"/>
  <c r="O529" i="6"/>
  <c r="S529" i="6" s="1"/>
  <c r="N529" i="6"/>
  <c r="H529" i="6"/>
  <c r="AC528" i="6"/>
  <c r="AD528" i="6" s="1"/>
  <c r="AB528" i="6"/>
  <c r="Z528" i="6"/>
  <c r="U528" i="6"/>
  <c r="S528" i="6"/>
  <c r="R528" i="6"/>
  <c r="O528" i="6"/>
  <c r="H528" i="6"/>
  <c r="N528" i="6" s="1"/>
  <c r="AC527" i="6"/>
  <c r="AD527" i="6" s="1"/>
  <c r="AB527" i="6"/>
  <c r="Z527" i="6"/>
  <c r="U527" i="6"/>
  <c r="S527" i="6"/>
  <c r="R527" i="6"/>
  <c r="O527" i="6"/>
  <c r="H527" i="6"/>
  <c r="N527" i="6" s="1"/>
  <c r="AB526" i="6"/>
  <c r="Z526" i="6"/>
  <c r="AC526" i="6" s="1"/>
  <c r="AD526" i="6" s="1"/>
  <c r="U526" i="6"/>
  <c r="R526" i="6"/>
  <c r="O526" i="6"/>
  <c r="H526" i="6"/>
  <c r="N526" i="6" s="1"/>
  <c r="AD525" i="6"/>
  <c r="AB525" i="6"/>
  <c r="Z525" i="6"/>
  <c r="AC525" i="6" s="1"/>
  <c r="U525" i="6"/>
  <c r="R525" i="6"/>
  <c r="O525" i="6"/>
  <c r="S525" i="6" s="1"/>
  <c r="N525" i="6"/>
  <c r="H525" i="6"/>
  <c r="AL524" i="6"/>
  <c r="AI524" i="6"/>
  <c r="AJ524" i="6" s="1"/>
  <c r="AM524" i="6" s="1"/>
  <c r="AN524" i="6" s="1"/>
  <c r="AH524" i="6"/>
  <c r="AG524" i="6"/>
  <c r="AB524" i="6"/>
  <c r="Z524" i="6"/>
  <c r="AC524" i="6" s="1"/>
  <c r="AD524" i="6" s="1"/>
  <c r="U524" i="6"/>
  <c r="R524" i="6"/>
  <c r="O524" i="6"/>
  <c r="S524" i="6" s="1"/>
  <c r="H524" i="6"/>
  <c r="N524" i="6" s="1"/>
  <c r="AM523" i="6"/>
  <c r="AN523" i="6" s="1"/>
  <c r="AP523" i="6" s="1"/>
  <c r="AI523" i="6"/>
  <c r="AJ523" i="6" s="1"/>
  <c r="AH523" i="6"/>
  <c r="AO523" i="6" s="1"/>
  <c r="AG523" i="6"/>
  <c r="AC523" i="6"/>
  <c r="AD523" i="6" s="1"/>
  <c r="AB523" i="6"/>
  <c r="Z523" i="6"/>
  <c r="U523" i="6"/>
  <c r="S523" i="6"/>
  <c r="R523" i="6"/>
  <c r="O523" i="6"/>
  <c r="H523" i="6"/>
  <c r="AO522" i="6"/>
  <c r="AI522" i="6"/>
  <c r="AJ522" i="6" s="1"/>
  <c r="AH522" i="6"/>
  <c r="AG522" i="6"/>
  <c r="AD522" i="6"/>
  <c r="AC522" i="6"/>
  <c r="AB522" i="6"/>
  <c r="Z522" i="6"/>
  <c r="U522" i="6"/>
  <c r="S522" i="6"/>
  <c r="R522" i="6"/>
  <c r="O522" i="6"/>
  <c r="N522" i="6"/>
  <c r="H522" i="6"/>
  <c r="AL522" i="6" s="1"/>
  <c r="AL521" i="6"/>
  <c r="AJ521" i="6"/>
  <c r="AI521" i="6"/>
  <c r="AH521" i="6"/>
  <c r="AG521" i="6"/>
  <c r="AO521" i="6" s="1"/>
  <c r="AD521" i="6"/>
  <c r="AB521" i="6"/>
  <c r="Z521" i="6"/>
  <c r="AC521" i="6" s="1"/>
  <c r="U521" i="6"/>
  <c r="R521" i="6"/>
  <c r="O521" i="6"/>
  <c r="S521" i="6" s="1"/>
  <c r="N521" i="6"/>
  <c r="H521" i="6"/>
  <c r="AL520" i="6"/>
  <c r="AI520" i="6"/>
  <c r="AJ520" i="6" s="1"/>
  <c r="AH520" i="6"/>
  <c r="AG520" i="6"/>
  <c r="AM520" i="6" s="1"/>
  <c r="AN520" i="6" s="1"/>
  <c r="AB520" i="6"/>
  <c r="Z520" i="6"/>
  <c r="AC520" i="6" s="1"/>
  <c r="U520" i="6"/>
  <c r="R520" i="6"/>
  <c r="O520" i="6"/>
  <c r="S520" i="6" s="1"/>
  <c r="H520" i="6"/>
  <c r="N520" i="6" s="1"/>
  <c r="AN519" i="6"/>
  <c r="AP519" i="6" s="1"/>
  <c r="AM519" i="6"/>
  <c r="AI519" i="6"/>
  <c r="AJ519" i="6" s="1"/>
  <c r="AH519" i="6"/>
  <c r="AO519" i="6" s="1"/>
  <c r="AG519" i="6"/>
  <c r="AC519" i="6"/>
  <c r="AD519" i="6" s="1"/>
  <c r="AB519" i="6"/>
  <c r="Z519" i="6"/>
  <c r="U519" i="6"/>
  <c r="S519" i="6"/>
  <c r="R519" i="6"/>
  <c r="O519" i="6"/>
  <c r="H519" i="6"/>
  <c r="AO518" i="6"/>
  <c r="AI518" i="6"/>
  <c r="AJ518" i="6" s="1"/>
  <c r="AH518" i="6"/>
  <c r="AG518" i="6"/>
  <c r="AC518" i="6"/>
  <c r="AD518" i="6" s="1"/>
  <c r="AB518" i="6"/>
  <c r="Z518" i="6"/>
  <c r="U518" i="6"/>
  <c r="S518" i="6"/>
  <c r="R518" i="6"/>
  <c r="O518" i="6"/>
  <c r="H518" i="6"/>
  <c r="AL518" i="6" s="1"/>
  <c r="AL517" i="6"/>
  <c r="AJ517" i="6"/>
  <c r="AI517" i="6"/>
  <c r="AH517" i="6"/>
  <c r="AG517" i="6"/>
  <c r="AD517" i="6"/>
  <c r="AB517" i="6"/>
  <c r="Z517" i="6"/>
  <c r="AC517" i="6" s="1"/>
  <c r="U517" i="6"/>
  <c r="R517" i="6"/>
  <c r="O517" i="6"/>
  <c r="S517" i="6" s="1"/>
  <c r="N517" i="6"/>
  <c r="H517" i="6"/>
  <c r="AL516" i="6"/>
  <c r="AI516" i="6"/>
  <c r="AJ516" i="6" s="1"/>
  <c r="AM516" i="6" s="1"/>
  <c r="AN516" i="6" s="1"/>
  <c r="AH516" i="6"/>
  <c r="AG516" i="6"/>
  <c r="AB516" i="6"/>
  <c r="Z516" i="6"/>
  <c r="AC516" i="6" s="1"/>
  <c r="AD516" i="6" s="1"/>
  <c r="U516" i="6"/>
  <c r="R516" i="6"/>
  <c r="O516" i="6"/>
  <c r="S516" i="6" s="1"/>
  <c r="H516" i="6"/>
  <c r="N516" i="6" s="1"/>
  <c r="AM515" i="6"/>
  <c r="AN515" i="6" s="1"/>
  <c r="AP515" i="6" s="1"/>
  <c r="AI515" i="6"/>
  <c r="AJ515" i="6" s="1"/>
  <c r="AH515" i="6"/>
  <c r="AO515" i="6" s="1"/>
  <c r="AG515" i="6"/>
  <c r="AC515" i="6"/>
  <c r="AD515" i="6" s="1"/>
  <c r="AB515" i="6"/>
  <c r="Z515" i="6"/>
  <c r="U515" i="6"/>
  <c r="S515" i="6"/>
  <c r="R515" i="6"/>
  <c r="O515" i="6"/>
  <c r="H515" i="6"/>
  <c r="AO514" i="6"/>
  <c r="AI514" i="6"/>
  <c r="AJ514" i="6" s="1"/>
  <c r="AH514" i="6"/>
  <c r="AG514" i="6"/>
  <c r="AC514" i="6"/>
  <c r="AD514" i="6" s="1"/>
  <c r="AB514" i="6"/>
  <c r="Z514" i="6"/>
  <c r="U514" i="6"/>
  <c r="S514" i="6"/>
  <c r="R514" i="6"/>
  <c r="O514" i="6"/>
  <c r="H514" i="6"/>
  <c r="AL514" i="6" s="1"/>
  <c r="AC513" i="6"/>
  <c r="AB513" i="6"/>
  <c r="Z513" i="6"/>
  <c r="U513" i="6"/>
  <c r="R513" i="6"/>
  <c r="S513" i="6" s="1"/>
  <c r="O513" i="6"/>
  <c r="H513" i="6"/>
  <c r="N513" i="6" s="1"/>
  <c r="AB512" i="6"/>
  <c r="Z512" i="6"/>
  <c r="AC512" i="6" s="1"/>
  <c r="AD512" i="6" s="1"/>
  <c r="U512" i="6"/>
  <c r="R512" i="6"/>
  <c r="O512" i="6"/>
  <c r="S512" i="6" s="1"/>
  <c r="H512" i="6"/>
  <c r="N512" i="6" s="1"/>
  <c r="AB511" i="6"/>
  <c r="Z511" i="6"/>
  <c r="AC511" i="6" s="1"/>
  <c r="AD511" i="6" s="1"/>
  <c r="U511" i="6"/>
  <c r="R511" i="6"/>
  <c r="O511" i="6"/>
  <c r="S511" i="6" s="1"/>
  <c r="N511" i="6"/>
  <c r="H511" i="6"/>
  <c r="AC510" i="6"/>
  <c r="AD510" i="6" s="1"/>
  <c r="AB510" i="6"/>
  <c r="Z510" i="6"/>
  <c r="U510" i="6"/>
  <c r="S510" i="6"/>
  <c r="R510" i="6"/>
  <c r="O510" i="6"/>
  <c r="H510" i="6"/>
  <c r="N510" i="6" s="1"/>
  <c r="AC509" i="6"/>
  <c r="AB509" i="6"/>
  <c r="Z509" i="6"/>
  <c r="U509" i="6"/>
  <c r="R509" i="6"/>
  <c r="S509" i="6" s="1"/>
  <c r="O509" i="6"/>
  <c r="H509" i="6"/>
  <c r="N509" i="6" s="1"/>
  <c r="AB508" i="6"/>
  <c r="Z508" i="6"/>
  <c r="AC508" i="6" s="1"/>
  <c r="U508" i="6"/>
  <c r="R508" i="6"/>
  <c r="O508" i="6"/>
  <c r="S508" i="6" s="1"/>
  <c r="H508" i="6"/>
  <c r="N508" i="6" s="1"/>
  <c r="AB507" i="6"/>
  <c r="AD507" i="6" s="1"/>
  <c r="Z507" i="6"/>
  <c r="AC507" i="6" s="1"/>
  <c r="U507" i="6"/>
  <c r="R507" i="6"/>
  <c r="O507" i="6"/>
  <c r="S507" i="6" s="1"/>
  <c r="N507" i="6"/>
  <c r="H507" i="6"/>
  <c r="AB506" i="6"/>
  <c r="Z506" i="6"/>
  <c r="AC506" i="6" s="1"/>
  <c r="AD506" i="6" s="1"/>
  <c r="U506" i="6"/>
  <c r="R506" i="6"/>
  <c r="O506" i="6"/>
  <c r="S506" i="6" s="1"/>
  <c r="N506" i="6"/>
  <c r="H506" i="6"/>
  <c r="AC505" i="6"/>
  <c r="AD505" i="6" s="1"/>
  <c r="AB505" i="6"/>
  <c r="Z505" i="6"/>
  <c r="U505" i="6"/>
  <c r="R505" i="6"/>
  <c r="S505" i="6" s="1"/>
  <c r="O505" i="6"/>
  <c r="H505" i="6"/>
  <c r="N505" i="6" s="1"/>
  <c r="AB504" i="6"/>
  <c r="Z504" i="6"/>
  <c r="AC504" i="6" s="1"/>
  <c r="AD504" i="6" s="1"/>
  <c r="U504" i="6"/>
  <c r="R504" i="6"/>
  <c r="O504" i="6"/>
  <c r="S504" i="6" s="1"/>
  <c r="H504" i="6"/>
  <c r="N504" i="6" s="1"/>
  <c r="AB503" i="6"/>
  <c r="Z503" i="6"/>
  <c r="AC503" i="6" s="1"/>
  <c r="AD503" i="6" s="1"/>
  <c r="U503" i="6"/>
  <c r="R503" i="6"/>
  <c r="O503" i="6"/>
  <c r="S503" i="6" s="1"/>
  <c r="N503" i="6"/>
  <c r="H503" i="6"/>
  <c r="AC502" i="6"/>
  <c r="AD502" i="6" s="1"/>
  <c r="AB502" i="6"/>
  <c r="Z502" i="6"/>
  <c r="U502" i="6"/>
  <c r="S502" i="6"/>
  <c r="R502" i="6"/>
  <c r="O502" i="6"/>
  <c r="H502" i="6"/>
  <c r="N502" i="6" s="1"/>
  <c r="AC501" i="6"/>
  <c r="AD501" i="6" s="1"/>
  <c r="AB501" i="6"/>
  <c r="Z501" i="6"/>
  <c r="U501" i="6"/>
  <c r="R501" i="6"/>
  <c r="S501" i="6" s="1"/>
  <c r="O501" i="6"/>
  <c r="H501" i="6"/>
  <c r="N501" i="6" s="1"/>
  <c r="AC500" i="6"/>
  <c r="AD500" i="6" s="1"/>
  <c r="AB500" i="6"/>
  <c r="Z500" i="6"/>
  <c r="U500" i="6"/>
  <c r="S500" i="6"/>
  <c r="R500" i="6"/>
  <c r="O500" i="6"/>
  <c r="H500" i="6"/>
  <c r="N500" i="6" s="1"/>
  <c r="AI499" i="6"/>
  <c r="AJ499" i="6" s="1"/>
  <c r="AM499" i="6" s="1"/>
  <c r="AN499" i="6" s="1"/>
  <c r="AH499" i="6"/>
  <c r="AO499" i="6" s="1"/>
  <c r="AG499" i="6"/>
  <c r="AC499" i="6"/>
  <c r="AD499" i="6" s="1"/>
  <c r="AB499" i="6"/>
  <c r="Z499" i="6"/>
  <c r="U499" i="6"/>
  <c r="R499" i="6"/>
  <c r="S499" i="6" s="1"/>
  <c r="O499" i="6"/>
  <c r="H499" i="6"/>
  <c r="AL498" i="6"/>
  <c r="AJ498" i="6"/>
  <c r="AI498" i="6"/>
  <c r="AH498" i="6"/>
  <c r="AG498" i="6"/>
  <c r="AO498" i="6" s="1"/>
  <c r="AB498" i="6"/>
  <c r="Z498" i="6"/>
  <c r="AC498" i="6" s="1"/>
  <c r="AD498" i="6" s="1"/>
  <c r="U498" i="6"/>
  <c r="R498" i="6"/>
  <c r="O498" i="6"/>
  <c r="S498" i="6" s="1"/>
  <c r="N498" i="6"/>
  <c r="H498" i="6"/>
  <c r="AO497" i="6"/>
  <c r="AL497" i="6"/>
  <c r="AJ497" i="6"/>
  <c r="AI497" i="6"/>
  <c r="AH497" i="6"/>
  <c r="AG497" i="6"/>
  <c r="AM497" i="6" s="1"/>
  <c r="AN497" i="6" s="1"/>
  <c r="AP497" i="6" s="1"/>
  <c r="AQ497" i="6" s="1"/>
  <c r="AB497" i="6"/>
  <c r="AD497" i="6" s="1"/>
  <c r="Z497" i="6"/>
  <c r="AC497" i="6" s="1"/>
  <c r="U497" i="6"/>
  <c r="R497" i="6"/>
  <c r="O497" i="6"/>
  <c r="S497" i="6" s="1"/>
  <c r="N497" i="6"/>
  <c r="H497" i="6"/>
  <c r="AL496" i="6"/>
  <c r="AI496" i="6"/>
  <c r="AJ496" i="6" s="1"/>
  <c r="AH496" i="6"/>
  <c r="AG496" i="6"/>
  <c r="AM496" i="6" s="1"/>
  <c r="AN496" i="6" s="1"/>
  <c r="AC496" i="6"/>
  <c r="AD496" i="6" s="1"/>
  <c r="AB496" i="6"/>
  <c r="Z496" i="6"/>
  <c r="U496" i="6"/>
  <c r="S496" i="6"/>
  <c r="R496" i="6"/>
  <c r="O496" i="6"/>
  <c r="H496" i="6"/>
  <c r="N496" i="6" s="1"/>
  <c r="F496" i="6"/>
  <c r="F497" i="6" s="1"/>
  <c r="F498" i="6" s="1"/>
  <c r="F499" i="6" s="1"/>
  <c r="F500" i="6" s="1"/>
  <c r="F501" i="6" s="1"/>
  <c r="F502" i="6" s="1"/>
  <c r="F503" i="6" s="1"/>
  <c r="F504" i="6" s="1"/>
  <c r="F505" i="6" s="1"/>
  <c r="F506" i="6" s="1"/>
  <c r="F507" i="6" s="1"/>
  <c r="F508" i="6" s="1"/>
  <c r="F509" i="6" s="1"/>
  <c r="F510" i="6" s="1"/>
  <c r="F511" i="6" s="1"/>
  <c r="F512" i="6" s="1"/>
  <c r="F513" i="6" s="1"/>
  <c r="F514" i="6" s="1"/>
  <c r="F515" i="6" s="1"/>
  <c r="F516" i="6" s="1"/>
  <c r="F517" i="6" s="1"/>
  <c r="F518" i="6" s="1"/>
  <c r="F519" i="6" s="1"/>
  <c r="F520" i="6" s="1"/>
  <c r="F521" i="6" s="1"/>
  <c r="F522" i="6" s="1"/>
  <c r="F523" i="6" s="1"/>
  <c r="F524" i="6" s="1"/>
  <c r="F525" i="6" s="1"/>
  <c r="F526" i="6" s="1"/>
  <c r="F527" i="6" s="1"/>
  <c r="F528" i="6" s="1"/>
  <c r="F529" i="6" s="1"/>
  <c r="F530" i="6" s="1"/>
  <c r="F531" i="6" s="1"/>
  <c r="F532" i="6" s="1"/>
  <c r="F533" i="6" s="1"/>
  <c r="F534" i="6" s="1"/>
  <c r="F535" i="6" s="1"/>
  <c r="AE37" i="6"/>
  <c r="AB37" i="6"/>
  <c r="Z37" i="6"/>
  <c r="AC37" i="6" s="1"/>
  <c r="AD37" i="6" s="1"/>
  <c r="U37" i="6"/>
  <c r="R37" i="6"/>
  <c r="S37" i="6" s="1"/>
  <c r="V37" i="6" s="1"/>
  <c r="O37" i="6"/>
  <c r="H37" i="6"/>
  <c r="N37" i="6" s="1"/>
  <c r="AE36" i="6"/>
  <c r="AC36" i="6"/>
  <c r="AD36" i="6" s="1"/>
  <c r="AB36" i="6"/>
  <c r="Z36" i="6"/>
  <c r="U36" i="6"/>
  <c r="S36" i="6"/>
  <c r="V36" i="6" s="1"/>
  <c r="R36" i="6"/>
  <c r="O36" i="6"/>
  <c r="H36" i="6"/>
  <c r="N36" i="6" s="1"/>
  <c r="AE35" i="6"/>
  <c r="AB35" i="6"/>
  <c r="Z35" i="6"/>
  <c r="AC35" i="6" s="1"/>
  <c r="AD35" i="6" s="1"/>
  <c r="U35" i="6"/>
  <c r="R35" i="6"/>
  <c r="O35" i="6"/>
  <c r="S35" i="6" s="1"/>
  <c r="V35" i="6" s="1"/>
  <c r="N35" i="6"/>
  <c r="H35" i="6"/>
  <c r="AE34" i="6"/>
  <c r="AB34" i="6"/>
  <c r="Z34" i="6"/>
  <c r="AC34" i="6" s="1"/>
  <c r="AD34" i="6" s="1"/>
  <c r="U34" i="6"/>
  <c r="R34" i="6"/>
  <c r="O34" i="6"/>
  <c r="S34" i="6" s="1"/>
  <c r="V34" i="6" s="1"/>
  <c r="H34" i="6"/>
  <c r="N34" i="6" s="1"/>
  <c r="AE33" i="6"/>
  <c r="AC33" i="6"/>
  <c r="AD33" i="6" s="1"/>
  <c r="AB33" i="6"/>
  <c r="Z33" i="6"/>
  <c r="U33" i="6"/>
  <c r="S33" i="6"/>
  <c r="V33" i="6" s="1"/>
  <c r="R33" i="6"/>
  <c r="O33" i="6"/>
  <c r="H33" i="6"/>
  <c r="N33" i="6" s="1"/>
  <c r="AE32" i="6"/>
  <c r="AC32" i="6"/>
  <c r="AD32" i="6" s="1"/>
  <c r="AB32" i="6"/>
  <c r="Z32" i="6"/>
  <c r="U32" i="6"/>
  <c r="R32" i="6"/>
  <c r="O32" i="6"/>
  <c r="S32" i="6" s="1"/>
  <c r="V32" i="6" s="1"/>
  <c r="N32" i="6"/>
  <c r="H32" i="6"/>
  <c r="AE31" i="6"/>
  <c r="AC31" i="6"/>
  <c r="AD31" i="6" s="1"/>
  <c r="AB31" i="6"/>
  <c r="Z31" i="6"/>
  <c r="V31" i="6"/>
  <c r="U31" i="6"/>
  <c r="R31" i="6"/>
  <c r="O31" i="6"/>
  <c r="S31" i="6" s="1"/>
  <c r="N31" i="6"/>
  <c r="H31" i="6"/>
  <c r="AE30" i="6"/>
  <c r="AB30" i="6"/>
  <c r="AD30" i="6" s="1"/>
  <c r="Z30" i="6"/>
  <c r="AC30" i="6" s="1"/>
  <c r="U30" i="6"/>
  <c r="S30" i="6"/>
  <c r="V30" i="6" s="1"/>
  <c r="R30" i="6"/>
  <c r="O30" i="6"/>
  <c r="H30" i="6"/>
  <c r="N30" i="6" s="1"/>
  <c r="AE29" i="6"/>
  <c r="AB29" i="6"/>
  <c r="Z29" i="6"/>
  <c r="AC29" i="6" s="1"/>
  <c r="AD29" i="6" s="1"/>
  <c r="U29" i="6"/>
  <c r="R29" i="6"/>
  <c r="S29" i="6" s="1"/>
  <c r="V29" i="6" s="1"/>
  <c r="O29" i="6"/>
  <c r="H29" i="6"/>
  <c r="N29" i="6" s="1"/>
  <c r="AE28" i="6"/>
  <c r="AC28" i="6"/>
  <c r="AD28" i="6" s="1"/>
  <c r="AB28" i="6"/>
  <c r="Z28" i="6"/>
  <c r="U28" i="6"/>
  <c r="S28" i="6"/>
  <c r="V28" i="6" s="1"/>
  <c r="R28" i="6"/>
  <c r="O28" i="6"/>
  <c r="H28" i="6"/>
  <c r="N28" i="6" s="1"/>
  <c r="AE27" i="6"/>
  <c r="AB27" i="6"/>
  <c r="Z27" i="6"/>
  <c r="AC27" i="6" s="1"/>
  <c r="AD27" i="6" s="1"/>
  <c r="U27" i="6"/>
  <c r="R27" i="6"/>
  <c r="O27" i="6"/>
  <c r="S27" i="6" s="1"/>
  <c r="V27" i="6" s="1"/>
  <c r="N27" i="6"/>
  <c r="H27" i="6"/>
  <c r="AE26" i="6"/>
  <c r="AB26" i="6"/>
  <c r="Z26" i="6"/>
  <c r="AC26" i="6" s="1"/>
  <c r="AD26" i="6" s="1"/>
  <c r="U26" i="6"/>
  <c r="R26" i="6"/>
  <c r="O26" i="6"/>
  <c r="S26" i="6" s="1"/>
  <c r="V26" i="6" s="1"/>
  <c r="H26" i="6"/>
  <c r="N26" i="6" s="1"/>
  <c r="AE25" i="6"/>
  <c r="AC25" i="6"/>
  <c r="AD25" i="6" s="1"/>
  <c r="AB25" i="6"/>
  <c r="Z25" i="6"/>
  <c r="U25" i="6"/>
  <c r="S25" i="6"/>
  <c r="V25" i="6" s="1"/>
  <c r="R25" i="6"/>
  <c r="O25" i="6"/>
  <c r="H25" i="6"/>
  <c r="N25" i="6" s="1"/>
  <c r="AE24" i="6"/>
  <c r="AC24" i="6"/>
  <c r="AD24" i="6" s="1"/>
  <c r="AB24" i="6"/>
  <c r="Z24" i="6"/>
  <c r="U24" i="6"/>
  <c r="R24" i="6"/>
  <c r="O24" i="6"/>
  <c r="S24" i="6" s="1"/>
  <c r="V24" i="6" s="1"/>
  <c r="N24" i="6"/>
  <c r="H24" i="6"/>
  <c r="AO23" i="6"/>
  <c r="AJ23" i="6"/>
  <c r="AI23" i="6"/>
  <c r="AH23" i="6"/>
  <c r="AG23" i="6"/>
  <c r="AM23" i="6" s="1"/>
  <c r="AN23" i="6" s="1"/>
  <c r="AP23" i="6" s="1"/>
  <c r="AQ23" i="6" s="1"/>
  <c r="AE23" i="6"/>
  <c r="AC23" i="6"/>
  <c r="AD23" i="6" s="1"/>
  <c r="AB23" i="6"/>
  <c r="Z23" i="6"/>
  <c r="U23" i="6"/>
  <c r="S23" i="6"/>
  <c r="V23" i="6" s="1"/>
  <c r="R23" i="6"/>
  <c r="O23" i="6"/>
  <c r="H23" i="6"/>
  <c r="AL23" i="6" s="1"/>
  <c r="AO22" i="6"/>
  <c r="AI22" i="6"/>
  <c r="AJ22" i="6" s="1"/>
  <c r="AH22" i="6"/>
  <c r="AG22" i="6"/>
  <c r="AE22" i="6"/>
  <c r="AB22" i="6"/>
  <c r="AD22" i="6" s="1"/>
  <c r="Z22" i="6"/>
  <c r="AC22" i="6" s="1"/>
  <c r="U22" i="6"/>
  <c r="S22" i="6"/>
  <c r="V22" i="6" s="1"/>
  <c r="R22" i="6"/>
  <c r="O22" i="6"/>
  <c r="H22" i="6"/>
  <c r="N22" i="6" s="1"/>
  <c r="AI21" i="6"/>
  <c r="AJ21" i="6" s="1"/>
  <c r="AM21" i="6" s="1"/>
  <c r="AN21" i="6" s="1"/>
  <c r="AH21" i="6"/>
  <c r="AO21" i="6" s="1"/>
  <c r="AG21" i="6"/>
  <c r="AE21" i="6"/>
  <c r="AC21" i="6"/>
  <c r="AD21" i="6" s="1"/>
  <c r="AB21" i="6"/>
  <c r="Z21" i="6"/>
  <c r="U21" i="6"/>
  <c r="R21" i="6"/>
  <c r="O21" i="6"/>
  <c r="N21" i="6"/>
  <c r="H21" i="6"/>
  <c r="F21" i="6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AE20" i="6"/>
  <c r="AB20" i="6"/>
  <c r="Z20" i="6"/>
  <c r="AC20" i="6" s="1"/>
  <c r="AD20" i="6" s="1"/>
  <c r="U20" i="6"/>
  <c r="R20" i="6"/>
  <c r="S20" i="6" s="1"/>
  <c r="V20" i="6" s="1"/>
  <c r="O20" i="6"/>
  <c r="H20" i="6"/>
  <c r="N20" i="6" s="1"/>
  <c r="AE19" i="6"/>
  <c r="AB19" i="6"/>
  <c r="Z19" i="6"/>
  <c r="AC19" i="6" s="1"/>
  <c r="AD19" i="6" s="1"/>
  <c r="U19" i="6"/>
  <c r="R19" i="6"/>
  <c r="S19" i="6" s="1"/>
  <c r="V19" i="6" s="1"/>
  <c r="O19" i="6"/>
  <c r="N19" i="6"/>
  <c r="H19" i="6"/>
  <c r="AE18" i="6"/>
  <c r="AD18" i="6"/>
  <c r="AC18" i="6"/>
  <c r="AB18" i="6"/>
  <c r="Z18" i="6"/>
  <c r="U18" i="6"/>
  <c r="R18" i="6"/>
  <c r="O18" i="6"/>
  <c r="S18" i="6" s="1"/>
  <c r="V18" i="6" s="1"/>
  <c r="H18" i="6"/>
  <c r="N18" i="6" s="1"/>
  <c r="AE17" i="6"/>
  <c r="AB17" i="6"/>
  <c r="Z17" i="6"/>
  <c r="AC17" i="6" s="1"/>
  <c r="AD17" i="6" s="1"/>
  <c r="V17" i="6"/>
  <c r="U17" i="6"/>
  <c r="R17" i="6"/>
  <c r="O17" i="6"/>
  <c r="S17" i="6" s="1"/>
  <c r="N17" i="6"/>
  <c r="H17" i="6"/>
  <c r="AE16" i="6"/>
  <c r="AD16" i="6"/>
  <c r="AB16" i="6"/>
  <c r="Z16" i="6"/>
  <c r="AC16" i="6" s="1"/>
  <c r="U16" i="6"/>
  <c r="R16" i="6"/>
  <c r="O16" i="6"/>
  <c r="S16" i="6" s="1"/>
  <c r="V16" i="6" s="1"/>
  <c r="H16" i="6"/>
  <c r="N16" i="6" s="1"/>
  <c r="AE15" i="6"/>
  <c r="AC15" i="6"/>
  <c r="AB15" i="6"/>
  <c r="Z15" i="6"/>
  <c r="U15" i="6"/>
  <c r="R15" i="6"/>
  <c r="S15" i="6" s="1"/>
  <c r="V15" i="6" s="1"/>
  <c r="O15" i="6"/>
  <c r="H15" i="6"/>
  <c r="N15" i="6" s="1"/>
  <c r="AE14" i="6"/>
  <c r="AC14" i="6"/>
  <c r="AD14" i="6" s="1"/>
  <c r="AB14" i="6"/>
  <c r="Z14" i="6"/>
  <c r="U14" i="6"/>
  <c r="S14" i="6"/>
  <c r="V14" i="6" s="1"/>
  <c r="R14" i="6"/>
  <c r="O14" i="6"/>
  <c r="H14" i="6"/>
  <c r="N14" i="6" s="1"/>
  <c r="AE13" i="6"/>
  <c r="AC13" i="6"/>
  <c r="AD13" i="6" s="1"/>
  <c r="AB13" i="6"/>
  <c r="Z13" i="6"/>
  <c r="U13" i="6"/>
  <c r="R13" i="6"/>
  <c r="O13" i="6"/>
  <c r="S13" i="6" s="1"/>
  <c r="V13" i="6" s="1"/>
  <c r="N13" i="6"/>
  <c r="H13" i="6"/>
  <c r="AE12" i="6"/>
  <c r="AB12" i="6"/>
  <c r="Z12" i="6"/>
  <c r="AC12" i="6" s="1"/>
  <c r="AD12" i="6" s="1"/>
  <c r="U12" i="6"/>
  <c r="R12" i="6"/>
  <c r="O12" i="6"/>
  <c r="S12" i="6" s="1"/>
  <c r="V12" i="6" s="1"/>
  <c r="H12" i="6"/>
  <c r="N12" i="6" s="1"/>
  <c r="AE11" i="6"/>
  <c r="AB11" i="6"/>
  <c r="Z11" i="6"/>
  <c r="AC11" i="6" s="1"/>
  <c r="AD11" i="6" s="1"/>
  <c r="U11" i="6"/>
  <c r="R11" i="6"/>
  <c r="S11" i="6" s="1"/>
  <c r="V11" i="6" s="1"/>
  <c r="O11" i="6"/>
  <c r="H11" i="6"/>
  <c r="N11" i="6" s="1"/>
  <c r="AE10" i="6"/>
  <c r="AC10" i="6"/>
  <c r="AD10" i="6" s="1"/>
  <c r="AB10" i="6"/>
  <c r="Z10" i="6"/>
  <c r="U10" i="6"/>
  <c r="R10" i="6"/>
  <c r="S10" i="6" s="1"/>
  <c r="V10" i="6" s="1"/>
  <c r="O10" i="6"/>
  <c r="H10" i="6"/>
  <c r="N10" i="6" s="1"/>
  <c r="AE9" i="6"/>
  <c r="AB9" i="6"/>
  <c r="Z9" i="6"/>
  <c r="AC9" i="6" s="1"/>
  <c r="AD9" i="6" s="1"/>
  <c r="U9" i="6"/>
  <c r="R9" i="6"/>
  <c r="S9" i="6" s="1"/>
  <c r="V9" i="6" s="1"/>
  <c r="O9" i="6"/>
  <c r="H9" i="6"/>
  <c r="N9" i="6" s="1"/>
  <c r="AE8" i="6"/>
  <c r="AC8" i="6"/>
  <c r="AD8" i="6" s="1"/>
  <c r="AB8" i="6"/>
  <c r="Z8" i="6"/>
  <c r="U8" i="6"/>
  <c r="S8" i="6"/>
  <c r="V8" i="6" s="1"/>
  <c r="R8" i="6"/>
  <c r="O8" i="6"/>
  <c r="H8" i="6"/>
  <c r="N8" i="6" s="1"/>
  <c r="AE7" i="6"/>
  <c r="AC7" i="6"/>
  <c r="AD7" i="6" s="1"/>
  <c r="AB7" i="6"/>
  <c r="Z7" i="6"/>
  <c r="U7" i="6"/>
  <c r="R7" i="6"/>
  <c r="O7" i="6"/>
  <c r="S7" i="6" s="1"/>
  <c r="V7" i="6" s="1"/>
  <c r="N7" i="6"/>
  <c r="H7" i="6"/>
  <c r="AI6" i="6"/>
  <c r="AJ6" i="6" s="1"/>
  <c r="AH6" i="6"/>
  <c r="AO6" i="6" s="1"/>
  <c r="AG6" i="6"/>
  <c r="AM6" i="6" s="1"/>
  <c r="AN6" i="6" s="1"/>
  <c r="AP6" i="6" s="1"/>
  <c r="AE6" i="6"/>
  <c r="AC6" i="6"/>
  <c r="AD6" i="6" s="1"/>
  <c r="AB6" i="6"/>
  <c r="Z6" i="6"/>
  <c r="U6" i="6"/>
  <c r="S6" i="6"/>
  <c r="V6" i="6" s="1"/>
  <c r="R6" i="6"/>
  <c r="O6" i="6"/>
  <c r="H6" i="6"/>
  <c r="N6" i="6" s="1"/>
  <c r="AO5" i="6"/>
  <c r="AJ5" i="6"/>
  <c r="AI5" i="6"/>
  <c r="AH5" i="6"/>
  <c r="AG5" i="6"/>
  <c r="AM5" i="6" s="1"/>
  <c r="AN5" i="6" s="1"/>
  <c r="AP5" i="6" s="1"/>
  <c r="AE5" i="6"/>
  <c r="AB5" i="6"/>
  <c r="Z5" i="6"/>
  <c r="AC5" i="6" s="1"/>
  <c r="AD5" i="6" s="1"/>
  <c r="U5" i="6"/>
  <c r="R5" i="6"/>
  <c r="S5" i="6" s="1"/>
  <c r="V5" i="6" s="1"/>
  <c r="O5" i="6"/>
  <c r="H5" i="6"/>
  <c r="N5" i="6" s="1"/>
  <c r="F5" i="6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AO4" i="6"/>
  <c r="AI4" i="6"/>
  <c r="AJ4" i="6" s="1"/>
  <c r="AH4" i="6"/>
  <c r="AG4" i="6"/>
  <c r="AM4" i="6" s="1"/>
  <c r="AN4" i="6" s="1"/>
  <c r="AP4" i="6" s="1"/>
  <c r="AE4" i="6"/>
  <c r="AB4" i="6"/>
  <c r="Z4" i="6"/>
  <c r="AC4" i="6" s="1"/>
  <c r="AD4" i="6" s="1"/>
  <c r="U4" i="6"/>
  <c r="R4" i="6"/>
  <c r="O4" i="6"/>
  <c r="S4" i="6" s="1"/>
  <c r="V4" i="6" s="1"/>
  <c r="H4" i="6"/>
  <c r="N4" i="6" s="1"/>
  <c r="F4" i="6"/>
  <c r="AQ4" i="6" l="1"/>
  <c r="AQ537" i="6"/>
  <c r="AP516" i="6"/>
  <c r="AQ516" i="6" s="1"/>
  <c r="AQ6" i="6"/>
  <c r="AP499" i="6"/>
  <c r="AP21" i="6"/>
  <c r="AQ515" i="6"/>
  <c r="AM514" i="6"/>
  <c r="AN514" i="6" s="1"/>
  <c r="AP514" i="6" s="1"/>
  <c r="AQ514" i="6" s="1"/>
  <c r="AM22" i="6"/>
  <c r="AN22" i="6" s="1"/>
  <c r="AP22" i="6" s="1"/>
  <c r="AD508" i="6"/>
  <c r="AO520" i="6"/>
  <c r="AP520" i="6" s="1"/>
  <c r="AQ520" i="6" s="1"/>
  <c r="AD531" i="6"/>
  <c r="AL536" i="6"/>
  <c r="N536" i="6"/>
  <c r="AM536" i="6"/>
  <c r="AN536" i="6" s="1"/>
  <c r="AP536" i="6" s="1"/>
  <c r="AQ536" i="6" s="1"/>
  <c r="AM538" i="6"/>
  <c r="AN538" i="6" s="1"/>
  <c r="AP538" i="6" s="1"/>
  <c r="AQ538" i="6" s="1"/>
  <c r="AL6" i="6"/>
  <c r="AL5" i="6"/>
  <c r="AQ5" i="6" s="1"/>
  <c r="AM498" i="6"/>
  <c r="AN498" i="6" s="1"/>
  <c r="AP498" i="6" s="1"/>
  <c r="AQ498" i="6" s="1"/>
  <c r="AD509" i="6"/>
  <c r="AM517" i="6"/>
  <c r="AN517" i="6" s="1"/>
  <c r="N518" i="6"/>
  <c r="N519" i="6"/>
  <c r="AL519" i="6"/>
  <c r="AQ519" i="6" s="1"/>
  <c r="AD543" i="6"/>
  <c r="AQ622" i="6"/>
  <c r="N23" i="6"/>
  <c r="AL21" i="6"/>
  <c r="AL4" i="6"/>
  <c r="AL499" i="6"/>
  <c r="AM518" i="6"/>
  <c r="AN518" i="6" s="1"/>
  <c r="AP518" i="6" s="1"/>
  <c r="AQ518" i="6" s="1"/>
  <c r="N540" i="6"/>
  <c r="AL540" i="6"/>
  <c r="AQ540" i="6" s="1"/>
  <c r="AP541" i="6"/>
  <c r="AQ541" i="6" s="1"/>
  <c r="S21" i="6"/>
  <c r="V21" i="6" s="1"/>
  <c r="AL22" i="6"/>
  <c r="N499" i="6"/>
  <c r="AD513" i="6"/>
  <c r="AO516" i="6"/>
  <c r="AO524" i="6"/>
  <c r="AP524" i="6" s="1"/>
  <c r="AQ524" i="6" s="1"/>
  <c r="S526" i="6"/>
  <c r="AD537" i="6"/>
  <c r="AP558" i="6"/>
  <c r="AQ558" i="6" s="1"/>
  <c r="AD520" i="6"/>
  <c r="AD15" i="6"/>
  <c r="N514" i="6"/>
  <c r="N515" i="6"/>
  <c r="AL515" i="6"/>
  <c r="AM521" i="6"/>
  <c r="AN521" i="6" s="1"/>
  <c r="AP521" i="6" s="1"/>
  <c r="AQ521" i="6" s="1"/>
  <c r="N523" i="6"/>
  <c r="AL523" i="6"/>
  <c r="AQ523" i="6" s="1"/>
  <c r="AQ556" i="6"/>
  <c r="AO496" i="6"/>
  <c r="AP496" i="6" s="1"/>
  <c r="AQ496" i="6" s="1"/>
  <c r="AO517" i="6"/>
  <c r="AM522" i="6"/>
  <c r="AN522" i="6" s="1"/>
  <c r="AP522" i="6" s="1"/>
  <c r="AQ522" i="6" s="1"/>
  <c r="AD541" i="6"/>
  <c r="AD566" i="6"/>
  <c r="AL541" i="6"/>
  <c r="S572" i="6"/>
  <c r="AL574" i="6"/>
  <c r="AQ574" i="6" s="1"/>
  <c r="AL576" i="6"/>
  <c r="AQ576" i="6" s="1"/>
  <c r="AM595" i="6"/>
  <c r="AN595" i="6" s="1"/>
  <c r="AP595" i="6" s="1"/>
  <c r="AM599" i="6"/>
  <c r="AN599" i="6" s="1"/>
  <c r="AP599" i="6" s="1"/>
  <c r="AQ599" i="6" s="1"/>
  <c r="AL622" i="6"/>
  <c r="N638" i="6"/>
  <c r="AP645" i="6"/>
  <c r="AQ645" i="6" s="1"/>
  <c r="AD575" i="6"/>
  <c r="AD593" i="6"/>
  <c r="N596" i="6"/>
  <c r="N600" i="6"/>
  <c r="AP671" i="6"/>
  <c r="AQ671" i="6" s="1"/>
  <c r="AO557" i="6"/>
  <c r="AP557" i="6" s="1"/>
  <c r="AQ557" i="6" s="1"/>
  <c r="AL577" i="6"/>
  <c r="AL537" i="6"/>
  <c r="AO575" i="6"/>
  <c r="AP575" i="6" s="1"/>
  <c r="AQ575" i="6" s="1"/>
  <c r="S592" i="6"/>
  <c r="AL595" i="6"/>
  <c r="AL599" i="6"/>
  <c r="AL601" i="6"/>
  <c r="AQ601" i="6" s="1"/>
  <c r="N601" i="6"/>
  <c r="S617" i="6"/>
  <c r="AL645" i="6"/>
  <c r="AM555" i="6"/>
  <c r="AN555" i="6" s="1"/>
  <c r="AP555" i="6" s="1"/>
  <c r="AQ555" i="6" s="1"/>
  <c r="AM559" i="6"/>
  <c r="AN559" i="6" s="1"/>
  <c r="AP559" i="6" s="1"/>
  <c r="AQ559" i="6" s="1"/>
  <c r="AD573" i="6"/>
  <c r="N603" i="6"/>
  <c r="AD604" i="6"/>
  <c r="N606" i="6"/>
  <c r="AD615" i="6"/>
  <c r="S621" i="6"/>
  <c r="N639" i="6"/>
  <c r="AL639" i="6"/>
  <c r="AP639" i="6"/>
  <c r="AQ639" i="6" s="1"/>
  <c r="AL556" i="6"/>
  <c r="AL560" i="6"/>
  <c r="AQ560" i="6" s="1"/>
  <c r="AM577" i="6"/>
  <c r="AN577" i="6" s="1"/>
  <c r="AP577" i="6" s="1"/>
  <c r="AL597" i="6"/>
  <c r="AQ597" i="6" s="1"/>
  <c r="AO640" i="6"/>
  <c r="AP640" i="6" s="1"/>
  <c r="AQ640" i="6" s="1"/>
  <c r="AL640" i="6"/>
  <c r="S629" i="6"/>
  <c r="S636" i="6"/>
  <c r="N643" i="6"/>
  <c r="AL643" i="6"/>
  <c r="AO645" i="6"/>
  <c r="S652" i="6"/>
  <c r="AN673" i="6"/>
  <c r="AP673" i="6" s="1"/>
  <c r="AQ673" i="6" s="1"/>
  <c r="AO688" i="6"/>
  <c r="AL688" i="6"/>
  <c r="AQ696" i="6"/>
  <c r="AM641" i="6"/>
  <c r="AN641" i="6" s="1"/>
  <c r="AP641" i="6" s="1"/>
  <c r="AL670" i="6"/>
  <c r="AQ670" i="6" s="1"/>
  <c r="N670" i="6"/>
  <c r="AD634" i="6"/>
  <c r="AD637" i="6"/>
  <c r="AD639" i="6"/>
  <c r="N647" i="6"/>
  <c r="AL647" i="6"/>
  <c r="AQ647" i="6" s="1"/>
  <c r="AO672" i="6"/>
  <c r="AL672" i="6"/>
  <c r="AL690" i="6"/>
  <c r="N690" i="6"/>
  <c r="AM602" i="6"/>
  <c r="AN602" i="6" s="1"/>
  <c r="AP602" i="6" s="1"/>
  <c r="AQ602" i="6" s="1"/>
  <c r="AM606" i="6"/>
  <c r="AN606" i="6" s="1"/>
  <c r="AP606" i="6" s="1"/>
  <c r="AQ606" i="6" s="1"/>
  <c r="S609" i="6"/>
  <c r="AM624" i="6"/>
  <c r="AN624" i="6" s="1"/>
  <c r="AP624" i="6" s="1"/>
  <c r="AQ624" i="6" s="1"/>
  <c r="AL641" i="6"/>
  <c r="AD643" i="6"/>
  <c r="AD662" i="6"/>
  <c r="AD681" i="6"/>
  <c r="AO644" i="6"/>
  <c r="AP644" i="6" s="1"/>
  <c r="AQ644" i="6" s="1"/>
  <c r="AL644" i="6"/>
  <c r="AL649" i="6"/>
  <c r="N649" i="6"/>
  <c r="AQ690" i="6"/>
  <c r="AP672" i="6"/>
  <c r="AQ692" i="6"/>
  <c r="AO643" i="6"/>
  <c r="AP643" i="6" s="1"/>
  <c r="AQ643" i="6" s="1"/>
  <c r="AO648" i="6"/>
  <c r="AP648" i="6" s="1"/>
  <c r="AQ648" i="6" s="1"/>
  <c r="AL648" i="6"/>
  <c r="N671" i="6"/>
  <c r="AL671" i="6"/>
  <c r="S640" i="6"/>
  <c r="S644" i="6"/>
  <c r="S648" i="6"/>
  <c r="AM649" i="6"/>
  <c r="AN649" i="6" s="1"/>
  <c r="AP649" i="6" s="1"/>
  <c r="S660" i="6"/>
  <c r="AD672" i="6"/>
  <c r="AD685" i="6"/>
  <c r="S688" i="6"/>
  <c r="AM689" i="6"/>
  <c r="AN689" i="6" s="1"/>
  <c r="AP689" i="6" s="1"/>
  <c r="AQ689" i="6" s="1"/>
  <c r="N691" i="6"/>
  <c r="AL691" i="6"/>
  <c r="AQ691" i="6" s="1"/>
  <c r="AL696" i="6"/>
  <c r="AD715" i="6"/>
  <c r="AD734" i="6"/>
  <c r="AQ733" i="6"/>
  <c r="AL642" i="6"/>
  <c r="AQ642" i="6" s="1"/>
  <c r="AL646" i="6"/>
  <c r="AQ646" i="6" s="1"/>
  <c r="S668" i="6"/>
  <c r="AD671" i="6"/>
  <c r="AL692" i="6"/>
  <c r="AD696" i="6"/>
  <c r="AD710" i="6"/>
  <c r="N714" i="6"/>
  <c r="AN688" i="6"/>
  <c r="AP688" i="6" s="1"/>
  <c r="AQ688" i="6" s="1"/>
  <c r="AQ713" i="6"/>
  <c r="AN731" i="6"/>
  <c r="AP731" i="6" s="1"/>
  <c r="AQ731" i="6" s="1"/>
  <c r="AO671" i="6"/>
  <c r="AD676" i="6"/>
  <c r="AD692" i="6"/>
  <c r="AM697" i="6"/>
  <c r="AN697" i="6" s="1"/>
  <c r="AP697" i="6" s="1"/>
  <c r="AQ697" i="6" s="1"/>
  <c r="N698" i="6"/>
  <c r="AD702" i="6"/>
  <c r="S706" i="6"/>
  <c r="AD711" i="6"/>
  <c r="AO712" i="6"/>
  <c r="AP712" i="6" s="1"/>
  <c r="AQ712" i="6" s="1"/>
  <c r="AL729" i="6"/>
  <c r="AQ729" i="6" s="1"/>
  <c r="N729" i="6"/>
  <c r="AL711" i="6"/>
  <c r="AQ711" i="6" s="1"/>
  <c r="N711" i="6"/>
  <c r="AQ732" i="6"/>
  <c r="AQ857" i="6"/>
  <c r="AD677" i="6"/>
  <c r="S680" i="6"/>
  <c r="AD684" i="6"/>
  <c r="AM693" i="6"/>
  <c r="AN693" i="6" s="1"/>
  <c r="AP693" i="6" s="1"/>
  <c r="AQ693" i="6" s="1"/>
  <c r="N694" i="6"/>
  <c r="AL695" i="6"/>
  <c r="AQ695" i="6" s="1"/>
  <c r="N695" i="6"/>
  <c r="AD703" i="6"/>
  <c r="S712" i="6"/>
  <c r="AD722" i="6"/>
  <c r="AO735" i="6"/>
  <c r="AM735" i="6"/>
  <c r="AN735" i="6" s="1"/>
  <c r="S753" i="6"/>
  <c r="AQ766" i="6"/>
  <c r="AO730" i="6"/>
  <c r="AP730" i="6" s="1"/>
  <c r="AQ730" i="6" s="1"/>
  <c r="AL730" i="6"/>
  <c r="AQ764" i="6"/>
  <c r="AL813" i="6"/>
  <c r="N813" i="6"/>
  <c r="AN860" i="6"/>
  <c r="AP860" i="6" s="1"/>
  <c r="AQ860" i="6" s="1"/>
  <c r="AC860" i="6"/>
  <c r="AD860" i="6" s="1"/>
  <c r="AL728" i="6"/>
  <c r="AQ728" i="6" s="1"/>
  <c r="AL736" i="6"/>
  <c r="AQ736" i="6" s="1"/>
  <c r="AD740" i="6"/>
  <c r="AD750" i="6"/>
  <c r="AO753" i="6"/>
  <c r="AM763" i="6"/>
  <c r="AN763" i="6" s="1"/>
  <c r="AP763" i="6" s="1"/>
  <c r="AQ763" i="6" s="1"/>
  <c r="N765" i="6"/>
  <c r="AL765" i="6"/>
  <c r="AQ765" i="6" s="1"/>
  <c r="N768" i="6"/>
  <c r="AL782" i="6"/>
  <c r="N782" i="6"/>
  <c r="AO782" i="6"/>
  <c r="AP782" i="6" s="1"/>
  <c r="AQ782" i="6" s="1"/>
  <c r="AN783" i="6"/>
  <c r="AP783" i="6" s="1"/>
  <c r="AQ783" i="6" s="1"/>
  <c r="AD803" i="6"/>
  <c r="AD811" i="6"/>
  <c r="AP815" i="6"/>
  <c r="AD821" i="6"/>
  <c r="AD826" i="6"/>
  <c r="S854" i="6"/>
  <c r="AL892" i="6"/>
  <c r="N892" i="6"/>
  <c r="AL733" i="6"/>
  <c r="AO734" i="6"/>
  <c r="AP734" i="6" s="1"/>
  <c r="AQ734" i="6" s="1"/>
  <c r="S782" i="6"/>
  <c r="AL783" i="6"/>
  <c r="AD790" i="6"/>
  <c r="AM793" i="6"/>
  <c r="AN793" i="6" s="1"/>
  <c r="AP793" i="6" s="1"/>
  <c r="AQ793" i="6" s="1"/>
  <c r="AM796" i="6"/>
  <c r="AN796" i="6" s="1"/>
  <c r="AP796" i="6" s="1"/>
  <c r="AP799" i="6"/>
  <c r="AQ799" i="6" s="1"/>
  <c r="AD806" i="6"/>
  <c r="N837" i="6"/>
  <c r="AL837" i="6"/>
  <c r="AO793" i="6"/>
  <c r="AL793" i="6"/>
  <c r="AQ812" i="6"/>
  <c r="AL841" i="6"/>
  <c r="AO841" i="6"/>
  <c r="AP841" i="6" s="1"/>
  <c r="AQ841" i="6" s="1"/>
  <c r="AD745" i="6"/>
  <c r="AD775" i="6"/>
  <c r="AO798" i="6"/>
  <c r="AP798" i="6" s="1"/>
  <c r="AQ798" i="6" s="1"/>
  <c r="AP816" i="6"/>
  <c r="AQ837" i="6"/>
  <c r="AL922" i="6"/>
  <c r="N922" i="6"/>
  <c r="AL738" i="6"/>
  <c r="AQ738" i="6" s="1"/>
  <c r="S744" i="6"/>
  <c r="AD748" i="6"/>
  <c r="AN767" i="6"/>
  <c r="AP767" i="6" s="1"/>
  <c r="AQ767" i="6" s="1"/>
  <c r="S786" i="6"/>
  <c r="N792" i="6"/>
  <c r="AD794" i="6"/>
  <c r="AD797" i="6"/>
  <c r="S798" i="6"/>
  <c r="N840" i="6"/>
  <c r="AQ840" i="6"/>
  <c r="AM753" i="6"/>
  <c r="AN753" i="6" s="1"/>
  <c r="S758" i="6"/>
  <c r="AL766" i="6"/>
  <c r="N766" i="6"/>
  <c r="AL767" i="6"/>
  <c r="AD778" i="6"/>
  <c r="AM795" i="6"/>
  <c r="AN795" i="6" s="1"/>
  <c r="AP795" i="6" s="1"/>
  <c r="AQ795" i="6" s="1"/>
  <c r="AO819" i="6"/>
  <c r="AP819" i="6" s="1"/>
  <c r="AQ819" i="6" s="1"/>
  <c r="AL819" i="6"/>
  <c r="AD738" i="6"/>
  <c r="S766" i="6"/>
  <c r="S774" i="6"/>
  <c r="N797" i="6"/>
  <c r="AL797" i="6"/>
  <c r="AQ797" i="6" s="1"/>
  <c r="AQ814" i="6"/>
  <c r="AQ834" i="6"/>
  <c r="N798" i="6"/>
  <c r="AD816" i="6"/>
  <c r="S828" i="6"/>
  <c r="AD837" i="6"/>
  <c r="S838" i="6"/>
  <c r="S846" i="6"/>
  <c r="AO856" i="6"/>
  <c r="AQ943" i="6"/>
  <c r="AL858" i="6"/>
  <c r="N858" i="6"/>
  <c r="AO858" i="6"/>
  <c r="AP858" i="6" s="1"/>
  <c r="AQ858" i="6" s="1"/>
  <c r="AO886" i="6"/>
  <c r="AP886" i="6" s="1"/>
  <c r="AQ886" i="6" s="1"/>
  <c r="AL886" i="6"/>
  <c r="AL764" i="6"/>
  <c r="AL796" i="6"/>
  <c r="AL812" i="6"/>
  <c r="AN813" i="6"/>
  <c r="AP813" i="6" s="1"/>
  <c r="AQ813" i="6" s="1"/>
  <c r="AO816" i="6"/>
  <c r="S820" i="6"/>
  <c r="AD857" i="6"/>
  <c r="S858" i="6"/>
  <c r="AQ945" i="6"/>
  <c r="AM836" i="6"/>
  <c r="AN836" i="6" s="1"/>
  <c r="AP836" i="6" s="1"/>
  <c r="AL818" i="6"/>
  <c r="AD824" i="6"/>
  <c r="AD834" i="6"/>
  <c r="AO836" i="6"/>
  <c r="AD842" i="6"/>
  <c r="AD847" i="6"/>
  <c r="N857" i="6"/>
  <c r="AL857" i="6"/>
  <c r="N860" i="6"/>
  <c r="AP891" i="6"/>
  <c r="AL816" i="6"/>
  <c r="AN839" i="6"/>
  <c r="AP839" i="6" s="1"/>
  <c r="AQ839" i="6" s="1"/>
  <c r="AD850" i="6"/>
  <c r="AL863" i="6"/>
  <c r="N863" i="6"/>
  <c r="AO891" i="6"/>
  <c r="AP919" i="6"/>
  <c r="AQ919" i="6" s="1"/>
  <c r="AL815" i="6"/>
  <c r="AM818" i="6"/>
  <c r="AN818" i="6" s="1"/>
  <c r="AP818" i="6" s="1"/>
  <c r="AL838" i="6"/>
  <c r="AQ838" i="6" s="1"/>
  <c r="N838" i="6"/>
  <c r="AM856" i="6"/>
  <c r="AN856" i="6" s="1"/>
  <c r="AQ863" i="6"/>
  <c r="AD890" i="6"/>
  <c r="AD900" i="6"/>
  <c r="AM918" i="6"/>
  <c r="AN918" i="6" s="1"/>
  <c r="AP918" i="6" s="1"/>
  <c r="AQ918" i="6" s="1"/>
  <c r="AO972" i="6"/>
  <c r="AL972" i="6"/>
  <c r="AD870" i="6"/>
  <c r="AM888" i="6"/>
  <c r="AN888" i="6" s="1"/>
  <c r="AP888" i="6" s="1"/>
  <c r="AQ888" i="6" s="1"/>
  <c r="N889" i="6"/>
  <c r="AL889" i="6"/>
  <c r="AQ889" i="6" s="1"/>
  <c r="AO890" i="6"/>
  <c r="AP890" i="6" s="1"/>
  <c r="AQ890" i="6" s="1"/>
  <c r="AD909" i="6"/>
  <c r="AD921" i="6"/>
  <c r="AO922" i="6"/>
  <c r="AP922" i="6" s="1"/>
  <c r="AQ922" i="6" s="1"/>
  <c r="AO941" i="6"/>
  <c r="AL941" i="6"/>
  <c r="N947" i="6"/>
  <c r="AL947" i="6"/>
  <c r="AL836" i="6"/>
  <c r="AL856" i="6"/>
  <c r="AO860" i="6"/>
  <c r="AO864" i="6"/>
  <c r="AP864" i="6" s="1"/>
  <c r="AQ864" i="6" s="1"/>
  <c r="AD875" i="6"/>
  <c r="AM892" i="6"/>
  <c r="AN892" i="6" s="1"/>
  <c r="AP892" i="6" s="1"/>
  <c r="AQ892" i="6" s="1"/>
  <c r="AD883" i="6"/>
  <c r="AL890" i="6"/>
  <c r="N893" i="6"/>
  <c r="AO916" i="6"/>
  <c r="AP916" i="6" s="1"/>
  <c r="AQ916" i="6" s="1"/>
  <c r="AL924" i="6"/>
  <c r="AQ924" i="6" s="1"/>
  <c r="AP947" i="6"/>
  <c r="S861" i="6"/>
  <c r="AL864" i="6"/>
  <c r="AM887" i="6"/>
  <c r="AN887" i="6" s="1"/>
  <c r="AP887" i="6" s="1"/>
  <c r="AQ887" i="6" s="1"/>
  <c r="AL891" i="6"/>
  <c r="AO894" i="6"/>
  <c r="AP894" i="6" s="1"/>
  <c r="AQ894" i="6" s="1"/>
  <c r="N948" i="6"/>
  <c r="AL948" i="6"/>
  <c r="AM862" i="6"/>
  <c r="AN862" i="6" s="1"/>
  <c r="AP862" i="6" s="1"/>
  <c r="AQ862" i="6" s="1"/>
  <c r="S881" i="6"/>
  <c r="S882" i="6"/>
  <c r="AD886" i="6"/>
  <c r="AL916" i="6"/>
  <c r="AO917" i="6"/>
  <c r="AP917" i="6" s="1"/>
  <c r="AQ917" i="6" s="1"/>
  <c r="AD940" i="6"/>
  <c r="AL919" i="6"/>
  <c r="AL945" i="6"/>
  <c r="N945" i="6"/>
  <c r="AD920" i="6"/>
  <c r="AL921" i="6"/>
  <c r="AQ921" i="6" s="1"/>
  <c r="AD930" i="6"/>
  <c r="AO944" i="6"/>
  <c r="AP944" i="6" s="1"/>
  <c r="AQ944" i="6" s="1"/>
  <c r="N946" i="6"/>
  <c r="AL946" i="6"/>
  <c r="AM946" i="6"/>
  <c r="AN946" i="6" s="1"/>
  <c r="AP946" i="6" s="1"/>
  <c r="S952" i="6"/>
  <c r="AD956" i="6"/>
  <c r="AD964" i="6"/>
  <c r="AM995" i="6"/>
  <c r="AN995" i="6" s="1"/>
  <c r="AP995" i="6" s="1"/>
  <c r="AQ995" i="6" s="1"/>
  <c r="AP996" i="6"/>
  <c r="AQ996" i="6" s="1"/>
  <c r="AP990" i="6"/>
  <c r="AQ990" i="6" s="1"/>
  <c r="AO991" i="6"/>
  <c r="AM991" i="6"/>
  <c r="AN991" i="6" s="1"/>
  <c r="AL993" i="6"/>
  <c r="AQ993" i="6" s="1"/>
  <c r="N993" i="6"/>
  <c r="AN948" i="6"/>
  <c r="AP948" i="6" s="1"/>
  <c r="AQ948" i="6" s="1"/>
  <c r="AQ973" i="6"/>
  <c r="AO920" i="6"/>
  <c r="AP920" i="6" s="1"/>
  <c r="AQ920" i="6" s="1"/>
  <c r="AP968" i="6"/>
  <c r="AQ968" i="6" s="1"/>
  <c r="AO969" i="6"/>
  <c r="AM969" i="6"/>
  <c r="AN969" i="6" s="1"/>
  <c r="AL971" i="6"/>
  <c r="AQ971" i="6" s="1"/>
  <c r="N971" i="6"/>
  <c r="AL923" i="6"/>
  <c r="AQ923" i="6" s="1"/>
  <c r="AM941" i="6"/>
  <c r="AN941" i="6" s="1"/>
  <c r="AP941" i="6" s="1"/>
  <c r="AD968" i="6"/>
  <c r="AP989" i="6"/>
  <c r="AQ989" i="6" s="1"/>
  <c r="AM994" i="6"/>
  <c r="AN994" i="6" s="1"/>
  <c r="AP994" i="6" s="1"/>
  <c r="AQ994" i="6" s="1"/>
  <c r="AQ992" i="6"/>
  <c r="AO994" i="6"/>
  <c r="AL994" i="6"/>
  <c r="AD927" i="6"/>
  <c r="AL943" i="6"/>
  <c r="AP949" i="6"/>
  <c r="AQ949" i="6" s="1"/>
  <c r="S954" i="6"/>
  <c r="AP972" i="6"/>
  <c r="AQ972" i="6" s="1"/>
  <c r="AD988" i="6"/>
  <c r="AL970" i="6"/>
  <c r="AQ970" i="6" s="1"/>
  <c r="AL992" i="6"/>
  <c r="AL969" i="6"/>
  <c r="AL991" i="6"/>
  <c r="AQ947" i="6" l="1"/>
  <c r="AQ941" i="6"/>
  <c r="AP856" i="6"/>
  <c r="AQ856" i="6" s="1"/>
  <c r="AQ499" i="6"/>
  <c r="AQ815" i="6"/>
  <c r="AQ577" i="6"/>
  <c r="AQ595" i="6"/>
  <c r="AQ818" i="6"/>
  <c r="AP969" i="6"/>
  <c r="AQ969" i="6" s="1"/>
  <c r="AP991" i="6"/>
  <c r="AQ991" i="6" s="1"/>
  <c r="AQ946" i="6"/>
  <c r="AQ891" i="6"/>
  <c r="AP753" i="6"/>
  <c r="AQ753" i="6" s="1"/>
  <c r="AQ796" i="6"/>
  <c r="AQ649" i="6"/>
  <c r="AQ641" i="6"/>
  <c r="AQ21" i="6"/>
  <c r="AQ816" i="6"/>
  <c r="AQ836" i="6"/>
  <c r="AP735" i="6"/>
  <c r="AQ735" i="6" s="1"/>
  <c r="AQ672" i="6"/>
  <c r="AP517" i="6"/>
  <c r="AQ517" i="6" s="1"/>
  <c r="AQ22" i="6"/>
  <c r="C162" i="5" l="1"/>
  <c r="C140" i="5"/>
  <c r="C90" i="5"/>
  <c r="D26" i="5"/>
  <c r="G27" i="5" s="1"/>
  <c r="D25" i="5"/>
  <c r="J15" i="5"/>
  <c r="D12" i="5"/>
  <c r="D11" i="5"/>
  <c r="D14" i="5" s="1"/>
  <c r="I15" i="5" s="1"/>
  <c r="D15" i="5" s="1"/>
  <c r="D19" i="5" l="1"/>
  <c r="D18" i="5"/>
  <c r="C162" i="4" l="1"/>
  <c r="C140" i="4"/>
  <c r="C90" i="4"/>
  <c r="D25" i="4"/>
  <c r="D26" i="4" s="1"/>
  <c r="G27" i="4" s="1"/>
  <c r="J15" i="4"/>
  <c r="D14" i="4"/>
  <c r="I15" i="4" s="1"/>
  <c r="D15" i="4" s="1"/>
  <c r="D12" i="4"/>
  <c r="D11" i="4"/>
  <c r="D19" i="4" l="1"/>
  <c r="D18" i="4"/>
  <c r="B129" i="3" l="1"/>
  <c r="G128" i="3"/>
  <c r="B128" i="3"/>
  <c r="B130" i="3" s="1"/>
  <c r="G127" i="3"/>
  <c r="B127" i="3"/>
  <c r="B124" i="3"/>
  <c r="B125" i="3" s="1"/>
  <c r="G123" i="3"/>
  <c r="B123" i="3"/>
  <c r="G122" i="3"/>
  <c r="B122" i="3"/>
  <c r="B115" i="3"/>
  <c r="B110" i="3"/>
  <c r="B108" i="3"/>
  <c r="B109" i="3" s="1"/>
  <c r="D109" i="3" s="1"/>
  <c r="B96" i="3"/>
  <c r="D96" i="3" s="1"/>
  <c r="H95" i="3"/>
  <c r="B95" i="3"/>
  <c r="B93" i="3"/>
  <c r="B99" i="3" s="1"/>
  <c r="B100" i="3" s="1"/>
  <c r="H92" i="3"/>
  <c r="H96" i="3" s="1"/>
  <c r="E90" i="3"/>
  <c r="K89" i="3"/>
  <c r="K90" i="3" s="1"/>
  <c r="E89" i="3"/>
  <c r="H84" i="3"/>
  <c r="H86" i="3" s="1"/>
  <c r="B84" i="3"/>
  <c r="H83" i="3"/>
  <c r="B83" i="3"/>
  <c r="B81" i="3"/>
  <c r="B77" i="3"/>
  <c r="B85" i="3" s="1"/>
  <c r="B87" i="3" s="1"/>
  <c r="B69" i="3"/>
  <c r="H67" i="3"/>
  <c r="H58" i="3"/>
  <c r="H57" i="3"/>
  <c r="H60" i="3" s="1"/>
  <c r="H55" i="3"/>
  <c r="H54" i="3"/>
  <c r="H56" i="3" s="1"/>
  <c r="C53" i="3"/>
  <c r="B49" i="3"/>
  <c r="H41" i="3"/>
  <c r="H42" i="3" s="1"/>
  <c r="H43" i="3" s="1"/>
  <c r="J43" i="3" s="1"/>
  <c r="H38" i="3"/>
  <c r="J38" i="3" s="1"/>
  <c r="B38" i="3"/>
  <c r="D38" i="3" s="1"/>
  <c r="J37" i="3"/>
  <c r="H37" i="3"/>
  <c r="D37" i="3"/>
  <c r="B37" i="3"/>
  <c r="H35" i="3"/>
  <c r="B35" i="3"/>
  <c r="B41" i="3" s="1"/>
  <c r="B42" i="3" s="1"/>
  <c r="B43" i="3" s="1"/>
  <c r="D43" i="3" s="1"/>
  <c r="E33" i="3"/>
  <c r="E34" i="3" s="1"/>
  <c r="H26" i="3"/>
  <c r="B26" i="3"/>
  <c r="B25" i="3"/>
  <c r="B23" i="3"/>
  <c r="B65" i="3" s="1"/>
  <c r="B20" i="3"/>
  <c r="H25" i="3" s="1"/>
  <c r="B14" i="3"/>
  <c r="H82" i="3" s="1"/>
  <c r="B9" i="3"/>
  <c r="U4" i="3"/>
  <c r="T4" i="3"/>
  <c r="S4" i="3"/>
  <c r="R4" i="3"/>
  <c r="Q4" i="3"/>
  <c r="P4" i="3"/>
  <c r="U3" i="3"/>
  <c r="T3" i="3"/>
  <c r="S3" i="3"/>
  <c r="R3" i="3"/>
  <c r="Q3" i="3"/>
  <c r="P3" i="3"/>
  <c r="J96" i="3" l="1"/>
  <c r="J95" i="3"/>
  <c r="B66" i="3"/>
  <c r="B70" i="3" s="1"/>
  <c r="B102" i="3"/>
  <c r="D102" i="3" s="1"/>
  <c r="B101" i="3"/>
  <c r="D101" i="3" s="1"/>
  <c r="D35" i="3"/>
  <c r="J35" i="3"/>
  <c r="B116" i="3"/>
  <c r="B86" i="3"/>
  <c r="B88" i="3" s="1"/>
  <c r="B89" i="3" s="1"/>
  <c r="B91" i="3" s="1"/>
  <c r="H44" i="3"/>
  <c r="J44" i="3" s="1"/>
  <c r="B53" i="3"/>
  <c r="B62" i="3"/>
  <c r="B63" i="3" s="1"/>
  <c r="H87" i="3"/>
  <c r="H88" i="3" s="1"/>
  <c r="H89" i="3" s="1"/>
  <c r="H91" i="3" s="1"/>
  <c r="D93" i="3"/>
  <c r="D95" i="3"/>
  <c r="B27" i="3"/>
  <c r="B29" i="3" s="1"/>
  <c r="H93" i="3"/>
  <c r="B36" i="3"/>
  <c r="B45" i="3"/>
  <c r="D45" i="3" s="1"/>
  <c r="B24" i="3"/>
  <c r="B28" i="3"/>
  <c r="B55" i="3"/>
  <c r="B56" i="3" s="1"/>
  <c r="B58" i="3"/>
  <c r="Q91" i="3"/>
  <c r="B94" i="3"/>
  <c r="B103" i="3"/>
  <c r="D103" i="3" s="1"/>
  <c r="B111" i="3"/>
  <c r="B112" i="3" s="1"/>
  <c r="H24" i="3"/>
  <c r="H28" i="3"/>
  <c r="H36" i="3"/>
  <c r="H45" i="3"/>
  <c r="J45" i="3" s="1"/>
  <c r="H85" i="3"/>
  <c r="H23" i="3"/>
  <c r="H59" i="3"/>
  <c r="H61" i="3" s="1"/>
  <c r="H62" i="3" s="1"/>
  <c r="B64" i="3"/>
  <c r="B82" i="3"/>
  <c r="H27" i="3"/>
  <c r="H29" i="3" s="1"/>
  <c r="B44" i="3"/>
  <c r="D44" i="3" s="1"/>
  <c r="D70" i="3" l="1"/>
  <c r="H72" i="3"/>
  <c r="G124" i="3"/>
  <c r="J122" i="3" s="1"/>
  <c r="H71" i="3"/>
  <c r="H69" i="3"/>
  <c r="J69" i="3" s="1"/>
  <c r="B30" i="3"/>
  <c r="B31" i="3" s="1"/>
  <c r="B33" i="3" s="1"/>
  <c r="H63" i="3"/>
  <c r="H68" i="3"/>
  <c r="D63" i="3"/>
  <c r="D94" i="3"/>
  <c r="H94" i="3"/>
  <c r="J94" i="3" s="1"/>
  <c r="J93" i="3"/>
  <c r="H99" i="3"/>
  <c r="H100" i="3" s="1"/>
  <c r="H30" i="3"/>
  <c r="H31" i="3" s="1"/>
  <c r="G129" i="3"/>
  <c r="D116" i="3"/>
  <c r="D36" i="3"/>
  <c r="E57" i="3"/>
  <c r="B50" i="3"/>
  <c r="J36" i="3" l="1"/>
  <c r="H65" i="3"/>
  <c r="H70" i="3"/>
  <c r="J55" i="3"/>
  <c r="D56" i="3" s="1"/>
  <c r="J92" i="3"/>
  <c r="D92" i="3"/>
  <c r="H101" i="3"/>
  <c r="J101" i="3" s="1"/>
  <c r="H102" i="3"/>
  <c r="J102" i="3" s="1"/>
  <c r="H103" i="3"/>
  <c r="J103" i="3" s="1"/>
  <c r="D123" i="3" l="1"/>
  <c r="D122" i="3"/>
  <c r="D124" i="3"/>
  <c r="D127" i="3"/>
  <c r="D129" i="3"/>
  <c r="D128" i="3"/>
  <c r="D130" i="3" s="1"/>
  <c r="D125" i="3" l="1"/>
  <c r="F4" i="2" l="1"/>
  <c r="H4" i="2"/>
  <c r="N4" i="2" s="1"/>
  <c r="O4" i="2"/>
  <c r="S4" i="2" s="1"/>
  <c r="R4" i="2"/>
  <c r="U4" i="2"/>
  <c r="V4" i="2"/>
  <c r="Z4" i="2"/>
  <c r="AC4" i="2" s="1"/>
  <c r="AD4" i="2" s="1"/>
  <c r="AB4" i="2"/>
  <c r="AE4" i="2"/>
  <c r="AG4" i="2"/>
  <c r="AH4" i="2"/>
  <c r="AI4" i="2"/>
  <c r="AJ4" i="2" s="1"/>
  <c r="AL4" i="2"/>
  <c r="F5" i="2"/>
  <c r="F6" i="2" s="1"/>
  <c r="F7" i="2" s="1"/>
  <c r="F8" i="2" s="1"/>
  <c r="H5" i="2"/>
  <c r="N5" i="2" s="1"/>
  <c r="O5" i="2"/>
  <c r="R5" i="2"/>
  <c r="S5" i="2" s="1"/>
  <c r="V5" i="2" s="1"/>
  <c r="U5" i="2"/>
  <c r="Z5" i="2"/>
  <c r="AC5" i="2" s="1"/>
  <c r="AD5" i="2" s="1"/>
  <c r="AB5" i="2"/>
  <c r="AE5" i="2"/>
  <c r="AG5" i="2"/>
  <c r="AH5" i="2"/>
  <c r="AO5" i="2" s="1"/>
  <c r="AI5" i="2"/>
  <c r="AJ5" i="2" s="1"/>
  <c r="AM5" i="2" s="1"/>
  <c r="AN5" i="2" s="1"/>
  <c r="AL5" i="2"/>
  <c r="H6" i="2"/>
  <c r="N6" i="2" s="1"/>
  <c r="O6" i="2"/>
  <c r="R6" i="2"/>
  <c r="S6" i="2"/>
  <c r="U6" i="2"/>
  <c r="V6" i="2"/>
  <c r="Z6" i="2"/>
  <c r="AB6" i="2"/>
  <c r="AC6" i="2"/>
  <c r="AD6" i="2" s="1"/>
  <c r="AE6" i="2"/>
  <c r="AG6" i="2"/>
  <c r="AH6" i="2"/>
  <c r="AO6" i="2" s="1"/>
  <c r="AI6" i="2"/>
  <c r="AJ6" i="2" s="1"/>
  <c r="AM6" i="2" s="1"/>
  <c r="AN6" i="2" s="1"/>
  <c r="AP6" i="2" s="1"/>
  <c r="H7" i="2"/>
  <c r="N7" i="2"/>
  <c r="O7" i="2"/>
  <c r="S7" i="2" s="1"/>
  <c r="V7" i="2" s="1"/>
  <c r="R7" i="2"/>
  <c r="U7" i="2"/>
  <c r="Z7" i="2"/>
  <c r="AB7" i="2"/>
  <c r="AC7" i="2"/>
  <c r="AD7" i="2" s="1"/>
  <c r="AE7" i="2"/>
  <c r="H8" i="2"/>
  <c r="N8" i="2" s="1"/>
  <c r="O8" i="2"/>
  <c r="R8" i="2"/>
  <c r="S8" i="2"/>
  <c r="V8" i="2" s="1"/>
  <c r="U8" i="2"/>
  <c r="Z8" i="2"/>
  <c r="AB8" i="2"/>
  <c r="AC8" i="2"/>
  <c r="AD8" i="2"/>
  <c r="AE8" i="2"/>
  <c r="F9" i="2"/>
  <c r="F10" i="2" s="1"/>
  <c r="F11" i="2" s="1"/>
  <c r="F12" i="2" s="1"/>
  <c r="F13" i="2" s="1"/>
  <c r="F14" i="2" s="1"/>
  <c r="F15" i="2" s="1"/>
  <c r="F16" i="2" s="1"/>
  <c r="H9" i="2"/>
  <c r="N9" i="2" s="1"/>
  <c r="O9" i="2"/>
  <c r="R9" i="2"/>
  <c r="S9" i="2" s="1"/>
  <c r="V9" i="2" s="1"/>
  <c r="U9" i="2"/>
  <c r="Z9" i="2"/>
  <c r="AC9" i="2" s="1"/>
  <c r="AD9" i="2" s="1"/>
  <c r="AB9" i="2"/>
  <c r="AE9" i="2"/>
  <c r="H10" i="2"/>
  <c r="N10" i="2" s="1"/>
  <c r="O10" i="2"/>
  <c r="S10" i="2" s="1"/>
  <c r="V10" i="2" s="1"/>
  <c r="R10" i="2"/>
  <c r="U10" i="2"/>
  <c r="Z10" i="2"/>
  <c r="AC10" i="2" s="1"/>
  <c r="AD10" i="2" s="1"/>
  <c r="AB10" i="2"/>
  <c r="AE10" i="2"/>
  <c r="H11" i="2"/>
  <c r="N11" i="2"/>
  <c r="O11" i="2"/>
  <c r="S11" i="2" s="1"/>
  <c r="V11" i="2" s="1"/>
  <c r="R11" i="2"/>
  <c r="U11" i="2"/>
  <c r="Z11" i="2"/>
  <c r="AB11" i="2"/>
  <c r="AC11" i="2"/>
  <c r="AD11" i="2" s="1"/>
  <c r="AE11" i="2"/>
  <c r="H12" i="2"/>
  <c r="N12" i="2" s="1"/>
  <c r="O12" i="2"/>
  <c r="R12" i="2"/>
  <c r="S12" i="2"/>
  <c r="U12" i="2"/>
  <c r="V12" i="2"/>
  <c r="Z12" i="2"/>
  <c r="AB12" i="2"/>
  <c r="AC12" i="2"/>
  <c r="AE12" i="2"/>
  <c r="H13" i="2"/>
  <c r="N13" i="2"/>
  <c r="O13" i="2"/>
  <c r="R13" i="2"/>
  <c r="S13" i="2" s="1"/>
  <c r="V13" i="2" s="1"/>
  <c r="U13" i="2"/>
  <c r="Z13" i="2"/>
  <c r="AB13" i="2"/>
  <c r="AC13" i="2"/>
  <c r="AD13" i="2" s="1"/>
  <c r="AE13" i="2"/>
  <c r="H14" i="2"/>
  <c r="N14" i="2" s="1"/>
  <c r="O14" i="2"/>
  <c r="R14" i="2"/>
  <c r="S14" i="2"/>
  <c r="U14" i="2"/>
  <c r="V14" i="2"/>
  <c r="Z14" i="2"/>
  <c r="AC14" i="2" s="1"/>
  <c r="AD14" i="2" s="1"/>
  <c r="AB14" i="2"/>
  <c r="AE14" i="2"/>
  <c r="H15" i="2"/>
  <c r="N15" i="2"/>
  <c r="O15" i="2"/>
  <c r="S15" i="2" s="1"/>
  <c r="V15" i="2" s="1"/>
  <c r="R15" i="2"/>
  <c r="U15" i="2"/>
  <c r="Z15" i="2"/>
  <c r="AB15" i="2"/>
  <c r="AC15" i="2"/>
  <c r="AD15" i="2" s="1"/>
  <c r="AE15" i="2"/>
  <c r="H16" i="2"/>
  <c r="N16" i="2" s="1"/>
  <c r="O16" i="2"/>
  <c r="R16" i="2"/>
  <c r="S16" i="2"/>
  <c r="V16" i="2" s="1"/>
  <c r="U16" i="2"/>
  <c r="Z16" i="2"/>
  <c r="AB16" i="2"/>
  <c r="AC16" i="2"/>
  <c r="AD16" i="2"/>
  <c r="AE16" i="2"/>
  <c r="F17" i="2"/>
  <c r="F18" i="2" s="1"/>
  <c r="F19" i="2" s="1"/>
  <c r="F20" i="2" s="1"/>
  <c r="H17" i="2"/>
  <c r="N17" i="2" s="1"/>
  <c r="O17" i="2"/>
  <c r="R17" i="2"/>
  <c r="S17" i="2" s="1"/>
  <c r="V17" i="2" s="1"/>
  <c r="U17" i="2"/>
  <c r="Z17" i="2"/>
  <c r="AC17" i="2" s="1"/>
  <c r="AD17" i="2" s="1"/>
  <c r="AB17" i="2"/>
  <c r="AE17" i="2"/>
  <c r="H18" i="2"/>
  <c r="N18" i="2" s="1"/>
  <c r="O18" i="2"/>
  <c r="S18" i="2" s="1"/>
  <c r="V18" i="2" s="1"/>
  <c r="R18" i="2"/>
  <c r="U18" i="2"/>
  <c r="Z18" i="2"/>
  <c r="AC18" i="2" s="1"/>
  <c r="AD18" i="2" s="1"/>
  <c r="AB18" i="2"/>
  <c r="AE18" i="2"/>
  <c r="H19" i="2"/>
  <c r="N19" i="2"/>
  <c r="O19" i="2"/>
  <c r="S19" i="2" s="1"/>
  <c r="V19" i="2" s="1"/>
  <c r="R19" i="2"/>
  <c r="U19" i="2"/>
  <c r="Z19" i="2"/>
  <c r="AB19" i="2"/>
  <c r="AC19" i="2"/>
  <c r="AD19" i="2" s="1"/>
  <c r="AE19" i="2"/>
  <c r="H20" i="2"/>
  <c r="N20" i="2" s="1"/>
  <c r="O20" i="2"/>
  <c r="R20" i="2"/>
  <c r="S20" i="2"/>
  <c r="U20" i="2"/>
  <c r="V20" i="2"/>
  <c r="Z20" i="2"/>
  <c r="AB20" i="2"/>
  <c r="AC20" i="2"/>
  <c r="AE20" i="2"/>
  <c r="F21" i="2"/>
  <c r="F22" i="2" s="1"/>
  <c r="F23" i="2" s="1"/>
  <c r="F24" i="2" s="1"/>
  <c r="H21" i="2"/>
  <c r="N21" i="2"/>
  <c r="O21" i="2"/>
  <c r="R21" i="2"/>
  <c r="S21" i="2" s="1"/>
  <c r="V21" i="2" s="1"/>
  <c r="U21" i="2"/>
  <c r="Z21" i="2"/>
  <c r="AB21" i="2"/>
  <c r="AC21" i="2"/>
  <c r="AD21" i="2" s="1"/>
  <c r="AE21" i="2"/>
  <c r="AG21" i="2"/>
  <c r="AH21" i="2"/>
  <c r="AL21" i="2" s="1"/>
  <c r="AI21" i="2"/>
  <c r="AJ21" i="2" s="1"/>
  <c r="AM21" i="2" s="1"/>
  <c r="AN21" i="2" s="1"/>
  <c r="AO21" i="2"/>
  <c r="H22" i="2"/>
  <c r="N22" i="2" s="1"/>
  <c r="O22" i="2"/>
  <c r="S22" i="2" s="1"/>
  <c r="V22" i="2" s="1"/>
  <c r="R22" i="2"/>
  <c r="U22" i="2"/>
  <c r="Z22" i="2"/>
  <c r="AB22" i="2"/>
  <c r="AC22" i="2"/>
  <c r="AD22" i="2"/>
  <c r="AE22" i="2"/>
  <c r="AG22" i="2"/>
  <c r="AH22" i="2"/>
  <c r="AI22" i="2"/>
  <c r="AJ22" i="2" s="1"/>
  <c r="AL22" i="2"/>
  <c r="H23" i="2"/>
  <c r="N23" i="2"/>
  <c r="O23" i="2"/>
  <c r="S23" i="2" s="1"/>
  <c r="V23" i="2" s="1"/>
  <c r="R23" i="2"/>
  <c r="U23" i="2"/>
  <c r="Z23" i="2"/>
  <c r="AB23" i="2"/>
  <c r="AC23" i="2"/>
  <c r="AD23" i="2" s="1"/>
  <c r="AE23" i="2"/>
  <c r="AG23" i="2"/>
  <c r="AH23" i="2"/>
  <c r="AL23" i="2" s="1"/>
  <c r="AI23" i="2"/>
  <c r="AJ23" i="2" s="1"/>
  <c r="AM23" i="2" s="1"/>
  <c r="AN23" i="2" s="1"/>
  <c r="AO23" i="2"/>
  <c r="H24" i="2"/>
  <c r="N24" i="2" s="1"/>
  <c r="O24" i="2"/>
  <c r="R24" i="2"/>
  <c r="S24" i="2"/>
  <c r="V24" i="2" s="1"/>
  <c r="U24" i="2"/>
  <c r="Z24" i="2"/>
  <c r="AC24" i="2" s="1"/>
  <c r="AD24" i="2" s="1"/>
  <c r="AB24" i="2"/>
  <c r="AE24" i="2"/>
  <c r="F25" i="2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H25" i="2"/>
  <c r="N25" i="2"/>
  <c r="O25" i="2"/>
  <c r="S25" i="2" s="1"/>
  <c r="V25" i="2" s="1"/>
  <c r="R25" i="2"/>
  <c r="U25" i="2"/>
  <c r="Z25" i="2"/>
  <c r="AB25" i="2"/>
  <c r="AC25" i="2"/>
  <c r="AD25" i="2" s="1"/>
  <c r="AE25" i="2"/>
  <c r="H26" i="2"/>
  <c r="N26" i="2" s="1"/>
  <c r="O26" i="2"/>
  <c r="R26" i="2"/>
  <c r="S26" i="2"/>
  <c r="V26" i="2" s="1"/>
  <c r="U26" i="2"/>
  <c r="Z26" i="2"/>
  <c r="AB26" i="2"/>
  <c r="AC26" i="2"/>
  <c r="AD26" i="2"/>
  <c r="AE26" i="2"/>
  <c r="H27" i="2"/>
  <c r="N27" i="2" s="1"/>
  <c r="O27" i="2"/>
  <c r="R27" i="2"/>
  <c r="S27" i="2" s="1"/>
  <c r="V27" i="2" s="1"/>
  <c r="U27" i="2"/>
  <c r="Z27" i="2"/>
  <c r="AC27" i="2" s="1"/>
  <c r="AD27" i="2" s="1"/>
  <c r="AB27" i="2"/>
  <c r="AE27" i="2"/>
  <c r="H28" i="2"/>
  <c r="N28" i="2" s="1"/>
  <c r="O28" i="2"/>
  <c r="S28" i="2" s="1"/>
  <c r="V28" i="2" s="1"/>
  <c r="R28" i="2"/>
  <c r="U28" i="2"/>
  <c r="Z28" i="2"/>
  <c r="AC28" i="2" s="1"/>
  <c r="AD28" i="2" s="1"/>
  <c r="AB28" i="2"/>
  <c r="AE28" i="2"/>
  <c r="H29" i="2"/>
  <c r="N29" i="2"/>
  <c r="O29" i="2"/>
  <c r="R29" i="2"/>
  <c r="U29" i="2"/>
  <c r="Z29" i="2"/>
  <c r="AB29" i="2"/>
  <c r="AC29" i="2"/>
  <c r="AD29" i="2" s="1"/>
  <c r="AE29" i="2"/>
  <c r="H30" i="2"/>
  <c r="N30" i="2" s="1"/>
  <c r="O30" i="2"/>
  <c r="R30" i="2"/>
  <c r="S30" i="2"/>
  <c r="U30" i="2"/>
  <c r="V30" i="2"/>
  <c r="Z30" i="2"/>
  <c r="AB30" i="2"/>
  <c r="AC30" i="2"/>
  <c r="AD30" i="2" s="1"/>
  <c r="AE30" i="2"/>
  <c r="H31" i="2"/>
  <c r="N31" i="2"/>
  <c r="O31" i="2"/>
  <c r="R31" i="2"/>
  <c r="S31" i="2" s="1"/>
  <c r="V31" i="2" s="1"/>
  <c r="U31" i="2"/>
  <c r="Z31" i="2"/>
  <c r="AB31" i="2"/>
  <c r="AC31" i="2"/>
  <c r="AD31" i="2" s="1"/>
  <c r="AE31" i="2"/>
  <c r="H32" i="2"/>
  <c r="N32" i="2" s="1"/>
  <c r="O32" i="2"/>
  <c r="R32" i="2"/>
  <c r="S32" i="2"/>
  <c r="U32" i="2"/>
  <c r="V32" i="2"/>
  <c r="Z32" i="2"/>
  <c r="AC32" i="2" s="1"/>
  <c r="AD32" i="2" s="1"/>
  <c r="AB32" i="2"/>
  <c r="AE32" i="2"/>
  <c r="H33" i="2"/>
  <c r="N33" i="2"/>
  <c r="O33" i="2"/>
  <c r="S33" i="2" s="1"/>
  <c r="V33" i="2" s="1"/>
  <c r="R33" i="2"/>
  <c r="U33" i="2"/>
  <c r="Z33" i="2"/>
  <c r="AB33" i="2"/>
  <c r="AC33" i="2"/>
  <c r="AD33" i="2" s="1"/>
  <c r="AE33" i="2"/>
  <c r="H34" i="2"/>
  <c r="N34" i="2" s="1"/>
  <c r="O34" i="2"/>
  <c r="R34" i="2"/>
  <c r="S34" i="2"/>
  <c r="V34" i="2" s="1"/>
  <c r="U34" i="2"/>
  <c r="Z34" i="2"/>
  <c r="AB34" i="2"/>
  <c r="AC34" i="2"/>
  <c r="AD34" i="2"/>
  <c r="AE34" i="2"/>
  <c r="H35" i="2"/>
  <c r="N35" i="2" s="1"/>
  <c r="O35" i="2"/>
  <c r="R35" i="2"/>
  <c r="S35" i="2" s="1"/>
  <c r="V35" i="2" s="1"/>
  <c r="U35" i="2"/>
  <c r="Z35" i="2"/>
  <c r="AC35" i="2" s="1"/>
  <c r="AD35" i="2" s="1"/>
  <c r="AB35" i="2"/>
  <c r="AE35" i="2"/>
  <c r="H36" i="2"/>
  <c r="N36" i="2" s="1"/>
  <c r="O36" i="2"/>
  <c r="S36" i="2" s="1"/>
  <c r="R36" i="2"/>
  <c r="U36" i="2"/>
  <c r="V36" i="2"/>
  <c r="Z36" i="2"/>
  <c r="AC36" i="2" s="1"/>
  <c r="AD36" i="2" s="1"/>
  <c r="AB36" i="2"/>
  <c r="AE36" i="2"/>
  <c r="H37" i="2"/>
  <c r="N37" i="2"/>
  <c r="O37" i="2"/>
  <c r="R37" i="2"/>
  <c r="U37" i="2"/>
  <c r="Z37" i="2"/>
  <c r="AB37" i="2"/>
  <c r="AC37" i="2"/>
  <c r="AD37" i="2" s="1"/>
  <c r="AE37" i="2"/>
  <c r="F496" i="2"/>
  <c r="H496" i="2"/>
  <c r="N496" i="2" s="1"/>
  <c r="O496" i="2"/>
  <c r="R496" i="2"/>
  <c r="S496" i="2"/>
  <c r="U496" i="2"/>
  <c r="Z496" i="2"/>
  <c r="AC496" i="2" s="1"/>
  <c r="AD496" i="2" s="1"/>
  <c r="AB496" i="2"/>
  <c r="AG496" i="2"/>
  <c r="AM496" i="2" s="1"/>
  <c r="AH496" i="2"/>
  <c r="AI496" i="2"/>
  <c r="AJ496" i="2" s="1"/>
  <c r="AN496" i="2"/>
  <c r="AP496" i="2" s="1"/>
  <c r="AO496" i="2"/>
  <c r="F497" i="2"/>
  <c r="H497" i="2"/>
  <c r="N497" i="2"/>
  <c r="O497" i="2"/>
  <c r="R497" i="2"/>
  <c r="S497" i="2" s="1"/>
  <c r="U497" i="2"/>
  <c r="Z497" i="2"/>
  <c r="AB497" i="2"/>
  <c r="AC497" i="2"/>
  <c r="AD497" i="2"/>
  <c r="AG497" i="2"/>
  <c r="AH497" i="2"/>
  <c r="AO497" i="2" s="1"/>
  <c r="AI497" i="2"/>
  <c r="AJ497" i="2" s="1"/>
  <c r="AM497" i="2"/>
  <c r="AN497" i="2" s="1"/>
  <c r="F498" i="2"/>
  <c r="F499" i="2" s="1"/>
  <c r="F500" i="2" s="1"/>
  <c r="F501" i="2" s="1"/>
  <c r="F502" i="2" s="1"/>
  <c r="F503" i="2" s="1"/>
  <c r="F504" i="2" s="1"/>
  <c r="F505" i="2" s="1"/>
  <c r="F506" i="2" s="1"/>
  <c r="F507" i="2" s="1"/>
  <c r="F508" i="2" s="1"/>
  <c r="F509" i="2" s="1"/>
  <c r="F510" i="2" s="1"/>
  <c r="F511" i="2" s="1"/>
  <c r="F512" i="2" s="1"/>
  <c r="F513" i="2" s="1"/>
  <c r="F514" i="2" s="1"/>
  <c r="F515" i="2" s="1"/>
  <c r="F516" i="2" s="1"/>
  <c r="F517" i="2" s="1"/>
  <c r="F518" i="2" s="1"/>
  <c r="F519" i="2" s="1"/>
  <c r="F520" i="2" s="1"/>
  <c r="F521" i="2" s="1"/>
  <c r="F522" i="2" s="1"/>
  <c r="F523" i="2" s="1"/>
  <c r="F524" i="2" s="1"/>
  <c r="F525" i="2" s="1"/>
  <c r="F526" i="2" s="1"/>
  <c r="F527" i="2" s="1"/>
  <c r="F528" i="2" s="1"/>
  <c r="F529" i="2" s="1"/>
  <c r="F530" i="2" s="1"/>
  <c r="F531" i="2" s="1"/>
  <c r="F532" i="2" s="1"/>
  <c r="F533" i="2" s="1"/>
  <c r="F534" i="2" s="1"/>
  <c r="F535" i="2" s="1"/>
  <c r="H498" i="2"/>
  <c r="N498" i="2" s="1"/>
  <c r="O498" i="2"/>
  <c r="S498" i="2" s="1"/>
  <c r="R498" i="2"/>
  <c r="U498" i="2"/>
  <c r="Z498" i="2"/>
  <c r="AC498" i="2" s="1"/>
  <c r="AD498" i="2" s="1"/>
  <c r="AB498" i="2"/>
  <c r="AG498" i="2"/>
  <c r="AM498" i="2" s="1"/>
  <c r="AN498" i="2" s="1"/>
  <c r="AP498" i="2" s="1"/>
  <c r="AQ498" i="2" s="1"/>
  <c r="AH498" i="2"/>
  <c r="AO498" i="2" s="1"/>
  <c r="AI498" i="2"/>
  <c r="AJ498" i="2" s="1"/>
  <c r="AL498" i="2"/>
  <c r="H499" i="2"/>
  <c r="N499" i="2"/>
  <c r="O499" i="2"/>
  <c r="S499" i="2" s="1"/>
  <c r="R499" i="2"/>
  <c r="U499" i="2"/>
  <c r="Z499" i="2"/>
  <c r="AC499" i="2" s="1"/>
  <c r="AB499" i="2"/>
  <c r="AD499" i="2" s="1"/>
  <c r="AG499" i="2"/>
  <c r="AH499" i="2"/>
  <c r="AL499" i="2" s="1"/>
  <c r="AI499" i="2"/>
  <c r="AJ499" i="2"/>
  <c r="AM499" i="2"/>
  <c r="AN499" i="2" s="1"/>
  <c r="AO499" i="2"/>
  <c r="AP499" i="2"/>
  <c r="AQ499" i="2" s="1"/>
  <c r="H500" i="2"/>
  <c r="N500" i="2" s="1"/>
  <c r="O500" i="2"/>
  <c r="R500" i="2"/>
  <c r="S500" i="2"/>
  <c r="U500" i="2"/>
  <c r="Z500" i="2"/>
  <c r="AB500" i="2"/>
  <c r="AC500" i="2"/>
  <c r="AD500" i="2" s="1"/>
  <c r="H501" i="2"/>
  <c r="N501" i="2"/>
  <c r="O501" i="2"/>
  <c r="S501" i="2" s="1"/>
  <c r="R501" i="2"/>
  <c r="U501" i="2"/>
  <c r="Z501" i="2"/>
  <c r="AC501" i="2" s="1"/>
  <c r="AB501" i="2"/>
  <c r="AD501" i="2" s="1"/>
  <c r="H502" i="2"/>
  <c r="N502" i="2" s="1"/>
  <c r="O502" i="2"/>
  <c r="S502" i="2" s="1"/>
  <c r="R502" i="2"/>
  <c r="U502" i="2"/>
  <c r="Z502" i="2"/>
  <c r="AC502" i="2" s="1"/>
  <c r="AD502" i="2" s="1"/>
  <c r="AB502" i="2"/>
  <c r="H503" i="2"/>
  <c r="N503" i="2"/>
  <c r="O503" i="2"/>
  <c r="R503" i="2"/>
  <c r="S503" i="2" s="1"/>
  <c r="U503" i="2"/>
  <c r="Z503" i="2"/>
  <c r="AB503" i="2"/>
  <c r="AC503" i="2"/>
  <c r="AD503" i="2"/>
  <c r="H504" i="2"/>
  <c r="N504" i="2"/>
  <c r="O504" i="2"/>
  <c r="R504" i="2"/>
  <c r="S504" i="2"/>
  <c r="U504" i="2"/>
  <c r="Z504" i="2"/>
  <c r="AB504" i="2"/>
  <c r="AC504" i="2"/>
  <c r="AD504" i="2"/>
  <c r="H505" i="2"/>
  <c r="N505" i="2"/>
  <c r="O505" i="2"/>
  <c r="R505" i="2"/>
  <c r="U505" i="2"/>
  <c r="Z505" i="2"/>
  <c r="AC505" i="2" s="1"/>
  <c r="AD505" i="2" s="1"/>
  <c r="AB505" i="2"/>
  <c r="H506" i="2"/>
  <c r="N506" i="2" s="1"/>
  <c r="O506" i="2"/>
  <c r="R506" i="2"/>
  <c r="S506" i="2"/>
  <c r="U506" i="2"/>
  <c r="Z506" i="2"/>
  <c r="AC506" i="2" s="1"/>
  <c r="AD506" i="2" s="1"/>
  <c r="AB506" i="2"/>
  <c r="H507" i="2"/>
  <c r="N507" i="2" s="1"/>
  <c r="O507" i="2"/>
  <c r="R507" i="2"/>
  <c r="S507" i="2" s="1"/>
  <c r="U507" i="2"/>
  <c r="Z507" i="2"/>
  <c r="AB507" i="2"/>
  <c r="AC507" i="2"/>
  <c r="AD507" i="2" s="1"/>
  <c r="H508" i="2"/>
  <c r="N508" i="2" s="1"/>
  <c r="O508" i="2"/>
  <c r="R508" i="2"/>
  <c r="S508" i="2"/>
  <c r="U508" i="2"/>
  <c r="Z508" i="2"/>
  <c r="AB508" i="2"/>
  <c r="AC508" i="2"/>
  <c r="AD508" i="2" s="1"/>
  <c r="H509" i="2"/>
  <c r="N509" i="2"/>
  <c r="O509" i="2"/>
  <c r="S509" i="2" s="1"/>
  <c r="R509" i="2"/>
  <c r="U509" i="2"/>
  <c r="Z509" i="2"/>
  <c r="AC509" i="2" s="1"/>
  <c r="AD509" i="2" s="1"/>
  <c r="AB509" i="2"/>
  <c r="H510" i="2"/>
  <c r="N510" i="2" s="1"/>
  <c r="O510" i="2"/>
  <c r="S510" i="2" s="1"/>
  <c r="R510" i="2"/>
  <c r="U510" i="2"/>
  <c r="Z510" i="2"/>
  <c r="AC510" i="2" s="1"/>
  <c r="AD510" i="2" s="1"/>
  <c r="AB510" i="2"/>
  <c r="H511" i="2"/>
  <c r="N511" i="2"/>
  <c r="O511" i="2"/>
  <c r="R511" i="2"/>
  <c r="S511" i="2" s="1"/>
  <c r="U511" i="2"/>
  <c r="Z511" i="2"/>
  <c r="AB511" i="2"/>
  <c r="AD511" i="2" s="1"/>
  <c r="AC511" i="2"/>
  <c r="H512" i="2"/>
  <c r="N512" i="2"/>
  <c r="O512" i="2"/>
  <c r="S512" i="2" s="1"/>
  <c r="R512" i="2"/>
  <c r="U512" i="2"/>
  <c r="Z512" i="2"/>
  <c r="AC512" i="2" s="1"/>
  <c r="AD512" i="2" s="1"/>
  <c r="AB512" i="2"/>
  <c r="H513" i="2"/>
  <c r="N513" i="2"/>
  <c r="O513" i="2"/>
  <c r="S513" i="2" s="1"/>
  <c r="R513" i="2"/>
  <c r="U513" i="2"/>
  <c r="Z513" i="2"/>
  <c r="AC513" i="2" s="1"/>
  <c r="AB513" i="2"/>
  <c r="AD513" i="2" s="1"/>
  <c r="H514" i="2"/>
  <c r="N514" i="2" s="1"/>
  <c r="O514" i="2"/>
  <c r="R514" i="2"/>
  <c r="S514" i="2" s="1"/>
  <c r="U514" i="2"/>
  <c r="Z514" i="2"/>
  <c r="AB514" i="2"/>
  <c r="AC514" i="2"/>
  <c r="AD514" i="2" s="1"/>
  <c r="AG514" i="2"/>
  <c r="AH514" i="2"/>
  <c r="AO514" i="2" s="1"/>
  <c r="AI514" i="2"/>
  <c r="AJ514" i="2" s="1"/>
  <c r="AL514" i="2"/>
  <c r="H515" i="2"/>
  <c r="N515" i="2"/>
  <c r="O515" i="2"/>
  <c r="S515" i="2" s="1"/>
  <c r="R515" i="2"/>
  <c r="U515" i="2"/>
  <c r="Z515" i="2"/>
  <c r="AC515" i="2" s="1"/>
  <c r="AB515" i="2"/>
  <c r="AD515" i="2" s="1"/>
  <c r="AG515" i="2"/>
  <c r="AH515" i="2"/>
  <c r="AI515" i="2"/>
  <c r="AJ515" i="2"/>
  <c r="AM515" i="2" s="1"/>
  <c r="AN515" i="2" s="1"/>
  <c r="AP515" i="2" s="1"/>
  <c r="AQ515" i="2" s="1"/>
  <c r="AL515" i="2"/>
  <c r="AO515" i="2"/>
  <c r="H516" i="2"/>
  <c r="N516" i="2"/>
  <c r="O516" i="2"/>
  <c r="S516" i="2" s="1"/>
  <c r="R516" i="2"/>
  <c r="U516" i="2"/>
  <c r="Z516" i="2"/>
  <c r="AC516" i="2" s="1"/>
  <c r="AD516" i="2" s="1"/>
  <c r="AB516" i="2"/>
  <c r="AG516" i="2"/>
  <c r="AM516" i="2" s="1"/>
  <c r="AH516" i="2"/>
  <c r="AI516" i="2"/>
  <c r="AJ516" i="2" s="1"/>
  <c r="AL516" i="2"/>
  <c r="AN516" i="2"/>
  <c r="H517" i="2"/>
  <c r="AL517" i="2" s="1"/>
  <c r="N517" i="2"/>
  <c r="O517" i="2"/>
  <c r="R517" i="2"/>
  <c r="S517" i="2"/>
  <c r="U517" i="2"/>
  <c r="Z517" i="2"/>
  <c r="AB517" i="2"/>
  <c r="AC517" i="2"/>
  <c r="AD517" i="2"/>
  <c r="AG517" i="2"/>
  <c r="AH517" i="2"/>
  <c r="AI517" i="2"/>
  <c r="AJ517" i="2" s="1"/>
  <c r="AM517" i="2" s="1"/>
  <c r="AN517" i="2" s="1"/>
  <c r="AP517" i="2" s="1"/>
  <c r="AQ517" i="2" s="1"/>
  <c r="AO517" i="2"/>
  <c r="H518" i="2"/>
  <c r="N518" i="2" s="1"/>
  <c r="O518" i="2"/>
  <c r="R518" i="2"/>
  <c r="S518" i="2"/>
  <c r="U518" i="2"/>
  <c r="Z518" i="2"/>
  <c r="AB518" i="2"/>
  <c r="AC518" i="2"/>
  <c r="AG518" i="2"/>
  <c r="AM518" i="2" s="1"/>
  <c r="AN518" i="2" s="1"/>
  <c r="AH518" i="2"/>
  <c r="AI518" i="2"/>
  <c r="AJ518" i="2" s="1"/>
  <c r="H519" i="2"/>
  <c r="N519" i="2"/>
  <c r="O519" i="2"/>
  <c r="S519" i="2" s="1"/>
  <c r="R519" i="2"/>
  <c r="U519" i="2"/>
  <c r="Z519" i="2"/>
  <c r="AC519" i="2" s="1"/>
  <c r="AB519" i="2"/>
  <c r="AD519" i="2" s="1"/>
  <c r="AG519" i="2"/>
  <c r="AM519" i="2" s="1"/>
  <c r="AN519" i="2" s="1"/>
  <c r="AH519" i="2"/>
  <c r="AL519" i="2" s="1"/>
  <c r="AI519" i="2"/>
  <c r="AJ519" i="2"/>
  <c r="H520" i="2"/>
  <c r="N520" i="2" s="1"/>
  <c r="O520" i="2"/>
  <c r="R520" i="2"/>
  <c r="S520" i="2"/>
  <c r="U520" i="2"/>
  <c r="Z520" i="2"/>
  <c r="AB520" i="2"/>
  <c r="AC520" i="2"/>
  <c r="AD520" i="2" s="1"/>
  <c r="AG520" i="2"/>
  <c r="AH520" i="2"/>
  <c r="AI520" i="2"/>
  <c r="AJ520" i="2" s="1"/>
  <c r="H521" i="2"/>
  <c r="N521" i="2" s="1"/>
  <c r="O521" i="2"/>
  <c r="R521" i="2"/>
  <c r="S521" i="2" s="1"/>
  <c r="U521" i="2"/>
  <c r="Z521" i="2"/>
  <c r="AB521" i="2"/>
  <c r="AC521" i="2"/>
  <c r="AD521" i="2" s="1"/>
  <c r="AG521" i="2"/>
  <c r="AH521" i="2"/>
  <c r="AO521" i="2" s="1"/>
  <c r="AI521" i="2"/>
  <c r="AJ521" i="2"/>
  <c r="AM521" i="2"/>
  <c r="AN521" i="2"/>
  <c r="H522" i="2"/>
  <c r="N522" i="2" s="1"/>
  <c r="O522" i="2"/>
  <c r="S522" i="2" s="1"/>
  <c r="R522" i="2"/>
  <c r="U522" i="2"/>
  <c r="Z522" i="2"/>
  <c r="AC522" i="2" s="1"/>
  <c r="AD522" i="2" s="1"/>
  <c r="AB522" i="2"/>
  <c r="AG522" i="2"/>
  <c r="AH522" i="2"/>
  <c r="AO522" i="2" s="1"/>
  <c r="AI522" i="2"/>
  <c r="AJ522" i="2" s="1"/>
  <c r="H523" i="2"/>
  <c r="N523" i="2"/>
  <c r="O523" i="2"/>
  <c r="S523" i="2" s="1"/>
  <c r="R523" i="2"/>
  <c r="U523" i="2"/>
  <c r="Z523" i="2"/>
  <c r="AC523" i="2" s="1"/>
  <c r="AD523" i="2" s="1"/>
  <c r="AB523" i="2"/>
  <c r="AG523" i="2"/>
  <c r="AH523" i="2"/>
  <c r="AL523" i="2" s="1"/>
  <c r="AI523" i="2"/>
  <c r="AJ523" i="2"/>
  <c r="AM523" i="2"/>
  <c r="AN523" i="2" s="1"/>
  <c r="H524" i="2"/>
  <c r="N524" i="2"/>
  <c r="O524" i="2"/>
  <c r="S524" i="2" s="1"/>
  <c r="R524" i="2"/>
  <c r="U524" i="2"/>
  <c r="Z524" i="2"/>
  <c r="AC524" i="2" s="1"/>
  <c r="AD524" i="2" s="1"/>
  <c r="AB524" i="2"/>
  <c r="AG524" i="2"/>
  <c r="AM524" i="2" s="1"/>
  <c r="AH524" i="2"/>
  <c r="AI524" i="2"/>
  <c r="AJ524" i="2" s="1"/>
  <c r="AL524" i="2"/>
  <c r="AN524" i="2"/>
  <c r="AP524" i="2" s="1"/>
  <c r="AQ524" i="2" s="1"/>
  <c r="AO524" i="2"/>
  <c r="H525" i="2"/>
  <c r="N525" i="2"/>
  <c r="O525" i="2"/>
  <c r="R525" i="2"/>
  <c r="S525" i="2" s="1"/>
  <c r="U525" i="2"/>
  <c r="Z525" i="2"/>
  <c r="AB525" i="2"/>
  <c r="AD525" i="2" s="1"/>
  <c r="AC525" i="2"/>
  <c r="H526" i="2"/>
  <c r="N526" i="2"/>
  <c r="O526" i="2"/>
  <c r="S526" i="2" s="1"/>
  <c r="R526" i="2"/>
  <c r="U526" i="2"/>
  <c r="Z526" i="2"/>
  <c r="AC526" i="2" s="1"/>
  <c r="AD526" i="2" s="1"/>
  <c r="AB526" i="2"/>
  <c r="H527" i="2"/>
  <c r="N527" i="2"/>
  <c r="O527" i="2"/>
  <c r="S527" i="2" s="1"/>
  <c r="R527" i="2"/>
  <c r="U527" i="2"/>
  <c r="Z527" i="2"/>
  <c r="AC527" i="2" s="1"/>
  <c r="AB527" i="2"/>
  <c r="AD527" i="2" s="1"/>
  <c r="H528" i="2"/>
  <c r="N528" i="2" s="1"/>
  <c r="O528" i="2"/>
  <c r="R528" i="2"/>
  <c r="S528" i="2" s="1"/>
  <c r="U528" i="2"/>
  <c r="Z528" i="2"/>
  <c r="AB528" i="2"/>
  <c r="AC528" i="2"/>
  <c r="AD528" i="2" s="1"/>
  <c r="H529" i="2"/>
  <c r="N529" i="2"/>
  <c r="O529" i="2"/>
  <c r="R529" i="2"/>
  <c r="S529" i="2" s="1"/>
  <c r="U529" i="2"/>
  <c r="Z529" i="2"/>
  <c r="AB529" i="2"/>
  <c r="AC529" i="2"/>
  <c r="AD529" i="2" s="1"/>
  <c r="H530" i="2"/>
  <c r="N530" i="2" s="1"/>
  <c r="O530" i="2"/>
  <c r="S530" i="2" s="1"/>
  <c r="R530" i="2"/>
  <c r="U530" i="2"/>
  <c r="Z530" i="2"/>
  <c r="AC530" i="2" s="1"/>
  <c r="AD530" i="2" s="1"/>
  <c r="AB530" i="2"/>
  <c r="H531" i="2"/>
  <c r="N531" i="2"/>
  <c r="O531" i="2"/>
  <c r="R531" i="2"/>
  <c r="U531" i="2"/>
  <c r="Z531" i="2"/>
  <c r="AC531" i="2" s="1"/>
  <c r="AB531" i="2"/>
  <c r="AD531" i="2"/>
  <c r="H532" i="2"/>
  <c r="N532" i="2" s="1"/>
  <c r="O532" i="2"/>
  <c r="R532" i="2"/>
  <c r="S532" i="2"/>
  <c r="U532" i="2"/>
  <c r="Z532" i="2"/>
  <c r="AB532" i="2"/>
  <c r="AC532" i="2"/>
  <c r="H533" i="2"/>
  <c r="N533" i="2"/>
  <c r="O533" i="2"/>
  <c r="R533" i="2"/>
  <c r="S533" i="2" s="1"/>
  <c r="U533" i="2"/>
  <c r="Z533" i="2"/>
  <c r="AB533" i="2"/>
  <c r="AC533" i="2"/>
  <c r="AD533" i="2"/>
  <c r="H534" i="2"/>
  <c r="N534" i="2" s="1"/>
  <c r="O534" i="2"/>
  <c r="R534" i="2"/>
  <c r="S534" i="2"/>
  <c r="U534" i="2"/>
  <c r="Z534" i="2"/>
  <c r="AB534" i="2"/>
  <c r="AC534" i="2"/>
  <c r="AD534" i="2" s="1"/>
  <c r="H535" i="2"/>
  <c r="N535" i="2"/>
  <c r="O535" i="2"/>
  <c r="R535" i="2"/>
  <c r="U535" i="2"/>
  <c r="Z535" i="2"/>
  <c r="AC535" i="2" s="1"/>
  <c r="AD535" i="2" s="1"/>
  <c r="AB535" i="2"/>
  <c r="F536" i="2"/>
  <c r="H536" i="2"/>
  <c r="N536" i="2" s="1"/>
  <c r="O536" i="2"/>
  <c r="R536" i="2"/>
  <c r="S536" i="2"/>
  <c r="U536" i="2"/>
  <c r="Z536" i="2"/>
  <c r="AB536" i="2"/>
  <c r="AC536" i="2"/>
  <c r="AD536" i="2" s="1"/>
  <c r="AG536" i="2"/>
  <c r="AM536" i="2" s="1"/>
  <c r="AH536" i="2"/>
  <c r="AI536" i="2"/>
  <c r="AJ536" i="2" s="1"/>
  <c r="AL536" i="2"/>
  <c r="AN536" i="2"/>
  <c r="F537" i="2"/>
  <c r="F538" i="2" s="1"/>
  <c r="F539" i="2" s="1"/>
  <c r="F540" i="2" s="1"/>
  <c r="F541" i="2" s="1"/>
  <c r="F542" i="2" s="1"/>
  <c r="F543" i="2" s="1"/>
  <c r="F544" i="2" s="1"/>
  <c r="F545" i="2" s="1"/>
  <c r="F546" i="2" s="1"/>
  <c r="F547" i="2" s="1"/>
  <c r="F548" i="2" s="1"/>
  <c r="F549" i="2" s="1"/>
  <c r="F550" i="2" s="1"/>
  <c r="F551" i="2" s="1"/>
  <c r="F552" i="2" s="1"/>
  <c r="F553" i="2" s="1"/>
  <c r="F554" i="2" s="1"/>
  <c r="H537" i="2"/>
  <c r="N537" i="2"/>
  <c r="O537" i="2"/>
  <c r="R537" i="2"/>
  <c r="U537" i="2"/>
  <c r="Z537" i="2"/>
  <c r="AC537" i="2" s="1"/>
  <c r="AB537" i="2"/>
  <c r="AD537" i="2"/>
  <c r="AG537" i="2"/>
  <c r="AH537" i="2"/>
  <c r="AI537" i="2"/>
  <c r="AJ537" i="2"/>
  <c r="AM537" i="2" s="1"/>
  <c r="AN537" i="2" s="1"/>
  <c r="AP537" i="2" s="1"/>
  <c r="AQ537" i="2" s="1"/>
  <c r="AL537" i="2"/>
  <c r="AO537" i="2"/>
  <c r="H538" i="2"/>
  <c r="AL538" i="2" s="1"/>
  <c r="O538" i="2"/>
  <c r="R538" i="2"/>
  <c r="S538" i="2"/>
  <c r="U538" i="2"/>
  <c r="Z538" i="2"/>
  <c r="AB538" i="2"/>
  <c r="AC538" i="2"/>
  <c r="AD538" i="2" s="1"/>
  <c r="AG538" i="2"/>
  <c r="AH538" i="2"/>
  <c r="AI538" i="2"/>
  <c r="AJ538" i="2" s="1"/>
  <c r="AO538" i="2"/>
  <c r="H539" i="2"/>
  <c r="AL539" i="2" s="1"/>
  <c r="O539" i="2"/>
  <c r="R539" i="2"/>
  <c r="S539" i="2"/>
  <c r="U539" i="2"/>
  <c r="Z539" i="2"/>
  <c r="AB539" i="2"/>
  <c r="AC539" i="2"/>
  <c r="AD539" i="2" s="1"/>
  <c r="AG539" i="2"/>
  <c r="AH539" i="2"/>
  <c r="AI539" i="2"/>
  <c r="AJ539" i="2" s="1"/>
  <c r="AM539" i="2" s="1"/>
  <c r="AN539" i="2" s="1"/>
  <c r="AP539" i="2" s="1"/>
  <c r="AQ539" i="2" s="1"/>
  <c r="AO539" i="2"/>
  <c r="H540" i="2"/>
  <c r="N540" i="2" s="1"/>
  <c r="O540" i="2"/>
  <c r="S540" i="2" s="1"/>
  <c r="R540" i="2"/>
  <c r="U540" i="2"/>
  <c r="Z540" i="2"/>
  <c r="AC540" i="2" s="1"/>
  <c r="AD540" i="2" s="1"/>
  <c r="AB540" i="2"/>
  <c r="AG540" i="2"/>
  <c r="AH540" i="2"/>
  <c r="AO540" i="2" s="1"/>
  <c r="AI540" i="2"/>
  <c r="AJ540" i="2" s="1"/>
  <c r="AM540" i="2" s="1"/>
  <c r="AN540" i="2" s="1"/>
  <c r="AP540" i="2" s="1"/>
  <c r="H541" i="2"/>
  <c r="N541" i="2"/>
  <c r="O541" i="2"/>
  <c r="R541" i="2"/>
  <c r="U541" i="2"/>
  <c r="Z541" i="2"/>
  <c r="AC541" i="2" s="1"/>
  <c r="AD541" i="2" s="1"/>
  <c r="AB541" i="2"/>
  <c r="AG541" i="2"/>
  <c r="AO541" i="2" s="1"/>
  <c r="AH541" i="2"/>
  <c r="AI541" i="2"/>
  <c r="AJ541" i="2"/>
  <c r="AL541" i="2"/>
  <c r="H542" i="2"/>
  <c r="N542" i="2" s="1"/>
  <c r="O542" i="2"/>
  <c r="R542" i="2"/>
  <c r="S542" i="2"/>
  <c r="U542" i="2"/>
  <c r="Z542" i="2"/>
  <c r="AB542" i="2"/>
  <c r="AC542" i="2"/>
  <c r="AD542" i="2" s="1"/>
  <c r="H543" i="2"/>
  <c r="N543" i="2"/>
  <c r="O543" i="2"/>
  <c r="S543" i="2" s="1"/>
  <c r="R543" i="2"/>
  <c r="U543" i="2"/>
  <c r="Z543" i="2"/>
  <c r="AC543" i="2" s="1"/>
  <c r="AD543" i="2" s="1"/>
  <c r="AB543" i="2"/>
  <c r="H544" i="2"/>
  <c r="N544" i="2" s="1"/>
  <c r="O544" i="2"/>
  <c r="R544" i="2"/>
  <c r="S544" i="2"/>
  <c r="U544" i="2"/>
  <c r="Z544" i="2"/>
  <c r="AB544" i="2"/>
  <c r="AC544" i="2"/>
  <c r="AD544" i="2" s="1"/>
  <c r="H545" i="2"/>
  <c r="N545" i="2" s="1"/>
  <c r="O545" i="2"/>
  <c r="R545" i="2"/>
  <c r="S545" i="2" s="1"/>
  <c r="U545" i="2"/>
  <c r="Z545" i="2"/>
  <c r="AB545" i="2"/>
  <c r="AC545" i="2"/>
  <c r="AD545" i="2" s="1"/>
  <c r="H546" i="2"/>
  <c r="N546" i="2" s="1"/>
  <c r="O546" i="2"/>
  <c r="R546" i="2"/>
  <c r="S546" i="2"/>
  <c r="U546" i="2"/>
  <c r="Z546" i="2"/>
  <c r="AB546" i="2"/>
  <c r="AC546" i="2"/>
  <c r="AD546" i="2" s="1"/>
  <c r="H547" i="2"/>
  <c r="N547" i="2"/>
  <c r="O547" i="2"/>
  <c r="S547" i="2" s="1"/>
  <c r="R547" i="2"/>
  <c r="U547" i="2"/>
  <c r="Z547" i="2"/>
  <c r="AC547" i="2" s="1"/>
  <c r="AD547" i="2" s="1"/>
  <c r="AB547" i="2"/>
  <c r="H548" i="2"/>
  <c r="N548" i="2" s="1"/>
  <c r="O548" i="2"/>
  <c r="S548" i="2" s="1"/>
  <c r="R548" i="2"/>
  <c r="U548" i="2"/>
  <c r="Z548" i="2"/>
  <c r="AC548" i="2" s="1"/>
  <c r="AD548" i="2" s="1"/>
  <c r="AB548" i="2"/>
  <c r="H549" i="2"/>
  <c r="N549" i="2" s="1"/>
  <c r="O549" i="2"/>
  <c r="R549" i="2"/>
  <c r="S549" i="2" s="1"/>
  <c r="U549" i="2"/>
  <c r="Z549" i="2"/>
  <c r="AB549" i="2"/>
  <c r="AC549" i="2"/>
  <c r="AD549" i="2" s="1"/>
  <c r="H550" i="2"/>
  <c r="N550" i="2"/>
  <c r="O550" i="2"/>
  <c r="S550" i="2" s="1"/>
  <c r="R550" i="2"/>
  <c r="U550" i="2"/>
  <c r="Z550" i="2"/>
  <c r="AC550" i="2" s="1"/>
  <c r="AD550" i="2" s="1"/>
  <c r="AB550" i="2"/>
  <c r="H551" i="2"/>
  <c r="N551" i="2"/>
  <c r="O551" i="2"/>
  <c r="S551" i="2" s="1"/>
  <c r="R551" i="2"/>
  <c r="U551" i="2"/>
  <c r="Z551" i="2"/>
  <c r="AC551" i="2" s="1"/>
  <c r="AB551" i="2"/>
  <c r="AD551" i="2" s="1"/>
  <c r="H552" i="2"/>
  <c r="N552" i="2" s="1"/>
  <c r="O552" i="2"/>
  <c r="S552" i="2" s="1"/>
  <c r="R552" i="2"/>
  <c r="U552" i="2"/>
  <c r="Z552" i="2"/>
  <c r="AC552" i="2" s="1"/>
  <c r="AD552" i="2" s="1"/>
  <c r="AB552" i="2"/>
  <c r="H553" i="2"/>
  <c r="N553" i="2" s="1"/>
  <c r="O553" i="2"/>
  <c r="R553" i="2"/>
  <c r="S553" i="2" s="1"/>
  <c r="U553" i="2"/>
  <c r="Z553" i="2"/>
  <c r="AB553" i="2"/>
  <c r="AC553" i="2"/>
  <c r="AD553" i="2" s="1"/>
  <c r="H554" i="2"/>
  <c r="N554" i="2" s="1"/>
  <c r="O554" i="2"/>
  <c r="R554" i="2"/>
  <c r="S554" i="2"/>
  <c r="U554" i="2"/>
  <c r="Z554" i="2"/>
  <c r="AB554" i="2"/>
  <c r="AC554" i="2"/>
  <c r="AD554" i="2" s="1"/>
  <c r="F555" i="2"/>
  <c r="H555" i="2"/>
  <c r="N555" i="2"/>
  <c r="O555" i="2"/>
  <c r="S555" i="2" s="1"/>
  <c r="R555" i="2"/>
  <c r="U555" i="2"/>
  <c r="Z555" i="2"/>
  <c r="AC555" i="2" s="1"/>
  <c r="AD555" i="2" s="1"/>
  <c r="AB555" i="2"/>
  <c r="AG555" i="2"/>
  <c r="AM555" i="2" s="1"/>
  <c r="AN555" i="2" s="1"/>
  <c r="AP555" i="2" s="1"/>
  <c r="AQ555" i="2" s="1"/>
  <c r="AH555" i="2"/>
  <c r="AL555" i="2" s="1"/>
  <c r="AI555" i="2"/>
  <c r="AJ555" i="2"/>
  <c r="AO555" i="2"/>
  <c r="F556" i="2"/>
  <c r="H556" i="2"/>
  <c r="AL556" i="2" s="1"/>
  <c r="O556" i="2"/>
  <c r="R556" i="2"/>
  <c r="S556" i="2"/>
  <c r="U556" i="2"/>
  <c r="Z556" i="2"/>
  <c r="AB556" i="2"/>
  <c r="AC556" i="2"/>
  <c r="AD556" i="2" s="1"/>
  <c r="AG556" i="2"/>
  <c r="AH556" i="2"/>
  <c r="AI556" i="2"/>
  <c r="AJ556" i="2" s="1"/>
  <c r="AM556" i="2" s="1"/>
  <c r="AN556" i="2" s="1"/>
  <c r="AP556" i="2" s="1"/>
  <c r="AO556" i="2"/>
  <c r="F557" i="2"/>
  <c r="F558" i="2" s="1"/>
  <c r="F559" i="2" s="1"/>
  <c r="F560" i="2" s="1"/>
  <c r="H557" i="2"/>
  <c r="N557" i="2" s="1"/>
  <c r="O557" i="2"/>
  <c r="R557" i="2"/>
  <c r="S557" i="2" s="1"/>
  <c r="U557" i="2"/>
  <c r="Z557" i="2"/>
  <c r="AB557" i="2"/>
  <c r="AC557" i="2"/>
  <c r="AD557" i="2" s="1"/>
  <c r="AG557" i="2"/>
  <c r="AH557" i="2"/>
  <c r="AO557" i="2" s="1"/>
  <c r="AI557" i="2"/>
  <c r="AJ557" i="2" s="1"/>
  <c r="AM557" i="2" s="1"/>
  <c r="AN557" i="2" s="1"/>
  <c r="AP557" i="2" s="1"/>
  <c r="H558" i="2"/>
  <c r="N558" i="2"/>
  <c r="O558" i="2"/>
  <c r="S558" i="2" s="1"/>
  <c r="R558" i="2"/>
  <c r="U558" i="2"/>
  <c r="Z558" i="2"/>
  <c r="AC558" i="2" s="1"/>
  <c r="AD558" i="2" s="1"/>
  <c r="AB558" i="2"/>
  <c r="AG558" i="2"/>
  <c r="AM558" i="2" s="1"/>
  <c r="AN558" i="2" s="1"/>
  <c r="AP558" i="2" s="1"/>
  <c r="AQ558" i="2" s="1"/>
  <c r="AH558" i="2"/>
  <c r="AO558" i="2" s="1"/>
  <c r="AI558" i="2"/>
  <c r="AJ558" i="2" s="1"/>
  <c r="AL558" i="2"/>
  <c r="H559" i="2"/>
  <c r="N559" i="2"/>
  <c r="O559" i="2"/>
  <c r="S559" i="2" s="1"/>
  <c r="R559" i="2"/>
  <c r="U559" i="2"/>
  <c r="Z559" i="2"/>
  <c r="AC559" i="2" s="1"/>
  <c r="AD559" i="2" s="1"/>
  <c r="AB559" i="2"/>
  <c r="AG559" i="2"/>
  <c r="AH559" i="2"/>
  <c r="AI559" i="2"/>
  <c r="AJ559" i="2"/>
  <c r="AM559" i="2" s="1"/>
  <c r="AN559" i="2" s="1"/>
  <c r="AP559" i="2" s="1"/>
  <c r="AQ559" i="2" s="1"/>
  <c r="AL559" i="2"/>
  <c r="AO559" i="2"/>
  <c r="H560" i="2"/>
  <c r="AL560" i="2" s="1"/>
  <c r="O560" i="2"/>
  <c r="R560" i="2"/>
  <c r="S560" i="2"/>
  <c r="U560" i="2"/>
  <c r="Z560" i="2"/>
  <c r="AB560" i="2"/>
  <c r="AC560" i="2"/>
  <c r="AD560" i="2" s="1"/>
  <c r="AG560" i="2"/>
  <c r="AH560" i="2"/>
  <c r="AI560" i="2"/>
  <c r="AJ560" i="2" s="1"/>
  <c r="AO560" i="2"/>
  <c r="F561" i="2"/>
  <c r="F562" i="2" s="1"/>
  <c r="F563" i="2" s="1"/>
  <c r="F564" i="2" s="1"/>
  <c r="F565" i="2" s="1"/>
  <c r="F566" i="2" s="1"/>
  <c r="F567" i="2" s="1"/>
  <c r="F568" i="2" s="1"/>
  <c r="H561" i="2"/>
  <c r="N561" i="2" s="1"/>
  <c r="O561" i="2"/>
  <c r="R561" i="2"/>
  <c r="S561" i="2" s="1"/>
  <c r="U561" i="2"/>
  <c r="Z561" i="2"/>
  <c r="AB561" i="2"/>
  <c r="AC561" i="2"/>
  <c r="H562" i="2"/>
  <c r="N562" i="2" s="1"/>
  <c r="O562" i="2"/>
  <c r="R562" i="2"/>
  <c r="S562" i="2"/>
  <c r="U562" i="2"/>
  <c r="Z562" i="2"/>
  <c r="AB562" i="2"/>
  <c r="AC562" i="2"/>
  <c r="AD562" i="2" s="1"/>
  <c r="H563" i="2"/>
  <c r="N563" i="2"/>
  <c r="O563" i="2"/>
  <c r="S563" i="2" s="1"/>
  <c r="R563" i="2"/>
  <c r="U563" i="2"/>
  <c r="Z563" i="2"/>
  <c r="AC563" i="2" s="1"/>
  <c r="AD563" i="2" s="1"/>
  <c r="AB563" i="2"/>
  <c r="H564" i="2"/>
  <c r="N564" i="2"/>
  <c r="O564" i="2"/>
  <c r="S564" i="2" s="1"/>
  <c r="R564" i="2"/>
  <c r="U564" i="2"/>
  <c r="Z564" i="2"/>
  <c r="AC564" i="2" s="1"/>
  <c r="AD564" i="2" s="1"/>
  <c r="AB564" i="2"/>
  <c r="H565" i="2"/>
  <c r="N565" i="2" s="1"/>
  <c r="O565" i="2"/>
  <c r="R565" i="2"/>
  <c r="S565" i="2" s="1"/>
  <c r="U565" i="2"/>
  <c r="Z565" i="2"/>
  <c r="AB565" i="2"/>
  <c r="AC565" i="2"/>
  <c r="AD565" i="2" s="1"/>
  <c r="H566" i="2"/>
  <c r="N566" i="2" s="1"/>
  <c r="O566" i="2"/>
  <c r="R566" i="2"/>
  <c r="S566" i="2"/>
  <c r="U566" i="2"/>
  <c r="Z566" i="2"/>
  <c r="AB566" i="2"/>
  <c r="AC566" i="2"/>
  <c r="AD566" i="2" s="1"/>
  <c r="H567" i="2"/>
  <c r="N567" i="2"/>
  <c r="O567" i="2"/>
  <c r="S567" i="2" s="1"/>
  <c r="R567" i="2"/>
  <c r="U567" i="2"/>
  <c r="Z567" i="2"/>
  <c r="AC567" i="2" s="1"/>
  <c r="AD567" i="2" s="1"/>
  <c r="AB567" i="2"/>
  <c r="H568" i="2"/>
  <c r="N568" i="2" s="1"/>
  <c r="O568" i="2"/>
  <c r="S568" i="2" s="1"/>
  <c r="R568" i="2"/>
  <c r="U568" i="2"/>
  <c r="Z568" i="2"/>
  <c r="AC568" i="2" s="1"/>
  <c r="AD568" i="2" s="1"/>
  <c r="AB568" i="2"/>
  <c r="F569" i="2"/>
  <c r="F570" i="2" s="1"/>
  <c r="F571" i="2" s="1"/>
  <c r="F572" i="2" s="1"/>
  <c r="H569" i="2"/>
  <c r="N569" i="2" s="1"/>
  <c r="O569" i="2"/>
  <c r="R569" i="2"/>
  <c r="S569" i="2" s="1"/>
  <c r="U569" i="2"/>
  <c r="Z569" i="2"/>
  <c r="AB569" i="2"/>
  <c r="AC569" i="2"/>
  <c r="AD569" i="2" s="1"/>
  <c r="H570" i="2"/>
  <c r="N570" i="2" s="1"/>
  <c r="O570" i="2"/>
  <c r="R570" i="2"/>
  <c r="S570" i="2"/>
  <c r="U570" i="2"/>
  <c r="Z570" i="2"/>
  <c r="AB570" i="2"/>
  <c r="AC570" i="2"/>
  <c r="AD570" i="2" s="1"/>
  <c r="H571" i="2"/>
  <c r="N571" i="2"/>
  <c r="O571" i="2"/>
  <c r="S571" i="2" s="1"/>
  <c r="R571" i="2"/>
  <c r="U571" i="2"/>
  <c r="Z571" i="2"/>
  <c r="AC571" i="2" s="1"/>
  <c r="AB571" i="2"/>
  <c r="AD571" i="2"/>
  <c r="H572" i="2"/>
  <c r="N572" i="2"/>
  <c r="O572" i="2"/>
  <c r="S572" i="2" s="1"/>
  <c r="R572" i="2"/>
  <c r="U572" i="2"/>
  <c r="Z572" i="2"/>
  <c r="AC572" i="2" s="1"/>
  <c r="AD572" i="2" s="1"/>
  <c r="AB572" i="2"/>
  <c r="F573" i="2"/>
  <c r="H573" i="2"/>
  <c r="N573" i="2" s="1"/>
  <c r="O573" i="2"/>
  <c r="R573" i="2"/>
  <c r="S573" i="2" s="1"/>
  <c r="U573" i="2"/>
  <c r="Z573" i="2"/>
  <c r="AB573" i="2"/>
  <c r="AC573" i="2"/>
  <c r="AD573" i="2" s="1"/>
  <c r="F574" i="2"/>
  <c r="H574" i="2"/>
  <c r="O574" i="2"/>
  <c r="R574" i="2"/>
  <c r="S574" i="2"/>
  <c r="U574" i="2"/>
  <c r="Z574" i="2"/>
  <c r="AB574" i="2"/>
  <c r="AC574" i="2"/>
  <c r="AD574" i="2" s="1"/>
  <c r="AG574" i="2"/>
  <c r="AH574" i="2"/>
  <c r="AI574" i="2"/>
  <c r="AJ574" i="2" s="1"/>
  <c r="AM574" i="2" s="1"/>
  <c r="AN574" i="2" s="1"/>
  <c r="AP574" i="2" s="1"/>
  <c r="AO574" i="2"/>
  <c r="F575" i="2"/>
  <c r="F576" i="2" s="1"/>
  <c r="F577" i="2" s="1"/>
  <c r="F578" i="2" s="1"/>
  <c r="F579" i="2" s="1"/>
  <c r="F580" i="2" s="1"/>
  <c r="F581" i="2" s="1"/>
  <c r="F582" i="2" s="1"/>
  <c r="F583" i="2" s="1"/>
  <c r="F584" i="2" s="1"/>
  <c r="F585" i="2" s="1"/>
  <c r="F586" i="2" s="1"/>
  <c r="F587" i="2" s="1"/>
  <c r="H575" i="2"/>
  <c r="O575" i="2"/>
  <c r="R575" i="2"/>
  <c r="S575" i="2" s="1"/>
  <c r="U575" i="2"/>
  <c r="Z575" i="2"/>
  <c r="AB575" i="2"/>
  <c r="AC575" i="2"/>
  <c r="AD575" i="2" s="1"/>
  <c r="AG575" i="2"/>
  <c r="AH575" i="2"/>
  <c r="AO575" i="2" s="1"/>
  <c r="AI575" i="2"/>
  <c r="AJ575" i="2" s="1"/>
  <c r="AM575" i="2"/>
  <c r="AN575" i="2"/>
  <c r="AP575" i="2" s="1"/>
  <c r="H576" i="2"/>
  <c r="N576" i="2"/>
  <c r="O576" i="2"/>
  <c r="R576" i="2"/>
  <c r="U576" i="2"/>
  <c r="Z576" i="2"/>
  <c r="AC576" i="2" s="1"/>
  <c r="AD576" i="2" s="1"/>
  <c r="AB576" i="2"/>
  <c r="AG576" i="2"/>
  <c r="AM576" i="2" s="1"/>
  <c r="AH576" i="2"/>
  <c r="AI576" i="2"/>
  <c r="AJ576" i="2" s="1"/>
  <c r="AL576" i="2"/>
  <c r="H577" i="2"/>
  <c r="N577" i="2"/>
  <c r="O577" i="2"/>
  <c r="S577" i="2" s="1"/>
  <c r="R577" i="2"/>
  <c r="U577" i="2"/>
  <c r="Z577" i="2"/>
  <c r="AC577" i="2" s="1"/>
  <c r="AD577" i="2" s="1"/>
  <c r="AB577" i="2"/>
  <c r="AG577" i="2"/>
  <c r="AM577" i="2" s="1"/>
  <c r="AN577" i="2" s="1"/>
  <c r="AP577" i="2" s="1"/>
  <c r="AQ577" i="2" s="1"/>
  <c r="AH577" i="2"/>
  <c r="AI577" i="2"/>
  <c r="AJ577" i="2"/>
  <c r="AL577" i="2"/>
  <c r="AO577" i="2"/>
  <c r="H578" i="2"/>
  <c r="N578" i="2" s="1"/>
  <c r="O578" i="2"/>
  <c r="R578" i="2"/>
  <c r="S578" i="2"/>
  <c r="U578" i="2"/>
  <c r="Z578" i="2"/>
  <c r="AB578" i="2"/>
  <c r="AC578" i="2"/>
  <c r="AD578" i="2" s="1"/>
  <c r="H579" i="2"/>
  <c r="N579" i="2"/>
  <c r="O579" i="2"/>
  <c r="S579" i="2" s="1"/>
  <c r="R579" i="2"/>
  <c r="U579" i="2"/>
  <c r="Z579" i="2"/>
  <c r="AC579" i="2" s="1"/>
  <c r="AD579" i="2" s="1"/>
  <c r="AB579" i="2"/>
  <c r="H580" i="2"/>
  <c r="N580" i="2"/>
  <c r="O580" i="2"/>
  <c r="S580" i="2" s="1"/>
  <c r="R580" i="2"/>
  <c r="U580" i="2"/>
  <c r="Z580" i="2"/>
  <c r="AC580" i="2" s="1"/>
  <c r="AD580" i="2" s="1"/>
  <c r="AB580" i="2"/>
  <c r="H581" i="2"/>
  <c r="N581" i="2" s="1"/>
  <c r="O581" i="2"/>
  <c r="R581" i="2"/>
  <c r="S581" i="2" s="1"/>
  <c r="U581" i="2"/>
  <c r="Z581" i="2"/>
  <c r="AB581" i="2"/>
  <c r="AC581" i="2"/>
  <c r="AD581" i="2" s="1"/>
  <c r="H582" i="2"/>
  <c r="N582" i="2" s="1"/>
  <c r="O582" i="2"/>
  <c r="R582" i="2"/>
  <c r="S582" i="2"/>
  <c r="U582" i="2"/>
  <c r="Z582" i="2"/>
  <c r="AB582" i="2"/>
  <c r="AC582" i="2"/>
  <c r="AD582" i="2" s="1"/>
  <c r="H583" i="2"/>
  <c r="N583" i="2"/>
  <c r="O583" i="2"/>
  <c r="S583" i="2" s="1"/>
  <c r="R583" i="2"/>
  <c r="U583" i="2"/>
  <c r="Z583" i="2"/>
  <c r="AC583" i="2" s="1"/>
  <c r="AB583" i="2"/>
  <c r="AD583" i="2"/>
  <c r="H584" i="2"/>
  <c r="N584" i="2" s="1"/>
  <c r="O584" i="2"/>
  <c r="S584" i="2" s="1"/>
  <c r="R584" i="2"/>
  <c r="U584" i="2"/>
  <c r="Z584" i="2"/>
  <c r="AC584" i="2" s="1"/>
  <c r="AB584" i="2"/>
  <c r="H585" i="2"/>
  <c r="N585" i="2" s="1"/>
  <c r="O585" i="2"/>
  <c r="R585" i="2"/>
  <c r="S585" i="2" s="1"/>
  <c r="U585" i="2"/>
  <c r="Z585" i="2"/>
  <c r="AB585" i="2"/>
  <c r="AC585" i="2"/>
  <c r="AD585" i="2" s="1"/>
  <c r="H586" i="2"/>
  <c r="N586" i="2"/>
  <c r="O586" i="2"/>
  <c r="R586" i="2"/>
  <c r="S586" i="2"/>
  <c r="U586" i="2"/>
  <c r="Z586" i="2"/>
  <c r="AB586" i="2"/>
  <c r="AC586" i="2"/>
  <c r="AD586" i="2"/>
  <c r="H587" i="2"/>
  <c r="N587" i="2"/>
  <c r="O587" i="2"/>
  <c r="S587" i="2" s="1"/>
  <c r="R587" i="2"/>
  <c r="U587" i="2"/>
  <c r="Z587" i="2"/>
  <c r="AC587" i="2" s="1"/>
  <c r="AD587" i="2" s="1"/>
  <c r="AB587" i="2"/>
  <c r="F588" i="2"/>
  <c r="H588" i="2"/>
  <c r="N588" i="2"/>
  <c r="O588" i="2"/>
  <c r="R588" i="2"/>
  <c r="U588" i="2"/>
  <c r="Z588" i="2"/>
  <c r="AC588" i="2" s="1"/>
  <c r="AB588" i="2"/>
  <c r="F589" i="2"/>
  <c r="F590" i="2" s="1"/>
  <c r="F591" i="2" s="1"/>
  <c r="F592" i="2" s="1"/>
  <c r="F593" i="2" s="1"/>
  <c r="F594" i="2" s="1"/>
  <c r="F595" i="2" s="1"/>
  <c r="F596" i="2" s="1"/>
  <c r="F597" i="2" s="1"/>
  <c r="F598" i="2" s="1"/>
  <c r="F599" i="2" s="1"/>
  <c r="F600" i="2" s="1"/>
  <c r="F601" i="2" s="1"/>
  <c r="F602" i="2" s="1"/>
  <c r="F603" i="2" s="1"/>
  <c r="F604" i="2" s="1"/>
  <c r="F605" i="2" s="1"/>
  <c r="F606" i="2" s="1"/>
  <c r="F607" i="2" s="1"/>
  <c r="F608" i="2" s="1"/>
  <c r="F609" i="2" s="1"/>
  <c r="F610" i="2" s="1"/>
  <c r="F611" i="2" s="1"/>
  <c r="F612" i="2" s="1"/>
  <c r="F613" i="2" s="1"/>
  <c r="F614" i="2" s="1"/>
  <c r="F615" i="2" s="1"/>
  <c r="F616" i="2" s="1"/>
  <c r="F617" i="2" s="1"/>
  <c r="F618" i="2" s="1"/>
  <c r="F619" i="2" s="1"/>
  <c r="F620" i="2" s="1"/>
  <c r="F621" i="2" s="1"/>
  <c r="H589" i="2"/>
  <c r="N589" i="2" s="1"/>
  <c r="O589" i="2"/>
  <c r="R589" i="2"/>
  <c r="S589" i="2"/>
  <c r="U589" i="2"/>
  <c r="Z589" i="2"/>
  <c r="AB589" i="2"/>
  <c r="AC589" i="2"/>
  <c r="AD589" i="2" s="1"/>
  <c r="H590" i="2"/>
  <c r="N590" i="2" s="1"/>
  <c r="O590" i="2"/>
  <c r="R590" i="2"/>
  <c r="S590" i="2"/>
  <c r="U590" i="2"/>
  <c r="Z590" i="2"/>
  <c r="AC590" i="2" s="1"/>
  <c r="AD590" i="2" s="1"/>
  <c r="AB590" i="2"/>
  <c r="H591" i="2"/>
  <c r="N591" i="2"/>
  <c r="O591" i="2"/>
  <c r="S591" i="2" s="1"/>
  <c r="R591" i="2"/>
  <c r="U591" i="2"/>
  <c r="Z591" i="2"/>
  <c r="AC591" i="2" s="1"/>
  <c r="AD591" i="2" s="1"/>
  <c r="AB591" i="2"/>
  <c r="H592" i="2"/>
  <c r="N592" i="2" s="1"/>
  <c r="O592" i="2"/>
  <c r="S592" i="2" s="1"/>
  <c r="R592" i="2"/>
  <c r="U592" i="2"/>
  <c r="Z592" i="2"/>
  <c r="AC592" i="2" s="1"/>
  <c r="AD592" i="2" s="1"/>
  <c r="AB592" i="2"/>
  <c r="H593" i="2"/>
  <c r="N593" i="2" s="1"/>
  <c r="O593" i="2"/>
  <c r="R593" i="2"/>
  <c r="S593" i="2"/>
  <c r="U593" i="2"/>
  <c r="Z593" i="2"/>
  <c r="AB593" i="2"/>
  <c r="AC593" i="2"/>
  <c r="AD593" i="2" s="1"/>
  <c r="H594" i="2"/>
  <c r="N594" i="2"/>
  <c r="O594" i="2"/>
  <c r="R594" i="2"/>
  <c r="S594" i="2"/>
  <c r="U594" i="2"/>
  <c r="Z594" i="2"/>
  <c r="AB594" i="2"/>
  <c r="AC594" i="2"/>
  <c r="AD594" i="2"/>
  <c r="H595" i="2"/>
  <c r="N595" i="2"/>
  <c r="O595" i="2"/>
  <c r="S595" i="2" s="1"/>
  <c r="R595" i="2"/>
  <c r="U595" i="2"/>
  <c r="Z595" i="2"/>
  <c r="AC595" i="2" s="1"/>
  <c r="AD595" i="2" s="1"/>
  <c r="AB595" i="2"/>
  <c r="AG595" i="2"/>
  <c r="AH595" i="2"/>
  <c r="AI595" i="2"/>
  <c r="AJ595" i="2"/>
  <c r="AL595" i="2"/>
  <c r="AM595" i="2"/>
  <c r="AN595" i="2" s="1"/>
  <c r="AP595" i="2" s="1"/>
  <c r="AQ595" i="2" s="1"/>
  <c r="AO595" i="2"/>
  <c r="H596" i="2"/>
  <c r="AL596" i="2" s="1"/>
  <c r="N596" i="2"/>
  <c r="O596" i="2"/>
  <c r="S596" i="2" s="1"/>
  <c r="R596" i="2"/>
  <c r="U596" i="2"/>
  <c r="Z596" i="2"/>
  <c r="AB596" i="2"/>
  <c r="AC596" i="2"/>
  <c r="AD596" i="2"/>
  <c r="AG596" i="2"/>
  <c r="AH596" i="2"/>
  <c r="AI596" i="2"/>
  <c r="AJ596" i="2"/>
  <c r="H597" i="2"/>
  <c r="O597" i="2"/>
  <c r="R597" i="2"/>
  <c r="S597" i="2"/>
  <c r="U597" i="2"/>
  <c r="Z597" i="2"/>
  <c r="AB597" i="2"/>
  <c r="AC597" i="2"/>
  <c r="AD597" i="2" s="1"/>
  <c r="AG597" i="2"/>
  <c r="AH597" i="2"/>
  <c r="AO597" i="2" s="1"/>
  <c r="AI597" i="2"/>
  <c r="AJ597" i="2"/>
  <c r="AM597" i="2"/>
  <c r="AN597" i="2" s="1"/>
  <c r="AP597" i="2" s="1"/>
  <c r="H598" i="2"/>
  <c r="N598" i="2" s="1"/>
  <c r="O598" i="2"/>
  <c r="R598" i="2"/>
  <c r="U598" i="2"/>
  <c r="Z598" i="2"/>
  <c r="AC598" i="2" s="1"/>
  <c r="AD598" i="2" s="1"/>
  <c r="AB598" i="2"/>
  <c r="AG598" i="2"/>
  <c r="AM598" i="2" s="1"/>
  <c r="AN598" i="2" s="1"/>
  <c r="AH598" i="2"/>
  <c r="AI598" i="2"/>
  <c r="AJ598" i="2"/>
  <c r="AL598" i="2"/>
  <c r="H599" i="2"/>
  <c r="N599" i="2" s="1"/>
  <c r="O599" i="2"/>
  <c r="R599" i="2"/>
  <c r="U599" i="2"/>
  <c r="Z599" i="2"/>
  <c r="AB599" i="2"/>
  <c r="AC599" i="2"/>
  <c r="AD599" i="2" s="1"/>
  <c r="AG599" i="2"/>
  <c r="AH599" i="2"/>
  <c r="AI599" i="2"/>
  <c r="AJ599" i="2"/>
  <c r="AO599" i="2"/>
  <c r="H600" i="2"/>
  <c r="N600" i="2"/>
  <c r="O600" i="2"/>
  <c r="R600" i="2"/>
  <c r="S600" i="2"/>
  <c r="U600" i="2"/>
  <c r="Z600" i="2"/>
  <c r="AC600" i="2" s="1"/>
  <c r="AD600" i="2" s="1"/>
  <c r="AB600" i="2"/>
  <c r="AG600" i="2"/>
  <c r="AH600" i="2"/>
  <c r="AI600" i="2"/>
  <c r="AJ600" i="2"/>
  <c r="AM600" i="2" s="1"/>
  <c r="AN600" i="2" s="1"/>
  <c r="AP600" i="2" s="1"/>
  <c r="AQ600" i="2" s="1"/>
  <c r="AL600" i="2"/>
  <c r="AO600" i="2"/>
  <c r="H601" i="2"/>
  <c r="N601" i="2"/>
  <c r="O601" i="2"/>
  <c r="R601" i="2"/>
  <c r="S601" i="2" s="1"/>
  <c r="U601" i="2"/>
  <c r="Z601" i="2"/>
  <c r="AC601" i="2" s="1"/>
  <c r="AD601" i="2" s="1"/>
  <c r="AB601" i="2"/>
  <c r="AG601" i="2"/>
  <c r="AH601" i="2"/>
  <c r="AL601" i="2" s="1"/>
  <c r="AI601" i="2"/>
  <c r="AJ601" i="2" s="1"/>
  <c r="AM601" i="2"/>
  <c r="AN601" i="2"/>
  <c r="H602" i="2"/>
  <c r="N602" i="2"/>
  <c r="O602" i="2"/>
  <c r="S602" i="2" s="1"/>
  <c r="R602" i="2"/>
  <c r="U602" i="2"/>
  <c r="Z602" i="2"/>
  <c r="AC602" i="2" s="1"/>
  <c r="AD602" i="2" s="1"/>
  <c r="AB602" i="2"/>
  <c r="AG602" i="2"/>
  <c r="AH602" i="2"/>
  <c r="AL602" i="2" s="1"/>
  <c r="AI602" i="2"/>
  <c r="AJ602" i="2" s="1"/>
  <c r="AM602" i="2"/>
  <c r="AN602" i="2" s="1"/>
  <c r="H603" i="2"/>
  <c r="AL603" i="2" s="1"/>
  <c r="O603" i="2"/>
  <c r="S603" i="2" s="1"/>
  <c r="R603" i="2"/>
  <c r="U603" i="2"/>
  <c r="Z603" i="2"/>
  <c r="AB603" i="2"/>
  <c r="AC603" i="2"/>
  <c r="AD603" i="2" s="1"/>
  <c r="AG603" i="2"/>
  <c r="AO603" i="2" s="1"/>
  <c r="AH603" i="2"/>
  <c r="AI603" i="2"/>
  <c r="AJ603" i="2" s="1"/>
  <c r="AM603" i="2" s="1"/>
  <c r="AN603" i="2" s="1"/>
  <c r="AP603" i="2" s="1"/>
  <c r="AQ603" i="2" s="1"/>
  <c r="H604" i="2"/>
  <c r="O604" i="2"/>
  <c r="R604" i="2"/>
  <c r="S604" i="2"/>
  <c r="U604" i="2"/>
  <c r="Z604" i="2"/>
  <c r="AB604" i="2"/>
  <c r="AC604" i="2"/>
  <c r="AG604" i="2"/>
  <c r="AH604" i="2"/>
  <c r="AO604" i="2" s="1"/>
  <c r="AI604" i="2"/>
  <c r="AJ604" i="2" s="1"/>
  <c r="AM604" i="2" s="1"/>
  <c r="AN604" i="2" s="1"/>
  <c r="AP604" i="2" s="1"/>
  <c r="H605" i="2"/>
  <c r="N605" i="2" s="1"/>
  <c r="O605" i="2"/>
  <c r="R605" i="2"/>
  <c r="S605" i="2"/>
  <c r="U605" i="2"/>
  <c r="Z605" i="2"/>
  <c r="AB605" i="2"/>
  <c r="AC605" i="2"/>
  <c r="AD605" i="2" s="1"/>
  <c r="AG605" i="2"/>
  <c r="AM605" i="2" s="1"/>
  <c r="AN605" i="2" s="1"/>
  <c r="AH605" i="2"/>
  <c r="AI605" i="2"/>
  <c r="AJ605" i="2"/>
  <c r="H606" i="2"/>
  <c r="O606" i="2"/>
  <c r="R606" i="2"/>
  <c r="S606" i="2"/>
  <c r="U606" i="2"/>
  <c r="Z606" i="2"/>
  <c r="AB606" i="2"/>
  <c r="AC606" i="2"/>
  <c r="AD606" i="2" s="1"/>
  <c r="AG606" i="2"/>
  <c r="AH606" i="2"/>
  <c r="AI606" i="2"/>
  <c r="AJ606" i="2"/>
  <c r="AM606" i="2" s="1"/>
  <c r="AN606" i="2"/>
  <c r="AP606" i="2" s="1"/>
  <c r="AO606" i="2"/>
  <c r="H607" i="2"/>
  <c r="N607" i="2" s="1"/>
  <c r="O607" i="2"/>
  <c r="S607" i="2" s="1"/>
  <c r="R607" i="2"/>
  <c r="U607" i="2"/>
  <c r="Z607" i="2"/>
  <c r="AB607" i="2"/>
  <c r="AC607" i="2"/>
  <c r="AD607" i="2" s="1"/>
  <c r="H608" i="2"/>
  <c r="N608" i="2" s="1"/>
  <c r="O608" i="2"/>
  <c r="R608" i="2"/>
  <c r="S608" i="2"/>
  <c r="U608" i="2"/>
  <c r="Z608" i="2"/>
  <c r="AB608" i="2"/>
  <c r="AC608" i="2"/>
  <c r="AD608" i="2" s="1"/>
  <c r="H609" i="2"/>
  <c r="N609" i="2"/>
  <c r="O609" i="2"/>
  <c r="S609" i="2" s="1"/>
  <c r="R609" i="2"/>
  <c r="U609" i="2"/>
  <c r="Z609" i="2"/>
  <c r="AC609" i="2" s="1"/>
  <c r="AD609" i="2" s="1"/>
  <c r="AB609" i="2"/>
  <c r="H610" i="2"/>
  <c r="N610" i="2"/>
  <c r="O610" i="2"/>
  <c r="S610" i="2" s="1"/>
  <c r="R610" i="2"/>
  <c r="U610" i="2"/>
  <c r="Z610" i="2"/>
  <c r="AC610" i="2" s="1"/>
  <c r="AD610" i="2" s="1"/>
  <c r="AB610" i="2"/>
  <c r="H611" i="2"/>
  <c r="N611" i="2" s="1"/>
  <c r="O611" i="2"/>
  <c r="R611" i="2"/>
  <c r="S611" i="2"/>
  <c r="U611" i="2"/>
  <c r="Z611" i="2"/>
  <c r="AC611" i="2" s="1"/>
  <c r="AB611" i="2"/>
  <c r="H612" i="2"/>
  <c r="N612" i="2"/>
  <c r="O612" i="2"/>
  <c r="R612" i="2"/>
  <c r="S612" i="2"/>
  <c r="U612" i="2"/>
  <c r="Z612" i="2"/>
  <c r="AB612" i="2"/>
  <c r="AC612" i="2"/>
  <c r="AD612" i="2"/>
  <c r="H613" i="2"/>
  <c r="N613" i="2"/>
  <c r="O613" i="2"/>
  <c r="S613" i="2" s="1"/>
  <c r="R613" i="2"/>
  <c r="U613" i="2"/>
  <c r="Z613" i="2"/>
  <c r="AC613" i="2" s="1"/>
  <c r="AB613" i="2"/>
  <c r="AD613" i="2"/>
  <c r="H614" i="2"/>
  <c r="N614" i="2"/>
  <c r="O614" i="2"/>
  <c r="S614" i="2" s="1"/>
  <c r="R614" i="2"/>
  <c r="U614" i="2"/>
  <c r="Z614" i="2"/>
  <c r="AC614" i="2" s="1"/>
  <c r="AD614" i="2" s="1"/>
  <c r="AB614" i="2"/>
  <c r="H615" i="2"/>
  <c r="N615" i="2" s="1"/>
  <c r="O615" i="2"/>
  <c r="R615" i="2"/>
  <c r="U615" i="2"/>
  <c r="Z615" i="2"/>
  <c r="AB615" i="2"/>
  <c r="AC615" i="2"/>
  <c r="AD615" i="2" s="1"/>
  <c r="H616" i="2"/>
  <c r="N616" i="2" s="1"/>
  <c r="O616" i="2"/>
  <c r="R616" i="2"/>
  <c r="S616" i="2"/>
  <c r="U616" i="2"/>
  <c r="Z616" i="2"/>
  <c r="AB616" i="2"/>
  <c r="AC616" i="2"/>
  <c r="AD616" i="2" s="1"/>
  <c r="H617" i="2"/>
  <c r="N617" i="2"/>
  <c r="O617" i="2"/>
  <c r="S617" i="2" s="1"/>
  <c r="R617" i="2"/>
  <c r="U617" i="2"/>
  <c r="Z617" i="2"/>
  <c r="AC617" i="2" s="1"/>
  <c r="AD617" i="2" s="1"/>
  <c r="AB617" i="2"/>
  <c r="H618" i="2"/>
  <c r="N618" i="2"/>
  <c r="O618" i="2"/>
  <c r="S618" i="2" s="1"/>
  <c r="R618" i="2"/>
  <c r="U618" i="2"/>
  <c r="Z618" i="2"/>
  <c r="AC618" i="2" s="1"/>
  <c r="AD618" i="2" s="1"/>
  <c r="AB618" i="2"/>
  <c r="H619" i="2"/>
  <c r="N619" i="2" s="1"/>
  <c r="O619" i="2"/>
  <c r="R619" i="2"/>
  <c r="S619" i="2"/>
  <c r="U619" i="2"/>
  <c r="Z619" i="2"/>
  <c r="AC619" i="2" s="1"/>
  <c r="AD619" i="2" s="1"/>
  <c r="AB619" i="2"/>
  <c r="H620" i="2"/>
  <c r="N620" i="2"/>
  <c r="O620" i="2"/>
  <c r="R620" i="2"/>
  <c r="S620" i="2"/>
  <c r="U620" i="2"/>
  <c r="Z620" i="2"/>
  <c r="AB620" i="2"/>
  <c r="AC620" i="2"/>
  <c r="AD620" i="2"/>
  <c r="H621" i="2"/>
  <c r="N621" i="2"/>
  <c r="O621" i="2"/>
  <c r="S621" i="2" s="1"/>
  <c r="R621" i="2"/>
  <c r="U621" i="2"/>
  <c r="Z621" i="2"/>
  <c r="AC621" i="2" s="1"/>
  <c r="AB621" i="2"/>
  <c r="AD621" i="2"/>
  <c r="F622" i="2"/>
  <c r="F623" i="2" s="1"/>
  <c r="F624" i="2" s="1"/>
  <c r="H622" i="2"/>
  <c r="N622" i="2"/>
  <c r="O622" i="2"/>
  <c r="S622" i="2" s="1"/>
  <c r="R622" i="2"/>
  <c r="U622" i="2"/>
  <c r="Z622" i="2"/>
  <c r="AC622" i="2" s="1"/>
  <c r="AD622" i="2" s="1"/>
  <c r="AB622" i="2"/>
  <c r="AG622" i="2"/>
  <c r="AM622" i="2" s="1"/>
  <c r="AN622" i="2" s="1"/>
  <c r="AH622" i="2"/>
  <c r="AO622" i="2" s="1"/>
  <c r="AI622" i="2"/>
  <c r="AJ622" i="2"/>
  <c r="AL622" i="2"/>
  <c r="H623" i="2"/>
  <c r="N623" i="2"/>
  <c r="O623" i="2"/>
  <c r="S623" i="2" s="1"/>
  <c r="R623" i="2"/>
  <c r="U623" i="2"/>
  <c r="Z623" i="2"/>
  <c r="AC623" i="2" s="1"/>
  <c r="AB623" i="2"/>
  <c r="AD623" i="2"/>
  <c r="AG623" i="2"/>
  <c r="AM623" i="2" s="1"/>
  <c r="AN623" i="2" s="1"/>
  <c r="AH623" i="2"/>
  <c r="AI623" i="2"/>
  <c r="AJ623" i="2"/>
  <c r="AL623" i="2"/>
  <c r="AO623" i="2"/>
  <c r="H624" i="2"/>
  <c r="AL624" i="2" s="1"/>
  <c r="N624" i="2"/>
  <c r="O624" i="2"/>
  <c r="R624" i="2"/>
  <c r="S624" i="2"/>
  <c r="U624" i="2"/>
  <c r="Z624" i="2"/>
  <c r="AB624" i="2"/>
  <c r="AC624" i="2"/>
  <c r="AD624" i="2"/>
  <c r="AG624" i="2"/>
  <c r="AH624" i="2"/>
  <c r="AI624" i="2"/>
  <c r="AJ624" i="2" s="1"/>
  <c r="AM624" i="2" s="1"/>
  <c r="AN624" i="2" s="1"/>
  <c r="AP624" i="2" s="1"/>
  <c r="AO624" i="2"/>
  <c r="F625" i="2"/>
  <c r="F626" i="2" s="1"/>
  <c r="H625" i="2"/>
  <c r="N625" i="2" s="1"/>
  <c r="O625" i="2"/>
  <c r="R625" i="2"/>
  <c r="S625" i="2"/>
  <c r="U625" i="2"/>
  <c r="Z625" i="2"/>
  <c r="AC625" i="2" s="1"/>
  <c r="AD625" i="2" s="1"/>
  <c r="AB625" i="2"/>
  <c r="AG625" i="2"/>
  <c r="AH625" i="2"/>
  <c r="AO625" i="2" s="1"/>
  <c r="AI625" i="2"/>
  <c r="AJ625" i="2" s="1"/>
  <c r="AM625" i="2" s="1"/>
  <c r="AN625" i="2" s="1"/>
  <c r="AP625" i="2" s="1"/>
  <c r="H626" i="2"/>
  <c r="N626" i="2"/>
  <c r="O626" i="2"/>
  <c r="S626" i="2" s="1"/>
  <c r="R626" i="2"/>
  <c r="U626" i="2"/>
  <c r="Z626" i="2"/>
  <c r="AC626" i="2" s="1"/>
  <c r="AD626" i="2" s="1"/>
  <c r="AB626" i="2"/>
  <c r="F627" i="2"/>
  <c r="F628" i="2" s="1"/>
  <c r="F629" i="2" s="1"/>
  <c r="F630" i="2" s="1"/>
  <c r="F631" i="2" s="1"/>
  <c r="F632" i="2" s="1"/>
  <c r="F633" i="2" s="1"/>
  <c r="F634" i="2" s="1"/>
  <c r="F635" i="2" s="1"/>
  <c r="F636" i="2" s="1"/>
  <c r="F637" i="2" s="1"/>
  <c r="F638" i="2" s="1"/>
  <c r="F639" i="2" s="1"/>
  <c r="F640" i="2" s="1"/>
  <c r="F641" i="2" s="1"/>
  <c r="F642" i="2" s="1"/>
  <c r="F643" i="2" s="1"/>
  <c r="F644" i="2" s="1"/>
  <c r="F645" i="2" s="1"/>
  <c r="F646" i="2" s="1"/>
  <c r="F647" i="2" s="1"/>
  <c r="F648" i="2" s="1"/>
  <c r="F649" i="2" s="1"/>
  <c r="F650" i="2" s="1"/>
  <c r="F651" i="2" s="1"/>
  <c r="F652" i="2" s="1"/>
  <c r="F653" i="2" s="1"/>
  <c r="F654" i="2" s="1"/>
  <c r="F655" i="2" s="1"/>
  <c r="F656" i="2" s="1"/>
  <c r="F657" i="2" s="1"/>
  <c r="F658" i="2" s="1"/>
  <c r="F659" i="2" s="1"/>
  <c r="F660" i="2" s="1"/>
  <c r="F661" i="2" s="1"/>
  <c r="F662" i="2" s="1"/>
  <c r="F663" i="2" s="1"/>
  <c r="F664" i="2" s="1"/>
  <c r="F665" i="2" s="1"/>
  <c r="F666" i="2" s="1"/>
  <c r="F667" i="2" s="1"/>
  <c r="F668" i="2" s="1"/>
  <c r="F669" i="2" s="1"/>
  <c r="H627" i="2"/>
  <c r="N627" i="2" s="1"/>
  <c r="O627" i="2"/>
  <c r="R627" i="2"/>
  <c r="S627" i="2"/>
  <c r="U627" i="2"/>
  <c r="Z627" i="2"/>
  <c r="AC627" i="2" s="1"/>
  <c r="AB627" i="2"/>
  <c r="H628" i="2"/>
  <c r="N628" i="2"/>
  <c r="O628" i="2"/>
  <c r="R628" i="2"/>
  <c r="S628" i="2"/>
  <c r="U628" i="2"/>
  <c r="Z628" i="2"/>
  <c r="AB628" i="2"/>
  <c r="AC628" i="2"/>
  <c r="AD628" i="2"/>
  <c r="H629" i="2"/>
  <c r="N629" i="2"/>
  <c r="O629" i="2"/>
  <c r="R629" i="2"/>
  <c r="S629" i="2"/>
  <c r="U629" i="2"/>
  <c r="Z629" i="2"/>
  <c r="AC629" i="2" s="1"/>
  <c r="AD629" i="2" s="1"/>
  <c r="AB629" i="2"/>
  <c r="H630" i="2"/>
  <c r="N630" i="2"/>
  <c r="O630" i="2"/>
  <c r="S630" i="2" s="1"/>
  <c r="R630" i="2"/>
  <c r="U630" i="2"/>
  <c r="Z630" i="2"/>
  <c r="AC630" i="2" s="1"/>
  <c r="AD630" i="2" s="1"/>
  <c r="AB630" i="2"/>
  <c r="H631" i="2"/>
  <c r="N631" i="2" s="1"/>
  <c r="O631" i="2"/>
  <c r="S631" i="2" s="1"/>
  <c r="R631" i="2"/>
  <c r="U631" i="2"/>
  <c r="Z631" i="2"/>
  <c r="AB631" i="2"/>
  <c r="AC631" i="2"/>
  <c r="AD631" i="2" s="1"/>
  <c r="H632" i="2"/>
  <c r="N632" i="2" s="1"/>
  <c r="O632" i="2"/>
  <c r="R632" i="2"/>
  <c r="S632" i="2"/>
  <c r="U632" i="2"/>
  <c r="Z632" i="2"/>
  <c r="AB632" i="2"/>
  <c r="AC632" i="2"/>
  <c r="AD632" i="2" s="1"/>
  <c r="H633" i="2"/>
  <c r="N633" i="2"/>
  <c r="O633" i="2"/>
  <c r="S633" i="2" s="1"/>
  <c r="R633" i="2"/>
  <c r="U633" i="2"/>
  <c r="Z633" i="2"/>
  <c r="AB633" i="2"/>
  <c r="AC633" i="2"/>
  <c r="AD633" i="2"/>
  <c r="H634" i="2"/>
  <c r="N634" i="2"/>
  <c r="O634" i="2"/>
  <c r="S634" i="2" s="1"/>
  <c r="R634" i="2"/>
  <c r="U634" i="2"/>
  <c r="Z634" i="2"/>
  <c r="AC634" i="2" s="1"/>
  <c r="AD634" i="2" s="1"/>
  <c r="AB634" i="2"/>
  <c r="H635" i="2"/>
  <c r="N635" i="2" s="1"/>
  <c r="O635" i="2"/>
  <c r="R635" i="2"/>
  <c r="S635" i="2"/>
  <c r="U635" i="2"/>
  <c r="Z635" i="2"/>
  <c r="AC635" i="2" s="1"/>
  <c r="AD635" i="2" s="1"/>
  <c r="AB635" i="2"/>
  <c r="H636" i="2"/>
  <c r="N636" i="2"/>
  <c r="O636" i="2"/>
  <c r="R636" i="2"/>
  <c r="S636" i="2"/>
  <c r="U636" i="2"/>
  <c r="Z636" i="2"/>
  <c r="AB636" i="2"/>
  <c r="AC636" i="2"/>
  <c r="AD636" i="2"/>
  <c r="H637" i="2"/>
  <c r="N637" i="2"/>
  <c r="O637" i="2"/>
  <c r="R637" i="2"/>
  <c r="S637" i="2"/>
  <c r="U637" i="2"/>
  <c r="Z637" i="2"/>
  <c r="AC637" i="2" s="1"/>
  <c r="AB637" i="2"/>
  <c r="AD637" i="2"/>
  <c r="H638" i="2"/>
  <c r="N638" i="2"/>
  <c r="O638" i="2"/>
  <c r="S638" i="2" s="1"/>
  <c r="R638" i="2"/>
  <c r="U638" i="2"/>
  <c r="Z638" i="2"/>
  <c r="AC638" i="2" s="1"/>
  <c r="AD638" i="2" s="1"/>
  <c r="AB638" i="2"/>
  <c r="AG638" i="2"/>
  <c r="AM638" i="2" s="1"/>
  <c r="AN638" i="2" s="1"/>
  <c r="AP638" i="2" s="1"/>
  <c r="AH638" i="2"/>
  <c r="AO638" i="2" s="1"/>
  <c r="AI638" i="2"/>
  <c r="AJ638" i="2"/>
  <c r="AL638" i="2"/>
  <c r="H639" i="2"/>
  <c r="N639" i="2"/>
  <c r="O639" i="2"/>
  <c r="R639" i="2"/>
  <c r="S639" i="2"/>
  <c r="U639" i="2"/>
  <c r="Z639" i="2"/>
  <c r="AC639" i="2" s="1"/>
  <c r="AB639" i="2"/>
  <c r="AD639" i="2"/>
  <c r="AG639" i="2"/>
  <c r="AM639" i="2" s="1"/>
  <c r="AN639" i="2" s="1"/>
  <c r="AH639" i="2"/>
  <c r="AI639" i="2"/>
  <c r="AJ639" i="2"/>
  <c r="AL639" i="2"/>
  <c r="AO639" i="2"/>
  <c r="H640" i="2"/>
  <c r="AL640" i="2" s="1"/>
  <c r="N640" i="2"/>
  <c r="O640" i="2"/>
  <c r="R640" i="2"/>
  <c r="S640" i="2"/>
  <c r="U640" i="2"/>
  <c r="Z640" i="2"/>
  <c r="AB640" i="2"/>
  <c r="AC640" i="2"/>
  <c r="AD640" i="2"/>
  <c r="AG640" i="2"/>
  <c r="AH640" i="2"/>
  <c r="AI640" i="2"/>
  <c r="AJ640" i="2" s="1"/>
  <c r="AM640" i="2" s="1"/>
  <c r="AN640" i="2" s="1"/>
  <c r="AP640" i="2" s="1"/>
  <c r="AO640" i="2"/>
  <c r="H641" i="2"/>
  <c r="N641" i="2" s="1"/>
  <c r="O641" i="2"/>
  <c r="R641" i="2"/>
  <c r="S641" i="2"/>
  <c r="U641" i="2"/>
  <c r="Z641" i="2"/>
  <c r="AC641" i="2" s="1"/>
  <c r="AD641" i="2" s="1"/>
  <c r="AB641" i="2"/>
  <c r="AG641" i="2"/>
  <c r="AH641" i="2"/>
  <c r="AI641" i="2"/>
  <c r="AJ641" i="2" s="1"/>
  <c r="AM641" i="2" s="1"/>
  <c r="AN641" i="2" s="1"/>
  <c r="H642" i="2"/>
  <c r="N642" i="2"/>
  <c r="O642" i="2"/>
  <c r="S642" i="2" s="1"/>
  <c r="R642" i="2"/>
  <c r="U642" i="2"/>
  <c r="Z642" i="2"/>
  <c r="AC642" i="2" s="1"/>
  <c r="AD642" i="2" s="1"/>
  <c r="AB642" i="2"/>
  <c r="AG642" i="2"/>
  <c r="AO642" i="2" s="1"/>
  <c r="AH642" i="2"/>
  <c r="AI642" i="2"/>
  <c r="AJ642" i="2"/>
  <c r="AL642" i="2"/>
  <c r="AM642" i="2"/>
  <c r="AN642" i="2" s="1"/>
  <c r="AP642" i="2" s="1"/>
  <c r="AQ642" i="2" s="1"/>
  <c r="H643" i="2"/>
  <c r="AL643" i="2" s="1"/>
  <c r="N643" i="2"/>
  <c r="O643" i="2"/>
  <c r="S643" i="2" s="1"/>
  <c r="R643" i="2"/>
  <c r="U643" i="2"/>
  <c r="Z643" i="2"/>
  <c r="AB643" i="2"/>
  <c r="AC643" i="2"/>
  <c r="AD643" i="2"/>
  <c r="AG643" i="2"/>
  <c r="AH643" i="2"/>
  <c r="AI643" i="2"/>
  <c r="AJ643" i="2"/>
  <c r="AO643" i="2"/>
  <c r="H644" i="2"/>
  <c r="O644" i="2"/>
  <c r="R644" i="2"/>
  <c r="S644" i="2"/>
  <c r="U644" i="2"/>
  <c r="Z644" i="2"/>
  <c r="AB644" i="2"/>
  <c r="AC644" i="2"/>
  <c r="AD644" i="2" s="1"/>
  <c r="AG644" i="2"/>
  <c r="AH644" i="2"/>
  <c r="AO644" i="2" s="1"/>
  <c r="AI644" i="2"/>
  <c r="AJ644" i="2"/>
  <c r="AM644" i="2" s="1"/>
  <c r="AN644" i="2" s="1"/>
  <c r="AP644" i="2" s="1"/>
  <c r="H645" i="2"/>
  <c r="O645" i="2"/>
  <c r="S645" i="2" s="1"/>
  <c r="R645" i="2"/>
  <c r="U645" i="2"/>
  <c r="Z645" i="2"/>
  <c r="AB645" i="2"/>
  <c r="AC645" i="2"/>
  <c r="AG645" i="2"/>
  <c r="AH645" i="2"/>
  <c r="AO645" i="2" s="1"/>
  <c r="AI645" i="2"/>
  <c r="AJ645" i="2" s="1"/>
  <c r="AM645" i="2" s="1"/>
  <c r="AN645" i="2" s="1"/>
  <c r="AP645" i="2" s="1"/>
  <c r="H646" i="2"/>
  <c r="N646" i="2"/>
  <c r="O646" i="2"/>
  <c r="S646" i="2" s="1"/>
  <c r="R646" i="2"/>
  <c r="U646" i="2"/>
  <c r="Z646" i="2"/>
  <c r="AC646" i="2" s="1"/>
  <c r="AD646" i="2" s="1"/>
  <c r="AB646" i="2"/>
  <c r="AG646" i="2"/>
  <c r="AM646" i="2" s="1"/>
  <c r="AH646" i="2"/>
  <c r="AO646" i="2" s="1"/>
  <c r="AI646" i="2"/>
  <c r="AJ646" i="2"/>
  <c r="H647" i="2"/>
  <c r="N647" i="2"/>
  <c r="O647" i="2"/>
  <c r="R647" i="2"/>
  <c r="S647" i="2"/>
  <c r="U647" i="2"/>
  <c r="Z647" i="2"/>
  <c r="AC647" i="2" s="1"/>
  <c r="AD647" i="2" s="1"/>
  <c r="AB647" i="2"/>
  <c r="AG647" i="2"/>
  <c r="AH647" i="2"/>
  <c r="AI647" i="2"/>
  <c r="AJ647" i="2"/>
  <c r="AL647" i="2"/>
  <c r="AO647" i="2"/>
  <c r="H648" i="2"/>
  <c r="AL648" i="2" s="1"/>
  <c r="O648" i="2"/>
  <c r="R648" i="2"/>
  <c r="S648" i="2"/>
  <c r="U648" i="2"/>
  <c r="Z648" i="2"/>
  <c r="AB648" i="2"/>
  <c r="AC648" i="2"/>
  <c r="AD648" i="2" s="1"/>
  <c r="AG648" i="2"/>
  <c r="AH648" i="2"/>
  <c r="AI648" i="2"/>
  <c r="AJ648" i="2" s="1"/>
  <c r="AM648" i="2" s="1"/>
  <c r="AN648" i="2"/>
  <c r="AP648" i="2" s="1"/>
  <c r="AO648" i="2"/>
  <c r="H649" i="2"/>
  <c r="N649" i="2" s="1"/>
  <c r="O649" i="2"/>
  <c r="R649" i="2"/>
  <c r="S649" i="2"/>
  <c r="U649" i="2"/>
  <c r="Z649" i="2"/>
  <c r="AC649" i="2" s="1"/>
  <c r="AD649" i="2" s="1"/>
  <c r="AB649" i="2"/>
  <c r="AG649" i="2"/>
  <c r="AH649" i="2"/>
  <c r="AI649" i="2"/>
  <c r="AJ649" i="2" s="1"/>
  <c r="AM649" i="2" s="1"/>
  <c r="AN649" i="2" s="1"/>
  <c r="H650" i="2"/>
  <c r="N650" i="2"/>
  <c r="O650" i="2"/>
  <c r="S650" i="2" s="1"/>
  <c r="R650" i="2"/>
  <c r="U650" i="2"/>
  <c r="Z650" i="2"/>
  <c r="AC650" i="2" s="1"/>
  <c r="AB650" i="2"/>
  <c r="H651" i="2"/>
  <c r="N651" i="2" s="1"/>
  <c r="O651" i="2"/>
  <c r="R651" i="2"/>
  <c r="S651" i="2" s="1"/>
  <c r="U651" i="2"/>
  <c r="Z651" i="2"/>
  <c r="AC651" i="2" s="1"/>
  <c r="AB651" i="2"/>
  <c r="H652" i="2"/>
  <c r="N652" i="2"/>
  <c r="O652" i="2"/>
  <c r="R652" i="2"/>
  <c r="S652" i="2"/>
  <c r="U652" i="2"/>
  <c r="Z652" i="2"/>
  <c r="AB652" i="2"/>
  <c r="AC652" i="2"/>
  <c r="AD652" i="2"/>
  <c r="H653" i="2"/>
  <c r="N653" i="2"/>
  <c r="O653" i="2"/>
  <c r="R653" i="2"/>
  <c r="S653" i="2"/>
  <c r="U653" i="2"/>
  <c r="Z653" i="2"/>
  <c r="AC653" i="2" s="1"/>
  <c r="AD653" i="2" s="1"/>
  <c r="AB653" i="2"/>
  <c r="H654" i="2"/>
  <c r="N654" i="2"/>
  <c r="O654" i="2"/>
  <c r="R654" i="2"/>
  <c r="U654" i="2"/>
  <c r="Z654" i="2"/>
  <c r="AC654" i="2" s="1"/>
  <c r="AD654" i="2" s="1"/>
  <c r="AB654" i="2"/>
  <c r="H655" i="2"/>
  <c r="N655" i="2" s="1"/>
  <c r="O655" i="2"/>
  <c r="R655" i="2"/>
  <c r="U655" i="2"/>
  <c r="Z655" i="2"/>
  <c r="AC655" i="2" s="1"/>
  <c r="AD655" i="2" s="1"/>
  <c r="AB655" i="2"/>
  <c r="H656" i="2"/>
  <c r="N656" i="2" s="1"/>
  <c r="O656" i="2"/>
  <c r="R656" i="2"/>
  <c r="S656" i="2"/>
  <c r="U656" i="2"/>
  <c r="Z656" i="2"/>
  <c r="AB656" i="2"/>
  <c r="AC656" i="2"/>
  <c r="AD656" i="2" s="1"/>
  <c r="H657" i="2"/>
  <c r="N657" i="2" s="1"/>
  <c r="O657" i="2"/>
  <c r="R657" i="2"/>
  <c r="S657" i="2"/>
  <c r="U657" i="2"/>
  <c r="Z657" i="2"/>
  <c r="AB657" i="2"/>
  <c r="AC657" i="2"/>
  <c r="AD657" i="2" s="1"/>
  <c r="H658" i="2"/>
  <c r="N658" i="2"/>
  <c r="O658" i="2"/>
  <c r="S658" i="2" s="1"/>
  <c r="R658" i="2"/>
  <c r="U658" i="2"/>
  <c r="Z658" i="2"/>
  <c r="AC658" i="2" s="1"/>
  <c r="AD658" i="2" s="1"/>
  <c r="AB658" i="2"/>
  <c r="H659" i="2"/>
  <c r="N659" i="2" s="1"/>
  <c r="O659" i="2"/>
  <c r="R659" i="2"/>
  <c r="S659" i="2"/>
  <c r="U659" i="2"/>
  <c r="Z659" i="2"/>
  <c r="AC659" i="2" s="1"/>
  <c r="AB659" i="2"/>
  <c r="H660" i="2"/>
  <c r="N660" i="2"/>
  <c r="O660" i="2"/>
  <c r="R660" i="2"/>
  <c r="S660" i="2" s="1"/>
  <c r="U660" i="2"/>
  <c r="Z660" i="2"/>
  <c r="AB660" i="2"/>
  <c r="AD660" i="2" s="1"/>
  <c r="AC660" i="2"/>
  <c r="H661" i="2"/>
  <c r="N661" i="2"/>
  <c r="O661" i="2"/>
  <c r="R661" i="2"/>
  <c r="S661" i="2"/>
  <c r="U661" i="2"/>
  <c r="Z661" i="2"/>
  <c r="AC661" i="2" s="1"/>
  <c r="AD661" i="2" s="1"/>
  <c r="AB661" i="2"/>
  <c r="H662" i="2"/>
  <c r="N662" i="2"/>
  <c r="O662" i="2"/>
  <c r="R662" i="2"/>
  <c r="U662" i="2"/>
  <c r="Z662" i="2"/>
  <c r="AC662" i="2" s="1"/>
  <c r="AB662" i="2"/>
  <c r="AD662" i="2"/>
  <c r="H663" i="2"/>
  <c r="N663" i="2" s="1"/>
  <c r="O663" i="2"/>
  <c r="R663" i="2"/>
  <c r="U663" i="2"/>
  <c r="Z663" i="2"/>
  <c r="AB663" i="2"/>
  <c r="AC663" i="2"/>
  <c r="AD663" i="2" s="1"/>
  <c r="H664" i="2"/>
  <c r="N664" i="2" s="1"/>
  <c r="O664" i="2"/>
  <c r="R664" i="2"/>
  <c r="S664" i="2" s="1"/>
  <c r="U664" i="2"/>
  <c r="Z664" i="2"/>
  <c r="AB664" i="2"/>
  <c r="AC664" i="2"/>
  <c r="H665" i="2"/>
  <c r="N665" i="2"/>
  <c r="O665" i="2"/>
  <c r="S665" i="2" s="1"/>
  <c r="R665" i="2"/>
  <c r="U665" i="2"/>
  <c r="Z665" i="2"/>
  <c r="AC665" i="2" s="1"/>
  <c r="AD665" i="2" s="1"/>
  <c r="AB665" i="2"/>
  <c r="H666" i="2"/>
  <c r="N666" i="2"/>
  <c r="O666" i="2"/>
  <c r="R666" i="2"/>
  <c r="U666" i="2"/>
  <c r="Z666" i="2"/>
  <c r="AC666" i="2" s="1"/>
  <c r="AB666" i="2"/>
  <c r="AD666" i="2"/>
  <c r="H667" i="2"/>
  <c r="N667" i="2" s="1"/>
  <c r="O667" i="2"/>
  <c r="R667" i="2"/>
  <c r="S667" i="2" s="1"/>
  <c r="U667" i="2"/>
  <c r="Z667" i="2"/>
  <c r="AB667" i="2"/>
  <c r="AC667" i="2"/>
  <c r="H668" i="2"/>
  <c r="N668" i="2"/>
  <c r="O668" i="2"/>
  <c r="R668" i="2"/>
  <c r="S668" i="2"/>
  <c r="U668" i="2"/>
  <c r="Z668" i="2"/>
  <c r="AB668" i="2"/>
  <c r="AC668" i="2"/>
  <c r="AD668" i="2"/>
  <c r="H669" i="2"/>
  <c r="N669" i="2"/>
  <c r="O669" i="2"/>
  <c r="S669" i="2" s="1"/>
  <c r="R669" i="2"/>
  <c r="U669" i="2"/>
  <c r="Z669" i="2"/>
  <c r="AC669" i="2" s="1"/>
  <c r="AD669" i="2" s="1"/>
  <c r="AB669" i="2"/>
  <c r="F670" i="2"/>
  <c r="F671" i="2" s="1"/>
  <c r="F672" i="2" s="1"/>
  <c r="F673" i="2" s="1"/>
  <c r="F674" i="2" s="1"/>
  <c r="F675" i="2" s="1"/>
  <c r="F676" i="2" s="1"/>
  <c r="F677" i="2" s="1"/>
  <c r="F678" i="2" s="1"/>
  <c r="F679" i="2" s="1"/>
  <c r="F680" i="2" s="1"/>
  <c r="F681" i="2" s="1"/>
  <c r="F682" i="2" s="1"/>
  <c r="F683" i="2" s="1"/>
  <c r="F684" i="2" s="1"/>
  <c r="F685" i="2" s="1"/>
  <c r="F686" i="2" s="1"/>
  <c r="F687" i="2" s="1"/>
  <c r="F688" i="2" s="1"/>
  <c r="F689" i="2" s="1"/>
  <c r="F690" i="2" s="1"/>
  <c r="F691" i="2" s="1"/>
  <c r="F692" i="2" s="1"/>
  <c r="F693" i="2" s="1"/>
  <c r="F694" i="2" s="1"/>
  <c r="F695" i="2" s="1"/>
  <c r="F696" i="2" s="1"/>
  <c r="F697" i="2" s="1"/>
  <c r="F698" i="2" s="1"/>
  <c r="H670" i="2"/>
  <c r="N670" i="2"/>
  <c r="O670" i="2"/>
  <c r="R670" i="2"/>
  <c r="S670" i="2" s="1"/>
  <c r="U670" i="2"/>
  <c r="Z670" i="2"/>
  <c r="AC670" i="2" s="1"/>
  <c r="AB670" i="2"/>
  <c r="AD670" i="2" s="1"/>
  <c r="AG670" i="2"/>
  <c r="AM670" i="2" s="1"/>
  <c r="AN670" i="2" s="1"/>
  <c r="AP670" i="2" s="1"/>
  <c r="AQ670" i="2" s="1"/>
  <c r="AH670" i="2"/>
  <c r="AL670" i="2" s="1"/>
  <c r="AI670" i="2"/>
  <c r="AJ670" i="2" s="1"/>
  <c r="AO670" i="2"/>
  <c r="H671" i="2"/>
  <c r="AL671" i="2" s="1"/>
  <c r="O671" i="2"/>
  <c r="R671" i="2"/>
  <c r="S671" i="2"/>
  <c r="U671" i="2"/>
  <c r="Z671" i="2"/>
  <c r="AB671" i="2"/>
  <c r="AC671" i="2"/>
  <c r="AD671" i="2" s="1"/>
  <c r="AG671" i="2"/>
  <c r="AH671" i="2"/>
  <c r="AI671" i="2"/>
  <c r="AJ671" i="2" s="1"/>
  <c r="AM671" i="2" s="1"/>
  <c r="AN671" i="2" s="1"/>
  <c r="AP671" i="2" s="1"/>
  <c r="AQ671" i="2" s="1"/>
  <c r="AO671" i="2"/>
  <c r="H672" i="2"/>
  <c r="AL672" i="2" s="1"/>
  <c r="O672" i="2"/>
  <c r="R672" i="2"/>
  <c r="S672" i="2"/>
  <c r="U672" i="2"/>
  <c r="Z672" i="2"/>
  <c r="AB672" i="2"/>
  <c r="AC672" i="2"/>
  <c r="AD672" i="2" s="1"/>
  <c r="AG672" i="2"/>
  <c r="AM672" i="2" s="1"/>
  <c r="AN672" i="2" s="1"/>
  <c r="AP672" i="2" s="1"/>
  <c r="AQ672" i="2" s="1"/>
  <c r="AH672" i="2"/>
  <c r="AI672" i="2"/>
  <c r="AJ672" i="2" s="1"/>
  <c r="AO672" i="2"/>
  <c r="H673" i="2"/>
  <c r="N673" i="2" s="1"/>
  <c r="O673" i="2"/>
  <c r="S673" i="2" s="1"/>
  <c r="R673" i="2"/>
  <c r="U673" i="2"/>
  <c r="Z673" i="2"/>
  <c r="AC673" i="2" s="1"/>
  <c r="AD673" i="2" s="1"/>
  <c r="AB673" i="2"/>
  <c r="AG673" i="2"/>
  <c r="AM673" i="2" s="1"/>
  <c r="AN673" i="2" s="1"/>
  <c r="AH673" i="2"/>
  <c r="AI673" i="2"/>
  <c r="AJ673" i="2"/>
  <c r="H674" i="2"/>
  <c r="N674" i="2"/>
  <c r="O674" i="2"/>
  <c r="S674" i="2" s="1"/>
  <c r="R674" i="2"/>
  <c r="U674" i="2"/>
  <c r="Z674" i="2"/>
  <c r="AB674" i="2"/>
  <c r="AC674" i="2"/>
  <c r="AD674" i="2" s="1"/>
  <c r="H675" i="2"/>
  <c r="N675" i="2" s="1"/>
  <c r="O675" i="2"/>
  <c r="S675" i="2" s="1"/>
  <c r="R675" i="2"/>
  <c r="U675" i="2"/>
  <c r="Z675" i="2"/>
  <c r="AC675" i="2" s="1"/>
  <c r="AD675" i="2" s="1"/>
  <c r="AB675" i="2"/>
  <c r="H676" i="2"/>
  <c r="N676" i="2" s="1"/>
  <c r="O676" i="2"/>
  <c r="S676" i="2" s="1"/>
  <c r="R676" i="2"/>
  <c r="U676" i="2"/>
  <c r="Z676" i="2"/>
  <c r="AC676" i="2" s="1"/>
  <c r="AD676" i="2" s="1"/>
  <c r="AB676" i="2"/>
  <c r="H677" i="2"/>
  <c r="N677" i="2" s="1"/>
  <c r="O677" i="2"/>
  <c r="R677" i="2"/>
  <c r="S677" i="2" s="1"/>
  <c r="U677" i="2"/>
  <c r="Z677" i="2"/>
  <c r="AB677" i="2"/>
  <c r="AC677" i="2"/>
  <c r="AD677" i="2" s="1"/>
  <c r="H678" i="2"/>
  <c r="N678" i="2" s="1"/>
  <c r="O678" i="2"/>
  <c r="R678" i="2"/>
  <c r="S678" i="2"/>
  <c r="U678" i="2"/>
  <c r="Z678" i="2"/>
  <c r="AB678" i="2"/>
  <c r="AC678" i="2"/>
  <c r="AD678" i="2" s="1"/>
  <c r="H679" i="2"/>
  <c r="N679" i="2"/>
  <c r="O679" i="2"/>
  <c r="S679" i="2" s="1"/>
  <c r="R679" i="2"/>
  <c r="U679" i="2"/>
  <c r="Z679" i="2"/>
  <c r="AC679" i="2" s="1"/>
  <c r="AD679" i="2" s="1"/>
  <c r="AB679" i="2"/>
  <c r="H680" i="2"/>
  <c r="N680" i="2"/>
  <c r="O680" i="2"/>
  <c r="S680" i="2" s="1"/>
  <c r="R680" i="2"/>
  <c r="U680" i="2"/>
  <c r="Z680" i="2"/>
  <c r="AC680" i="2" s="1"/>
  <c r="AD680" i="2" s="1"/>
  <c r="AB680" i="2"/>
  <c r="H681" i="2"/>
  <c r="N681" i="2"/>
  <c r="O681" i="2"/>
  <c r="R681" i="2"/>
  <c r="S681" i="2" s="1"/>
  <c r="U681" i="2"/>
  <c r="Z681" i="2"/>
  <c r="AB681" i="2"/>
  <c r="AD681" i="2" s="1"/>
  <c r="AC681" i="2"/>
  <c r="H682" i="2"/>
  <c r="N682" i="2" s="1"/>
  <c r="O682" i="2"/>
  <c r="R682" i="2"/>
  <c r="S682" i="2"/>
  <c r="U682" i="2"/>
  <c r="Z682" i="2"/>
  <c r="AB682" i="2"/>
  <c r="AC682" i="2"/>
  <c r="AD682" i="2" s="1"/>
  <c r="H683" i="2"/>
  <c r="N683" i="2"/>
  <c r="O683" i="2"/>
  <c r="S683" i="2" s="1"/>
  <c r="R683" i="2"/>
  <c r="U683" i="2"/>
  <c r="Z683" i="2"/>
  <c r="AC683" i="2" s="1"/>
  <c r="AD683" i="2" s="1"/>
  <c r="AB683" i="2"/>
  <c r="H684" i="2"/>
  <c r="N684" i="2" s="1"/>
  <c r="O684" i="2"/>
  <c r="S684" i="2" s="1"/>
  <c r="R684" i="2"/>
  <c r="U684" i="2"/>
  <c r="Z684" i="2"/>
  <c r="AC684" i="2" s="1"/>
  <c r="AD684" i="2" s="1"/>
  <c r="AB684" i="2"/>
  <c r="H685" i="2"/>
  <c r="N685" i="2" s="1"/>
  <c r="O685" i="2"/>
  <c r="R685" i="2"/>
  <c r="S685" i="2" s="1"/>
  <c r="U685" i="2"/>
  <c r="Z685" i="2"/>
  <c r="AB685" i="2"/>
  <c r="AC685" i="2"/>
  <c r="AD685" i="2" s="1"/>
  <c r="H686" i="2"/>
  <c r="N686" i="2" s="1"/>
  <c r="O686" i="2"/>
  <c r="R686" i="2"/>
  <c r="S686" i="2"/>
  <c r="U686" i="2"/>
  <c r="Z686" i="2"/>
  <c r="AB686" i="2"/>
  <c r="AC686" i="2"/>
  <c r="AD686" i="2" s="1"/>
  <c r="H687" i="2"/>
  <c r="N687" i="2"/>
  <c r="O687" i="2"/>
  <c r="S687" i="2" s="1"/>
  <c r="R687" i="2"/>
  <c r="U687" i="2"/>
  <c r="Z687" i="2"/>
  <c r="AC687" i="2" s="1"/>
  <c r="AD687" i="2" s="1"/>
  <c r="AB687" i="2"/>
  <c r="H688" i="2"/>
  <c r="N688" i="2" s="1"/>
  <c r="O688" i="2"/>
  <c r="S688" i="2" s="1"/>
  <c r="R688" i="2"/>
  <c r="U688" i="2"/>
  <c r="Z688" i="2"/>
  <c r="AC688" i="2" s="1"/>
  <c r="AD688" i="2" s="1"/>
  <c r="AB688" i="2"/>
  <c r="AG688" i="2"/>
  <c r="AM688" i="2" s="1"/>
  <c r="AN688" i="2" s="1"/>
  <c r="AP688" i="2" s="1"/>
  <c r="AQ688" i="2" s="1"/>
  <c r="AH688" i="2"/>
  <c r="AO688" i="2" s="1"/>
  <c r="AI688" i="2"/>
  <c r="AJ688" i="2" s="1"/>
  <c r="AL688" i="2"/>
  <c r="H689" i="2"/>
  <c r="N689" i="2"/>
  <c r="O689" i="2"/>
  <c r="S689" i="2" s="1"/>
  <c r="R689" i="2"/>
  <c r="U689" i="2"/>
  <c r="Z689" i="2"/>
  <c r="AC689" i="2" s="1"/>
  <c r="AD689" i="2" s="1"/>
  <c r="AB689" i="2"/>
  <c r="AG689" i="2"/>
  <c r="AM689" i="2" s="1"/>
  <c r="AN689" i="2" s="1"/>
  <c r="AP689" i="2" s="1"/>
  <c r="AQ689" i="2" s="1"/>
  <c r="AH689" i="2"/>
  <c r="AI689" i="2"/>
  <c r="AJ689" i="2"/>
  <c r="AL689" i="2"/>
  <c r="AO689" i="2"/>
  <c r="H690" i="2"/>
  <c r="AL690" i="2" s="1"/>
  <c r="O690" i="2"/>
  <c r="R690" i="2"/>
  <c r="S690" i="2"/>
  <c r="U690" i="2"/>
  <c r="Z690" i="2"/>
  <c r="AB690" i="2"/>
  <c r="AC690" i="2"/>
  <c r="AD690" i="2" s="1"/>
  <c r="AG690" i="2"/>
  <c r="AH690" i="2"/>
  <c r="AI690" i="2"/>
  <c r="AJ690" i="2" s="1"/>
  <c r="H691" i="2"/>
  <c r="N691" i="2" s="1"/>
  <c r="O691" i="2"/>
  <c r="R691" i="2"/>
  <c r="S691" i="2" s="1"/>
  <c r="U691" i="2"/>
  <c r="Z691" i="2"/>
  <c r="AB691" i="2"/>
  <c r="AC691" i="2"/>
  <c r="AD691" i="2" s="1"/>
  <c r="AG691" i="2"/>
  <c r="AH691" i="2"/>
  <c r="AO691" i="2" s="1"/>
  <c r="AI691" i="2"/>
  <c r="AJ691" i="2"/>
  <c r="AM691" i="2"/>
  <c r="AN691" i="2" s="1"/>
  <c r="H692" i="2"/>
  <c r="N692" i="2" s="1"/>
  <c r="O692" i="2"/>
  <c r="S692" i="2" s="1"/>
  <c r="R692" i="2"/>
  <c r="U692" i="2"/>
  <c r="Z692" i="2"/>
  <c r="AC692" i="2" s="1"/>
  <c r="AD692" i="2" s="1"/>
  <c r="AB692" i="2"/>
  <c r="AG692" i="2"/>
  <c r="AM692" i="2" s="1"/>
  <c r="AN692" i="2" s="1"/>
  <c r="AP692" i="2" s="1"/>
  <c r="AQ692" i="2" s="1"/>
  <c r="AH692" i="2"/>
  <c r="AO692" i="2" s="1"/>
  <c r="AI692" i="2"/>
  <c r="AJ692" i="2"/>
  <c r="AL692" i="2"/>
  <c r="H693" i="2"/>
  <c r="N693" i="2"/>
  <c r="O693" i="2"/>
  <c r="S693" i="2" s="1"/>
  <c r="R693" i="2"/>
  <c r="U693" i="2"/>
  <c r="Z693" i="2"/>
  <c r="AC693" i="2" s="1"/>
  <c r="AD693" i="2" s="1"/>
  <c r="AB693" i="2"/>
  <c r="AG693" i="2"/>
  <c r="AM693" i="2" s="1"/>
  <c r="AN693" i="2" s="1"/>
  <c r="AP693" i="2" s="1"/>
  <c r="AQ693" i="2" s="1"/>
  <c r="AH693" i="2"/>
  <c r="AI693" i="2"/>
  <c r="AJ693" i="2"/>
  <c r="AL693" i="2"/>
  <c r="AO693" i="2"/>
  <c r="H694" i="2"/>
  <c r="AL694" i="2" s="1"/>
  <c r="O694" i="2"/>
  <c r="R694" i="2"/>
  <c r="S694" i="2"/>
  <c r="U694" i="2"/>
  <c r="Z694" i="2"/>
  <c r="AB694" i="2"/>
  <c r="AC694" i="2"/>
  <c r="AD694" i="2" s="1"/>
  <c r="AG694" i="2"/>
  <c r="AM694" i="2" s="1"/>
  <c r="AN694" i="2" s="1"/>
  <c r="AP694" i="2" s="1"/>
  <c r="AQ694" i="2" s="1"/>
  <c r="AH694" i="2"/>
  <c r="AI694" i="2"/>
  <c r="AJ694" i="2" s="1"/>
  <c r="AO694" i="2"/>
  <c r="H695" i="2"/>
  <c r="AL695" i="2" s="1"/>
  <c r="N695" i="2"/>
  <c r="O695" i="2"/>
  <c r="R695" i="2"/>
  <c r="S695" i="2" s="1"/>
  <c r="U695" i="2"/>
  <c r="Z695" i="2"/>
  <c r="AB695" i="2"/>
  <c r="AD695" i="2" s="1"/>
  <c r="AC695" i="2"/>
  <c r="AG695" i="2"/>
  <c r="AH695" i="2"/>
  <c r="AO695" i="2" s="1"/>
  <c r="AI695" i="2"/>
  <c r="AJ695" i="2" s="1"/>
  <c r="AM695" i="2" s="1"/>
  <c r="AN695" i="2" s="1"/>
  <c r="AP695" i="2" s="1"/>
  <c r="AQ695" i="2" s="1"/>
  <c r="H696" i="2"/>
  <c r="N696" i="2" s="1"/>
  <c r="O696" i="2"/>
  <c r="S696" i="2" s="1"/>
  <c r="R696" i="2"/>
  <c r="U696" i="2"/>
  <c r="Z696" i="2"/>
  <c r="AC696" i="2" s="1"/>
  <c r="AD696" i="2" s="1"/>
  <c r="AB696" i="2"/>
  <c r="AG696" i="2"/>
  <c r="AH696" i="2"/>
  <c r="AO696" i="2" s="1"/>
  <c r="AI696" i="2"/>
  <c r="AJ696" i="2" s="1"/>
  <c r="AL696" i="2"/>
  <c r="H697" i="2"/>
  <c r="N697" i="2"/>
  <c r="O697" i="2"/>
  <c r="S697" i="2" s="1"/>
  <c r="R697" i="2"/>
  <c r="U697" i="2"/>
  <c r="Z697" i="2"/>
  <c r="AC697" i="2" s="1"/>
  <c r="AB697" i="2"/>
  <c r="AD697" i="2"/>
  <c r="AG697" i="2"/>
  <c r="AM697" i="2" s="1"/>
  <c r="AN697" i="2" s="1"/>
  <c r="AH697" i="2"/>
  <c r="AI697" i="2"/>
  <c r="AJ697" i="2"/>
  <c r="AL697" i="2"/>
  <c r="AO697" i="2"/>
  <c r="H698" i="2"/>
  <c r="AL698" i="2" s="1"/>
  <c r="O698" i="2"/>
  <c r="R698" i="2"/>
  <c r="S698" i="2"/>
  <c r="U698" i="2"/>
  <c r="Z698" i="2"/>
  <c r="AB698" i="2"/>
  <c r="AC698" i="2"/>
  <c r="AD698" i="2" s="1"/>
  <c r="AG698" i="2"/>
  <c r="AH698" i="2"/>
  <c r="AI698" i="2"/>
  <c r="AJ698" i="2" s="1"/>
  <c r="F699" i="2"/>
  <c r="F700" i="2" s="1"/>
  <c r="F701" i="2" s="1"/>
  <c r="F702" i="2" s="1"/>
  <c r="H699" i="2"/>
  <c r="N699" i="2" s="1"/>
  <c r="O699" i="2"/>
  <c r="R699" i="2"/>
  <c r="S699" i="2" s="1"/>
  <c r="U699" i="2"/>
  <c r="Z699" i="2"/>
  <c r="AB699" i="2"/>
  <c r="AC699" i="2"/>
  <c r="H700" i="2"/>
  <c r="N700" i="2" s="1"/>
  <c r="O700" i="2"/>
  <c r="R700" i="2"/>
  <c r="S700" i="2"/>
  <c r="U700" i="2"/>
  <c r="Z700" i="2"/>
  <c r="AB700" i="2"/>
  <c r="AC700" i="2"/>
  <c r="AD700" i="2" s="1"/>
  <c r="H701" i="2"/>
  <c r="N701" i="2"/>
  <c r="O701" i="2"/>
  <c r="S701" i="2" s="1"/>
  <c r="R701" i="2"/>
  <c r="U701" i="2"/>
  <c r="Z701" i="2"/>
  <c r="AC701" i="2" s="1"/>
  <c r="AB701" i="2"/>
  <c r="AD701" i="2"/>
  <c r="H702" i="2"/>
  <c r="N702" i="2" s="1"/>
  <c r="O702" i="2"/>
  <c r="S702" i="2" s="1"/>
  <c r="R702" i="2"/>
  <c r="U702" i="2"/>
  <c r="Z702" i="2"/>
  <c r="AC702" i="2" s="1"/>
  <c r="AD702" i="2" s="1"/>
  <c r="AB702" i="2"/>
  <c r="F703" i="2"/>
  <c r="F704" i="2" s="1"/>
  <c r="F705" i="2" s="1"/>
  <c r="F706" i="2" s="1"/>
  <c r="F707" i="2" s="1"/>
  <c r="F708" i="2" s="1"/>
  <c r="F709" i="2" s="1"/>
  <c r="F710" i="2" s="1"/>
  <c r="H703" i="2"/>
  <c r="N703" i="2"/>
  <c r="O703" i="2"/>
  <c r="R703" i="2"/>
  <c r="S703" i="2" s="1"/>
  <c r="U703" i="2"/>
  <c r="Z703" i="2"/>
  <c r="AB703" i="2"/>
  <c r="AD703" i="2" s="1"/>
  <c r="AC703" i="2"/>
  <c r="H704" i="2"/>
  <c r="N704" i="2" s="1"/>
  <c r="O704" i="2"/>
  <c r="R704" i="2"/>
  <c r="S704" i="2"/>
  <c r="U704" i="2"/>
  <c r="Z704" i="2"/>
  <c r="AB704" i="2"/>
  <c r="AC704" i="2"/>
  <c r="AD704" i="2" s="1"/>
  <c r="H705" i="2"/>
  <c r="N705" i="2"/>
  <c r="O705" i="2"/>
  <c r="S705" i="2" s="1"/>
  <c r="R705" i="2"/>
  <c r="U705" i="2"/>
  <c r="Z705" i="2"/>
  <c r="AC705" i="2" s="1"/>
  <c r="AB705" i="2"/>
  <c r="AD705" i="2"/>
  <c r="H706" i="2"/>
  <c r="N706" i="2" s="1"/>
  <c r="O706" i="2"/>
  <c r="S706" i="2" s="1"/>
  <c r="R706" i="2"/>
  <c r="U706" i="2"/>
  <c r="Z706" i="2"/>
  <c r="AC706" i="2" s="1"/>
  <c r="AD706" i="2" s="1"/>
  <c r="AB706" i="2"/>
  <c r="H707" i="2"/>
  <c r="N707" i="2" s="1"/>
  <c r="O707" i="2"/>
  <c r="R707" i="2"/>
  <c r="S707" i="2" s="1"/>
  <c r="U707" i="2"/>
  <c r="Z707" i="2"/>
  <c r="AB707" i="2"/>
  <c r="AC707" i="2"/>
  <c r="AD707" i="2" s="1"/>
  <c r="H708" i="2"/>
  <c r="N708" i="2" s="1"/>
  <c r="O708" i="2"/>
  <c r="R708" i="2"/>
  <c r="S708" i="2"/>
  <c r="U708" i="2"/>
  <c r="Z708" i="2"/>
  <c r="AB708" i="2"/>
  <c r="AC708" i="2"/>
  <c r="AD708" i="2" s="1"/>
  <c r="H709" i="2"/>
  <c r="N709" i="2"/>
  <c r="O709" i="2"/>
  <c r="S709" i="2" s="1"/>
  <c r="R709" i="2"/>
  <c r="U709" i="2"/>
  <c r="Z709" i="2"/>
  <c r="AC709" i="2" s="1"/>
  <c r="AB709" i="2"/>
  <c r="AD709" i="2"/>
  <c r="H710" i="2"/>
  <c r="N710" i="2" s="1"/>
  <c r="O710" i="2"/>
  <c r="S710" i="2" s="1"/>
  <c r="R710" i="2"/>
  <c r="U710" i="2"/>
  <c r="Z710" i="2"/>
  <c r="AC710" i="2" s="1"/>
  <c r="AD710" i="2" s="1"/>
  <c r="AB710" i="2"/>
  <c r="F711" i="2"/>
  <c r="F712" i="2" s="1"/>
  <c r="F713" i="2" s="1"/>
  <c r="F714" i="2" s="1"/>
  <c r="H711" i="2"/>
  <c r="AL711" i="2" s="1"/>
  <c r="N711" i="2"/>
  <c r="O711" i="2"/>
  <c r="R711" i="2"/>
  <c r="S711" i="2" s="1"/>
  <c r="U711" i="2"/>
  <c r="Z711" i="2"/>
  <c r="AB711" i="2"/>
  <c r="AD711" i="2" s="1"/>
  <c r="AC711" i="2"/>
  <c r="AG711" i="2"/>
  <c r="AH711" i="2"/>
  <c r="AO711" i="2" s="1"/>
  <c r="AI711" i="2"/>
  <c r="AJ711" i="2" s="1"/>
  <c r="AM711" i="2" s="1"/>
  <c r="AN711" i="2" s="1"/>
  <c r="AP711" i="2" s="1"/>
  <c r="AQ711" i="2" s="1"/>
  <c r="H712" i="2"/>
  <c r="N712" i="2" s="1"/>
  <c r="O712" i="2"/>
  <c r="S712" i="2" s="1"/>
  <c r="R712" i="2"/>
  <c r="U712" i="2"/>
  <c r="Z712" i="2"/>
  <c r="AC712" i="2" s="1"/>
  <c r="AB712" i="2"/>
  <c r="AG712" i="2"/>
  <c r="AM712" i="2" s="1"/>
  <c r="AN712" i="2" s="1"/>
  <c r="AP712" i="2" s="1"/>
  <c r="AQ712" i="2" s="1"/>
  <c r="AH712" i="2"/>
  <c r="AO712" i="2" s="1"/>
  <c r="AI712" i="2"/>
  <c r="AJ712" i="2" s="1"/>
  <c r="AL712" i="2"/>
  <c r="H713" i="2"/>
  <c r="N713" i="2"/>
  <c r="O713" i="2"/>
  <c r="S713" i="2" s="1"/>
  <c r="R713" i="2"/>
  <c r="U713" i="2"/>
  <c r="Z713" i="2"/>
  <c r="AC713" i="2" s="1"/>
  <c r="AB713" i="2"/>
  <c r="AD713" i="2"/>
  <c r="AG713" i="2"/>
  <c r="AH713" i="2"/>
  <c r="AI713" i="2"/>
  <c r="AJ713" i="2"/>
  <c r="AL713" i="2"/>
  <c r="AO713" i="2"/>
  <c r="H714" i="2"/>
  <c r="O714" i="2"/>
  <c r="R714" i="2"/>
  <c r="S714" i="2"/>
  <c r="U714" i="2"/>
  <c r="Z714" i="2"/>
  <c r="AB714" i="2"/>
  <c r="AC714" i="2"/>
  <c r="AD714" i="2" s="1"/>
  <c r="AG714" i="2"/>
  <c r="AH714" i="2"/>
  <c r="AI714" i="2"/>
  <c r="AJ714" i="2" s="1"/>
  <c r="F715" i="2"/>
  <c r="F716" i="2" s="1"/>
  <c r="F717" i="2" s="1"/>
  <c r="H715" i="2"/>
  <c r="N715" i="2" s="1"/>
  <c r="O715" i="2"/>
  <c r="R715" i="2"/>
  <c r="S715" i="2" s="1"/>
  <c r="U715" i="2"/>
  <c r="Z715" i="2"/>
  <c r="AB715" i="2"/>
  <c r="AC715" i="2"/>
  <c r="AD715" i="2" s="1"/>
  <c r="H716" i="2"/>
  <c r="N716" i="2" s="1"/>
  <c r="O716" i="2"/>
  <c r="R716" i="2"/>
  <c r="S716" i="2"/>
  <c r="U716" i="2"/>
  <c r="Z716" i="2"/>
  <c r="AB716" i="2"/>
  <c r="AC716" i="2"/>
  <c r="AD716" i="2" s="1"/>
  <c r="H717" i="2"/>
  <c r="N717" i="2"/>
  <c r="O717" i="2"/>
  <c r="S717" i="2" s="1"/>
  <c r="R717" i="2"/>
  <c r="U717" i="2"/>
  <c r="Z717" i="2"/>
  <c r="AC717" i="2" s="1"/>
  <c r="AD717" i="2" s="1"/>
  <c r="AB717" i="2"/>
  <c r="F718" i="2"/>
  <c r="F719" i="2" s="1"/>
  <c r="F720" i="2" s="1"/>
  <c r="F721" i="2" s="1"/>
  <c r="F722" i="2" s="1"/>
  <c r="F723" i="2" s="1"/>
  <c r="F724" i="2" s="1"/>
  <c r="F725" i="2" s="1"/>
  <c r="F726" i="2" s="1"/>
  <c r="F727" i="2" s="1"/>
  <c r="F728" i="2" s="1"/>
  <c r="F729" i="2" s="1"/>
  <c r="F730" i="2" s="1"/>
  <c r="F731" i="2" s="1"/>
  <c r="F732" i="2" s="1"/>
  <c r="F733" i="2" s="1"/>
  <c r="F734" i="2" s="1"/>
  <c r="F735" i="2" s="1"/>
  <c r="F736" i="2" s="1"/>
  <c r="F737" i="2" s="1"/>
  <c r="F738" i="2" s="1"/>
  <c r="F739" i="2" s="1"/>
  <c r="F740" i="2" s="1"/>
  <c r="F741" i="2" s="1"/>
  <c r="F742" i="2" s="1"/>
  <c r="F743" i="2" s="1"/>
  <c r="F744" i="2" s="1"/>
  <c r="F745" i="2" s="1"/>
  <c r="F746" i="2" s="1"/>
  <c r="F747" i="2" s="1"/>
  <c r="F748" i="2" s="1"/>
  <c r="F749" i="2" s="1"/>
  <c r="F750" i="2" s="1"/>
  <c r="F751" i="2" s="1"/>
  <c r="H718" i="2"/>
  <c r="N718" i="2" s="1"/>
  <c r="O718" i="2"/>
  <c r="S718" i="2" s="1"/>
  <c r="R718" i="2"/>
  <c r="U718" i="2"/>
  <c r="Z718" i="2"/>
  <c r="AC718" i="2" s="1"/>
  <c r="AD718" i="2" s="1"/>
  <c r="AB718" i="2"/>
  <c r="H719" i="2"/>
  <c r="N719" i="2"/>
  <c r="O719" i="2"/>
  <c r="R719" i="2"/>
  <c r="S719" i="2" s="1"/>
  <c r="U719" i="2"/>
  <c r="Z719" i="2"/>
  <c r="AB719" i="2"/>
  <c r="AD719" i="2" s="1"/>
  <c r="AC719" i="2"/>
  <c r="H720" i="2"/>
  <c r="N720" i="2" s="1"/>
  <c r="O720" i="2"/>
  <c r="R720" i="2"/>
  <c r="S720" i="2"/>
  <c r="U720" i="2"/>
  <c r="Z720" i="2"/>
  <c r="AB720" i="2"/>
  <c r="AC720" i="2"/>
  <c r="AD720" i="2" s="1"/>
  <c r="H721" i="2"/>
  <c r="N721" i="2"/>
  <c r="O721" i="2"/>
  <c r="S721" i="2" s="1"/>
  <c r="R721" i="2"/>
  <c r="U721" i="2"/>
  <c r="Z721" i="2"/>
  <c r="AC721" i="2" s="1"/>
  <c r="AD721" i="2" s="1"/>
  <c r="AB721" i="2"/>
  <c r="H722" i="2"/>
  <c r="N722" i="2" s="1"/>
  <c r="O722" i="2"/>
  <c r="R722" i="2"/>
  <c r="U722" i="2"/>
  <c r="Z722" i="2"/>
  <c r="AC722" i="2" s="1"/>
  <c r="AD722" i="2" s="1"/>
  <c r="AB722" i="2"/>
  <c r="H723" i="2"/>
  <c r="N723" i="2" s="1"/>
  <c r="O723" i="2"/>
  <c r="R723" i="2"/>
  <c r="S723" i="2" s="1"/>
  <c r="U723" i="2"/>
  <c r="Z723" i="2"/>
  <c r="AB723" i="2"/>
  <c r="AC723" i="2"/>
  <c r="AD723" i="2" s="1"/>
  <c r="H724" i="2"/>
  <c r="N724" i="2" s="1"/>
  <c r="O724" i="2"/>
  <c r="R724" i="2"/>
  <c r="S724" i="2"/>
  <c r="U724" i="2"/>
  <c r="Z724" i="2"/>
  <c r="AB724" i="2"/>
  <c r="AC724" i="2"/>
  <c r="AD724" i="2" s="1"/>
  <c r="H725" i="2"/>
  <c r="N725" i="2"/>
  <c r="O725" i="2"/>
  <c r="S725" i="2" s="1"/>
  <c r="R725" i="2"/>
  <c r="U725" i="2"/>
  <c r="Z725" i="2"/>
  <c r="AC725" i="2" s="1"/>
  <c r="AB725" i="2"/>
  <c r="AD725" i="2"/>
  <c r="H726" i="2"/>
  <c r="N726" i="2" s="1"/>
  <c r="O726" i="2"/>
  <c r="S726" i="2" s="1"/>
  <c r="R726" i="2"/>
  <c r="U726" i="2"/>
  <c r="Z726" i="2"/>
  <c r="AC726" i="2" s="1"/>
  <c r="AB726" i="2"/>
  <c r="H727" i="2"/>
  <c r="N727" i="2"/>
  <c r="O727" i="2"/>
  <c r="R727" i="2"/>
  <c r="S727" i="2"/>
  <c r="U727" i="2"/>
  <c r="Z727" i="2"/>
  <c r="AB727" i="2"/>
  <c r="AC727" i="2"/>
  <c r="H728" i="2"/>
  <c r="AL728" i="2" s="1"/>
  <c r="N728" i="2"/>
  <c r="O728" i="2"/>
  <c r="R728" i="2"/>
  <c r="S728" i="2"/>
  <c r="U728" i="2"/>
  <c r="Z728" i="2"/>
  <c r="AB728" i="2"/>
  <c r="AC728" i="2"/>
  <c r="AD728" i="2"/>
  <c r="AG728" i="2"/>
  <c r="AH728" i="2"/>
  <c r="AI728" i="2"/>
  <c r="AJ728" i="2" s="1"/>
  <c r="AO728" i="2"/>
  <c r="H729" i="2"/>
  <c r="O729" i="2"/>
  <c r="R729" i="2"/>
  <c r="S729" i="2"/>
  <c r="U729" i="2"/>
  <c r="Z729" i="2"/>
  <c r="AB729" i="2"/>
  <c r="AC729" i="2"/>
  <c r="AG729" i="2"/>
  <c r="AH729" i="2"/>
  <c r="AO729" i="2" s="1"/>
  <c r="AI729" i="2"/>
  <c r="AJ729" i="2" s="1"/>
  <c r="AM729" i="2"/>
  <c r="AN729" i="2" s="1"/>
  <c r="AP729" i="2" s="1"/>
  <c r="H730" i="2"/>
  <c r="N730" i="2" s="1"/>
  <c r="O730" i="2"/>
  <c r="S730" i="2" s="1"/>
  <c r="R730" i="2"/>
  <c r="U730" i="2"/>
  <c r="Z730" i="2"/>
  <c r="AC730" i="2" s="1"/>
  <c r="AB730" i="2"/>
  <c r="AG730" i="2"/>
  <c r="AM730" i="2" s="1"/>
  <c r="AN730" i="2" s="1"/>
  <c r="AP730" i="2" s="1"/>
  <c r="AQ730" i="2" s="1"/>
  <c r="AH730" i="2"/>
  <c r="AO730" i="2" s="1"/>
  <c r="AI730" i="2"/>
  <c r="AJ730" i="2" s="1"/>
  <c r="AL730" i="2"/>
  <c r="H731" i="2"/>
  <c r="N731" i="2"/>
  <c r="O731" i="2"/>
  <c r="S731" i="2" s="1"/>
  <c r="R731" i="2"/>
  <c r="U731" i="2"/>
  <c r="Z731" i="2"/>
  <c r="AC731" i="2" s="1"/>
  <c r="AB731" i="2"/>
  <c r="AD731" i="2"/>
  <c r="AG731" i="2"/>
  <c r="AO731" i="2" s="1"/>
  <c r="AH731" i="2"/>
  <c r="AI731" i="2"/>
  <c r="AJ731" i="2"/>
  <c r="AL731" i="2"/>
  <c r="H732" i="2"/>
  <c r="AL732" i="2" s="1"/>
  <c r="O732" i="2"/>
  <c r="R732" i="2"/>
  <c r="S732" i="2"/>
  <c r="U732" i="2"/>
  <c r="Z732" i="2"/>
  <c r="AB732" i="2"/>
  <c r="AC732" i="2"/>
  <c r="AD732" i="2" s="1"/>
  <c r="AG732" i="2"/>
  <c r="AH732" i="2"/>
  <c r="AI732" i="2"/>
  <c r="AJ732" i="2"/>
  <c r="AO732" i="2"/>
  <c r="H733" i="2"/>
  <c r="O733" i="2"/>
  <c r="R733" i="2"/>
  <c r="S733" i="2"/>
  <c r="U733" i="2"/>
  <c r="Z733" i="2"/>
  <c r="AB733" i="2"/>
  <c r="AC733" i="2"/>
  <c r="AG733" i="2"/>
  <c r="AH733" i="2"/>
  <c r="AO733" i="2" s="1"/>
  <c r="AI733" i="2"/>
  <c r="AJ733" i="2"/>
  <c r="AM733" i="2" s="1"/>
  <c r="AN733" i="2" s="1"/>
  <c r="AP733" i="2" s="1"/>
  <c r="H734" i="2"/>
  <c r="N734" i="2" s="1"/>
  <c r="O734" i="2"/>
  <c r="R734" i="2"/>
  <c r="U734" i="2"/>
  <c r="Z734" i="2"/>
  <c r="AB734" i="2"/>
  <c r="AC734" i="2"/>
  <c r="AD734" i="2" s="1"/>
  <c r="AG734" i="2"/>
  <c r="AH734" i="2"/>
  <c r="AO734" i="2" s="1"/>
  <c r="AI734" i="2"/>
  <c r="AJ734" i="2" s="1"/>
  <c r="AM734" i="2"/>
  <c r="AN734" i="2" s="1"/>
  <c r="AP734" i="2" s="1"/>
  <c r="H735" i="2"/>
  <c r="N735" i="2"/>
  <c r="O735" i="2"/>
  <c r="R735" i="2"/>
  <c r="U735" i="2"/>
  <c r="Z735" i="2"/>
  <c r="AC735" i="2" s="1"/>
  <c r="AB735" i="2"/>
  <c r="AD735" i="2"/>
  <c r="AG735" i="2"/>
  <c r="AM735" i="2" s="1"/>
  <c r="AN735" i="2" s="1"/>
  <c r="AH735" i="2"/>
  <c r="AO735" i="2" s="1"/>
  <c r="AI735" i="2"/>
  <c r="AJ735" i="2"/>
  <c r="AL735" i="2"/>
  <c r="H736" i="2"/>
  <c r="AL736" i="2" s="1"/>
  <c r="O736" i="2"/>
  <c r="S736" i="2" s="1"/>
  <c r="R736" i="2"/>
  <c r="U736" i="2"/>
  <c r="Z736" i="2"/>
  <c r="AB736" i="2"/>
  <c r="AC736" i="2"/>
  <c r="AD736" i="2" s="1"/>
  <c r="AG736" i="2"/>
  <c r="AH736" i="2"/>
  <c r="AI736" i="2"/>
  <c r="AJ736" i="2" s="1"/>
  <c r="AO736" i="2"/>
  <c r="H737" i="2"/>
  <c r="AL737" i="2" s="1"/>
  <c r="O737" i="2"/>
  <c r="R737" i="2"/>
  <c r="S737" i="2" s="1"/>
  <c r="U737" i="2"/>
  <c r="Z737" i="2"/>
  <c r="AB737" i="2"/>
  <c r="AC737" i="2"/>
  <c r="AD737" i="2" s="1"/>
  <c r="AG737" i="2"/>
  <c r="AH737" i="2"/>
  <c r="AO737" i="2" s="1"/>
  <c r="AI737" i="2"/>
  <c r="AJ737" i="2"/>
  <c r="AM737" i="2" s="1"/>
  <c r="AN737" i="2" s="1"/>
  <c r="AP737" i="2" s="1"/>
  <c r="AQ737" i="2" s="1"/>
  <c r="H738" i="2"/>
  <c r="AL738" i="2" s="1"/>
  <c r="O738" i="2"/>
  <c r="S738" i="2" s="1"/>
  <c r="R738" i="2"/>
  <c r="U738" i="2"/>
  <c r="Z738" i="2"/>
  <c r="AB738" i="2"/>
  <c r="AC738" i="2"/>
  <c r="AD738" i="2" s="1"/>
  <c r="AG738" i="2"/>
  <c r="AM738" i="2" s="1"/>
  <c r="AN738" i="2" s="1"/>
  <c r="AH738" i="2"/>
  <c r="AO738" i="2" s="1"/>
  <c r="AI738" i="2"/>
  <c r="AJ738" i="2" s="1"/>
  <c r="H739" i="2"/>
  <c r="N739" i="2"/>
  <c r="O739" i="2"/>
  <c r="S739" i="2" s="1"/>
  <c r="R739" i="2"/>
  <c r="U739" i="2"/>
  <c r="Z739" i="2"/>
  <c r="AC739" i="2" s="1"/>
  <c r="AD739" i="2" s="1"/>
  <c r="AB739" i="2"/>
  <c r="H740" i="2"/>
  <c r="N740" i="2" s="1"/>
  <c r="O740" i="2"/>
  <c r="S740" i="2" s="1"/>
  <c r="R740" i="2"/>
  <c r="U740" i="2"/>
  <c r="Z740" i="2"/>
  <c r="AB740" i="2"/>
  <c r="AC740" i="2"/>
  <c r="AD740" i="2" s="1"/>
  <c r="H741" i="2"/>
  <c r="N741" i="2" s="1"/>
  <c r="O741" i="2"/>
  <c r="R741" i="2"/>
  <c r="S741" i="2" s="1"/>
  <c r="U741" i="2"/>
  <c r="Z741" i="2"/>
  <c r="AB741" i="2"/>
  <c r="AC741" i="2"/>
  <c r="AD741" i="2" s="1"/>
  <c r="H742" i="2"/>
  <c r="N742" i="2" s="1"/>
  <c r="O742" i="2"/>
  <c r="S742" i="2" s="1"/>
  <c r="R742" i="2"/>
  <c r="U742" i="2"/>
  <c r="Z742" i="2"/>
  <c r="AB742" i="2"/>
  <c r="AC742" i="2"/>
  <c r="AD742" i="2" s="1"/>
  <c r="H743" i="2"/>
  <c r="N743" i="2"/>
  <c r="O743" i="2"/>
  <c r="S743" i="2" s="1"/>
  <c r="R743" i="2"/>
  <c r="U743" i="2"/>
  <c r="Z743" i="2"/>
  <c r="AC743" i="2" s="1"/>
  <c r="AD743" i="2" s="1"/>
  <c r="AB743" i="2"/>
  <c r="H744" i="2"/>
  <c r="N744" i="2" s="1"/>
  <c r="O744" i="2"/>
  <c r="R744" i="2"/>
  <c r="S744" i="2"/>
  <c r="U744" i="2"/>
  <c r="Z744" i="2"/>
  <c r="AC744" i="2" s="1"/>
  <c r="AD744" i="2" s="1"/>
  <c r="AB744" i="2"/>
  <c r="H745" i="2"/>
  <c r="N745" i="2"/>
  <c r="O745" i="2"/>
  <c r="R745" i="2"/>
  <c r="S745" i="2"/>
  <c r="U745" i="2"/>
  <c r="Z745" i="2"/>
  <c r="AB745" i="2"/>
  <c r="AC745" i="2"/>
  <c r="AD745" i="2"/>
  <c r="H746" i="2"/>
  <c r="N746" i="2"/>
  <c r="O746" i="2"/>
  <c r="R746" i="2"/>
  <c r="S746" i="2"/>
  <c r="U746" i="2"/>
  <c r="Z746" i="2"/>
  <c r="AC746" i="2" s="1"/>
  <c r="AD746" i="2" s="1"/>
  <c r="AB746" i="2"/>
  <c r="H747" i="2"/>
  <c r="N747" i="2"/>
  <c r="O747" i="2"/>
  <c r="S747" i="2" s="1"/>
  <c r="R747" i="2"/>
  <c r="U747" i="2"/>
  <c r="Z747" i="2"/>
  <c r="AC747" i="2" s="1"/>
  <c r="AD747" i="2" s="1"/>
  <c r="AB747" i="2"/>
  <c r="H748" i="2"/>
  <c r="N748" i="2" s="1"/>
  <c r="O748" i="2"/>
  <c r="S748" i="2" s="1"/>
  <c r="R748" i="2"/>
  <c r="U748" i="2"/>
  <c r="Z748" i="2"/>
  <c r="AB748" i="2"/>
  <c r="AC748" i="2"/>
  <c r="AD748" i="2" s="1"/>
  <c r="H749" i="2"/>
  <c r="N749" i="2" s="1"/>
  <c r="O749" i="2"/>
  <c r="R749" i="2"/>
  <c r="S749" i="2" s="1"/>
  <c r="U749" i="2"/>
  <c r="Z749" i="2"/>
  <c r="AB749" i="2"/>
  <c r="AC749" i="2"/>
  <c r="AD749" i="2" s="1"/>
  <c r="H750" i="2"/>
  <c r="N750" i="2" s="1"/>
  <c r="O750" i="2"/>
  <c r="S750" i="2" s="1"/>
  <c r="R750" i="2"/>
  <c r="U750" i="2"/>
  <c r="Z750" i="2"/>
  <c r="AB750" i="2"/>
  <c r="AC750" i="2"/>
  <c r="AD750" i="2" s="1"/>
  <c r="H751" i="2"/>
  <c r="N751" i="2"/>
  <c r="O751" i="2"/>
  <c r="S751" i="2" s="1"/>
  <c r="R751" i="2"/>
  <c r="U751" i="2"/>
  <c r="Z751" i="2"/>
  <c r="AC751" i="2" s="1"/>
  <c r="AD751" i="2" s="1"/>
  <c r="AB751" i="2"/>
  <c r="F752" i="2"/>
  <c r="H752" i="2"/>
  <c r="N752" i="2" s="1"/>
  <c r="O752" i="2"/>
  <c r="R752" i="2"/>
  <c r="S752" i="2"/>
  <c r="U752" i="2"/>
  <c r="Z752" i="2"/>
  <c r="AC752" i="2" s="1"/>
  <c r="AD752" i="2" s="1"/>
  <c r="AB752" i="2"/>
  <c r="AG752" i="2"/>
  <c r="AH752" i="2"/>
  <c r="AO752" i="2" s="1"/>
  <c r="AI752" i="2"/>
  <c r="AJ752" i="2" s="1"/>
  <c r="AM752" i="2" s="1"/>
  <c r="AN752" i="2" s="1"/>
  <c r="AP752" i="2" s="1"/>
  <c r="AQ752" i="2" s="1"/>
  <c r="AL752" i="2"/>
  <c r="F753" i="2"/>
  <c r="F754" i="2" s="1"/>
  <c r="F755" i="2" s="1"/>
  <c r="F756" i="2" s="1"/>
  <c r="F757" i="2" s="1"/>
  <c r="F758" i="2" s="1"/>
  <c r="F759" i="2" s="1"/>
  <c r="F760" i="2" s="1"/>
  <c r="F761" i="2" s="1"/>
  <c r="F762" i="2" s="1"/>
  <c r="F763" i="2" s="1"/>
  <c r="F764" i="2" s="1"/>
  <c r="F765" i="2" s="1"/>
  <c r="F766" i="2" s="1"/>
  <c r="F767" i="2" s="1"/>
  <c r="F768" i="2" s="1"/>
  <c r="F769" i="2" s="1"/>
  <c r="F770" i="2" s="1"/>
  <c r="F771" i="2" s="1"/>
  <c r="F772" i="2" s="1"/>
  <c r="F773" i="2" s="1"/>
  <c r="F774" i="2" s="1"/>
  <c r="F775" i="2" s="1"/>
  <c r="F776" i="2" s="1"/>
  <c r="F777" i="2" s="1"/>
  <c r="F778" i="2" s="1"/>
  <c r="F779" i="2" s="1"/>
  <c r="F780" i="2" s="1"/>
  <c r="F781" i="2" s="1"/>
  <c r="H753" i="2"/>
  <c r="N753" i="2"/>
  <c r="O753" i="2"/>
  <c r="S753" i="2" s="1"/>
  <c r="R753" i="2"/>
  <c r="U753" i="2"/>
  <c r="Z753" i="2"/>
  <c r="AC753" i="2" s="1"/>
  <c r="AD753" i="2" s="1"/>
  <c r="AB753" i="2"/>
  <c r="AG753" i="2"/>
  <c r="AM753" i="2" s="1"/>
  <c r="AN753" i="2" s="1"/>
  <c r="AH753" i="2"/>
  <c r="AI753" i="2"/>
  <c r="AJ753" i="2"/>
  <c r="AL753" i="2"/>
  <c r="H754" i="2"/>
  <c r="N754" i="2" s="1"/>
  <c r="O754" i="2"/>
  <c r="S754" i="2" s="1"/>
  <c r="R754" i="2"/>
  <c r="U754" i="2"/>
  <c r="Z754" i="2"/>
  <c r="AB754" i="2"/>
  <c r="AC754" i="2"/>
  <c r="AD754" i="2" s="1"/>
  <c r="H755" i="2"/>
  <c r="N755" i="2"/>
  <c r="O755" i="2"/>
  <c r="S755" i="2" s="1"/>
  <c r="R755" i="2"/>
  <c r="U755" i="2"/>
  <c r="Z755" i="2"/>
  <c r="AC755" i="2" s="1"/>
  <c r="AD755" i="2" s="1"/>
  <c r="AB755" i="2"/>
  <c r="H756" i="2"/>
  <c r="N756" i="2" s="1"/>
  <c r="O756" i="2"/>
  <c r="R756" i="2"/>
  <c r="S756" i="2"/>
  <c r="U756" i="2"/>
  <c r="Z756" i="2"/>
  <c r="AC756" i="2" s="1"/>
  <c r="AD756" i="2" s="1"/>
  <c r="AB756" i="2"/>
  <c r="H757" i="2"/>
  <c r="N757" i="2"/>
  <c r="O757" i="2"/>
  <c r="R757" i="2"/>
  <c r="S757" i="2"/>
  <c r="U757" i="2"/>
  <c r="Z757" i="2"/>
  <c r="AB757" i="2"/>
  <c r="AC757" i="2"/>
  <c r="AD757" i="2"/>
  <c r="H758" i="2"/>
  <c r="N758" i="2"/>
  <c r="O758" i="2"/>
  <c r="R758" i="2"/>
  <c r="S758" i="2"/>
  <c r="U758" i="2"/>
  <c r="Z758" i="2"/>
  <c r="AC758" i="2" s="1"/>
  <c r="AD758" i="2" s="1"/>
  <c r="AB758" i="2"/>
  <c r="H759" i="2"/>
  <c r="N759" i="2"/>
  <c r="O759" i="2"/>
  <c r="S759" i="2" s="1"/>
  <c r="R759" i="2"/>
  <c r="U759" i="2"/>
  <c r="Z759" i="2"/>
  <c r="AC759" i="2" s="1"/>
  <c r="AD759" i="2" s="1"/>
  <c r="AB759" i="2"/>
  <c r="H760" i="2"/>
  <c r="N760" i="2" s="1"/>
  <c r="O760" i="2"/>
  <c r="S760" i="2" s="1"/>
  <c r="R760" i="2"/>
  <c r="U760" i="2"/>
  <c r="Z760" i="2"/>
  <c r="AB760" i="2"/>
  <c r="AC760" i="2"/>
  <c r="AD760" i="2" s="1"/>
  <c r="H761" i="2"/>
  <c r="N761" i="2" s="1"/>
  <c r="O761" i="2"/>
  <c r="R761" i="2"/>
  <c r="S761" i="2" s="1"/>
  <c r="U761" i="2"/>
  <c r="Z761" i="2"/>
  <c r="AB761" i="2"/>
  <c r="AC761" i="2"/>
  <c r="AD761" i="2" s="1"/>
  <c r="H762" i="2"/>
  <c r="N762" i="2" s="1"/>
  <c r="O762" i="2"/>
  <c r="S762" i="2" s="1"/>
  <c r="R762" i="2"/>
  <c r="U762" i="2"/>
  <c r="Z762" i="2"/>
  <c r="AB762" i="2"/>
  <c r="AC762" i="2"/>
  <c r="AD762" i="2" s="1"/>
  <c r="AG762" i="2"/>
  <c r="AM762" i="2" s="1"/>
  <c r="AN762" i="2" s="1"/>
  <c r="AH762" i="2"/>
  <c r="AI762" i="2"/>
  <c r="AJ762" i="2"/>
  <c r="H763" i="2"/>
  <c r="AL763" i="2" s="1"/>
  <c r="O763" i="2"/>
  <c r="R763" i="2"/>
  <c r="S763" i="2" s="1"/>
  <c r="U763" i="2"/>
  <c r="Z763" i="2"/>
  <c r="AB763" i="2"/>
  <c r="AC763" i="2"/>
  <c r="AD763" i="2" s="1"/>
  <c r="AG763" i="2"/>
  <c r="AH763" i="2"/>
  <c r="AO763" i="2" s="1"/>
  <c r="AI763" i="2"/>
  <c r="AJ763" i="2"/>
  <c r="AM763" i="2" s="1"/>
  <c r="AN763" i="2" s="1"/>
  <c r="AP763" i="2" s="1"/>
  <c r="AQ763" i="2" s="1"/>
  <c r="H764" i="2"/>
  <c r="AL764" i="2" s="1"/>
  <c r="O764" i="2"/>
  <c r="S764" i="2" s="1"/>
  <c r="R764" i="2"/>
  <c r="U764" i="2"/>
  <c r="Z764" i="2"/>
  <c r="AB764" i="2"/>
  <c r="AC764" i="2"/>
  <c r="AD764" i="2" s="1"/>
  <c r="AG764" i="2"/>
  <c r="AM764" i="2" s="1"/>
  <c r="AN764" i="2" s="1"/>
  <c r="AP764" i="2" s="1"/>
  <c r="AQ764" i="2" s="1"/>
  <c r="AH764" i="2"/>
  <c r="AO764" i="2" s="1"/>
  <c r="AI764" i="2"/>
  <c r="AJ764" i="2" s="1"/>
  <c r="H765" i="2"/>
  <c r="N765" i="2"/>
  <c r="O765" i="2"/>
  <c r="S765" i="2" s="1"/>
  <c r="R765" i="2"/>
  <c r="U765" i="2"/>
  <c r="Z765" i="2"/>
  <c r="AC765" i="2" s="1"/>
  <c r="AD765" i="2" s="1"/>
  <c r="AB765" i="2"/>
  <c r="AG765" i="2"/>
  <c r="AM765" i="2" s="1"/>
  <c r="AN765" i="2" s="1"/>
  <c r="AH765" i="2"/>
  <c r="AO765" i="2" s="1"/>
  <c r="AI765" i="2"/>
  <c r="AJ765" i="2"/>
  <c r="AL765" i="2"/>
  <c r="H766" i="2"/>
  <c r="N766" i="2"/>
  <c r="O766" i="2"/>
  <c r="R766" i="2"/>
  <c r="S766" i="2"/>
  <c r="U766" i="2"/>
  <c r="Z766" i="2"/>
  <c r="AC766" i="2" s="1"/>
  <c r="AD766" i="2" s="1"/>
  <c r="AB766" i="2"/>
  <c r="AG766" i="2"/>
  <c r="AH766" i="2"/>
  <c r="AI766" i="2"/>
  <c r="AJ766" i="2" s="1"/>
  <c r="AL766" i="2"/>
  <c r="AO766" i="2"/>
  <c r="H767" i="2"/>
  <c r="AL767" i="2" s="1"/>
  <c r="N767" i="2"/>
  <c r="O767" i="2"/>
  <c r="R767" i="2"/>
  <c r="S767" i="2"/>
  <c r="U767" i="2"/>
  <c r="Z767" i="2"/>
  <c r="AB767" i="2"/>
  <c r="AC767" i="2"/>
  <c r="AD767" i="2"/>
  <c r="AG767" i="2"/>
  <c r="AH767" i="2"/>
  <c r="AI767" i="2"/>
  <c r="AJ767" i="2" s="1"/>
  <c r="AM767" i="2" s="1"/>
  <c r="AN767" i="2" s="1"/>
  <c r="AP767" i="2" s="1"/>
  <c r="AQ767" i="2" s="1"/>
  <c r="AO767" i="2"/>
  <c r="H768" i="2"/>
  <c r="N768" i="2" s="1"/>
  <c r="O768" i="2"/>
  <c r="R768" i="2"/>
  <c r="S768" i="2"/>
  <c r="U768" i="2"/>
  <c r="Z768" i="2"/>
  <c r="AC768" i="2" s="1"/>
  <c r="AD768" i="2" s="1"/>
  <c r="AB768" i="2"/>
  <c r="AG768" i="2"/>
  <c r="AH768" i="2"/>
  <c r="AO768" i="2" s="1"/>
  <c r="AI768" i="2"/>
  <c r="AJ768" i="2" s="1"/>
  <c r="AM768" i="2" s="1"/>
  <c r="AN768" i="2" s="1"/>
  <c r="AP768" i="2" s="1"/>
  <c r="AQ768" i="2" s="1"/>
  <c r="AL768" i="2"/>
  <c r="H769" i="2"/>
  <c r="N769" i="2"/>
  <c r="O769" i="2"/>
  <c r="S769" i="2" s="1"/>
  <c r="R769" i="2"/>
  <c r="U769" i="2"/>
  <c r="Z769" i="2"/>
  <c r="AC769" i="2" s="1"/>
  <c r="AD769" i="2" s="1"/>
  <c r="AB769" i="2"/>
  <c r="AG769" i="2"/>
  <c r="AM769" i="2" s="1"/>
  <c r="AN769" i="2" s="1"/>
  <c r="AH769" i="2"/>
  <c r="AI769" i="2"/>
  <c r="AJ769" i="2"/>
  <c r="AL769" i="2"/>
  <c r="H770" i="2"/>
  <c r="N770" i="2" s="1"/>
  <c r="O770" i="2"/>
  <c r="S770" i="2" s="1"/>
  <c r="R770" i="2"/>
  <c r="U770" i="2"/>
  <c r="Z770" i="2"/>
  <c r="AB770" i="2"/>
  <c r="AC770" i="2"/>
  <c r="AD770" i="2" s="1"/>
  <c r="H771" i="2"/>
  <c r="N771" i="2"/>
  <c r="O771" i="2"/>
  <c r="S771" i="2" s="1"/>
  <c r="R771" i="2"/>
  <c r="U771" i="2"/>
  <c r="Z771" i="2"/>
  <c r="AC771" i="2" s="1"/>
  <c r="AD771" i="2" s="1"/>
  <c r="AB771" i="2"/>
  <c r="H772" i="2"/>
  <c r="N772" i="2" s="1"/>
  <c r="O772" i="2"/>
  <c r="R772" i="2"/>
  <c r="S772" i="2"/>
  <c r="U772" i="2"/>
  <c r="Z772" i="2"/>
  <c r="AC772" i="2" s="1"/>
  <c r="AD772" i="2" s="1"/>
  <c r="AB772" i="2"/>
  <c r="H773" i="2"/>
  <c r="N773" i="2"/>
  <c r="O773" i="2"/>
  <c r="R773" i="2"/>
  <c r="S773" i="2"/>
  <c r="U773" i="2"/>
  <c r="Z773" i="2"/>
  <c r="AB773" i="2"/>
  <c r="AC773" i="2"/>
  <c r="AD773" i="2"/>
  <c r="H774" i="2"/>
  <c r="N774" i="2"/>
  <c r="O774" i="2"/>
  <c r="R774" i="2"/>
  <c r="S774" i="2"/>
  <c r="U774" i="2"/>
  <c r="Z774" i="2"/>
  <c r="AC774" i="2" s="1"/>
  <c r="AD774" i="2" s="1"/>
  <c r="AB774" i="2"/>
  <c r="H775" i="2"/>
  <c r="N775" i="2"/>
  <c r="O775" i="2"/>
  <c r="S775" i="2" s="1"/>
  <c r="R775" i="2"/>
  <c r="U775" i="2"/>
  <c r="Z775" i="2"/>
  <c r="AC775" i="2" s="1"/>
  <c r="AD775" i="2" s="1"/>
  <c r="AB775" i="2"/>
  <c r="H776" i="2"/>
  <c r="N776" i="2" s="1"/>
  <c r="O776" i="2"/>
  <c r="S776" i="2" s="1"/>
  <c r="R776" i="2"/>
  <c r="U776" i="2"/>
  <c r="Z776" i="2"/>
  <c r="AB776" i="2"/>
  <c r="AC776" i="2"/>
  <c r="AD776" i="2" s="1"/>
  <c r="H777" i="2"/>
  <c r="N777" i="2" s="1"/>
  <c r="O777" i="2"/>
  <c r="R777" i="2"/>
  <c r="S777" i="2" s="1"/>
  <c r="U777" i="2"/>
  <c r="Z777" i="2"/>
  <c r="AB777" i="2"/>
  <c r="AC777" i="2"/>
  <c r="AD777" i="2" s="1"/>
  <c r="H778" i="2"/>
  <c r="N778" i="2" s="1"/>
  <c r="O778" i="2"/>
  <c r="S778" i="2" s="1"/>
  <c r="R778" i="2"/>
  <c r="U778" i="2"/>
  <c r="Z778" i="2"/>
  <c r="AB778" i="2"/>
  <c r="AC778" i="2"/>
  <c r="AD778" i="2" s="1"/>
  <c r="H779" i="2"/>
  <c r="N779" i="2"/>
  <c r="O779" i="2"/>
  <c r="S779" i="2" s="1"/>
  <c r="R779" i="2"/>
  <c r="U779" i="2"/>
  <c r="Z779" i="2"/>
  <c r="AC779" i="2" s="1"/>
  <c r="AD779" i="2" s="1"/>
  <c r="AB779" i="2"/>
  <c r="H780" i="2"/>
  <c r="N780" i="2" s="1"/>
  <c r="O780" i="2"/>
  <c r="R780" i="2"/>
  <c r="S780" i="2"/>
  <c r="U780" i="2"/>
  <c r="Z780" i="2"/>
  <c r="AC780" i="2" s="1"/>
  <c r="AD780" i="2" s="1"/>
  <c r="AB780" i="2"/>
  <c r="H781" i="2"/>
  <c r="N781" i="2"/>
  <c r="O781" i="2"/>
  <c r="R781" i="2"/>
  <c r="S781" i="2"/>
  <c r="U781" i="2"/>
  <c r="Z781" i="2"/>
  <c r="AB781" i="2"/>
  <c r="AC781" i="2"/>
  <c r="AD781" i="2"/>
  <c r="F782" i="2"/>
  <c r="H782" i="2"/>
  <c r="N782" i="2"/>
  <c r="O782" i="2"/>
  <c r="R782" i="2"/>
  <c r="S782" i="2"/>
  <c r="U782" i="2"/>
  <c r="Z782" i="2"/>
  <c r="AC782" i="2" s="1"/>
  <c r="AD782" i="2" s="1"/>
  <c r="AB782" i="2"/>
  <c r="AG782" i="2"/>
  <c r="AM782" i="2" s="1"/>
  <c r="AN782" i="2" s="1"/>
  <c r="AP782" i="2" s="1"/>
  <c r="AQ782" i="2" s="1"/>
  <c r="AH782" i="2"/>
  <c r="AI782" i="2"/>
  <c r="AJ782" i="2" s="1"/>
  <c r="AL782" i="2"/>
  <c r="AO782" i="2"/>
  <c r="F783" i="2"/>
  <c r="H783" i="2"/>
  <c r="AL783" i="2" s="1"/>
  <c r="N783" i="2"/>
  <c r="O783" i="2"/>
  <c r="R783" i="2"/>
  <c r="S783" i="2"/>
  <c r="U783" i="2"/>
  <c r="Z783" i="2"/>
  <c r="AB783" i="2"/>
  <c r="AC783" i="2"/>
  <c r="AD783" i="2"/>
  <c r="AG783" i="2"/>
  <c r="AH783" i="2"/>
  <c r="AI783" i="2"/>
  <c r="AJ783" i="2" s="1"/>
  <c r="AM783" i="2" s="1"/>
  <c r="AN783" i="2" s="1"/>
  <c r="AO783" i="2"/>
  <c r="F784" i="2"/>
  <c r="F785" i="2" s="1"/>
  <c r="F786" i="2" s="1"/>
  <c r="F787" i="2" s="1"/>
  <c r="F788" i="2" s="1"/>
  <c r="F789" i="2" s="1"/>
  <c r="F790" i="2" s="1"/>
  <c r="H784" i="2"/>
  <c r="N784" i="2" s="1"/>
  <c r="O784" i="2"/>
  <c r="R784" i="2"/>
  <c r="S784" i="2"/>
  <c r="U784" i="2"/>
  <c r="Z784" i="2"/>
  <c r="AC784" i="2" s="1"/>
  <c r="AB784" i="2"/>
  <c r="H785" i="2"/>
  <c r="N785" i="2"/>
  <c r="O785" i="2"/>
  <c r="R785" i="2"/>
  <c r="S785" i="2"/>
  <c r="U785" i="2"/>
  <c r="Z785" i="2"/>
  <c r="AB785" i="2"/>
  <c r="AC785" i="2"/>
  <c r="AD785" i="2"/>
  <c r="H786" i="2"/>
  <c r="N786" i="2"/>
  <c r="O786" i="2"/>
  <c r="R786" i="2"/>
  <c r="S786" i="2"/>
  <c r="U786" i="2"/>
  <c r="Z786" i="2"/>
  <c r="AC786" i="2" s="1"/>
  <c r="AB786" i="2"/>
  <c r="AD786" i="2"/>
  <c r="H787" i="2"/>
  <c r="N787" i="2"/>
  <c r="O787" i="2"/>
  <c r="R787" i="2"/>
  <c r="U787" i="2"/>
  <c r="Z787" i="2"/>
  <c r="AC787" i="2" s="1"/>
  <c r="AD787" i="2" s="1"/>
  <c r="AB787" i="2"/>
  <c r="H788" i="2"/>
  <c r="N788" i="2" s="1"/>
  <c r="O788" i="2"/>
  <c r="R788" i="2"/>
  <c r="U788" i="2"/>
  <c r="Z788" i="2"/>
  <c r="AB788" i="2"/>
  <c r="AC788" i="2"/>
  <c r="AD788" i="2" s="1"/>
  <c r="H789" i="2"/>
  <c r="N789" i="2" s="1"/>
  <c r="O789" i="2"/>
  <c r="R789" i="2"/>
  <c r="S789" i="2" s="1"/>
  <c r="U789" i="2"/>
  <c r="Z789" i="2"/>
  <c r="AB789" i="2"/>
  <c r="AC789" i="2"/>
  <c r="AD789" i="2" s="1"/>
  <c r="H790" i="2"/>
  <c r="N790" i="2" s="1"/>
  <c r="O790" i="2"/>
  <c r="S790" i="2" s="1"/>
  <c r="R790" i="2"/>
  <c r="U790" i="2"/>
  <c r="Z790" i="2"/>
  <c r="AB790" i="2"/>
  <c r="AC790" i="2"/>
  <c r="AD790" i="2" s="1"/>
  <c r="F791" i="2"/>
  <c r="H791" i="2"/>
  <c r="N791" i="2"/>
  <c r="O791" i="2"/>
  <c r="S791" i="2" s="1"/>
  <c r="R791" i="2"/>
  <c r="U791" i="2"/>
  <c r="Z791" i="2"/>
  <c r="AC791" i="2" s="1"/>
  <c r="AB791" i="2"/>
  <c r="F792" i="2"/>
  <c r="F793" i="2" s="1"/>
  <c r="F794" i="2" s="1"/>
  <c r="F795" i="2" s="1"/>
  <c r="F796" i="2" s="1"/>
  <c r="F797" i="2" s="1"/>
  <c r="F798" i="2" s="1"/>
  <c r="F799" i="2" s="1"/>
  <c r="F800" i="2" s="1"/>
  <c r="F801" i="2" s="1"/>
  <c r="F802" i="2" s="1"/>
  <c r="F803" i="2" s="1"/>
  <c r="F804" i="2" s="1"/>
  <c r="F805" i="2" s="1"/>
  <c r="F806" i="2" s="1"/>
  <c r="F807" i="2" s="1"/>
  <c r="F808" i="2" s="1"/>
  <c r="F809" i="2" s="1"/>
  <c r="F810" i="2" s="1"/>
  <c r="F811" i="2" s="1"/>
  <c r="H792" i="2"/>
  <c r="N792" i="2" s="1"/>
  <c r="O792" i="2"/>
  <c r="R792" i="2"/>
  <c r="S792" i="2"/>
  <c r="U792" i="2"/>
  <c r="Z792" i="2"/>
  <c r="AC792" i="2" s="1"/>
  <c r="AB792" i="2"/>
  <c r="AG792" i="2"/>
  <c r="AH792" i="2"/>
  <c r="AO792" i="2" s="1"/>
  <c r="AI792" i="2"/>
  <c r="AJ792" i="2" s="1"/>
  <c r="AL792" i="2"/>
  <c r="AM792" i="2"/>
  <c r="AN792" i="2" s="1"/>
  <c r="AP792" i="2" s="1"/>
  <c r="AQ792" i="2" s="1"/>
  <c r="H793" i="2"/>
  <c r="N793" i="2"/>
  <c r="O793" i="2"/>
  <c r="S793" i="2" s="1"/>
  <c r="R793" i="2"/>
  <c r="U793" i="2"/>
  <c r="Z793" i="2"/>
  <c r="AC793" i="2" s="1"/>
  <c r="AB793" i="2"/>
  <c r="AG793" i="2"/>
  <c r="AO793" i="2" s="1"/>
  <c r="AH793" i="2"/>
  <c r="AI793" i="2"/>
  <c r="AJ793" i="2"/>
  <c r="AL793" i="2"/>
  <c r="AM793" i="2"/>
  <c r="AN793" i="2" s="1"/>
  <c r="AP793" i="2"/>
  <c r="AQ793" i="2" s="1"/>
  <c r="H794" i="2"/>
  <c r="N794" i="2" s="1"/>
  <c r="O794" i="2"/>
  <c r="S794" i="2" s="1"/>
  <c r="R794" i="2"/>
  <c r="U794" i="2"/>
  <c r="Z794" i="2"/>
  <c r="AB794" i="2"/>
  <c r="AC794" i="2"/>
  <c r="AD794" i="2" s="1"/>
  <c r="AG794" i="2"/>
  <c r="AH794" i="2"/>
  <c r="AI794" i="2"/>
  <c r="AJ794" i="2"/>
  <c r="H795" i="2"/>
  <c r="O795" i="2"/>
  <c r="R795" i="2"/>
  <c r="S795" i="2" s="1"/>
  <c r="U795" i="2"/>
  <c r="Z795" i="2"/>
  <c r="AB795" i="2"/>
  <c r="AC795" i="2"/>
  <c r="AD795" i="2" s="1"/>
  <c r="AG795" i="2"/>
  <c r="AH795" i="2"/>
  <c r="AO795" i="2" s="1"/>
  <c r="AI795" i="2"/>
  <c r="AJ795" i="2"/>
  <c r="AM795" i="2" s="1"/>
  <c r="AN795" i="2" s="1"/>
  <c r="AP795" i="2" s="1"/>
  <c r="H796" i="2"/>
  <c r="N796" i="2" s="1"/>
  <c r="O796" i="2"/>
  <c r="R796" i="2"/>
  <c r="U796" i="2"/>
  <c r="Z796" i="2"/>
  <c r="AB796" i="2"/>
  <c r="AC796" i="2"/>
  <c r="AD796" i="2" s="1"/>
  <c r="AG796" i="2"/>
  <c r="AM796" i="2" s="1"/>
  <c r="AN796" i="2" s="1"/>
  <c r="AP796" i="2" s="1"/>
  <c r="AQ796" i="2" s="1"/>
  <c r="AH796" i="2"/>
  <c r="AO796" i="2" s="1"/>
  <c r="AI796" i="2"/>
  <c r="AJ796" i="2" s="1"/>
  <c r="AL796" i="2"/>
  <c r="H797" i="2"/>
  <c r="N797" i="2"/>
  <c r="O797" i="2"/>
  <c r="S797" i="2" s="1"/>
  <c r="R797" i="2"/>
  <c r="U797" i="2"/>
  <c r="Z797" i="2"/>
  <c r="AC797" i="2" s="1"/>
  <c r="AD797" i="2" s="1"/>
  <c r="AB797" i="2"/>
  <c r="AG797" i="2"/>
  <c r="AM797" i="2" s="1"/>
  <c r="AH797" i="2"/>
  <c r="AL797" i="2" s="1"/>
  <c r="AI797" i="2"/>
  <c r="AJ797" i="2"/>
  <c r="AO797" i="2"/>
  <c r="H798" i="2"/>
  <c r="N798" i="2"/>
  <c r="O798" i="2"/>
  <c r="R798" i="2"/>
  <c r="S798" i="2"/>
  <c r="U798" i="2"/>
  <c r="Z798" i="2"/>
  <c r="AC798" i="2" s="1"/>
  <c r="AD798" i="2" s="1"/>
  <c r="AB798" i="2"/>
  <c r="AG798" i="2"/>
  <c r="AM798" i="2" s="1"/>
  <c r="AH798" i="2"/>
  <c r="AI798" i="2"/>
  <c r="AJ798" i="2" s="1"/>
  <c r="AL798" i="2"/>
  <c r="AO798" i="2"/>
  <c r="H799" i="2"/>
  <c r="AL799" i="2" s="1"/>
  <c r="N799" i="2"/>
  <c r="O799" i="2"/>
  <c r="R799" i="2"/>
  <c r="S799" i="2"/>
  <c r="U799" i="2"/>
  <c r="Z799" i="2"/>
  <c r="AB799" i="2"/>
  <c r="AD799" i="2" s="1"/>
  <c r="AC799" i="2"/>
  <c r="AG799" i="2"/>
  <c r="AH799" i="2"/>
  <c r="AI799" i="2"/>
  <c r="AJ799" i="2" s="1"/>
  <c r="AM799" i="2" s="1"/>
  <c r="AN799" i="2" s="1"/>
  <c r="AP799" i="2" s="1"/>
  <c r="AQ799" i="2" s="1"/>
  <c r="AO799" i="2"/>
  <c r="H800" i="2"/>
  <c r="N800" i="2" s="1"/>
  <c r="O800" i="2"/>
  <c r="R800" i="2"/>
  <c r="S800" i="2"/>
  <c r="U800" i="2"/>
  <c r="Z800" i="2"/>
  <c r="AC800" i="2" s="1"/>
  <c r="AB800" i="2"/>
  <c r="H801" i="2"/>
  <c r="N801" i="2"/>
  <c r="O801" i="2"/>
  <c r="R801" i="2"/>
  <c r="S801" i="2"/>
  <c r="U801" i="2"/>
  <c r="Z801" i="2"/>
  <c r="AB801" i="2"/>
  <c r="AD801" i="2" s="1"/>
  <c r="AC801" i="2"/>
  <c r="H802" i="2"/>
  <c r="N802" i="2"/>
  <c r="O802" i="2"/>
  <c r="R802" i="2"/>
  <c r="S802" i="2"/>
  <c r="U802" i="2"/>
  <c r="Z802" i="2"/>
  <c r="AC802" i="2" s="1"/>
  <c r="AB802" i="2"/>
  <c r="AD802" i="2"/>
  <c r="H803" i="2"/>
  <c r="N803" i="2"/>
  <c r="O803" i="2"/>
  <c r="R803" i="2"/>
  <c r="U803" i="2"/>
  <c r="Z803" i="2"/>
  <c r="AC803" i="2" s="1"/>
  <c r="AB803" i="2"/>
  <c r="AD803" i="2"/>
  <c r="H804" i="2"/>
  <c r="N804" i="2" s="1"/>
  <c r="O804" i="2"/>
  <c r="S804" i="2" s="1"/>
  <c r="R804" i="2"/>
  <c r="U804" i="2"/>
  <c r="Z804" i="2"/>
  <c r="AC804" i="2" s="1"/>
  <c r="AD804" i="2" s="1"/>
  <c r="AB804" i="2"/>
  <c r="H805" i="2"/>
  <c r="N805" i="2" s="1"/>
  <c r="O805" i="2"/>
  <c r="R805" i="2"/>
  <c r="S805" i="2" s="1"/>
  <c r="U805" i="2"/>
  <c r="Z805" i="2"/>
  <c r="AB805" i="2"/>
  <c r="AC805" i="2"/>
  <c r="AD805" i="2" s="1"/>
  <c r="H806" i="2"/>
  <c r="N806" i="2" s="1"/>
  <c r="O806" i="2"/>
  <c r="S806" i="2" s="1"/>
  <c r="R806" i="2"/>
  <c r="U806" i="2"/>
  <c r="Z806" i="2"/>
  <c r="AB806" i="2"/>
  <c r="AC806" i="2"/>
  <c r="AD806" i="2" s="1"/>
  <c r="H807" i="2"/>
  <c r="N807" i="2"/>
  <c r="O807" i="2"/>
  <c r="S807" i="2" s="1"/>
  <c r="R807" i="2"/>
  <c r="U807" i="2"/>
  <c r="Z807" i="2"/>
  <c r="AC807" i="2" s="1"/>
  <c r="AD807" i="2" s="1"/>
  <c r="AB807" i="2"/>
  <c r="H808" i="2"/>
  <c r="N808" i="2" s="1"/>
  <c r="O808" i="2"/>
  <c r="S808" i="2" s="1"/>
  <c r="R808" i="2"/>
  <c r="U808" i="2"/>
  <c r="Z808" i="2"/>
  <c r="AC808" i="2" s="1"/>
  <c r="AD808" i="2" s="1"/>
  <c r="AB808" i="2"/>
  <c r="H809" i="2"/>
  <c r="N809" i="2"/>
  <c r="O809" i="2"/>
  <c r="R809" i="2"/>
  <c r="S809" i="2"/>
  <c r="U809" i="2"/>
  <c r="Z809" i="2"/>
  <c r="AB809" i="2"/>
  <c r="AD809" i="2" s="1"/>
  <c r="AC809" i="2"/>
  <c r="H810" i="2"/>
  <c r="N810" i="2"/>
  <c r="O810" i="2"/>
  <c r="R810" i="2"/>
  <c r="S810" i="2"/>
  <c r="U810" i="2"/>
  <c r="Z810" i="2"/>
  <c r="AC810" i="2" s="1"/>
  <c r="AD810" i="2" s="1"/>
  <c r="AB810" i="2"/>
  <c r="H811" i="2"/>
  <c r="N811" i="2"/>
  <c r="O811" i="2"/>
  <c r="R811" i="2"/>
  <c r="U811" i="2"/>
  <c r="Z811" i="2"/>
  <c r="AC811" i="2" s="1"/>
  <c r="AD811" i="2" s="1"/>
  <c r="AB811" i="2"/>
  <c r="F812" i="2"/>
  <c r="F813" i="2" s="1"/>
  <c r="F814" i="2" s="1"/>
  <c r="F815" i="2" s="1"/>
  <c r="F816" i="2" s="1"/>
  <c r="F817" i="2" s="1"/>
  <c r="F818" i="2" s="1"/>
  <c r="F819" i="2" s="1"/>
  <c r="F820" i="2" s="1"/>
  <c r="F821" i="2" s="1"/>
  <c r="F822" i="2" s="1"/>
  <c r="F823" i="2" s="1"/>
  <c r="F824" i="2" s="1"/>
  <c r="F825" i="2" s="1"/>
  <c r="F826" i="2" s="1"/>
  <c r="F827" i="2" s="1"/>
  <c r="F828" i="2" s="1"/>
  <c r="F829" i="2" s="1"/>
  <c r="F830" i="2" s="1"/>
  <c r="F831" i="2" s="1"/>
  <c r="F832" i="2" s="1"/>
  <c r="F833" i="2" s="1"/>
  <c r="H812" i="2"/>
  <c r="N812" i="2" s="1"/>
  <c r="O812" i="2"/>
  <c r="R812" i="2"/>
  <c r="U812" i="2"/>
  <c r="Z812" i="2"/>
  <c r="AC812" i="2" s="1"/>
  <c r="AD812" i="2" s="1"/>
  <c r="AB812" i="2"/>
  <c r="AG812" i="2"/>
  <c r="AM812" i="2" s="1"/>
  <c r="AN812" i="2" s="1"/>
  <c r="AH812" i="2"/>
  <c r="AI812" i="2"/>
  <c r="AJ812" i="2" s="1"/>
  <c r="AL812" i="2"/>
  <c r="H813" i="2"/>
  <c r="N813" i="2"/>
  <c r="O813" i="2"/>
  <c r="R813" i="2"/>
  <c r="U813" i="2"/>
  <c r="Z813" i="2"/>
  <c r="AC813" i="2" s="1"/>
  <c r="AD813" i="2" s="1"/>
  <c r="AB813" i="2"/>
  <c r="AG813" i="2"/>
  <c r="AM813" i="2" s="1"/>
  <c r="AN813" i="2" s="1"/>
  <c r="AH813" i="2"/>
  <c r="AL813" i="2" s="1"/>
  <c r="AI813" i="2"/>
  <c r="AJ813" i="2"/>
  <c r="H814" i="2"/>
  <c r="AL814" i="2" s="1"/>
  <c r="O814" i="2"/>
  <c r="R814" i="2"/>
  <c r="S814" i="2"/>
  <c r="U814" i="2"/>
  <c r="Z814" i="2"/>
  <c r="AB814" i="2"/>
  <c r="AC814" i="2"/>
  <c r="AD814" i="2" s="1"/>
  <c r="AG814" i="2"/>
  <c r="AH814" i="2"/>
  <c r="AI814" i="2"/>
  <c r="AJ814" i="2"/>
  <c r="AO814" i="2"/>
  <c r="H815" i="2"/>
  <c r="N815" i="2"/>
  <c r="O815" i="2"/>
  <c r="R815" i="2"/>
  <c r="S815" i="2" s="1"/>
  <c r="U815" i="2"/>
  <c r="Z815" i="2"/>
  <c r="AB815" i="2"/>
  <c r="AC815" i="2"/>
  <c r="AD815" i="2"/>
  <c r="AG815" i="2"/>
  <c r="AH815" i="2"/>
  <c r="AO815" i="2" s="1"/>
  <c r="AI815" i="2"/>
  <c r="AJ815" i="2" s="1"/>
  <c r="AM815" i="2"/>
  <c r="AN815" i="2"/>
  <c r="H816" i="2"/>
  <c r="N816" i="2" s="1"/>
  <c r="O816" i="2"/>
  <c r="S816" i="2" s="1"/>
  <c r="R816" i="2"/>
  <c r="U816" i="2"/>
  <c r="Z816" i="2"/>
  <c r="AC816" i="2" s="1"/>
  <c r="AD816" i="2" s="1"/>
  <c r="AB816" i="2"/>
  <c r="AG816" i="2"/>
  <c r="AM816" i="2" s="1"/>
  <c r="AN816" i="2" s="1"/>
  <c r="AH816" i="2"/>
  <c r="AI816" i="2"/>
  <c r="AJ816" i="2" s="1"/>
  <c r="H817" i="2"/>
  <c r="N817" i="2"/>
  <c r="O817" i="2"/>
  <c r="S817" i="2" s="1"/>
  <c r="R817" i="2"/>
  <c r="U817" i="2"/>
  <c r="Z817" i="2"/>
  <c r="AC817" i="2" s="1"/>
  <c r="AD817" i="2" s="1"/>
  <c r="AB817" i="2"/>
  <c r="AG817" i="2"/>
  <c r="AO817" i="2" s="1"/>
  <c r="AH817" i="2"/>
  <c r="AI817" i="2"/>
  <c r="AJ817" i="2"/>
  <c r="AL817" i="2"/>
  <c r="AM817" i="2"/>
  <c r="AN817" i="2" s="1"/>
  <c r="H818" i="2"/>
  <c r="AL818" i="2" s="1"/>
  <c r="O818" i="2"/>
  <c r="S818" i="2" s="1"/>
  <c r="R818" i="2"/>
  <c r="U818" i="2"/>
  <c r="Z818" i="2"/>
  <c r="AB818" i="2"/>
  <c r="AC818" i="2"/>
  <c r="AD818" i="2" s="1"/>
  <c r="AG818" i="2"/>
  <c r="AH818" i="2"/>
  <c r="AI818" i="2"/>
  <c r="AJ818" i="2"/>
  <c r="H819" i="2"/>
  <c r="O819" i="2"/>
  <c r="R819" i="2"/>
  <c r="S819" i="2" s="1"/>
  <c r="U819" i="2"/>
  <c r="Z819" i="2"/>
  <c r="AB819" i="2"/>
  <c r="AC819" i="2"/>
  <c r="AD819" i="2" s="1"/>
  <c r="AG819" i="2"/>
  <c r="AH819" i="2"/>
  <c r="AO819" i="2" s="1"/>
  <c r="AI819" i="2"/>
  <c r="AJ819" i="2" s="1"/>
  <c r="AM819" i="2" s="1"/>
  <c r="AN819" i="2" s="1"/>
  <c r="AP819" i="2" s="1"/>
  <c r="H820" i="2"/>
  <c r="N820" i="2" s="1"/>
  <c r="O820" i="2"/>
  <c r="R820" i="2"/>
  <c r="S820" i="2"/>
  <c r="U820" i="2"/>
  <c r="Z820" i="2"/>
  <c r="AC820" i="2" s="1"/>
  <c r="AD820" i="2" s="1"/>
  <c r="AB820" i="2"/>
  <c r="H821" i="2"/>
  <c r="N821" i="2" s="1"/>
  <c r="O821" i="2"/>
  <c r="R821" i="2"/>
  <c r="S821" i="2"/>
  <c r="U821" i="2"/>
  <c r="Z821" i="2"/>
  <c r="AB821" i="2"/>
  <c r="AC821" i="2"/>
  <c r="AD821" i="2" s="1"/>
  <c r="H822" i="2"/>
  <c r="N822" i="2" s="1"/>
  <c r="O822" i="2"/>
  <c r="S822" i="2" s="1"/>
  <c r="R822" i="2"/>
  <c r="U822" i="2"/>
  <c r="Z822" i="2"/>
  <c r="AB822" i="2"/>
  <c r="AC822" i="2"/>
  <c r="AD822" i="2" s="1"/>
  <c r="H823" i="2"/>
  <c r="N823" i="2"/>
  <c r="O823" i="2"/>
  <c r="S823" i="2" s="1"/>
  <c r="R823" i="2"/>
  <c r="U823" i="2"/>
  <c r="Z823" i="2"/>
  <c r="AC823" i="2" s="1"/>
  <c r="AD823" i="2" s="1"/>
  <c r="AB823" i="2"/>
  <c r="H824" i="2"/>
  <c r="N824" i="2" s="1"/>
  <c r="O824" i="2"/>
  <c r="S824" i="2" s="1"/>
  <c r="R824" i="2"/>
  <c r="U824" i="2"/>
  <c r="Z824" i="2"/>
  <c r="AC824" i="2" s="1"/>
  <c r="AD824" i="2" s="1"/>
  <c r="AB824" i="2"/>
  <c r="H825" i="2"/>
  <c r="N825" i="2" s="1"/>
  <c r="O825" i="2"/>
  <c r="R825" i="2"/>
  <c r="S825" i="2" s="1"/>
  <c r="U825" i="2"/>
  <c r="Z825" i="2"/>
  <c r="AB825" i="2"/>
  <c r="AC825" i="2"/>
  <c r="AD825" i="2" s="1"/>
  <c r="H826" i="2"/>
  <c r="N826" i="2"/>
  <c r="O826" i="2"/>
  <c r="S826" i="2" s="1"/>
  <c r="R826" i="2"/>
  <c r="U826" i="2"/>
  <c r="Z826" i="2"/>
  <c r="AC826" i="2" s="1"/>
  <c r="AD826" i="2" s="1"/>
  <c r="AB826" i="2"/>
  <c r="H827" i="2"/>
  <c r="N827" i="2"/>
  <c r="O827" i="2"/>
  <c r="R827" i="2"/>
  <c r="S827" i="2" s="1"/>
  <c r="U827" i="2"/>
  <c r="Z827" i="2"/>
  <c r="AC827" i="2" s="1"/>
  <c r="AD827" i="2" s="1"/>
  <c r="AB827" i="2"/>
  <c r="H828" i="2"/>
  <c r="N828" i="2"/>
  <c r="O828" i="2"/>
  <c r="R828" i="2"/>
  <c r="S828" i="2"/>
  <c r="U828" i="2"/>
  <c r="Z828" i="2"/>
  <c r="AC828" i="2" s="1"/>
  <c r="AD828" i="2" s="1"/>
  <c r="AB828" i="2"/>
  <c r="H829" i="2"/>
  <c r="N829" i="2"/>
  <c r="O829" i="2"/>
  <c r="S829" i="2" s="1"/>
  <c r="R829" i="2"/>
  <c r="U829" i="2"/>
  <c r="Z829" i="2"/>
  <c r="AC829" i="2" s="1"/>
  <c r="AD829" i="2" s="1"/>
  <c r="AB829" i="2"/>
  <c r="H830" i="2"/>
  <c r="N830" i="2" s="1"/>
  <c r="O830" i="2"/>
  <c r="R830" i="2"/>
  <c r="S830" i="2" s="1"/>
  <c r="U830" i="2"/>
  <c r="Z830" i="2"/>
  <c r="AC830" i="2" s="1"/>
  <c r="AD830" i="2" s="1"/>
  <c r="AB830" i="2"/>
  <c r="H831" i="2"/>
  <c r="N831" i="2" s="1"/>
  <c r="O831" i="2"/>
  <c r="R831" i="2"/>
  <c r="S831" i="2" s="1"/>
  <c r="U831" i="2"/>
  <c r="Z831" i="2"/>
  <c r="AB831" i="2"/>
  <c r="AC831" i="2"/>
  <c r="AD831" i="2" s="1"/>
  <c r="H832" i="2"/>
  <c r="N832" i="2" s="1"/>
  <c r="O832" i="2"/>
  <c r="S832" i="2" s="1"/>
  <c r="R832" i="2"/>
  <c r="U832" i="2"/>
  <c r="Z832" i="2"/>
  <c r="AB832" i="2"/>
  <c r="AC832" i="2"/>
  <c r="AD832" i="2" s="1"/>
  <c r="H833" i="2"/>
  <c r="N833" i="2"/>
  <c r="O833" i="2"/>
  <c r="S833" i="2" s="1"/>
  <c r="R833" i="2"/>
  <c r="U833" i="2"/>
  <c r="Z833" i="2"/>
  <c r="AC833" i="2" s="1"/>
  <c r="AD833" i="2" s="1"/>
  <c r="AB833" i="2"/>
  <c r="F834" i="2"/>
  <c r="F835" i="2" s="1"/>
  <c r="F836" i="2" s="1"/>
  <c r="F837" i="2" s="1"/>
  <c r="F838" i="2" s="1"/>
  <c r="F839" i="2" s="1"/>
  <c r="F840" i="2" s="1"/>
  <c r="F841" i="2" s="1"/>
  <c r="F842" i="2" s="1"/>
  <c r="F843" i="2" s="1"/>
  <c r="F844" i="2" s="1"/>
  <c r="F845" i="2" s="1"/>
  <c r="F846" i="2" s="1"/>
  <c r="F847" i="2" s="1"/>
  <c r="F848" i="2" s="1"/>
  <c r="F849" i="2" s="1"/>
  <c r="F850" i="2" s="1"/>
  <c r="F851" i="2" s="1"/>
  <c r="F852" i="2" s="1"/>
  <c r="F853" i="2" s="1"/>
  <c r="F854" i="2" s="1"/>
  <c r="F855" i="2" s="1"/>
  <c r="H834" i="2"/>
  <c r="AL834" i="2" s="1"/>
  <c r="O834" i="2"/>
  <c r="S834" i="2" s="1"/>
  <c r="R834" i="2"/>
  <c r="U834" i="2"/>
  <c r="Z834" i="2"/>
  <c r="AB834" i="2"/>
  <c r="AC834" i="2"/>
  <c r="AD834" i="2" s="1"/>
  <c r="AG834" i="2"/>
  <c r="AH834" i="2"/>
  <c r="AO834" i="2" s="1"/>
  <c r="AI834" i="2"/>
  <c r="AJ834" i="2" s="1"/>
  <c r="AM834" i="2" s="1"/>
  <c r="AN834" i="2" s="1"/>
  <c r="AP834" i="2" s="1"/>
  <c r="AQ834" i="2" s="1"/>
  <c r="H835" i="2"/>
  <c r="N835" i="2"/>
  <c r="O835" i="2"/>
  <c r="S835" i="2" s="1"/>
  <c r="R835" i="2"/>
  <c r="U835" i="2"/>
  <c r="Z835" i="2"/>
  <c r="AC835" i="2" s="1"/>
  <c r="AD835" i="2" s="1"/>
  <c r="AB835" i="2"/>
  <c r="AG835" i="2"/>
  <c r="AM835" i="2" s="1"/>
  <c r="AN835" i="2" s="1"/>
  <c r="AH835" i="2"/>
  <c r="AO835" i="2" s="1"/>
  <c r="AI835" i="2"/>
  <c r="AJ835" i="2"/>
  <c r="H836" i="2"/>
  <c r="AL836" i="2" s="1"/>
  <c r="O836" i="2"/>
  <c r="S836" i="2" s="1"/>
  <c r="R836" i="2"/>
  <c r="U836" i="2"/>
  <c r="Z836" i="2"/>
  <c r="AB836" i="2"/>
  <c r="AC836" i="2"/>
  <c r="AD836" i="2" s="1"/>
  <c r="AG836" i="2"/>
  <c r="AM836" i="2" s="1"/>
  <c r="AN836" i="2" s="1"/>
  <c r="AH836" i="2"/>
  <c r="AI836" i="2"/>
  <c r="AJ836" i="2"/>
  <c r="H837" i="2"/>
  <c r="AL837" i="2" s="1"/>
  <c r="O837" i="2"/>
  <c r="R837" i="2"/>
  <c r="S837" i="2" s="1"/>
  <c r="U837" i="2"/>
  <c r="Z837" i="2"/>
  <c r="AB837" i="2"/>
  <c r="AC837" i="2"/>
  <c r="AD837" i="2" s="1"/>
  <c r="AG837" i="2"/>
  <c r="AM837" i="2" s="1"/>
  <c r="AN837" i="2" s="1"/>
  <c r="AH837" i="2"/>
  <c r="AO837" i="2" s="1"/>
  <c r="AI837" i="2"/>
  <c r="AJ837" i="2"/>
  <c r="H838" i="2"/>
  <c r="N838" i="2" s="1"/>
  <c r="O838" i="2"/>
  <c r="R838" i="2"/>
  <c r="S838" i="2" s="1"/>
  <c r="U838" i="2"/>
  <c r="Z838" i="2"/>
  <c r="AB838" i="2"/>
  <c r="AC838" i="2"/>
  <c r="AD838" i="2" s="1"/>
  <c r="AG838" i="2"/>
  <c r="AH838" i="2"/>
  <c r="AO838" i="2" s="1"/>
  <c r="AI838" i="2"/>
  <c r="AJ838" i="2" s="1"/>
  <c r="AM838" i="2" s="1"/>
  <c r="AN838" i="2" s="1"/>
  <c r="AP838" i="2" s="1"/>
  <c r="H839" i="2"/>
  <c r="N839" i="2"/>
  <c r="O839" i="2"/>
  <c r="S839" i="2" s="1"/>
  <c r="R839" i="2"/>
  <c r="U839" i="2"/>
  <c r="Z839" i="2"/>
  <c r="AC839" i="2" s="1"/>
  <c r="AD839" i="2" s="1"/>
  <c r="AB839" i="2"/>
  <c r="AG839" i="2"/>
  <c r="AH839" i="2"/>
  <c r="AO839" i="2" s="1"/>
  <c r="AI839" i="2"/>
  <c r="AJ839" i="2"/>
  <c r="AL839" i="2"/>
  <c r="AM839" i="2"/>
  <c r="AN839" i="2" s="1"/>
  <c r="AP839" i="2" s="1"/>
  <c r="AQ839" i="2" s="1"/>
  <c r="H840" i="2"/>
  <c r="N840" i="2"/>
  <c r="O840" i="2"/>
  <c r="R840" i="2"/>
  <c r="S840" i="2"/>
  <c r="U840" i="2"/>
  <c r="Z840" i="2"/>
  <c r="AC840" i="2" s="1"/>
  <c r="AD840" i="2" s="1"/>
  <c r="AB840" i="2"/>
  <c r="AG840" i="2"/>
  <c r="AM840" i="2" s="1"/>
  <c r="AN840" i="2" s="1"/>
  <c r="AP840" i="2" s="1"/>
  <c r="AQ840" i="2" s="1"/>
  <c r="AH840" i="2"/>
  <c r="AI840" i="2"/>
  <c r="AJ840" i="2" s="1"/>
  <c r="AL840" i="2"/>
  <c r="AO840" i="2"/>
  <c r="H841" i="2"/>
  <c r="AL841" i="2" s="1"/>
  <c r="N841" i="2"/>
  <c r="O841" i="2"/>
  <c r="R841" i="2"/>
  <c r="S841" i="2"/>
  <c r="U841" i="2"/>
  <c r="Z841" i="2"/>
  <c r="AB841" i="2"/>
  <c r="AC841" i="2"/>
  <c r="AD841" i="2"/>
  <c r="AG841" i="2"/>
  <c r="AH841" i="2"/>
  <c r="AI841" i="2"/>
  <c r="AJ841" i="2" s="1"/>
  <c r="AM841" i="2" s="1"/>
  <c r="AN841" i="2" s="1"/>
  <c r="AP841" i="2" s="1"/>
  <c r="AO841" i="2"/>
  <c r="H842" i="2"/>
  <c r="N842" i="2" s="1"/>
  <c r="O842" i="2"/>
  <c r="R842" i="2"/>
  <c r="S842" i="2"/>
  <c r="U842" i="2"/>
  <c r="Z842" i="2"/>
  <c r="AB842" i="2"/>
  <c r="AC842" i="2"/>
  <c r="AD842" i="2" s="1"/>
  <c r="H843" i="2"/>
  <c r="N843" i="2"/>
  <c r="O843" i="2"/>
  <c r="R843" i="2"/>
  <c r="S843" i="2"/>
  <c r="U843" i="2"/>
  <c r="Z843" i="2"/>
  <c r="AB843" i="2"/>
  <c r="AC843" i="2"/>
  <c r="AD843" i="2"/>
  <c r="H844" i="2"/>
  <c r="N844" i="2"/>
  <c r="O844" i="2"/>
  <c r="R844" i="2"/>
  <c r="S844" i="2"/>
  <c r="U844" i="2"/>
  <c r="Z844" i="2"/>
  <c r="AC844" i="2" s="1"/>
  <c r="AD844" i="2" s="1"/>
  <c r="AB844" i="2"/>
  <c r="H845" i="2"/>
  <c r="N845" i="2"/>
  <c r="O845" i="2"/>
  <c r="S845" i="2" s="1"/>
  <c r="R845" i="2"/>
  <c r="U845" i="2"/>
  <c r="Z845" i="2"/>
  <c r="AC845" i="2" s="1"/>
  <c r="AD845" i="2" s="1"/>
  <c r="AB845" i="2"/>
  <c r="H846" i="2"/>
  <c r="N846" i="2" s="1"/>
  <c r="O846" i="2"/>
  <c r="R846" i="2"/>
  <c r="S846" i="2" s="1"/>
  <c r="U846" i="2"/>
  <c r="Z846" i="2"/>
  <c r="AB846" i="2"/>
  <c r="AC846" i="2"/>
  <c r="AD846" i="2" s="1"/>
  <c r="H847" i="2"/>
  <c r="N847" i="2" s="1"/>
  <c r="O847" i="2"/>
  <c r="R847" i="2"/>
  <c r="S847" i="2" s="1"/>
  <c r="U847" i="2"/>
  <c r="Z847" i="2"/>
  <c r="AB847" i="2"/>
  <c r="AC847" i="2"/>
  <c r="AD847" i="2" s="1"/>
  <c r="H848" i="2"/>
  <c r="N848" i="2" s="1"/>
  <c r="O848" i="2"/>
  <c r="S848" i="2" s="1"/>
  <c r="R848" i="2"/>
  <c r="U848" i="2"/>
  <c r="Z848" i="2"/>
  <c r="AB848" i="2"/>
  <c r="AC848" i="2"/>
  <c r="AD848" i="2" s="1"/>
  <c r="H849" i="2"/>
  <c r="N849" i="2"/>
  <c r="O849" i="2"/>
  <c r="S849" i="2" s="1"/>
  <c r="R849" i="2"/>
  <c r="U849" i="2"/>
  <c r="Z849" i="2"/>
  <c r="AC849" i="2" s="1"/>
  <c r="AD849" i="2" s="1"/>
  <c r="AB849" i="2"/>
  <c r="H850" i="2"/>
  <c r="N850" i="2" s="1"/>
  <c r="O850" i="2"/>
  <c r="R850" i="2"/>
  <c r="S850" i="2"/>
  <c r="U850" i="2"/>
  <c r="Z850" i="2"/>
  <c r="AB850" i="2"/>
  <c r="AC850" i="2"/>
  <c r="AD850" i="2" s="1"/>
  <c r="H851" i="2"/>
  <c r="N851" i="2"/>
  <c r="O851" i="2"/>
  <c r="R851" i="2"/>
  <c r="S851" i="2"/>
  <c r="U851" i="2"/>
  <c r="Z851" i="2"/>
  <c r="AB851" i="2"/>
  <c r="AC851" i="2"/>
  <c r="AD851" i="2"/>
  <c r="H852" i="2"/>
  <c r="N852" i="2"/>
  <c r="O852" i="2"/>
  <c r="R852" i="2"/>
  <c r="S852" i="2"/>
  <c r="U852" i="2"/>
  <c r="Z852" i="2"/>
  <c r="AC852" i="2" s="1"/>
  <c r="AD852" i="2" s="1"/>
  <c r="AB852" i="2"/>
  <c r="H853" i="2"/>
  <c r="N853" i="2"/>
  <c r="O853" i="2"/>
  <c r="S853" i="2" s="1"/>
  <c r="R853" i="2"/>
  <c r="U853" i="2"/>
  <c r="Z853" i="2"/>
  <c r="AC853" i="2" s="1"/>
  <c r="AD853" i="2" s="1"/>
  <c r="AB853" i="2"/>
  <c r="H854" i="2"/>
  <c r="N854" i="2" s="1"/>
  <c r="O854" i="2"/>
  <c r="R854" i="2"/>
  <c r="S854" i="2" s="1"/>
  <c r="U854" i="2"/>
  <c r="Z854" i="2"/>
  <c r="AB854" i="2"/>
  <c r="AC854" i="2"/>
  <c r="AD854" i="2" s="1"/>
  <c r="H855" i="2"/>
  <c r="N855" i="2" s="1"/>
  <c r="O855" i="2"/>
  <c r="R855" i="2"/>
  <c r="S855" i="2" s="1"/>
  <c r="U855" i="2"/>
  <c r="Z855" i="2"/>
  <c r="AB855" i="2"/>
  <c r="AC855" i="2"/>
  <c r="AD855" i="2" s="1"/>
  <c r="F856" i="2"/>
  <c r="H856" i="2"/>
  <c r="AL856" i="2" s="1"/>
  <c r="O856" i="2"/>
  <c r="S856" i="2" s="1"/>
  <c r="R856" i="2"/>
  <c r="U856" i="2"/>
  <c r="Z856" i="2"/>
  <c r="AB856" i="2"/>
  <c r="AC856" i="2"/>
  <c r="AD856" i="2" s="1"/>
  <c r="AG856" i="2"/>
  <c r="AM856" i="2" s="1"/>
  <c r="AN856" i="2" s="1"/>
  <c r="AH856" i="2"/>
  <c r="AI856" i="2"/>
  <c r="AJ856" i="2"/>
  <c r="F857" i="2"/>
  <c r="H857" i="2"/>
  <c r="AL857" i="2" s="1"/>
  <c r="O857" i="2"/>
  <c r="R857" i="2"/>
  <c r="S857" i="2" s="1"/>
  <c r="U857" i="2"/>
  <c r="Z857" i="2"/>
  <c r="AB857" i="2"/>
  <c r="AC857" i="2"/>
  <c r="AD857" i="2" s="1"/>
  <c r="AG857" i="2"/>
  <c r="AH857" i="2"/>
  <c r="AO857" i="2" s="1"/>
  <c r="AI857" i="2"/>
  <c r="AJ857" i="2"/>
  <c r="AM857" i="2" s="1"/>
  <c r="AN857" i="2" s="1"/>
  <c r="AP857" i="2" s="1"/>
  <c r="AQ857" i="2" s="1"/>
  <c r="F858" i="2"/>
  <c r="H858" i="2"/>
  <c r="N858" i="2" s="1"/>
  <c r="O858" i="2"/>
  <c r="R858" i="2"/>
  <c r="S858" i="2" s="1"/>
  <c r="U858" i="2"/>
  <c r="Z858" i="2"/>
  <c r="AB858" i="2"/>
  <c r="AC858" i="2"/>
  <c r="AD858" i="2" s="1"/>
  <c r="AG858" i="2"/>
  <c r="AH858" i="2"/>
  <c r="AO858" i="2" s="1"/>
  <c r="AI858" i="2"/>
  <c r="AJ858" i="2" s="1"/>
  <c r="AM858" i="2" s="1"/>
  <c r="AN858" i="2" s="1"/>
  <c r="F859" i="2"/>
  <c r="F860" i="2" s="1"/>
  <c r="F861" i="2" s="1"/>
  <c r="F862" i="2" s="1"/>
  <c r="F863" i="2" s="1"/>
  <c r="F864" i="2" s="1"/>
  <c r="F865" i="2" s="1"/>
  <c r="F866" i="2" s="1"/>
  <c r="F867" i="2" s="1"/>
  <c r="F868" i="2" s="1"/>
  <c r="F869" i="2" s="1"/>
  <c r="F870" i="2" s="1"/>
  <c r="F871" i="2" s="1"/>
  <c r="F872" i="2" s="1"/>
  <c r="F873" i="2" s="1"/>
  <c r="F874" i="2" s="1"/>
  <c r="F875" i="2" s="1"/>
  <c r="F876" i="2" s="1"/>
  <c r="F877" i="2" s="1"/>
  <c r="F878" i="2" s="1"/>
  <c r="F879" i="2" s="1"/>
  <c r="F880" i="2" s="1"/>
  <c r="F881" i="2" s="1"/>
  <c r="F882" i="2" s="1"/>
  <c r="F883" i="2" s="1"/>
  <c r="F884" i="2" s="1"/>
  <c r="F885" i="2" s="1"/>
  <c r="H859" i="2"/>
  <c r="N859" i="2"/>
  <c r="O859" i="2"/>
  <c r="S859" i="2" s="1"/>
  <c r="R859" i="2"/>
  <c r="U859" i="2"/>
  <c r="Z859" i="2"/>
  <c r="AC859" i="2" s="1"/>
  <c r="AD859" i="2" s="1"/>
  <c r="AB859" i="2"/>
  <c r="AG859" i="2"/>
  <c r="AH859" i="2"/>
  <c r="AO859" i="2" s="1"/>
  <c r="AI859" i="2"/>
  <c r="AJ859" i="2"/>
  <c r="AL859" i="2"/>
  <c r="AM859" i="2"/>
  <c r="AN859" i="2" s="1"/>
  <c r="AP859" i="2" s="1"/>
  <c r="AQ859" i="2" s="1"/>
  <c r="H860" i="2"/>
  <c r="N860" i="2"/>
  <c r="O860" i="2"/>
  <c r="R860" i="2"/>
  <c r="S860" i="2"/>
  <c r="U860" i="2"/>
  <c r="Z860" i="2"/>
  <c r="AC860" i="2" s="1"/>
  <c r="AD860" i="2" s="1"/>
  <c r="AB860" i="2"/>
  <c r="AG860" i="2"/>
  <c r="AM860" i="2" s="1"/>
  <c r="AN860" i="2" s="1"/>
  <c r="AP860" i="2" s="1"/>
  <c r="AQ860" i="2" s="1"/>
  <c r="AH860" i="2"/>
  <c r="AI860" i="2"/>
  <c r="AJ860" i="2" s="1"/>
  <c r="AL860" i="2"/>
  <c r="AO860" i="2"/>
  <c r="H861" i="2"/>
  <c r="AL861" i="2" s="1"/>
  <c r="N861" i="2"/>
  <c r="O861" i="2"/>
  <c r="R861" i="2"/>
  <c r="S861" i="2"/>
  <c r="U861" i="2"/>
  <c r="Z861" i="2"/>
  <c r="AB861" i="2"/>
  <c r="AC861" i="2"/>
  <c r="AD861" i="2"/>
  <c r="AG861" i="2"/>
  <c r="AH861" i="2"/>
  <c r="AI861" i="2"/>
  <c r="AJ861" i="2" s="1"/>
  <c r="AM861" i="2" s="1"/>
  <c r="AN861" i="2" s="1"/>
  <c r="AP861" i="2" s="1"/>
  <c r="AO861" i="2"/>
  <c r="H862" i="2"/>
  <c r="AL862" i="2" s="1"/>
  <c r="O862" i="2"/>
  <c r="R862" i="2"/>
  <c r="S862" i="2"/>
  <c r="U862" i="2"/>
  <c r="Z862" i="2"/>
  <c r="AB862" i="2"/>
  <c r="AC862" i="2"/>
  <c r="AD862" i="2" s="1"/>
  <c r="AG862" i="2"/>
  <c r="AH862" i="2"/>
  <c r="AO862" i="2" s="1"/>
  <c r="AI862" i="2"/>
  <c r="AJ862" i="2" s="1"/>
  <c r="AM862" i="2" s="1"/>
  <c r="AN862" i="2" s="1"/>
  <c r="AP862" i="2" s="1"/>
  <c r="H863" i="2"/>
  <c r="N863" i="2"/>
  <c r="O863" i="2"/>
  <c r="S863" i="2" s="1"/>
  <c r="R863" i="2"/>
  <c r="U863" i="2"/>
  <c r="Z863" i="2"/>
  <c r="AC863" i="2" s="1"/>
  <c r="AD863" i="2" s="1"/>
  <c r="AB863" i="2"/>
  <c r="AG863" i="2"/>
  <c r="AM863" i="2" s="1"/>
  <c r="AN863" i="2" s="1"/>
  <c r="AH863" i="2"/>
  <c r="AO863" i="2" s="1"/>
  <c r="AI863" i="2"/>
  <c r="AJ863" i="2"/>
  <c r="H864" i="2"/>
  <c r="AL864" i="2" s="1"/>
  <c r="O864" i="2"/>
  <c r="S864" i="2" s="1"/>
  <c r="R864" i="2"/>
  <c r="U864" i="2"/>
  <c r="Z864" i="2"/>
  <c r="AB864" i="2"/>
  <c r="AC864" i="2"/>
  <c r="AD864" i="2" s="1"/>
  <c r="AG864" i="2"/>
  <c r="AM864" i="2" s="1"/>
  <c r="AN864" i="2" s="1"/>
  <c r="AH864" i="2"/>
  <c r="AI864" i="2"/>
  <c r="AJ864" i="2"/>
  <c r="H865" i="2"/>
  <c r="N865" i="2" s="1"/>
  <c r="O865" i="2"/>
  <c r="R865" i="2"/>
  <c r="S865" i="2" s="1"/>
  <c r="U865" i="2"/>
  <c r="Z865" i="2"/>
  <c r="AB865" i="2"/>
  <c r="AC865" i="2"/>
  <c r="AD865" i="2" s="1"/>
  <c r="H866" i="2"/>
  <c r="N866" i="2" s="1"/>
  <c r="O866" i="2"/>
  <c r="S866" i="2" s="1"/>
  <c r="R866" i="2"/>
  <c r="U866" i="2"/>
  <c r="Z866" i="2"/>
  <c r="AB866" i="2"/>
  <c r="AC866" i="2"/>
  <c r="AD866" i="2" s="1"/>
  <c r="H867" i="2"/>
  <c r="N867" i="2"/>
  <c r="O867" i="2"/>
  <c r="S867" i="2" s="1"/>
  <c r="R867" i="2"/>
  <c r="U867" i="2"/>
  <c r="Z867" i="2"/>
  <c r="AC867" i="2" s="1"/>
  <c r="AD867" i="2" s="1"/>
  <c r="AB867" i="2"/>
  <c r="H868" i="2"/>
  <c r="N868" i="2" s="1"/>
  <c r="O868" i="2"/>
  <c r="R868" i="2"/>
  <c r="S868" i="2"/>
  <c r="U868" i="2"/>
  <c r="Z868" i="2"/>
  <c r="AB868" i="2"/>
  <c r="AC868" i="2"/>
  <c r="AD868" i="2" s="1"/>
  <c r="H869" i="2"/>
  <c r="N869" i="2"/>
  <c r="O869" i="2"/>
  <c r="R869" i="2"/>
  <c r="S869" i="2"/>
  <c r="U869" i="2"/>
  <c r="Z869" i="2"/>
  <c r="AB869" i="2"/>
  <c r="AC869" i="2"/>
  <c r="AD869" i="2"/>
  <c r="H870" i="2"/>
  <c r="N870" i="2"/>
  <c r="O870" i="2"/>
  <c r="R870" i="2"/>
  <c r="S870" i="2"/>
  <c r="U870" i="2"/>
  <c r="Z870" i="2"/>
  <c r="AC870" i="2" s="1"/>
  <c r="AD870" i="2" s="1"/>
  <c r="AB870" i="2"/>
  <c r="H871" i="2"/>
  <c r="N871" i="2"/>
  <c r="O871" i="2"/>
  <c r="S871" i="2" s="1"/>
  <c r="R871" i="2"/>
  <c r="U871" i="2"/>
  <c r="Z871" i="2"/>
  <c r="AC871" i="2" s="1"/>
  <c r="AD871" i="2" s="1"/>
  <c r="AB871" i="2"/>
  <c r="H872" i="2"/>
  <c r="N872" i="2" s="1"/>
  <c r="O872" i="2"/>
  <c r="R872" i="2"/>
  <c r="S872" i="2" s="1"/>
  <c r="U872" i="2"/>
  <c r="Z872" i="2"/>
  <c r="AB872" i="2"/>
  <c r="AC872" i="2"/>
  <c r="AD872" i="2" s="1"/>
  <c r="H873" i="2"/>
  <c r="N873" i="2" s="1"/>
  <c r="O873" i="2"/>
  <c r="R873" i="2"/>
  <c r="S873" i="2" s="1"/>
  <c r="U873" i="2"/>
  <c r="Z873" i="2"/>
  <c r="AB873" i="2"/>
  <c r="AC873" i="2"/>
  <c r="AD873" i="2" s="1"/>
  <c r="H874" i="2"/>
  <c r="N874" i="2" s="1"/>
  <c r="O874" i="2"/>
  <c r="S874" i="2" s="1"/>
  <c r="R874" i="2"/>
  <c r="U874" i="2"/>
  <c r="Z874" i="2"/>
  <c r="AB874" i="2"/>
  <c r="AC874" i="2"/>
  <c r="AD874" i="2" s="1"/>
  <c r="H875" i="2"/>
  <c r="N875" i="2"/>
  <c r="O875" i="2"/>
  <c r="S875" i="2" s="1"/>
  <c r="R875" i="2"/>
  <c r="U875" i="2"/>
  <c r="Z875" i="2"/>
  <c r="AC875" i="2" s="1"/>
  <c r="AD875" i="2" s="1"/>
  <c r="AB875" i="2"/>
  <c r="H876" i="2"/>
  <c r="N876" i="2" s="1"/>
  <c r="O876" i="2"/>
  <c r="R876" i="2"/>
  <c r="S876" i="2"/>
  <c r="U876" i="2"/>
  <c r="Z876" i="2"/>
  <c r="AB876" i="2"/>
  <c r="AC876" i="2"/>
  <c r="AD876" i="2" s="1"/>
  <c r="H877" i="2"/>
  <c r="N877" i="2"/>
  <c r="O877" i="2"/>
  <c r="R877" i="2"/>
  <c r="S877" i="2"/>
  <c r="U877" i="2"/>
  <c r="Z877" i="2"/>
  <c r="AB877" i="2"/>
  <c r="AC877" i="2"/>
  <c r="AD877" i="2"/>
  <c r="H878" i="2"/>
  <c r="N878" i="2"/>
  <c r="O878" i="2"/>
  <c r="R878" i="2"/>
  <c r="S878" i="2"/>
  <c r="U878" i="2"/>
  <c r="Z878" i="2"/>
  <c r="AC878" i="2" s="1"/>
  <c r="AD878" i="2" s="1"/>
  <c r="AB878" i="2"/>
  <c r="H879" i="2"/>
  <c r="N879" i="2"/>
  <c r="O879" i="2"/>
  <c r="S879" i="2" s="1"/>
  <c r="R879" i="2"/>
  <c r="U879" i="2"/>
  <c r="Z879" i="2"/>
  <c r="AC879" i="2" s="1"/>
  <c r="AD879" i="2" s="1"/>
  <c r="AB879" i="2"/>
  <c r="H880" i="2"/>
  <c r="N880" i="2" s="1"/>
  <c r="O880" i="2"/>
  <c r="R880" i="2"/>
  <c r="S880" i="2" s="1"/>
  <c r="U880" i="2"/>
  <c r="Z880" i="2"/>
  <c r="AB880" i="2"/>
  <c r="AC880" i="2"/>
  <c r="AD880" i="2" s="1"/>
  <c r="H881" i="2"/>
  <c r="N881" i="2" s="1"/>
  <c r="O881" i="2"/>
  <c r="R881" i="2"/>
  <c r="S881" i="2" s="1"/>
  <c r="U881" i="2"/>
  <c r="Z881" i="2"/>
  <c r="AB881" i="2"/>
  <c r="AC881" i="2"/>
  <c r="AD881" i="2" s="1"/>
  <c r="H882" i="2"/>
  <c r="N882" i="2" s="1"/>
  <c r="O882" i="2"/>
  <c r="S882" i="2" s="1"/>
  <c r="R882" i="2"/>
  <c r="U882" i="2"/>
  <c r="Z882" i="2"/>
  <c r="AB882" i="2"/>
  <c r="AC882" i="2"/>
  <c r="AD882" i="2" s="1"/>
  <c r="H883" i="2"/>
  <c r="N883" i="2"/>
  <c r="O883" i="2"/>
  <c r="S883" i="2" s="1"/>
  <c r="R883" i="2"/>
  <c r="U883" i="2"/>
  <c r="Z883" i="2"/>
  <c r="AC883" i="2" s="1"/>
  <c r="AD883" i="2" s="1"/>
  <c r="AB883" i="2"/>
  <c r="H884" i="2"/>
  <c r="N884" i="2" s="1"/>
  <c r="O884" i="2"/>
  <c r="R884" i="2"/>
  <c r="S884" i="2"/>
  <c r="U884" i="2"/>
  <c r="Z884" i="2"/>
  <c r="AB884" i="2"/>
  <c r="AC884" i="2"/>
  <c r="AD884" i="2" s="1"/>
  <c r="H885" i="2"/>
  <c r="N885" i="2"/>
  <c r="O885" i="2"/>
  <c r="R885" i="2"/>
  <c r="S885" i="2"/>
  <c r="U885" i="2"/>
  <c r="Z885" i="2"/>
  <c r="AB885" i="2"/>
  <c r="AC885" i="2"/>
  <c r="AD885" i="2"/>
  <c r="F886" i="2"/>
  <c r="H886" i="2"/>
  <c r="N886" i="2"/>
  <c r="O886" i="2"/>
  <c r="R886" i="2"/>
  <c r="S886" i="2"/>
  <c r="U886" i="2"/>
  <c r="Z886" i="2"/>
  <c r="AC886" i="2" s="1"/>
  <c r="AD886" i="2" s="1"/>
  <c r="AB886" i="2"/>
  <c r="AG886" i="2"/>
  <c r="AH886" i="2"/>
  <c r="AI886" i="2"/>
  <c r="AJ886" i="2" s="1"/>
  <c r="AL886" i="2"/>
  <c r="AO886" i="2"/>
  <c r="F887" i="2"/>
  <c r="H887" i="2"/>
  <c r="AL887" i="2" s="1"/>
  <c r="N887" i="2"/>
  <c r="O887" i="2"/>
  <c r="R887" i="2"/>
  <c r="S887" i="2"/>
  <c r="U887" i="2"/>
  <c r="Z887" i="2"/>
  <c r="AB887" i="2"/>
  <c r="AC887" i="2"/>
  <c r="AD887" i="2"/>
  <c r="AG887" i="2"/>
  <c r="AH887" i="2"/>
  <c r="AI887" i="2"/>
  <c r="AJ887" i="2" s="1"/>
  <c r="AM887" i="2" s="1"/>
  <c r="AN887" i="2" s="1"/>
  <c r="AP887" i="2" s="1"/>
  <c r="AQ887" i="2" s="1"/>
  <c r="AO887" i="2"/>
  <c r="F888" i="2"/>
  <c r="H888" i="2"/>
  <c r="AL888" i="2" s="1"/>
  <c r="O888" i="2"/>
  <c r="R888" i="2"/>
  <c r="S888" i="2"/>
  <c r="U888" i="2"/>
  <c r="Z888" i="2"/>
  <c r="AB888" i="2"/>
  <c r="AC888" i="2"/>
  <c r="AD888" i="2" s="1"/>
  <c r="AG888" i="2"/>
  <c r="AH888" i="2"/>
  <c r="AO888" i="2" s="1"/>
  <c r="AI888" i="2"/>
  <c r="AJ888" i="2" s="1"/>
  <c r="AM888" i="2" s="1"/>
  <c r="AN888" i="2" s="1"/>
  <c r="AP888" i="2" s="1"/>
  <c r="F889" i="2"/>
  <c r="F890" i="2" s="1"/>
  <c r="F891" i="2" s="1"/>
  <c r="F892" i="2" s="1"/>
  <c r="F893" i="2" s="1"/>
  <c r="F894" i="2" s="1"/>
  <c r="F895" i="2" s="1"/>
  <c r="F896" i="2" s="1"/>
  <c r="F897" i="2" s="1"/>
  <c r="F898" i="2" s="1"/>
  <c r="F899" i="2" s="1"/>
  <c r="F900" i="2" s="1"/>
  <c r="F901" i="2" s="1"/>
  <c r="F902" i="2" s="1"/>
  <c r="F903" i="2" s="1"/>
  <c r="F904" i="2" s="1"/>
  <c r="F905" i="2" s="1"/>
  <c r="F906" i="2" s="1"/>
  <c r="F907" i="2" s="1"/>
  <c r="F908" i="2" s="1"/>
  <c r="F909" i="2" s="1"/>
  <c r="F910" i="2" s="1"/>
  <c r="F911" i="2" s="1"/>
  <c r="F912" i="2" s="1"/>
  <c r="F913" i="2" s="1"/>
  <c r="F914" i="2" s="1"/>
  <c r="F915" i="2" s="1"/>
  <c r="H889" i="2"/>
  <c r="N889" i="2"/>
  <c r="O889" i="2"/>
  <c r="S889" i="2" s="1"/>
  <c r="R889" i="2"/>
  <c r="U889" i="2"/>
  <c r="Z889" i="2"/>
  <c r="AC889" i="2" s="1"/>
  <c r="AD889" i="2" s="1"/>
  <c r="AB889" i="2"/>
  <c r="AG889" i="2"/>
  <c r="AH889" i="2"/>
  <c r="AO889" i="2" s="1"/>
  <c r="AI889" i="2"/>
  <c r="AJ889" i="2"/>
  <c r="AM889" i="2"/>
  <c r="AN889" i="2" s="1"/>
  <c r="H890" i="2"/>
  <c r="AL890" i="2" s="1"/>
  <c r="O890" i="2"/>
  <c r="S890" i="2" s="1"/>
  <c r="R890" i="2"/>
  <c r="U890" i="2"/>
  <c r="Z890" i="2"/>
  <c r="AB890" i="2"/>
  <c r="AC890" i="2"/>
  <c r="AD890" i="2" s="1"/>
  <c r="AG890" i="2"/>
  <c r="AM890" i="2" s="1"/>
  <c r="AN890" i="2" s="1"/>
  <c r="AH890" i="2"/>
  <c r="AI890" i="2"/>
  <c r="AJ890" i="2"/>
  <c r="H891" i="2"/>
  <c r="AL891" i="2" s="1"/>
  <c r="O891" i="2"/>
  <c r="R891" i="2"/>
  <c r="S891" i="2" s="1"/>
  <c r="U891" i="2"/>
  <c r="Z891" i="2"/>
  <c r="AB891" i="2"/>
  <c r="AC891" i="2"/>
  <c r="AD891" i="2" s="1"/>
  <c r="AG891" i="2"/>
  <c r="AH891" i="2"/>
  <c r="AO891" i="2" s="1"/>
  <c r="AI891" i="2"/>
  <c r="AJ891" i="2"/>
  <c r="AM891" i="2" s="1"/>
  <c r="AN891" i="2" s="1"/>
  <c r="AP891" i="2" s="1"/>
  <c r="AQ891" i="2" s="1"/>
  <c r="H892" i="2"/>
  <c r="N892" i="2" s="1"/>
  <c r="O892" i="2"/>
  <c r="R892" i="2"/>
  <c r="S892" i="2" s="1"/>
  <c r="U892" i="2"/>
  <c r="Z892" i="2"/>
  <c r="AB892" i="2"/>
  <c r="AC892" i="2"/>
  <c r="AD892" i="2" s="1"/>
  <c r="AG892" i="2"/>
  <c r="AH892" i="2"/>
  <c r="AO892" i="2" s="1"/>
  <c r="AI892" i="2"/>
  <c r="AJ892" i="2" s="1"/>
  <c r="AM892" i="2" s="1"/>
  <c r="AN892" i="2" s="1"/>
  <c r="AP892" i="2" s="1"/>
  <c r="H893" i="2"/>
  <c r="N893" i="2"/>
  <c r="O893" i="2"/>
  <c r="S893" i="2" s="1"/>
  <c r="R893" i="2"/>
  <c r="U893" i="2"/>
  <c r="Z893" i="2"/>
  <c r="AC893" i="2" s="1"/>
  <c r="AD893" i="2" s="1"/>
  <c r="AB893" i="2"/>
  <c r="AG893" i="2"/>
  <c r="AH893" i="2"/>
  <c r="AI893" i="2"/>
  <c r="AJ893" i="2"/>
  <c r="AM893" i="2"/>
  <c r="AN893" i="2" s="1"/>
  <c r="H894" i="2"/>
  <c r="N894" i="2"/>
  <c r="O894" i="2"/>
  <c r="R894" i="2"/>
  <c r="S894" i="2"/>
  <c r="U894" i="2"/>
  <c r="Z894" i="2"/>
  <c r="AC894" i="2" s="1"/>
  <c r="AD894" i="2" s="1"/>
  <c r="AB894" i="2"/>
  <c r="AG894" i="2"/>
  <c r="AM894" i="2" s="1"/>
  <c r="AN894" i="2" s="1"/>
  <c r="AP894" i="2" s="1"/>
  <c r="AQ894" i="2" s="1"/>
  <c r="AH894" i="2"/>
  <c r="AI894" i="2"/>
  <c r="AJ894" i="2" s="1"/>
  <c r="AL894" i="2"/>
  <c r="AO894" i="2"/>
  <c r="H895" i="2"/>
  <c r="N895" i="2"/>
  <c r="O895" i="2"/>
  <c r="R895" i="2"/>
  <c r="S895" i="2"/>
  <c r="U895" i="2"/>
  <c r="Z895" i="2"/>
  <c r="AB895" i="2"/>
  <c r="AC895" i="2"/>
  <c r="AD895" i="2"/>
  <c r="H896" i="2"/>
  <c r="N896" i="2"/>
  <c r="O896" i="2"/>
  <c r="R896" i="2"/>
  <c r="S896" i="2"/>
  <c r="U896" i="2"/>
  <c r="Z896" i="2"/>
  <c r="AC896" i="2" s="1"/>
  <c r="AD896" i="2" s="1"/>
  <c r="AB896" i="2"/>
  <c r="H897" i="2"/>
  <c r="N897" i="2"/>
  <c r="O897" i="2"/>
  <c r="R897" i="2"/>
  <c r="U897" i="2"/>
  <c r="Z897" i="2"/>
  <c r="AC897" i="2" s="1"/>
  <c r="AD897" i="2" s="1"/>
  <c r="AB897" i="2"/>
  <c r="H898" i="2"/>
  <c r="N898" i="2" s="1"/>
  <c r="O898" i="2"/>
  <c r="R898" i="2"/>
  <c r="S898" i="2" s="1"/>
  <c r="U898" i="2"/>
  <c r="Z898" i="2"/>
  <c r="AB898" i="2"/>
  <c r="AC898" i="2"/>
  <c r="AD898" i="2" s="1"/>
  <c r="H899" i="2"/>
  <c r="N899" i="2" s="1"/>
  <c r="O899" i="2"/>
  <c r="R899" i="2"/>
  <c r="S899" i="2" s="1"/>
  <c r="U899" i="2"/>
  <c r="Z899" i="2"/>
  <c r="AB899" i="2"/>
  <c r="AC899" i="2"/>
  <c r="AD899" i="2" s="1"/>
  <c r="H900" i="2"/>
  <c r="N900" i="2" s="1"/>
  <c r="O900" i="2"/>
  <c r="S900" i="2" s="1"/>
  <c r="R900" i="2"/>
  <c r="U900" i="2"/>
  <c r="Z900" i="2"/>
  <c r="AB900" i="2"/>
  <c r="AC900" i="2"/>
  <c r="AD900" i="2" s="1"/>
  <c r="H901" i="2"/>
  <c r="N901" i="2"/>
  <c r="O901" i="2"/>
  <c r="S901" i="2" s="1"/>
  <c r="R901" i="2"/>
  <c r="U901" i="2"/>
  <c r="Z901" i="2"/>
  <c r="AC901" i="2" s="1"/>
  <c r="AB901" i="2"/>
  <c r="H902" i="2"/>
  <c r="N902" i="2" s="1"/>
  <c r="O902" i="2"/>
  <c r="R902" i="2"/>
  <c r="S902" i="2"/>
  <c r="U902" i="2"/>
  <c r="Z902" i="2"/>
  <c r="AB902" i="2"/>
  <c r="AC902" i="2"/>
  <c r="H903" i="2"/>
  <c r="N903" i="2"/>
  <c r="O903" i="2"/>
  <c r="R903" i="2"/>
  <c r="S903" i="2"/>
  <c r="U903" i="2"/>
  <c r="Z903" i="2"/>
  <c r="AB903" i="2"/>
  <c r="AC903" i="2"/>
  <c r="AD903" i="2"/>
  <c r="H904" i="2"/>
  <c r="N904" i="2"/>
  <c r="O904" i="2"/>
  <c r="R904" i="2"/>
  <c r="S904" i="2"/>
  <c r="U904" i="2"/>
  <c r="Z904" i="2"/>
  <c r="AC904" i="2" s="1"/>
  <c r="AB904" i="2"/>
  <c r="AD904" i="2"/>
  <c r="H905" i="2"/>
  <c r="N905" i="2"/>
  <c r="O905" i="2"/>
  <c r="R905" i="2"/>
  <c r="U905" i="2"/>
  <c r="Z905" i="2"/>
  <c r="AC905" i="2" s="1"/>
  <c r="AB905" i="2"/>
  <c r="AD905" i="2"/>
  <c r="H906" i="2"/>
  <c r="N906" i="2" s="1"/>
  <c r="O906" i="2"/>
  <c r="R906" i="2"/>
  <c r="S906" i="2" s="1"/>
  <c r="U906" i="2"/>
  <c r="Z906" i="2"/>
  <c r="AB906" i="2"/>
  <c r="AC906" i="2"/>
  <c r="AD906" i="2" s="1"/>
  <c r="H907" i="2"/>
  <c r="N907" i="2" s="1"/>
  <c r="O907" i="2"/>
  <c r="R907" i="2"/>
  <c r="S907" i="2" s="1"/>
  <c r="U907" i="2"/>
  <c r="Z907" i="2"/>
  <c r="AB907" i="2"/>
  <c r="AC907" i="2"/>
  <c r="AD907" i="2" s="1"/>
  <c r="H908" i="2"/>
  <c r="N908" i="2" s="1"/>
  <c r="O908" i="2"/>
  <c r="S908" i="2" s="1"/>
  <c r="R908" i="2"/>
  <c r="U908" i="2"/>
  <c r="Z908" i="2"/>
  <c r="AB908" i="2"/>
  <c r="AC908" i="2"/>
  <c r="AD908" i="2" s="1"/>
  <c r="H909" i="2"/>
  <c r="N909" i="2"/>
  <c r="O909" i="2"/>
  <c r="S909" i="2" s="1"/>
  <c r="R909" i="2"/>
  <c r="U909" i="2"/>
  <c r="Z909" i="2"/>
  <c r="AC909" i="2" s="1"/>
  <c r="AD909" i="2" s="1"/>
  <c r="AB909" i="2"/>
  <c r="H910" i="2"/>
  <c r="N910" i="2" s="1"/>
  <c r="O910" i="2"/>
  <c r="R910" i="2"/>
  <c r="S910" i="2"/>
  <c r="U910" i="2"/>
  <c r="Z910" i="2"/>
  <c r="AB910" i="2"/>
  <c r="AC910" i="2"/>
  <c r="AD910" i="2" s="1"/>
  <c r="H911" i="2"/>
  <c r="N911" i="2"/>
  <c r="O911" i="2"/>
  <c r="R911" i="2"/>
  <c r="S911" i="2"/>
  <c r="U911" i="2"/>
  <c r="Z911" i="2"/>
  <c r="AB911" i="2"/>
  <c r="AC911" i="2"/>
  <c r="AD911" i="2"/>
  <c r="H912" i="2"/>
  <c r="N912" i="2"/>
  <c r="O912" i="2"/>
  <c r="R912" i="2"/>
  <c r="S912" i="2"/>
  <c r="U912" i="2"/>
  <c r="Z912" i="2"/>
  <c r="AC912" i="2" s="1"/>
  <c r="AB912" i="2"/>
  <c r="AD912" i="2"/>
  <c r="H913" i="2"/>
  <c r="N913" i="2"/>
  <c r="O913" i="2"/>
  <c r="R913" i="2"/>
  <c r="U913" i="2"/>
  <c r="Z913" i="2"/>
  <c r="AC913" i="2" s="1"/>
  <c r="AB913" i="2"/>
  <c r="AD913" i="2"/>
  <c r="H914" i="2"/>
  <c r="N914" i="2" s="1"/>
  <c r="O914" i="2"/>
  <c r="R914" i="2"/>
  <c r="S914" i="2" s="1"/>
  <c r="U914" i="2"/>
  <c r="Z914" i="2"/>
  <c r="AB914" i="2"/>
  <c r="AC914" i="2"/>
  <c r="AD914" i="2" s="1"/>
  <c r="H915" i="2"/>
  <c r="N915" i="2" s="1"/>
  <c r="O915" i="2"/>
  <c r="R915" i="2"/>
  <c r="S915" i="2" s="1"/>
  <c r="U915" i="2"/>
  <c r="Z915" i="2"/>
  <c r="AB915" i="2"/>
  <c r="AC915" i="2"/>
  <c r="AD915" i="2" s="1"/>
  <c r="F916" i="2"/>
  <c r="H916" i="2"/>
  <c r="O916" i="2"/>
  <c r="S916" i="2" s="1"/>
  <c r="R916" i="2"/>
  <c r="U916" i="2"/>
  <c r="Z916" i="2"/>
  <c r="AB916" i="2"/>
  <c r="AC916" i="2"/>
  <c r="AD916" i="2" s="1"/>
  <c r="AG916" i="2"/>
  <c r="AH916" i="2"/>
  <c r="AI916" i="2"/>
  <c r="AJ916" i="2"/>
  <c r="F917" i="2"/>
  <c r="H917" i="2"/>
  <c r="O917" i="2"/>
  <c r="R917" i="2"/>
  <c r="S917" i="2" s="1"/>
  <c r="U917" i="2"/>
  <c r="Z917" i="2"/>
  <c r="AB917" i="2"/>
  <c r="AC917" i="2"/>
  <c r="AD917" i="2"/>
  <c r="AG917" i="2"/>
  <c r="AH917" i="2"/>
  <c r="AO917" i="2" s="1"/>
  <c r="AI917" i="2"/>
  <c r="AJ917" i="2"/>
  <c r="AM917" i="2" s="1"/>
  <c r="AN917" i="2" s="1"/>
  <c r="F918" i="2"/>
  <c r="H918" i="2"/>
  <c r="N918" i="2" s="1"/>
  <c r="O918" i="2"/>
  <c r="R918" i="2"/>
  <c r="S918" i="2"/>
  <c r="U918" i="2"/>
  <c r="Z918" i="2"/>
  <c r="AB918" i="2"/>
  <c r="AC918" i="2"/>
  <c r="AD918" i="2" s="1"/>
  <c r="AG918" i="2"/>
  <c r="AH918" i="2"/>
  <c r="AI918" i="2"/>
  <c r="AJ918" i="2" s="1"/>
  <c r="AM918" i="2"/>
  <c r="AN918" i="2" s="1"/>
  <c r="F919" i="2"/>
  <c r="F920" i="2" s="1"/>
  <c r="H919" i="2"/>
  <c r="N919" i="2"/>
  <c r="O919" i="2"/>
  <c r="R919" i="2"/>
  <c r="U919" i="2"/>
  <c r="Z919" i="2"/>
  <c r="AC919" i="2" s="1"/>
  <c r="AB919" i="2"/>
  <c r="AD919" i="2"/>
  <c r="AG919" i="2"/>
  <c r="AM919" i="2" s="1"/>
  <c r="AN919" i="2" s="1"/>
  <c r="AH919" i="2"/>
  <c r="AI919" i="2"/>
  <c r="AJ919" i="2"/>
  <c r="H920" i="2"/>
  <c r="N920" i="2"/>
  <c r="O920" i="2"/>
  <c r="S920" i="2" s="1"/>
  <c r="R920" i="2"/>
  <c r="U920" i="2"/>
  <c r="Z920" i="2"/>
  <c r="AC920" i="2" s="1"/>
  <c r="AB920" i="2"/>
  <c r="AD920" i="2"/>
  <c r="AG920" i="2"/>
  <c r="AH920" i="2"/>
  <c r="AI920" i="2"/>
  <c r="AJ920" i="2"/>
  <c r="AL920" i="2"/>
  <c r="AO920" i="2"/>
  <c r="F921" i="2"/>
  <c r="F922" i="2" s="1"/>
  <c r="F923" i="2" s="1"/>
  <c r="F924" i="2" s="1"/>
  <c r="F925" i="2" s="1"/>
  <c r="F926" i="2" s="1"/>
  <c r="H921" i="2"/>
  <c r="AL921" i="2" s="1"/>
  <c r="N921" i="2"/>
  <c r="O921" i="2"/>
  <c r="R921" i="2"/>
  <c r="S921" i="2"/>
  <c r="U921" i="2"/>
  <c r="Z921" i="2"/>
  <c r="AB921" i="2"/>
  <c r="AD921" i="2" s="1"/>
  <c r="AC921" i="2"/>
  <c r="AG921" i="2"/>
  <c r="AH921" i="2"/>
  <c r="AI921" i="2"/>
  <c r="AJ921" i="2"/>
  <c r="AM921" i="2" s="1"/>
  <c r="AN921" i="2" s="1"/>
  <c r="AP921" i="2" s="1"/>
  <c r="AQ921" i="2" s="1"/>
  <c r="AO921" i="2"/>
  <c r="H922" i="2"/>
  <c r="O922" i="2"/>
  <c r="R922" i="2"/>
  <c r="S922" i="2"/>
  <c r="U922" i="2"/>
  <c r="Z922" i="2"/>
  <c r="AB922" i="2"/>
  <c r="AC922" i="2"/>
  <c r="AD922" i="2" s="1"/>
  <c r="AG922" i="2"/>
  <c r="AH922" i="2"/>
  <c r="AO922" i="2" s="1"/>
  <c r="AI922" i="2"/>
  <c r="AJ922" i="2" s="1"/>
  <c r="AM922" i="2"/>
  <c r="AN922" i="2" s="1"/>
  <c r="AP922" i="2"/>
  <c r="H923" i="2"/>
  <c r="N923" i="2"/>
  <c r="O923" i="2"/>
  <c r="R923" i="2"/>
  <c r="U923" i="2"/>
  <c r="Z923" i="2"/>
  <c r="AC923" i="2" s="1"/>
  <c r="AD923" i="2" s="1"/>
  <c r="AB923" i="2"/>
  <c r="AG923" i="2"/>
  <c r="AM923" i="2" s="1"/>
  <c r="AN923" i="2" s="1"/>
  <c r="AH923" i="2"/>
  <c r="AI923" i="2"/>
  <c r="AJ923" i="2"/>
  <c r="AL923" i="2"/>
  <c r="H924" i="2"/>
  <c r="N924" i="2" s="1"/>
  <c r="O924" i="2"/>
  <c r="S924" i="2" s="1"/>
  <c r="R924" i="2"/>
  <c r="U924" i="2"/>
  <c r="Z924" i="2"/>
  <c r="AC924" i="2" s="1"/>
  <c r="AD924" i="2" s="1"/>
  <c r="AB924" i="2"/>
  <c r="AG924" i="2"/>
  <c r="AH924" i="2"/>
  <c r="AI924" i="2"/>
  <c r="AJ924" i="2"/>
  <c r="H925" i="2"/>
  <c r="N925" i="2"/>
  <c r="O925" i="2"/>
  <c r="R925" i="2"/>
  <c r="S925" i="2"/>
  <c r="U925" i="2"/>
  <c r="Z925" i="2"/>
  <c r="AB925" i="2"/>
  <c r="AC925" i="2"/>
  <c r="AD925" i="2"/>
  <c r="H926" i="2"/>
  <c r="N926" i="2" s="1"/>
  <c r="O926" i="2"/>
  <c r="S926" i="2" s="1"/>
  <c r="R926" i="2"/>
  <c r="U926" i="2"/>
  <c r="Z926" i="2"/>
  <c r="AB926" i="2"/>
  <c r="AC926" i="2"/>
  <c r="AD926" i="2" s="1"/>
  <c r="F927" i="2"/>
  <c r="F928" i="2" s="1"/>
  <c r="F929" i="2" s="1"/>
  <c r="F930" i="2" s="1"/>
  <c r="F931" i="2" s="1"/>
  <c r="H927" i="2"/>
  <c r="N927" i="2"/>
  <c r="O927" i="2"/>
  <c r="S927" i="2" s="1"/>
  <c r="R927" i="2"/>
  <c r="U927" i="2"/>
  <c r="Z927" i="2"/>
  <c r="AC927" i="2" s="1"/>
  <c r="AB927" i="2"/>
  <c r="AD927" i="2"/>
  <c r="H928" i="2"/>
  <c r="N928" i="2" s="1"/>
  <c r="O928" i="2"/>
  <c r="R928" i="2"/>
  <c r="S928" i="2"/>
  <c r="U928" i="2"/>
  <c r="Z928" i="2"/>
  <c r="AC928" i="2" s="1"/>
  <c r="AB928" i="2"/>
  <c r="H929" i="2"/>
  <c r="N929" i="2" s="1"/>
  <c r="O929" i="2"/>
  <c r="R929" i="2"/>
  <c r="S929" i="2" s="1"/>
  <c r="U929" i="2"/>
  <c r="Z929" i="2"/>
  <c r="AB929" i="2"/>
  <c r="AC929" i="2"/>
  <c r="AD929" i="2" s="1"/>
  <c r="H930" i="2"/>
  <c r="N930" i="2"/>
  <c r="O930" i="2"/>
  <c r="S930" i="2" s="1"/>
  <c r="R930" i="2"/>
  <c r="U930" i="2"/>
  <c r="Z930" i="2"/>
  <c r="AB930" i="2"/>
  <c r="AC930" i="2"/>
  <c r="AD930" i="2"/>
  <c r="H931" i="2"/>
  <c r="N931" i="2"/>
  <c r="O931" i="2"/>
  <c r="S931" i="2" s="1"/>
  <c r="R931" i="2"/>
  <c r="U931" i="2"/>
  <c r="Z931" i="2"/>
  <c r="AC931" i="2" s="1"/>
  <c r="AD931" i="2" s="1"/>
  <c r="AB931" i="2"/>
  <c r="F932" i="2"/>
  <c r="F933" i="2" s="1"/>
  <c r="F934" i="2" s="1"/>
  <c r="F935" i="2" s="1"/>
  <c r="F936" i="2" s="1"/>
  <c r="F937" i="2" s="1"/>
  <c r="F938" i="2" s="1"/>
  <c r="F939" i="2" s="1"/>
  <c r="F940" i="2" s="1"/>
  <c r="H932" i="2"/>
  <c r="N932" i="2" s="1"/>
  <c r="O932" i="2"/>
  <c r="S932" i="2" s="1"/>
  <c r="R932" i="2"/>
  <c r="U932" i="2"/>
  <c r="Z932" i="2"/>
  <c r="AB932" i="2"/>
  <c r="AC932" i="2"/>
  <c r="AD932" i="2" s="1"/>
  <c r="H933" i="2"/>
  <c r="N933" i="2" s="1"/>
  <c r="O933" i="2"/>
  <c r="R933" i="2"/>
  <c r="S933" i="2"/>
  <c r="U933" i="2"/>
  <c r="Z933" i="2"/>
  <c r="AB933" i="2"/>
  <c r="AC933" i="2"/>
  <c r="AD933" i="2" s="1"/>
  <c r="H934" i="2"/>
  <c r="N934" i="2"/>
  <c r="O934" i="2"/>
  <c r="S934" i="2" s="1"/>
  <c r="R934" i="2"/>
  <c r="U934" i="2"/>
  <c r="Z934" i="2"/>
  <c r="AB934" i="2"/>
  <c r="AC934" i="2"/>
  <c r="AD934" i="2"/>
  <c r="H935" i="2"/>
  <c r="N935" i="2"/>
  <c r="O935" i="2"/>
  <c r="S935" i="2" s="1"/>
  <c r="R935" i="2"/>
  <c r="U935" i="2"/>
  <c r="Z935" i="2"/>
  <c r="AC935" i="2" s="1"/>
  <c r="AB935" i="2"/>
  <c r="AD935" i="2"/>
  <c r="H936" i="2"/>
  <c r="N936" i="2" s="1"/>
  <c r="O936" i="2"/>
  <c r="R936" i="2"/>
  <c r="S936" i="2"/>
  <c r="U936" i="2"/>
  <c r="Z936" i="2"/>
  <c r="AC936" i="2" s="1"/>
  <c r="AD936" i="2" s="1"/>
  <c r="AB936" i="2"/>
  <c r="H937" i="2"/>
  <c r="N937" i="2"/>
  <c r="O937" i="2"/>
  <c r="R937" i="2"/>
  <c r="S937" i="2" s="1"/>
  <c r="U937" i="2"/>
  <c r="Z937" i="2"/>
  <c r="AB937" i="2"/>
  <c r="AC937" i="2"/>
  <c r="AD937" i="2"/>
  <c r="H938" i="2"/>
  <c r="N938" i="2"/>
  <c r="O938" i="2"/>
  <c r="R938" i="2"/>
  <c r="S938" i="2" s="1"/>
  <c r="U938" i="2"/>
  <c r="Z938" i="2"/>
  <c r="AC938" i="2" s="1"/>
  <c r="AB938" i="2"/>
  <c r="AD938" i="2"/>
  <c r="H939" i="2"/>
  <c r="N939" i="2" s="1"/>
  <c r="O939" i="2"/>
  <c r="R939" i="2"/>
  <c r="U939" i="2"/>
  <c r="Z939" i="2"/>
  <c r="AC939" i="2" s="1"/>
  <c r="AD939" i="2" s="1"/>
  <c r="AB939" i="2"/>
  <c r="H940" i="2"/>
  <c r="N940" i="2" s="1"/>
  <c r="O940" i="2"/>
  <c r="S940" i="2" s="1"/>
  <c r="R940" i="2"/>
  <c r="U940" i="2"/>
  <c r="Z940" i="2"/>
  <c r="AB940" i="2"/>
  <c r="AC940" i="2"/>
  <c r="F941" i="2"/>
  <c r="H941" i="2"/>
  <c r="N941" i="2"/>
  <c r="O941" i="2"/>
  <c r="S941" i="2" s="1"/>
  <c r="R941" i="2"/>
  <c r="U941" i="2"/>
  <c r="Z941" i="2"/>
  <c r="AB941" i="2"/>
  <c r="AC941" i="2"/>
  <c r="AD941" i="2"/>
  <c r="AG941" i="2"/>
  <c r="AM941" i="2" s="1"/>
  <c r="AN941" i="2" s="1"/>
  <c r="AP941" i="2" s="1"/>
  <c r="AH941" i="2"/>
  <c r="AO941" i="2" s="1"/>
  <c r="AI941" i="2"/>
  <c r="AJ941" i="2"/>
  <c r="F942" i="2"/>
  <c r="F943" i="2" s="1"/>
  <c r="F944" i="2" s="1"/>
  <c r="F945" i="2" s="1"/>
  <c r="H942" i="2"/>
  <c r="N942" i="2" s="1"/>
  <c r="O942" i="2"/>
  <c r="S942" i="2" s="1"/>
  <c r="R942" i="2"/>
  <c r="U942" i="2"/>
  <c r="Z942" i="2"/>
  <c r="AB942" i="2"/>
  <c r="AC942" i="2"/>
  <c r="AD942" i="2" s="1"/>
  <c r="AG942" i="2"/>
  <c r="AH942" i="2"/>
  <c r="AO942" i="2" s="1"/>
  <c r="AI942" i="2"/>
  <c r="AJ942" i="2" s="1"/>
  <c r="AM942" i="2" s="1"/>
  <c r="AN942" i="2" s="1"/>
  <c r="AP942" i="2"/>
  <c r="H943" i="2"/>
  <c r="N943" i="2" s="1"/>
  <c r="O943" i="2"/>
  <c r="R943" i="2"/>
  <c r="U943" i="2"/>
  <c r="Z943" i="2"/>
  <c r="AC943" i="2" s="1"/>
  <c r="AD943" i="2" s="1"/>
  <c r="AB943" i="2"/>
  <c r="AG943" i="2"/>
  <c r="AM943" i="2" s="1"/>
  <c r="AN943" i="2" s="1"/>
  <c r="AH943" i="2"/>
  <c r="AO943" i="2" s="1"/>
  <c r="AI943" i="2"/>
  <c r="AJ943" i="2"/>
  <c r="AL943" i="2"/>
  <c r="H944" i="2"/>
  <c r="N944" i="2"/>
  <c r="O944" i="2"/>
  <c r="R944" i="2"/>
  <c r="S944" i="2" s="1"/>
  <c r="U944" i="2"/>
  <c r="Z944" i="2"/>
  <c r="AC944" i="2" s="1"/>
  <c r="AD944" i="2" s="1"/>
  <c r="AB944" i="2"/>
  <c r="AG944" i="2"/>
  <c r="AH944" i="2"/>
  <c r="AL944" i="2" s="1"/>
  <c r="AI944" i="2"/>
  <c r="AJ944" i="2" s="1"/>
  <c r="AM944" i="2" s="1"/>
  <c r="AN944" i="2" s="1"/>
  <c r="AP944" i="2" s="1"/>
  <c r="AQ944" i="2" s="1"/>
  <c r="AO944" i="2"/>
  <c r="H945" i="2"/>
  <c r="N945" i="2"/>
  <c r="O945" i="2"/>
  <c r="R945" i="2"/>
  <c r="S945" i="2"/>
  <c r="U945" i="2"/>
  <c r="Z945" i="2"/>
  <c r="AC945" i="2" s="1"/>
  <c r="AD945" i="2" s="1"/>
  <c r="AB945" i="2"/>
  <c r="AG945" i="2"/>
  <c r="AH945" i="2"/>
  <c r="AI945" i="2"/>
  <c r="AJ945" i="2" s="1"/>
  <c r="AL945" i="2"/>
  <c r="F946" i="2"/>
  <c r="F947" i="2" s="1"/>
  <c r="F948" i="2" s="1"/>
  <c r="F949" i="2" s="1"/>
  <c r="F950" i="2" s="1"/>
  <c r="F951" i="2" s="1"/>
  <c r="F952" i="2" s="1"/>
  <c r="F953" i="2" s="1"/>
  <c r="H946" i="2"/>
  <c r="N946" i="2"/>
  <c r="O946" i="2"/>
  <c r="R946" i="2"/>
  <c r="S946" i="2"/>
  <c r="U946" i="2"/>
  <c r="Z946" i="2"/>
  <c r="AC946" i="2" s="1"/>
  <c r="AB946" i="2"/>
  <c r="AG946" i="2"/>
  <c r="AH946" i="2"/>
  <c r="AI946" i="2"/>
  <c r="AJ946" i="2"/>
  <c r="AL946" i="2"/>
  <c r="AM946" i="2"/>
  <c r="AN946" i="2" s="1"/>
  <c r="AP946" i="2" s="1"/>
  <c r="AQ946" i="2" s="1"/>
  <c r="AO946" i="2"/>
  <c r="H947" i="2"/>
  <c r="AL947" i="2" s="1"/>
  <c r="O947" i="2"/>
  <c r="S947" i="2" s="1"/>
  <c r="R947" i="2"/>
  <c r="U947" i="2"/>
  <c r="Z947" i="2"/>
  <c r="AB947" i="2"/>
  <c r="AC947" i="2"/>
  <c r="AD947" i="2" s="1"/>
  <c r="AG947" i="2"/>
  <c r="AH947" i="2"/>
  <c r="AI947" i="2"/>
  <c r="AJ947" i="2" s="1"/>
  <c r="H948" i="2"/>
  <c r="AL948" i="2" s="1"/>
  <c r="O948" i="2"/>
  <c r="S948" i="2" s="1"/>
  <c r="R948" i="2"/>
  <c r="U948" i="2"/>
  <c r="Z948" i="2"/>
  <c r="AB948" i="2"/>
  <c r="AC948" i="2"/>
  <c r="AD948" i="2" s="1"/>
  <c r="AG948" i="2"/>
  <c r="AH948" i="2"/>
  <c r="AO948" i="2" s="1"/>
  <c r="AI948" i="2"/>
  <c r="AJ948" i="2"/>
  <c r="AM948" i="2" s="1"/>
  <c r="AN948" i="2" s="1"/>
  <c r="AP948" i="2" s="1"/>
  <c r="AQ948" i="2" s="1"/>
  <c r="H949" i="2"/>
  <c r="O949" i="2"/>
  <c r="S949" i="2" s="1"/>
  <c r="R949" i="2"/>
  <c r="U949" i="2"/>
  <c r="Z949" i="2"/>
  <c r="AB949" i="2"/>
  <c r="AC949" i="2"/>
  <c r="AD949" i="2" s="1"/>
  <c r="AG949" i="2"/>
  <c r="AM949" i="2" s="1"/>
  <c r="AN949" i="2" s="1"/>
  <c r="AP949" i="2" s="1"/>
  <c r="AH949" i="2"/>
  <c r="AO949" i="2" s="1"/>
  <c r="AI949" i="2"/>
  <c r="AJ949" i="2"/>
  <c r="H950" i="2"/>
  <c r="N950" i="2"/>
  <c r="O950" i="2"/>
  <c r="R950" i="2"/>
  <c r="U950" i="2"/>
  <c r="Z950" i="2"/>
  <c r="AB950" i="2"/>
  <c r="AC950" i="2"/>
  <c r="AD950" i="2"/>
  <c r="H951" i="2"/>
  <c r="N951" i="2" s="1"/>
  <c r="O951" i="2"/>
  <c r="S951" i="2" s="1"/>
  <c r="R951" i="2"/>
  <c r="U951" i="2"/>
  <c r="Z951" i="2"/>
  <c r="AB951" i="2"/>
  <c r="AC951" i="2"/>
  <c r="AD951" i="2" s="1"/>
  <c r="H952" i="2"/>
  <c r="N952" i="2" s="1"/>
  <c r="O952" i="2"/>
  <c r="S952" i="2" s="1"/>
  <c r="R952" i="2"/>
  <c r="U952" i="2"/>
  <c r="Z952" i="2"/>
  <c r="AB952" i="2"/>
  <c r="AC952" i="2"/>
  <c r="AD952" i="2" s="1"/>
  <c r="H953" i="2"/>
  <c r="N953" i="2" s="1"/>
  <c r="O953" i="2"/>
  <c r="S953" i="2" s="1"/>
  <c r="R953" i="2"/>
  <c r="U953" i="2"/>
  <c r="Z953" i="2"/>
  <c r="AB953" i="2"/>
  <c r="AC953" i="2"/>
  <c r="AD953" i="2" s="1"/>
  <c r="F954" i="2"/>
  <c r="F955" i="2" s="1"/>
  <c r="F956" i="2" s="1"/>
  <c r="F957" i="2" s="1"/>
  <c r="F958" i="2" s="1"/>
  <c r="F959" i="2" s="1"/>
  <c r="F960" i="2" s="1"/>
  <c r="F961" i="2" s="1"/>
  <c r="H954" i="2"/>
  <c r="N954" i="2"/>
  <c r="O954" i="2"/>
  <c r="R954" i="2"/>
  <c r="S954" i="2"/>
  <c r="U954" i="2"/>
  <c r="Z954" i="2"/>
  <c r="AC954" i="2" s="1"/>
  <c r="AB954" i="2"/>
  <c r="H955" i="2"/>
  <c r="N955" i="2"/>
  <c r="O955" i="2"/>
  <c r="R955" i="2"/>
  <c r="S955" i="2"/>
  <c r="U955" i="2"/>
  <c r="Z955" i="2"/>
  <c r="AC955" i="2" s="1"/>
  <c r="AD955" i="2" s="1"/>
  <c r="AB955" i="2"/>
  <c r="H956" i="2"/>
  <c r="N956" i="2"/>
  <c r="O956" i="2"/>
  <c r="R956" i="2"/>
  <c r="S956" i="2" s="1"/>
  <c r="U956" i="2"/>
  <c r="Z956" i="2"/>
  <c r="AC956" i="2" s="1"/>
  <c r="AD956" i="2" s="1"/>
  <c r="AB956" i="2"/>
  <c r="H957" i="2"/>
  <c r="N957" i="2" s="1"/>
  <c r="O957" i="2"/>
  <c r="R957" i="2"/>
  <c r="S957" i="2"/>
  <c r="U957" i="2"/>
  <c r="Z957" i="2"/>
  <c r="AC957" i="2" s="1"/>
  <c r="AD957" i="2" s="1"/>
  <c r="AB957" i="2"/>
  <c r="H958" i="2"/>
  <c r="N958" i="2"/>
  <c r="O958" i="2"/>
  <c r="S958" i="2" s="1"/>
  <c r="R958" i="2"/>
  <c r="U958" i="2"/>
  <c r="Z958" i="2"/>
  <c r="AB958" i="2"/>
  <c r="AC958" i="2"/>
  <c r="AD958" i="2"/>
  <c r="H959" i="2"/>
  <c r="N959" i="2" s="1"/>
  <c r="O959" i="2"/>
  <c r="S959" i="2" s="1"/>
  <c r="R959" i="2"/>
  <c r="U959" i="2"/>
  <c r="Z959" i="2"/>
  <c r="AB959" i="2"/>
  <c r="AC959" i="2"/>
  <c r="AD959" i="2" s="1"/>
  <c r="H960" i="2"/>
  <c r="N960" i="2" s="1"/>
  <c r="O960" i="2"/>
  <c r="S960" i="2" s="1"/>
  <c r="R960" i="2"/>
  <c r="U960" i="2"/>
  <c r="Z960" i="2"/>
  <c r="AB960" i="2"/>
  <c r="AC960" i="2"/>
  <c r="AD960" i="2" s="1"/>
  <c r="H961" i="2"/>
  <c r="N961" i="2" s="1"/>
  <c r="O961" i="2"/>
  <c r="S961" i="2" s="1"/>
  <c r="R961" i="2"/>
  <c r="U961" i="2"/>
  <c r="Z961" i="2"/>
  <c r="AB961" i="2"/>
  <c r="AC961" i="2"/>
  <c r="AD961" i="2" s="1"/>
  <c r="F962" i="2"/>
  <c r="F963" i="2" s="1"/>
  <c r="F964" i="2" s="1"/>
  <c r="F965" i="2" s="1"/>
  <c r="H962" i="2"/>
  <c r="N962" i="2"/>
  <c r="O962" i="2"/>
  <c r="R962" i="2"/>
  <c r="S962" i="2"/>
  <c r="U962" i="2"/>
  <c r="Z962" i="2"/>
  <c r="AC962" i="2" s="1"/>
  <c r="AD962" i="2" s="1"/>
  <c r="AB962" i="2"/>
  <c r="H963" i="2"/>
  <c r="N963" i="2"/>
  <c r="O963" i="2"/>
  <c r="R963" i="2"/>
  <c r="S963" i="2"/>
  <c r="U963" i="2"/>
  <c r="Z963" i="2"/>
  <c r="AC963" i="2" s="1"/>
  <c r="AD963" i="2" s="1"/>
  <c r="AB963" i="2"/>
  <c r="H964" i="2"/>
  <c r="N964" i="2"/>
  <c r="O964" i="2"/>
  <c r="R964" i="2"/>
  <c r="S964" i="2" s="1"/>
  <c r="U964" i="2"/>
  <c r="Z964" i="2"/>
  <c r="AC964" i="2" s="1"/>
  <c r="AB964" i="2"/>
  <c r="AD964" i="2"/>
  <c r="H965" i="2"/>
  <c r="N965" i="2" s="1"/>
  <c r="O965" i="2"/>
  <c r="R965" i="2"/>
  <c r="S965" i="2"/>
  <c r="U965" i="2"/>
  <c r="Z965" i="2"/>
  <c r="AC965" i="2" s="1"/>
  <c r="AD965" i="2" s="1"/>
  <c r="AB965" i="2"/>
  <c r="F966" i="2"/>
  <c r="F967" i="2" s="1"/>
  <c r="F968" i="2" s="1"/>
  <c r="F969" i="2" s="1"/>
  <c r="F970" i="2" s="1"/>
  <c r="F971" i="2" s="1"/>
  <c r="F972" i="2" s="1"/>
  <c r="F973" i="2" s="1"/>
  <c r="F974" i="2" s="1"/>
  <c r="F975" i="2" s="1"/>
  <c r="F976" i="2" s="1"/>
  <c r="F977" i="2" s="1"/>
  <c r="F978" i="2" s="1"/>
  <c r="F979" i="2" s="1"/>
  <c r="F980" i="2" s="1"/>
  <c r="F981" i="2" s="1"/>
  <c r="F982" i="2" s="1"/>
  <c r="F983" i="2" s="1"/>
  <c r="F984" i="2" s="1"/>
  <c r="F985" i="2" s="1"/>
  <c r="F986" i="2" s="1"/>
  <c r="F987" i="2" s="1"/>
  <c r="F988" i="2" s="1"/>
  <c r="H966" i="2"/>
  <c r="N966" i="2"/>
  <c r="O966" i="2"/>
  <c r="R966" i="2"/>
  <c r="U966" i="2"/>
  <c r="Z966" i="2"/>
  <c r="AB966" i="2"/>
  <c r="AC966" i="2"/>
  <c r="AD966" i="2"/>
  <c r="AG966" i="2"/>
  <c r="AM966" i="2" s="1"/>
  <c r="AN966" i="2" s="1"/>
  <c r="AP966" i="2" s="1"/>
  <c r="AH966" i="2"/>
  <c r="AO966" i="2" s="1"/>
  <c r="AI966" i="2"/>
  <c r="AJ966" i="2"/>
  <c r="H967" i="2"/>
  <c r="N967" i="2" s="1"/>
  <c r="O967" i="2"/>
  <c r="R967" i="2"/>
  <c r="S967" i="2"/>
  <c r="U967" i="2"/>
  <c r="Z967" i="2"/>
  <c r="AC967" i="2" s="1"/>
  <c r="AD967" i="2" s="1"/>
  <c r="AB967" i="2"/>
  <c r="AG967" i="2"/>
  <c r="AH967" i="2"/>
  <c r="AO967" i="2" s="1"/>
  <c r="AI967" i="2"/>
  <c r="AJ967" i="2" s="1"/>
  <c r="AL967" i="2"/>
  <c r="H968" i="2"/>
  <c r="N968" i="2"/>
  <c r="O968" i="2"/>
  <c r="R968" i="2"/>
  <c r="S968" i="2" s="1"/>
  <c r="U968" i="2"/>
  <c r="Z968" i="2"/>
  <c r="AC968" i="2" s="1"/>
  <c r="AD968" i="2" s="1"/>
  <c r="AB968" i="2"/>
  <c r="AG968" i="2"/>
  <c r="AH968" i="2"/>
  <c r="AL968" i="2" s="1"/>
  <c r="AI968" i="2"/>
  <c r="AJ968" i="2" s="1"/>
  <c r="AM968" i="2" s="1"/>
  <c r="AN968" i="2" s="1"/>
  <c r="AP968" i="2" s="1"/>
  <c r="AQ968" i="2" s="1"/>
  <c r="AO968" i="2"/>
  <c r="H969" i="2"/>
  <c r="N969" i="2"/>
  <c r="O969" i="2"/>
  <c r="R969" i="2"/>
  <c r="S969" i="2"/>
  <c r="U969" i="2"/>
  <c r="Z969" i="2"/>
  <c r="AC969" i="2" s="1"/>
  <c r="AD969" i="2" s="1"/>
  <c r="AB969" i="2"/>
  <c r="AG969" i="2"/>
  <c r="AH969" i="2"/>
  <c r="AI969" i="2"/>
  <c r="AJ969" i="2" s="1"/>
  <c r="AL969" i="2"/>
  <c r="H970" i="2"/>
  <c r="N970" i="2"/>
  <c r="O970" i="2"/>
  <c r="R970" i="2"/>
  <c r="S970" i="2"/>
  <c r="U970" i="2"/>
  <c r="Z970" i="2"/>
  <c r="AC970" i="2" s="1"/>
  <c r="AB970" i="2"/>
  <c r="AG970" i="2"/>
  <c r="AH970" i="2"/>
  <c r="AI970" i="2"/>
  <c r="AJ970" i="2"/>
  <c r="AL970" i="2"/>
  <c r="AM970" i="2"/>
  <c r="AN970" i="2" s="1"/>
  <c r="AP970" i="2" s="1"/>
  <c r="AQ970" i="2" s="1"/>
  <c r="AO970" i="2"/>
  <c r="H971" i="2"/>
  <c r="AL971" i="2" s="1"/>
  <c r="O971" i="2"/>
  <c r="S971" i="2" s="1"/>
  <c r="R971" i="2"/>
  <c r="U971" i="2"/>
  <c r="Z971" i="2"/>
  <c r="AB971" i="2"/>
  <c r="AC971" i="2"/>
  <c r="AD971" i="2" s="1"/>
  <c r="AG971" i="2"/>
  <c r="AH971" i="2"/>
  <c r="AI971" i="2"/>
  <c r="AJ971" i="2" s="1"/>
  <c r="H972" i="2"/>
  <c r="AL972" i="2" s="1"/>
  <c r="O972" i="2"/>
  <c r="S972" i="2" s="1"/>
  <c r="R972" i="2"/>
  <c r="U972" i="2"/>
  <c r="Z972" i="2"/>
  <c r="AB972" i="2"/>
  <c r="AC972" i="2"/>
  <c r="AD972" i="2" s="1"/>
  <c r="AG972" i="2"/>
  <c r="AH972" i="2"/>
  <c r="AO972" i="2" s="1"/>
  <c r="AI972" i="2"/>
  <c r="AJ972" i="2"/>
  <c r="AM972" i="2" s="1"/>
  <c r="AN972" i="2" s="1"/>
  <c r="AP972" i="2" s="1"/>
  <c r="AQ972" i="2" s="1"/>
  <c r="H973" i="2"/>
  <c r="O973" i="2"/>
  <c r="S973" i="2" s="1"/>
  <c r="R973" i="2"/>
  <c r="U973" i="2"/>
  <c r="Z973" i="2"/>
  <c r="AB973" i="2"/>
  <c r="AC973" i="2"/>
  <c r="AD973" i="2" s="1"/>
  <c r="AG973" i="2"/>
  <c r="AM973" i="2" s="1"/>
  <c r="AN973" i="2" s="1"/>
  <c r="AP973" i="2" s="1"/>
  <c r="AH973" i="2"/>
  <c r="AO973" i="2" s="1"/>
  <c r="AI973" i="2"/>
  <c r="AJ973" i="2"/>
  <c r="H974" i="2"/>
  <c r="N974" i="2"/>
  <c r="O974" i="2"/>
  <c r="R974" i="2"/>
  <c r="U974" i="2"/>
  <c r="Z974" i="2"/>
  <c r="AB974" i="2"/>
  <c r="AC974" i="2"/>
  <c r="AD974" i="2"/>
  <c r="H975" i="2"/>
  <c r="N975" i="2" s="1"/>
  <c r="O975" i="2"/>
  <c r="S975" i="2" s="1"/>
  <c r="R975" i="2"/>
  <c r="U975" i="2"/>
  <c r="Z975" i="2"/>
  <c r="AB975" i="2"/>
  <c r="AC975" i="2"/>
  <c r="AD975" i="2" s="1"/>
  <c r="H976" i="2"/>
  <c r="N976" i="2" s="1"/>
  <c r="O976" i="2"/>
  <c r="S976" i="2" s="1"/>
  <c r="R976" i="2"/>
  <c r="U976" i="2"/>
  <c r="Z976" i="2"/>
  <c r="AB976" i="2"/>
  <c r="AC976" i="2"/>
  <c r="AD976" i="2" s="1"/>
  <c r="H977" i="2"/>
  <c r="N977" i="2" s="1"/>
  <c r="O977" i="2"/>
  <c r="S977" i="2" s="1"/>
  <c r="R977" i="2"/>
  <c r="U977" i="2"/>
  <c r="Z977" i="2"/>
  <c r="AB977" i="2"/>
  <c r="AC977" i="2"/>
  <c r="AD977" i="2" s="1"/>
  <c r="H978" i="2"/>
  <c r="N978" i="2"/>
  <c r="O978" i="2"/>
  <c r="R978" i="2"/>
  <c r="S978" i="2"/>
  <c r="U978" i="2"/>
  <c r="Z978" i="2"/>
  <c r="AC978" i="2" s="1"/>
  <c r="AB978" i="2"/>
  <c r="H979" i="2"/>
  <c r="N979" i="2"/>
  <c r="O979" i="2"/>
  <c r="R979" i="2"/>
  <c r="S979" i="2"/>
  <c r="U979" i="2"/>
  <c r="Z979" i="2"/>
  <c r="AC979" i="2" s="1"/>
  <c r="AD979" i="2" s="1"/>
  <c r="AB979" i="2"/>
  <c r="H980" i="2"/>
  <c r="N980" i="2"/>
  <c r="O980" i="2"/>
  <c r="R980" i="2"/>
  <c r="S980" i="2" s="1"/>
  <c r="U980" i="2"/>
  <c r="Z980" i="2"/>
  <c r="AC980" i="2" s="1"/>
  <c r="AD980" i="2" s="1"/>
  <c r="AB980" i="2"/>
  <c r="H981" i="2"/>
  <c r="N981" i="2" s="1"/>
  <c r="O981" i="2"/>
  <c r="R981" i="2"/>
  <c r="S981" i="2"/>
  <c r="U981" i="2"/>
  <c r="Z981" i="2"/>
  <c r="AC981" i="2" s="1"/>
  <c r="AD981" i="2" s="1"/>
  <c r="AB981" i="2"/>
  <c r="H982" i="2"/>
  <c r="N982" i="2"/>
  <c r="O982" i="2"/>
  <c r="S982" i="2" s="1"/>
  <c r="R982" i="2"/>
  <c r="U982" i="2"/>
  <c r="Z982" i="2"/>
  <c r="AB982" i="2"/>
  <c r="AC982" i="2"/>
  <c r="AD982" i="2"/>
  <c r="H983" i="2"/>
  <c r="N983" i="2" s="1"/>
  <c r="O983" i="2"/>
  <c r="S983" i="2" s="1"/>
  <c r="R983" i="2"/>
  <c r="U983" i="2"/>
  <c r="Z983" i="2"/>
  <c r="AB983" i="2"/>
  <c r="AC983" i="2"/>
  <c r="AD983" i="2" s="1"/>
  <c r="H984" i="2"/>
  <c r="N984" i="2" s="1"/>
  <c r="O984" i="2"/>
  <c r="S984" i="2" s="1"/>
  <c r="R984" i="2"/>
  <c r="U984" i="2"/>
  <c r="Z984" i="2"/>
  <c r="AB984" i="2"/>
  <c r="AC984" i="2"/>
  <c r="AD984" i="2" s="1"/>
  <c r="H985" i="2"/>
  <c r="N985" i="2" s="1"/>
  <c r="O985" i="2"/>
  <c r="S985" i="2" s="1"/>
  <c r="R985" i="2"/>
  <c r="U985" i="2"/>
  <c r="Z985" i="2"/>
  <c r="AB985" i="2"/>
  <c r="AC985" i="2"/>
  <c r="AD985" i="2" s="1"/>
  <c r="H986" i="2"/>
  <c r="N986" i="2"/>
  <c r="O986" i="2"/>
  <c r="R986" i="2"/>
  <c r="S986" i="2"/>
  <c r="U986" i="2"/>
  <c r="Z986" i="2"/>
  <c r="AC986" i="2" s="1"/>
  <c r="AD986" i="2" s="1"/>
  <c r="AB986" i="2"/>
  <c r="H987" i="2"/>
  <c r="N987" i="2"/>
  <c r="O987" i="2"/>
  <c r="R987" i="2"/>
  <c r="S987" i="2"/>
  <c r="U987" i="2"/>
  <c r="Z987" i="2"/>
  <c r="AC987" i="2" s="1"/>
  <c r="AD987" i="2" s="1"/>
  <c r="AB987" i="2"/>
  <c r="H988" i="2"/>
  <c r="N988" i="2"/>
  <c r="O988" i="2"/>
  <c r="R988" i="2"/>
  <c r="S988" i="2" s="1"/>
  <c r="U988" i="2"/>
  <c r="Z988" i="2"/>
  <c r="AC988" i="2" s="1"/>
  <c r="AB988" i="2"/>
  <c r="AD988" i="2"/>
  <c r="F989" i="2"/>
  <c r="H989" i="2"/>
  <c r="N989" i="2" s="1"/>
  <c r="O989" i="2"/>
  <c r="R989" i="2"/>
  <c r="S989" i="2"/>
  <c r="U989" i="2"/>
  <c r="Z989" i="2"/>
  <c r="AC989" i="2" s="1"/>
  <c r="AD989" i="2" s="1"/>
  <c r="AB989" i="2"/>
  <c r="AG989" i="2"/>
  <c r="AH989" i="2"/>
  <c r="AO989" i="2" s="1"/>
  <c r="AI989" i="2"/>
  <c r="AJ989" i="2" s="1"/>
  <c r="AL989" i="2"/>
  <c r="F990" i="2"/>
  <c r="F991" i="2" s="1"/>
  <c r="H990" i="2"/>
  <c r="N990" i="2"/>
  <c r="O990" i="2"/>
  <c r="R990" i="2"/>
  <c r="S990" i="2" s="1"/>
  <c r="U990" i="2"/>
  <c r="Z990" i="2"/>
  <c r="AC990" i="2" s="1"/>
  <c r="AD990" i="2" s="1"/>
  <c r="AB990" i="2"/>
  <c r="AG990" i="2"/>
  <c r="AH990" i="2"/>
  <c r="AL990" i="2" s="1"/>
  <c r="AI990" i="2"/>
  <c r="AJ990" i="2" s="1"/>
  <c r="AM990" i="2" s="1"/>
  <c r="AN990" i="2" s="1"/>
  <c r="AP990" i="2" s="1"/>
  <c r="AO990" i="2"/>
  <c r="H991" i="2"/>
  <c r="N991" i="2"/>
  <c r="O991" i="2"/>
  <c r="R991" i="2"/>
  <c r="S991" i="2"/>
  <c r="U991" i="2"/>
  <c r="Z991" i="2"/>
  <c r="AC991" i="2" s="1"/>
  <c r="AD991" i="2" s="1"/>
  <c r="AB991" i="2"/>
  <c r="AG991" i="2"/>
  <c r="AH991" i="2"/>
  <c r="AI991" i="2"/>
  <c r="AJ991" i="2" s="1"/>
  <c r="AL991" i="2"/>
  <c r="F992" i="2"/>
  <c r="F993" i="2" s="1"/>
  <c r="F994" i="2" s="1"/>
  <c r="F995" i="2" s="1"/>
  <c r="F996" i="2" s="1"/>
  <c r="F997" i="2" s="1"/>
  <c r="F998" i="2" s="1"/>
  <c r="F999" i="2" s="1"/>
  <c r="F1000" i="2" s="1"/>
  <c r="F1001" i="2" s="1"/>
  <c r="H992" i="2"/>
  <c r="N992" i="2"/>
  <c r="O992" i="2"/>
  <c r="R992" i="2"/>
  <c r="S992" i="2"/>
  <c r="U992" i="2"/>
  <c r="Z992" i="2"/>
  <c r="AC992" i="2" s="1"/>
  <c r="AB992" i="2"/>
  <c r="AG992" i="2"/>
  <c r="AH992" i="2"/>
  <c r="AI992" i="2"/>
  <c r="AJ992" i="2"/>
  <c r="AL992" i="2"/>
  <c r="AM992" i="2"/>
  <c r="AN992" i="2" s="1"/>
  <c r="AP992" i="2" s="1"/>
  <c r="AQ992" i="2" s="1"/>
  <c r="AO992" i="2"/>
  <c r="H993" i="2"/>
  <c r="O993" i="2"/>
  <c r="S993" i="2" s="1"/>
  <c r="R993" i="2"/>
  <c r="U993" i="2"/>
  <c r="Z993" i="2"/>
  <c r="AB993" i="2"/>
  <c r="AC993" i="2"/>
  <c r="AD993" i="2" s="1"/>
  <c r="AG993" i="2"/>
  <c r="AH993" i="2"/>
  <c r="AI993" i="2"/>
  <c r="AJ993" i="2" s="1"/>
  <c r="H994" i="2"/>
  <c r="O994" i="2"/>
  <c r="R994" i="2"/>
  <c r="U994" i="2"/>
  <c r="Z994" i="2"/>
  <c r="AB994" i="2"/>
  <c r="AC994" i="2"/>
  <c r="AD994" i="2" s="1"/>
  <c r="AG994" i="2"/>
  <c r="AH994" i="2"/>
  <c r="AO994" i="2" s="1"/>
  <c r="AI994" i="2"/>
  <c r="AJ994" i="2"/>
  <c r="AM994" i="2" s="1"/>
  <c r="AN994" i="2" s="1"/>
  <c r="AP994" i="2" s="1"/>
  <c r="H995" i="2"/>
  <c r="N995" i="2" s="1"/>
  <c r="O995" i="2"/>
  <c r="S995" i="2" s="1"/>
  <c r="R995" i="2"/>
  <c r="U995" i="2"/>
  <c r="Z995" i="2"/>
  <c r="AB995" i="2"/>
  <c r="AC995" i="2"/>
  <c r="AD995" i="2" s="1"/>
  <c r="AG995" i="2"/>
  <c r="AM995" i="2" s="1"/>
  <c r="AH995" i="2"/>
  <c r="AO995" i="2" s="1"/>
  <c r="AI995" i="2"/>
  <c r="AJ995" i="2"/>
  <c r="AN995" i="2"/>
  <c r="AP995" i="2" s="1"/>
  <c r="H996" i="2"/>
  <c r="N996" i="2"/>
  <c r="O996" i="2"/>
  <c r="R996" i="2"/>
  <c r="U996" i="2"/>
  <c r="Z996" i="2"/>
  <c r="AB996" i="2"/>
  <c r="AC996" i="2"/>
  <c r="AD996" i="2"/>
  <c r="AG996" i="2"/>
  <c r="AM996" i="2" s="1"/>
  <c r="AN996" i="2" s="1"/>
  <c r="AH996" i="2"/>
  <c r="AI996" i="2"/>
  <c r="AJ996" i="2"/>
  <c r="AO996" i="2"/>
  <c r="H997" i="2"/>
  <c r="N997" i="2" s="1"/>
  <c r="O997" i="2"/>
  <c r="R997" i="2"/>
  <c r="S997" i="2"/>
  <c r="U997" i="2"/>
  <c r="Z997" i="2"/>
  <c r="AC997" i="2" s="1"/>
  <c r="AD997" i="2" s="1"/>
  <c r="AB997" i="2"/>
  <c r="H998" i="2"/>
  <c r="N998" i="2"/>
  <c r="O998" i="2"/>
  <c r="R998" i="2"/>
  <c r="U998" i="2"/>
  <c r="Z998" i="2"/>
  <c r="AB998" i="2"/>
  <c r="AC998" i="2"/>
  <c r="AD998" i="2"/>
  <c r="H999" i="2"/>
  <c r="N999" i="2" s="1"/>
  <c r="O999" i="2"/>
  <c r="S999" i="2" s="1"/>
  <c r="R999" i="2"/>
  <c r="U999" i="2"/>
  <c r="Z999" i="2"/>
  <c r="AB999" i="2"/>
  <c r="AC999" i="2"/>
  <c r="AD999" i="2" s="1"/>
  <c r="H1000" i="2"/>
  <c r="N1000" i="2" s="1"/>
  <c r="O1000" i="2"/>
  <c r="S1000" i="2" s="1"/>
  <c r="R1000" i="2"/>
  <c r="U1000" i="2"/>
  <c r="Z1000" i="2"/>
  <c r="AB1000" i="2"/>
  <c r="AC1000" i="2"/>
  <c r="AD1000" i="2" s="1"/>
  <c r="H1001" i="2"/>
  <c r="N1001" i="2" s="1"/>
  <c r="O1001" i="2"/>
  <c r="S1001" i="2" s="1"/>
  <c r="R1001" i="2"/>
  <c r="U1001" i="2"/>
  <c r="Z1001" i="2"/>
  <c r="AB1001" i="2"/>
  <c r="AC1001" i="2"/>
  <c r="AD1001" i="2" s="1"/>
  <c r="F1002" i="2"/>
  <c r="F1003" i="2" s="1"/>
  <c r="F1004" i="2" s="1"/>
  <c r="F1005" i="2" s="1"/>
  <c r="F1006" i="2" s="1"/>
  <c r="F1007" i="2" s="1"/>
  <c r="F1008" i="2" s="1"/>
  <c r="F1009" i="2" s="1"/>
  <c r="F1010" i="2" s="1"/>
  <c r="F1011" i="2" s="1"/>
  <c r="H1002" i="2"/>
  <c r="N1002" i="2"/>
  <c r="O1002" i="2"/>
  <c r="R1002" i="2"/>
  <c r="S1002" i="2"/>
  <c r="U1002" i="2"/>
  <c r="Z1002" i="2"/>
  <c r="AC1002" i="2" s="1"/>
  <c r="AB1002" i="2"/>
  <c r="H1003" i="2"/>
  <c r="N1003" i="2"/>
  <c r="O1003" i="2"/>
  <c r="R1003" i="2"/>
  <c r="S1003" i="2"/>
  <c r="U1003" i="2"/>
  <c r="Z1003" i="2"/>
  <c r="AC1003" i="2" s="1"/>
  <c r="AD1003" i="2" s="1"/>
  <c r="AB1003" i="2"/>
  <c r="H1004" i="2"/>
  <c r="N1004" i="2"/>
  <c r="O1004" i="2"/>
  <c r="R1004" i="2"/>
  <c r="S1004" i="2" s="1"/>
  <c r="U1004" i="2"/>
  <c r="Z1004" i="2"/>
  <c r="AC1004" i="2" s="1"/>
  <c r="AB1004" i="2"/>
  <c r="AD1004" i="2" s="1"/>
  <c r="H1005" i="2"/>
  <c r="N1005" i="2" s="1"/>
  <c r="O1005" i="2"/>
  <c r="R1005" i="2"/>
  <c r="S1005" i="2"/>
  <c r="U1005" i="2"/>
  <c r="Z1005" i="2"/>
  <c r="AC1005" i="2" s="1"/>
  <c r="AD1005" i="2" s="1"/>
  <c r="AB1005" i="2"/>
  <c r="H1006" i="2"/>
  <c r="N1006" i="2"/>
  <c r="O1006" i="2"/>
  <c r="S1006" i="2" s="1"/>
  <c r="R1006" i="2"/>
  <c r="U1006" i="2"/>
  <c r="Z1006" i="2"/>
  <c r="AB1006" i="2"/>
  <c r="AC1006" i="2"/>
  <c r="AD1006" i="2"/>
  <c r="H1007" i="2"/>
  <c r="N1007" i="2" s="1"/>
  <c r="O1007" i="2"/>
  <c r="S1007" i="2" s="1"/>
  <c r="R1007" i="2"/>
  <c r="U1007" i="2"/>
  <c r="Z1007" i="2"/>
  <c r="AB1007" i="2"/>
  <c r="AC1007" i="2"/>
  <c r="AD1007" i="2" s="1"/>
  <c r="H1008" i="2"/>
  <c r="N1008" i="2" s="1"/>
  <c r="O1008" i="2"/>
  <c r="R1008" i="2"/>
  <c r="U1008" i="2"/>
  <c r="Z1008" i="2"/>
  <c r="AB1008" i="2"/>
  <c r="AC1008" i="2"/>
  <c r="AD1008" i="2" s="1"/>
  <c r="H1009" i="2"/>
  <c r="N1009" i="2" s="1"/>
  <c r="O1009" i="2"/>
  <c r="S1009" i="2" s="1"/>
  <c r="R1009" i="2"/>
  <c r="U1009" i="2"/>
  <c r="Z1009" i="2"/>
  <c r="AB1009" i="2"/>
  <c r="AC1009" i="2"/>
  <c r="AD1009" i="2" s="1"/>
  <c r="H1010" i="2"/>
  <c r="N1010" i="2"/>
  <c r="O1010" i="2"/>
  <c r="R1010" i="2"/>
  <c r="S1010" i="2"/>
  <c r="U1010" i="2"/>
  <c r="Z1010" i="2"/>
  <c r="AC1010" i="2" s="1"/>
  <c r="AB1010" i="2"/>
  <c r="H1011" i="2"/>
  <c r="N1011" i="2"/>
  <c r="O1011" i="2"/>
  <c r="R1011" i="2"/>
  <c r="S1011" i="2"/>
  <c r="U1011" i="2"/>
  <c r="Z1011" i="2"/>
  <c r="AC1011" i="2" s="1"/>
  <c r="AD1011" i="2" s="1"/>
  <c r="AB1011" i="2"/>
  <c r="AQ949" i="2" l="1"/>
  <c r="AQ990" i="2"/>
  <c r="N973" i="2"/>
  <c r="AL973" i="2"/>
  <c r="AQ973" i="2" s="1"/>
  <c r="N949" i="2"/>
  <c r="AL949" i="2"/>
  <c r="AL993" i="2"/>
  <c r="N993" i="2"/>
  <c r="S974" i="2"/>
  <c r="AM969" i="2"/>
  <c r="AN969" i="2" s="1"/>
  <c r="AM967" i="2"/>
  <c r="AN967" i="2" s="1"/>
  <c r="AP967" i="2" s="1"/>
  <c r="AQ967" i="2" s="1"/>
  <c r="S950" i="2"/>
  <c r="AM945" i="2"/>
  <c r="AN945" i="2" s="1"/>
  <c r="AD928" i="2"/>
  <c r="AD1002" i="2"/>
  <c r="AD1010" i="2"/>
  <c r="S996" i="2"/>
  <c r="AM993" i="2"/>
  <c r="AN993" i="2" s="1"/>
  <c r="AP993" i="2" s="1"/>
  <c r="AO993" i="2"/>
  <c r="AD992" i="2"/>
  <c r="AP943" i="2"/>
  <c r="AQ943" i="2" s="1"/>
  <c r="AP996" i="2"/>
  <c r="AQ996" i="2" s="1"/>
  <c r="AO918" i="2"/>
  <c r="AP918" i="2" s="1"/>
  <c r="AQ918" i="2" s="1"/>
  <c r="AL918" i="2"/>
  <c r="S998" i="2"/>
  <c r="AL996" i="2"/>
  <c r="S994" i="2"/>
  <c r="S966" i="2"/>
  <c r="AM991" i="2"/>
  <c r="AN991" i="2" s="1"/>
  <c r="AL916" i="2"/>
  <c r="N916" i="2"/>
  <c r="AQ941" i="2"/>
  <c r="AL994" i="2"/>
  <c r="AQ994" i="2" s="1"/>
  <c r="S1008" i="2"/>
  <c r="AL995" i="2"/>
  <c r="AQ995" i="2" s="1"/>
  <c r="AM989" i="2"/>
  <c r="AN989" i="2" s="1"/>
  <c r="AP989" i="2" s="1"/>
  <c r="AQ989" i="2" s="1"/>
  <c r="AD978" i="2"/>
  <c r="AM971" i="2"/>
  <c r="AN971" i="2" s="1"/>
  <c r="AO971" i="2"/>
  <c r="AD970" i="2"/>
  <c r="AL966" i="2"/>
  <c r="AQ966" i="2" s="1"/>
  <c r="AD954" i="2"/>
  <c r="AM947" i="2"/>
  <c r="AN947" i="2" s="1"/>
  <c r="AP947" i="2" s="1"/>
  <c r="AQ947" i="2" s="1"/>
  <c r="AO947" i="2"/>
  <c r="AD946" i="2"/>
  <c r="AL919" i="2"/>
  <c r="AO919" i="2"/>
  <c r="AP919" i="2" s="1"/>
  <c r="AQ919" i="2" s="1"/>
  <c r="AP917" i="2"/>
  <c r="N971" i="2"/>
  <c r="N947" i="2"/>
  <c r="AL924" i="2"/>
  <c r="AM916" i="2"/>
  <c r="AN916" i="2" s="1"/>
  <c r="AP916" i="2" s="1"/>
  <c r="AQ916" i="2" s="1"/>
  <c r="AO916" i="2"/>
  <c r="AP856" i="2"/>
  <c r="AQ856" i="2" s="1"/>
  <c r="AP835" i="2"/>
  <c r="AL917" i="2"/>
  <c r="N917" i="2"/>
  <c r="AM886" i="2"/>
  <c r="AN886" i="2" s="1"/>
  <c r="AP886" i="2" s="1"/>
  <c r="AQ886" i="2" s="1"/>
  <c r="AP816" i="2"/>
  <c r="AO991" i="2"/>
  <c r="AO969" i="2"/>
  <c r="AO945" i="2"/>
  <c r="S943" i="2"/>
  <c r="AL942" i="2"/>
  <c r="AQ942" i="2" s="1"/>
  <c r="AL941" i="2"/>
  <c r="S923" i="2"/>
  <c r="AQ888" i="2"/>
  <c r="AP863" i="2"/>
  <c r="AQ863" i="2" s="1"/>
  <c r="AQ862" i="2"/>
  <c r="AP837" i="2"/>
  <c r="AQ837" i="2" s="1"/>
  <c r="AP817" i="2"/>
  <c r="AQ817" i="2" s="1"/>
  <c r="N994" i="2"/>
  <c r="N972" i="2"/>
  <c r="N948" i="2"/>
  <c r="S939" i="2"/>
  <c r="AD940" i="2"/>
  <c r="AM924" i="2"/>
  <c r="AN924" i="2" s="1"/>
  <c r="AO923" i="2"/>
  <c r="AP923" i="2" s="1"/>
  <c r="AQ923" i="2" s="1"/>
  <c r="AL922" i="2"/>
  <c r="AQ922" i="2" s="1"/>
  <c r="N922" i="2"/>
  <c r="S913" i="2"/>
  <c r="AD902" i="2"/>
  <c r="AL893" i="2"/>
  <c r="AO893" i="2"/>
  <c r="AP893" i="2" s="1"/>
  <c r="AQ893" i="2" s="1"/>
  <c r="AP889" i="2"/>
  <c r="AQ889" i="2" s="1"/>
  <c r="AO924" i="2"/>
  <c r="AM920" i="2"/>
  <c r="AN920" i="2" s="1"/>
  <c r="AP920" i="2" s="1"/>
  <c r="AQ920" i="2" s="1"/>
  <c r="S919" i="2"/>
  <c r="S905" i="2"/>
  <c r="AD901" i="2"/>
  <c r="S897" i="2"/>
  <c r="AQ861" i="2"/>
  <c r="AP858" i="2"/>
  <c r="AQ841" i="2"/>
  <c r="AL819" i="2"/>
  <c r="AQ819" i="2" s="1"/>
  <c r="AM818" i="2"/>
  <c r="AN818" i="2" s="1"/>
  <c r="AO813" i="2"/>
  <c r="AP813" i="2" s="1"/>
  <c r="AQ813" i="2" s="1"/>
  <c r="AO890" i="2"/>
  <c r="AP890" i="2" s="1"/>
  <c r="AQ890" i="2" s="1"/>
  <c r="N890" i="2"/>
  <c r="AL889" i="2"/>
  <c r="AO864" i="2"/>
  <c r="AP864" i="2" s="1"/>
  <c r="AQ864" i="2" s="1"/>
  <c r="N864" i="2"/>
  <c r="AL863" i="2"/>
  <c r="AO856" i="2"/>
  <c r="N856" i="2"/>
  <c r="AO836" i="2"/>
  <c r="AP836" i="2" s="1"/>
  <c r="AQ836" i="2" s="1"/>
  <c r="N836" i="2"/>
  <c r="AL835" i="2"/>
  <c r="N818" i="2"/>
  <c r="AO816" i="2"/>
  <c r="S788" i="2"/>
  <c r="AP738" i="2"/>
  <c r="AQ738" i="2" s="1"/>
  <c r="AL892" i="2"/>
  <c r="AQ892" i="2" s="1"/>
  <c r="AL858" i="2"/>
  <c r="AL838" i="2"/>
  <c r="AQ838" i="2" s="1"/>
  <c r="AN798" i="2"/>
  <c r="AP798" i="2" s="1"/>
  <c r="AQ798" i="2" s="1"/>
  <c r="AN797" i="2"/>
  <c r="AP797" i="2" s="1"/>
  <c r="AQ797" i="2" s="1"/>
  <c r="AM794" i="2"/>
  <c r="AN794" i="2" s="1"/>
  <c r="AP794" i="2" s="1"/>
  <c r="AO794" i="2"/>
  <c r="AD793" i="2"/>
  <c r="N888" i="2"/>
  <c r="N862" i="2"/>
  <c r="N834" i="2"/>
  <c r="AO818" i="2"/>
  <c r="AL815" i="2"/>
  <c r="AM814" i="2"/>
  <c r="AN814" i="2" s="1"/>
  <c r="AP814" i="2" s="1"/>
  <c r="AQ814" i="2" s="1"/>
  <c r="S813" i="2"/>
  <c r="S812" i="2"/>
  <c r="S811" i="2"/>
  <c r="AP765" i="2"/>
  <c r="AQ765" i="2" s="1"/>
  <c r="AP735" i="2"/>
  <c r="AQ735" i="2" s="1"/>
  <c r="N891" i="2"/>
  <c r="N857" i="2"/>
  <c r="N837" i="2"/>
  <c r="N814" i="2"/>
  <c r="AO812" i="2"/>
  <c r="AP812" i="2" s="1"/>
  <c r="AQ812" i="2" s="1"/>
  <c r="AL795" i="2"/>
  <c r="AQ795" i="2" s="1"/>
  <c r="N795" i="2"/>
  <c r="AP815" i="2"/>
  <c r="AQ815" i="2" s="1"/>
  <c r="S796" i="2"/>
  <c r="AD784" i="2"/>
  <c r="AP783" i="2"/>
  <c r="AQ783" i="2" s="1"/>
  <c r="AM766" i="2"/>
  <c r="AN766" i="2" s="1"/>
  <c r="AP766" i="2" s="1"/>
  <c r="AQ766" i="2" s="1"/>
  <c r="N819" i="2"/>
  <c r="AL816" i="2"/>
  <c r="S803" i="2"/>
  <c r="AD800" i="2"/>
  <c r="AD792" i="2"/>
  <c r="AD791" i="2"/>
  <c r="S787" i="2"/>
  <c r="AQ733" i="2"/>
  <c r="AL794" i="2"/>
  <c r="N763" i="2"/>
  <c r="AL762" i="2"/>
  <c r="N737" i="2"/>
  <c r="AD729" i="2"/>
  <c r="AD727" i="2"/>
  <c r="AO769" i="2"/>
  <c r="AP769" i="2" s="1"/>
  <c r="AQ769" i="2" s="1"/>
  <c r="AO753" i="2"/>
  <c r="AP753" i="2" s="1"/>
  <c r="AQ753" i="2" s="1"/>
  <c r="AM736" i="2"/>
  <c r="AN736" i="2" s="1"/>
  <c r="AP736" i="2" s="1"/>
  <c r="AQ736" i="2" s="1"/>
  <c r="AL734" i="2"/>
  <c r="AQ734" i="2" s="1"/>
  <c r="N764" i="2"/>
  <c r="N738" i="2"/>
  <c r="N736" i="2"/>
  <c r="S735" i="2"/>
  <c r="S734" i="2"/>
  <c r="AD726" i="2"/>
  <c r="AD699" i="2"/>
  <c r="AP697" i="2"/>
  <c r="AQ697" i="2" s="1"/>
  <c r="AM690" i="2"/>
  <c r="AN690" i="2" s="1"/>
  <c r="AP690" i="2" s="1"/>
  <c r="AQ690" i="2" s="1"/>
  <c r="N733" i="2"/>
  <c r="AL733" i="2"/>
  <c r="AM732" i="2"/>
  <c r="AN732" i="2" s="1"/>
  <c r="AP732" i="2" s="1"/>
  <c r="AQ732" i="2" s="1"/>
  <c r="AO762" i="2"/>
  <c r="AP762" i="2" s="1"/>
  <c r="AQ762" i="2" s="1"/>
  <c r="AD733" i="2"/>
  <c r="N732" i="2"/>
  <c r="AM731" i="2"/>
  <c r="AN731" i="2" s="1"/>
  <c r="AP731" i="2" s="1"/>
  <c r="AQ731" i="2" s="1"/>
  <c r="AD730" i="2"/>
  <c r="AM728" i="2"/>
  <c r="AN728" i="2" s="1"/>
  <c r="AP728" i="2" s="1"/>
  <c r="AQ728" i="2" s="1"/>
  <c r="S722" i="2"/>
  <c r="AM713" i="2"/>
  <c r="AN713" i="2" s="1"/>
  <c r="AP713" i="2" s="1"/>
  <c r="AQ713" i="2" s="1"/>
  <c r="AD712" i="2"/>
  <c r="AM698" i="2"/>
  <c r="AN698" i="2" s="1"/>
  <c r="AP698" i="2" s="1"/>
  <c r="AQ698" i="2" s="1"/>
  <c r="AP691" i="2"/>
  <c r="AQ691" i="2" s="1"/>
  <c r="AM714" i="2"/>
  <c r="AN714" i="2" s="1"/>
  <c r="AL714" i="2"/>
  <c r="N714" i="2"/>
  <c r="AQ644" i="2"/>
  <c r="AL729" i="2"/>
  <c r="AQ729" i="2" s="1"/>
  <c r="AM696" i="2"/>
  <c r="AN696" i="2" s="1"/>
  <c r="AP696" i="2" s="1"/>
  <c r="AQ696" i="2" s="1"/>
  <c r="N694" i="2"/>
  <c r="AO673" i="2"/>
  <c r="AP673" i="2" s="1"/>
  <c r="AQ673" i="2" s="1"/>
  <c r="N671" i="2"/>
  <c r="AD664" i="2"/>
  <c r="AO649" i="2"/>
  <c r="AP649" i="2" s="1"/>
  <c r="AQ649" i="2" s="1"/>
  <c r="AL649" i="2"/>
  <c r="AL644" i="2"/>
  <c r="N644" i="2"/>
  <c r="AD604" i="2"/>
  <c r="AL691" i="2"/>
  <c r="S666" i="2"/>
  <c r="AL646" i="2"/>
  <c r="AL645" i="2"/>
  <c r="AQ645" i="2" s="1"/>
  <c r="N645" i="2"/>
  <c r="AO641" i="2"/>
  <c r="AP641" i="2" s="1"/>
  <c r="AQ641" i="2" s="1"/>
  <c r="AL641" i="2"/>
  <c r="AD627" i="2"/>
  <c r="S615" i="2"/>
  <c r="AP598" i="2"/>
  <c r="AQ598" i="2" s="1"/>
  <c r="N729" i="2"/>
  <c r="AQ648" i="2"/>
  <c r="AP605" i="2"/>
  <c r="AQ605" i="2" s="1"/>
  <c r="AP602" i="2"/>
  <c r="AQ602" i="2" s="1"/>
  <c r="AO714" i="2"/>
  <c r="AO698" i="2"/>
  <c r="N698" i="2"/>
  <c r="AO690" i="2"/>
  <c r="N690" i="2"/>
  <c r="N672" i="2"/>
  <c r="AD667" i="2"/>
  <c r="AD645" i="2"/>
  <c r="AP622" i="2"/>
  <c r="AQ622" i="2" s="1"/>
  <c r="AL673" i="2"/>
  <c r="AQ640" i="2"/>
  <c r="AQ638" i="2"/>
  <c r="AQ624" i="2"/>
  <c r="AQ575" i="2"/>
  <c r="S663" i="2"/>
  <c r="S662" i="2"/>
  <c r="AD651" i="2"/>
  <c r="AD650" i="2"/>
  <c r="AM647" i="2"/>
  <c r="AN647" i="2" s="1"/>
  <c r="AP647" i="2" s="1"/>
  <c r="AQ647" i="2" s="1"/>
  <c r="AN646" i="2"/>
  <c r="AP646" i="2" s="1"/>
  <c r="AQ646" i="2" s="1"/>
  <c r="AM643" i="2"/>
  <c r="AN643" i="2" s="1"/>
  <c r="AP643" i="2" s="1"/>
  <c r="AQ643" i="2" s="1"/>
  <c r="AD611" i="2"/>
  <c r="AD659" i="2"/>
  <c r="S655" i="2"/>
  <c r="S654" i="2"/>
  <c r="N648" i="2"/>
  <c r="AP639" i="2"/>
  <c r="AQ639" i="2" s="1"/>
  <c r="AP623" i="2"/>
  <c r="AQ623" i="2" s="1"/>
  <c r="AL606" i="2"/>
  <c r="AQ606" i="2" s="1"/>
  <c r="N606" i="2"/>
  <c r="AP601" i="2"/>
  <c r="AQ601" i="2" s="1"/>
  <c r="AL605" i="2"/>
  <c r="AL604" i="2"/>
  <c r="AQ604" i="2" s="1"/>
  <c r="AO602" i="2"/>
  <c r="AO598" i="2"/>
  <c r="AL597" i="2"/>
  <c r="AQ597" i="2" s="1"/>
  <c r="N597" i="2"/>
  <c r="AM596" i="2"/>
  <c r="AN596" i="2" s="1"/>
  <c r="AP596" i="2" s="1"/>
  <c r="AQ596" i="2" s="1"/>
  <c r="AN576" i="2"/>
  <c r="AP576" i="2" s="1"/>
  <c r="AQ576" i="2" s="1"/>
  <c r="AD561" i="2"/>
  <c r="AQ556" i="2"/>
  <c r="AL625" i="2"/>
  <c r="AQ625" i="2" s="1"/>
  <c r="N603" i="2"/>
  <c r="AO601" i="2"/>
  <c r="AL599" i="2"/>
  <c r="AO596" i="2"/>
  <c r="AD588" i="2"/>
  <c r="AL574" i="2"/>
  <c r="AQ574" i="2" s="1"/>
  <c r="N574" i="2"/>
  <c r="AM560" i="2"/>
  <c r="AN560" i="2" s="1"/>
  <c r="AP560" i="2" s="1"/>
  <c r="AQ560" i="2" s="1"/>
  <c r="N575" i="2"/>
  <c r="AL575" i="2"/>
  <c r="AQ557" i="2"/>
  <c r="AO605" i="2"/>
  <c r="S576" i="2"/>
  <c r="S599" i="2"/>
  <c r="S588" i="2"/>
  <c r="AD584" i="2"/>
  <c r="N604" i="2"/>
  <c r="AM599" i="2"/>
  <c r="AN599" i="2" s="1"/>
  <c r="AP599" i="2" s="1"/>
  <c r="S598" i="2"/>
  <c r="AO576" i="2"/>
  <c r="N560" i="2"/>
  <c r="AM541" i="2"/>
  <c r="AN541" i="2" s="1"/>
  <c r="AP541" i="2" s="1"/>
  <c r="AQ541" i="2" s="1"/>
  <c r="N539" i="2"/>
  <c r="AO523" i="2"/>
  <c r="AD518" i="2"/>
  <c r="AL6" i="2"/>
  <c r="AP523" i="2"/>
  <c r="AQ523" i="2" s="1"/>
  <c r="AP521" i="2"/>
  <c r="AQ6" i="2"/>
  <c r="AL557" i="2"/>
  <c r="AM538" i="2"/>
  <c r="AN538" i="2" s="1"/>
  <c r="AP538" i="2" s="1"/>
  <c r="AQ538" i="2" s="1"/>
  <c r="S537" i="2"/>
  <c r="S531" i="2"/>
  <c r="AO519" i="2"/>
  <c r="AP519" i="2" s="1"/>
  <c r="AQ519" i="2" s="1"/>
  <c r="AL497" i="2"/>
  <c r="S37" i="2"/>
  <c r="V37" i="2" s="1"/>
  <c r="S541" i="2"/>
  <c r="AL540" i="2"/>
  <c r="AQ540" i="2" s="1"/>
  <c r="N538" i="2"/>
  <c r="AO536" i="2"/>
  <c r="AP536" i="2" s="1"/>
  <c r="AQ536" i="2" s="1"/>
  <c r="S535" i="2"/>
  <c r="AL522" i="2"/>
  <c r="AL520" i="2"/>
  <c r="AM514" i="2"/>
  <c r="AN514" i="2" s="1"/>
  <c r="AP514" i="2" s="1"/>
  <c r="AQ514" i="2" s="1"/>
  <c r="S505" i="2"/>
  <c r="AP21" i="2"/>
  <c r="AQ21" i="2" s="1"/>
  <c r="AD20" i="2"/>
  <c r="AD12" i="2"/>
  <c r="N556" i="2"/>
  <c r="AD532" i="2"/>
  <c r="AL518" i="2"/>
  <c r="AO516" i="2"/>
  <c r="AP516" i="2" s="1"/>
  <c r="AQ516" i="2" s="1"/>
  <c r="S29" i="2"/>
  <c r="V29" i="2" s="1"/>
  <c r="AP497" i="2"/>
  <c r="AQ496" i="2"/>
  <c r="AM522" i="2"/>
  <c r="AN522" i="2" s="1"/>
  <c r="AP522" i="2" s="1"/>
  <c r="AQ522" i="2" s="1"/>
  <c r="AO518" i="2"/>
  <c r="AP518" i="2" s="1"/>
  <c r="AQ518" i="2" s="1"/>
  <c r="AL496" i="2"/>
  <c r="AP23" i="2"/>
  <c r="AQ23" i="2" s="1"/>
  <c r="AO22" i="2"/>
  <c r="AM4" i="2"/>
  <c r="AN4" i="2" s="1"/>
  <c r="AL521" i="2"/>
  <c r="AM520" i="2"/>
  <c r="AN520" i="2" s="1"/>
  <c r="AO520" i="2"/>
  <c r="AM22" i="2"/>
  <c r="AN22" i="2" s="1"/>
  <c r="AP22" i="2" s="1"/>
  <c r="AQ22" i="2" s="1"/>
  <c r="AP5" i="2"/>
  <c r="AQ5" i="2" s="1"/>
  <c r="AO4" i="2"/>
  <c r="AQ599" i="2" l="1"/>
  <c r="AP714" i="2"/>
  <c r="AQ714" i="2" s="1"/>
  <c r="AQ858" i="2"/>
  <c r="AP971" i="2"/>
  <c r="AQ971" i="2" s="1"/>
  <c r="AP969" i="2"/>
  <c r="AQ969" i="2" s="1"/>
  <c r="AQ816" i="2"/>
  <c r="AP991" i="2"/>
  <c r="AQ991" i="2" s="1"/>
  <c r="AQ497" i="2"/>
  <c r="AP818" i="2"/>
  <c r="AQ818" i="2" s="1"/>
  <c r="AP520" i="2"/>
  <c r="AQ520" i="2" s="1"/>
  <c r="AP4" i="2"/>
  <c r="AQ4" i="2" s="1"/>
  <c r="AQ794" i="2"/>
  <c r="AQ993" i="2"/>
  <c r="AP945" i="2"/>
  <c r="AQ945" i="2" s="1"/>
  <c r="AQ521" i="2"/>
  <c r="AP924" i="2"/>
  <c r="AQ924" i="2" s="1"/>
  <c r="AQ835" i="2"/>
  <c r="AQ9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K3" authorId="0" shapeId="0" xr:uid="{96578C36-1CBE-495F-B107-97A863FF47B7}">
      <text>
        <r>
          <rPr>
            <sz val="9"/>
            <color indexed="81"/>
            <rFont val="Tahoma"/>
            <family val="2"/>
          </rPr>
          <t>DMI=0
DMO=0.08
DES=0.12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K3" authorId="0" shapeId="0" xr:uid="{00000000-0006-0000-0500-000001000000}">
      <text>
        <r>
          <rPr>
            <sz val="9"/>
            <color indexed="81"/>
            <rFont val="Tahoma"/>
            <family val="2"/>
          </rPr>
          <t>DMI=0
DMO=0.08
DES=0.12</t>
        </r>
      </text>
    </comment>
  </commentList>
</comments>
</file>

<file path=xl/sharedStrings.xml><?xml version="1.0" encoding="utf-8"?>
<sst xmlns="http://schemas.openxmlformats.org/spreadsheetml/2006/main" count="1104" uniqueCount="320">
  <si>
    <t>10-D</t>
  </si>
  <si>
    <t>10-I</t>
  </si>
  <si>
    <t>9-D</t>
  </si>
  <si>
    <t>9-I</t>
  </si>
  <si>
    <t>8-D</t>
  </si>
  <si>
    <t>8-I</t>
  </si>
  <si>
    <t>7-D</t>
  </si>
  <si>
    <t>7-I</t>
  </si>
  <si>
    <t>6-D</t>
  </si>
  <si>
    <t>6-I</t>
  </si>
  <si>
    <t>5-D</t>
  </si>
  <si>
    <t>5-I</t>
  </si>
  <si>
    <t>4-D</t>
  </si>
  <si>
    <t>4-I</t>
  </si>
  <si>
    <t>3-D</t>
  </si>
  <si>
    <t>3-I</t>
  </si>
  <si>
    <t>2-D</t>
  </si>
  <si>
    <t>P2-10</t>
  </si>
  <si>
    <t>P2-11</t>
  </si>
  <si>
    <t>P2-12</t>
  </si>
  <si>
    <t>P2-13</t>
  </si>
  <si>
    <t>P2-14</t>
  </si>
  <si>
    <t>P2-15</t>
  </si>
  <si>
    <t>P2-16</t>
  </si>
  <si>
    <t>P2-17</t>
  </si>
  <si>
    <t>P2-18</t>
  </si>
  <si>
    <t>P2-19</t>
  </si>
  <si>
    <t>P2-20</t>
  </si>
  <si>
    <t>P2-21</t>
  </si>
  <si>
    <t>P2-22</t>
  </si>
  <si>
    <t>P2-23</t>
  </si>
  <si>
    <t>P2-24</t>
  </si>
  <si>
    <t>P2-25</t>
  </si>
  <si>
    <t>P2-26</t>
  </si>
  <si>
    <t>P2 - eje1</t>
  </si>
  <si>
    <t>P1-10</t>
  </si>
  <si>
    <t>P1-11</t>
  </si>
  <si>
    <t>P1-12</t>
  </si>
  <si>
    <t>P1-13</t>
  </si>
  <si>
    <t>P1-14</t>
  </si>
  <si>
    <t>P1-15</t>
  </si>
  <si>
    <t>P1-16</t>
  </si>
  <si>
    <t>P1-17</t>
  </si>
  <si>
    <t>P1-18</t>
  </si>
  <si>
    <t>P1-19</t>
  </si>
  <si>
    <t>P1-20</t>
  </si>
  <si>
    <t>P1-21</t>
  </si>
  <si>
    <t>P1-22</t>
  </si>
  <si>
    <t>P1-23</t>
  </si>
  <si>
    <t>P1-24</t>
  </si>
  <si>
    <t>P1-25</t>
  </si>
  <si>
    <t>P1-26</t>
  </si>
  <si>
    <t>P1 - eje1</t>
  </si>
  <si>
    <t>Chequeo</t>
  </si>
  <si>
    <r>
      <rPr>
        <b/>
        <sz val="11"/>
        <color theme="4" tint="-0.249977111117893"/>
        <rFont val="Calibri"/>
        <family val="2"/>
      </rPr>
      <t>ρ</t>
    </r>
    <r>
      <rPr>
        <b/>
        <vertAlign val="subscript"/>
        <sz val="11"/>
        <color theme="4" tint="-0.249977111117893"/>
        <rFont val="Calibri"/>
        <family val="2"/>
        <scheme val="minor"/>
      </rPr>
      <t>Ssuministrada</t>
    </r>
  </si>
  <si>
    <r>
      <t>Vc (m</t>
    </r>
    <r>
      <rPr>
        <b/>
        <vertAlign val="superscript"/>
        <sz val="11"/>
        <color theme="4"/>
        <rFont val="Calibri"/>
        <family val="2"/>
        <scheme val="minor"/>
      </rPr>
      <t>3</t>
    </r>
    <r>
      <rPr>
        <b/>
        <sz val="11"/>
        <color theme="4"/>
        <rFont val="Calibri"/>
        <family val="2"/>
        <scheme val="minor"/>
      </rPr>
      <t>)</t>
    </r>
  </si>
  <si>
    <r>
      <t>Ve (m</t>
    </r>
    <r>
      <rPr>
        <b/>
        <vertAlign val="superscript"/>
        <sz val="11"/>
        <color theme="4"/>
        <rFont val="Calibri"/>
        <family val="2"/>
        <scheme val="minor"/>
      </rPr>
      <t>3</t>
    </r>
    <r>
      <rPr>
        <b/>
        <sz val="11"/>
        <color theme="4"/>
        <rFont val="Calibri"/>
        <family val="2"/>
        <scheme val="minor"/>
      </rPr>
      <t>)</t>
    </r>
  </si>
  <si>
    <r>
      <t>Le</t>
    </r>
    <r>
      <rPr>
        <b/>
        <vertAlign val="subscript"/>
        <sz val="11"/>
        <color theme="4"/>
        <rFont val="Calibri"/>
        <family val="2"/>
        <scheme val="minor"/>
      </rPr>
      <t>T</t>
    </r>
    <r>
      <rPr>
        <b/>
        <sz val="11"/>
        <color theme="4"/>
        <rFont val="Calibri"/>
        <family val="2"/>
        <scheme val="minor"/>
      </rPr>
      <t xml:space="preserve"> (m)</t>
    </r>
  </si>
  <si>
    <r>
      <rPr>
        <b/>
        <sz val="11"/>
        <color theme="4" tint="-0.249977111117893"/>
        <rFont val="Calibri"/>
        <family val="2"/>
      </rPr>
      <t>ρ</t>
    </r>
    <r>
      <rPr>
        <b/>
        <vertAlign val="subscript"/>
        <sz val="11"/>
        <color theme="4" tint="-0.249977111117893"/>
        <rFont val="Calibri"/>
        <family val="2"/>
        <scheme val="minor"/>
      </rPr>
      <t>Srequerida</t>
    </r>
  </si>
  <si>
    <t>Factor</t>
  </si>
  <si>
    <t>Le (m)</t>
  </si>
  <si>
    <t>Dc (m)</t>
  </si>
  <si>
    <r>
      <t>A</t>
    </r>
    <r>
      <rPr>
        <b/>
        <vertAlign val="subscript"/>
        <sz val="11"/>
        <color theme="4" tint="-0.249977111117893"/>
        <rFont val="Calibri"/>
        <family val="2"/>
        <scheme val="minor"/>
      </rPr>
      <t>confinado</t>
    </r>
    <r>
      <rPr>
        <b/>
        <sz val="11"/>
        <color theme="4" tint="-0.249977111117893"/>
        <rFont val="Calibri"/>
        <family val="2"/>
        <scheme val="minor"/>
      </rPr>
      <t xml:space="preserve"> (m</t>
    </r>
    <r>
      <rPr>
        <b/>
        <vertAlign val="superscript"/>
        <sz val="11"/>
        <color theme="4" tint="-0.249977111117893"/>
        <rFont val="Calibri"/>
        <family val="2"/>
        <scheme val="minor"/>
      </rPr>
      <t>2</t>
    </r>
    <r>
      <rPr>
        <b/>
        <sz val="11"/>
        <color theme="4" tint="-0.249977111117893"/>
        <rFont val="Calibri"/>
        <family val="2"/>
        <scheme val="minor"/>
      </rPr>
      <t>)</t>
    </r>
  </si>
  <si>
    <r>
      <t>H</t>
    </r>
    <r>
      <rPr>
        <b/>
        <vertAlign val="subscript"/>
        <sz val="11"/>
        <color theme="4"/>
        <rFont val="Calibri"/>
        <family val="2"/>
        <scheme val="minor"/>
      </rPr>
      <t>confinado</t>
    </r>
    <r>
      <rPr>
        <b/>
        <sz val="11"/>
        <color theme="4"/>
        <rFont val="Calibri"/>
        <family val="2"/>
        <scheme val="minor"/>
      </rPr>
      <t xml:space="preserve"> (m)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</si>
  <si>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libre</t>
    </r>
    <r>
      <rPr>
        <b/>
        <sz val="11"/>
        <color theme="1"/>
        <rFont val="Calibri"/>
        <family val="2"/>
        <scheme val="minor"/>
      </rPr>
      <t xml:space="preserve"> (m)</t>
    </r>
  </si>
  <si>
    <r>
      <t>V</t>
    </r>
    <r>
      <rPr>
        <b/>
        <vertAlign val="subscript"/>
        <sz val="11"/>
        <color rgb="FF0070C0"/>
        <rFont val="Calibri"/>
        <family val="2"/>
        <scheme val="minor"/>
      </rPr>
      <t>U</t>
    </r>
    <r>
      <rPr>
        <b/>
        <sz val="11"/>
        <color rgb="FF0070C0"/>
        <rFont val="Calibri"/>
        <family val="2"/>
        <scheme val="minor"/>
      </rPr>
      <t xml:space="preserve"> (t)</t>
    </r>
  </si>
  <si>
    <r>
      <rPr>
        <b/>
        <sz val="11"/>
        <color theme="4" tint="-0.249977111117893"/>
        <rFont val="Arial"/>
        <family val="2"/>
      </rPr>
      <t>Φ</t>
    </r>
    <r>
      <rPr>
        <b/>
        <sz val="11"/>
        <color theme="4" tint="-0.249977111117893"/>
        <rFont val="Calibri"/>
        <family val="2"/>
        <scheme val="minor"/>
      </rPr>
      <t>Vs (tonf)</t>
    </r>
  </si>
  <si>
    <r>
      <rPr>
        <b/>
        <sz val="11"/>
        <color theme="4" tint="-0.249977111117893"/>
        <rFont val="Arial"/>
        <family val="2"/>
      </rPr>
      <t>Φ</t>
    </r>
    <r>
      <rPr>
        <b/>
        <sz val="11"/>
        <color theme="4" tint="-0.249977111117893"/>
        <rFont val="Calibri"/>
        <family val="2"/>
        <scheme val="minor"/>
      </rPr>
      <t>Vc (tonf)</t>
    </r>
  </si>
  <si>
    <r>
      <t>S</t>
    </r>
    <r>
      <rPr>
        <b/>
        <vertAlign val="subscript"/>
        <sz val="11"/>
        <rFont val="Calibri"/>
        <family val="2"/>
        <scheme val="minor"/>
      </rPr>
      <t>escogido</t>
    </r>
    <r>
      <rPr>
        <b/>
        <sz val="11"/>
        <rFont val="Calibri"/>
        <family val="2"/>
        <scheme val="minor"/>
      </rPr>
      <t xml:space="preserve"> (m)</t>
    </r>
  </si>
  <si>
    <r>
      <t>A</t>
    </r>
    <r>
      <rPr>
        <b/>
        <vertAlign val="subscript"/>
        <sz val="11"/>
        <color theme="4" tint="-0.249977111117893"/>
        <rFont val="Calibri"/>
        <family val="2"/>
        <scheme val="minor"/>
      </rPr>
      <t>V</t>
    </r>
    <r>
      <rPr>
        <b/>
        <sz val="11"/>
        <color theme="4" tint="-0.249977111117893"/>
        <rFont val="Calibri"/>
        <family val="2"/>
        <scheme val="minor"/>
      </rPr>
      <t xml:space="preserve"> (cm</t>
    </r>
    <r>
      <rPr>
        <b/>
        <vertAlign val="superscript"/>
        <sz val="11"/>
        <color theme="4" tint="-0.249977111117893"/>
        <rFont val="Calibri"/>
        <family val="2"/>
        <scheme val="minor"/>
      </rPr>
      <t>2</t>
    </r>
    <r>
      <rPr>
        <b/>
        <sz val="11"/>
        <color theme="4" tint="-0.249977111117893"/>
        <rFont val="Calibri"/>
        <family val="2"/>
        <scheme val="minor"/>
      </rPr>
      <t>)</t>
    </r>
  </si>
  <si>
    <t>Barra (#)</t>
  </si>
  <si>
    <t>Ramas</t>
  </si>
  <si>
    <r>
      <t>f'c (kg/cm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</si>
  <si>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S</t>
    </r>
    <r>
      <rPr>
        <b/>
        <vertAlign val="subscript"/>
        <sz val="11"/>
        <color theme="4" tint="-0.249977111117893"/>
        <rFont val="Calibri"/>
        <family val="2"/>
        <scheme val="minor"/>
      </rPr>
      <t>paquetes</t>
    </r>
    <r>
      <rPr>
        <b/>
        <sz val="11"/>
        <color theme="4" tint="-0.249977111117893"/>
        <rFont val="Calibri"/>
        <family val="2"/>
        <scheme val="minor"/>
      </rPr>
      <t xml:space="preserve"> (m)</t>
    </r>
  </si>
  <si>
    <r>
      <t>n</t>
    </r>
    <r>
      <rPr>
        <b/>
        <vertAlign val="subscript"/>
        <sz val="11"/>
        <rFont val="Calibri"/>
        <family val="2"/>
        <scheme val="minor"/>
      </rPr>
      <t>escogido</t>
    </r>
  </si>
  <si>
    <r>
      <t>n</t>
    </r>
    <r>
      <rPr>
        <b/>
        <vertAlign val="subscript"/>
        <sz val="11"/>
        <color theme="4" tint="-0.249977111117893"/>
        <rFont val="Calibri"/>
        <family val="2"/>
        <scheme val="minor"/>
      </rPr>
      <t>paquetes</t>
    </r>
  </si>
  <si>
    <r>
      <t>A</t>
    </r>
    <r>
      <rPr>
        <b/>
        <vertAlign val="subscript"/>
        <sz val="11"/>
        <color theme="4" tint="-0.249977111117893"/>
        <rFont val="Calibri"/>
        <family val="2"/>
        <scheme val="minor"/>
      </rPr>
      <t>paquetes</t>
    </r>
    <r>
      <rPr>
        <b/>
        <sz val="11"/>
        <color theme="4" tint="-0.249977111117893"/>
        <rFont val="Calibri"/>
        <family val="2"/>
        <scheme val="minor"/>
      </rPr>
      <t xml:space="preserve"> (cm</t>
    </r>
    <r>
      <rPr>
        <b/>
        <vertAlign val="superscript"/>
        <sz val="11"/>
        <color theme="4" tint="-0.249977111117893"/>
        <rFont val="Calibri"/>
        <family val="2"/>
        <scheme val="minor"/>
      </rPr>
      <t>2</t>
    </r>
    <r>
      <rPr>
        <b/>
        <sz val="11"/>
        <color theme="4" tint="-0.249977111117893"/>
        <rFont val="Calibri"/>
        <family val="2"/>
        <scheme val="minor"/>
      </rPr>
      <t>)</t>
    </r>
  </si>
  <si>
    <t>Paquete</t>
  </si>
  <si>
    <r>
      <t>A</t>
    </r>
    <r>
      <rPr>
        <b/>
        <vertAlign val="subscript"/>
        <sz val="11"/>
        <color theme="4" tint="-0.249977111117893"/>
        <rFont val="Calibri"/>
        <family val="2"/>
        <scheme val="minor"/>
      </rPr>
      <t>refuerzo</t>
    </r>
    <r>
      <rPr>
        <b/>
        <sz val="11"/>
        <color theme="4" tint="-0.249977111117893"/>
        <rFont val="Calibri"/>
        <family val="2"/>
        <scheme val="minor"/>
      </rPr>
      <t xml:space="preserve"> (cm</t>
    </r>
    <r>
      <rPr>
        <b/>
        <vertAlign val="superscript"/>
        <sz val="11"/>
        <color theme="4" tint="-0.249977111117893"/>
        <rFont val="Calibri"/>
        <family val="2"/>
        <scheme val="minor"/>
      </rPr>
      <t>2</t>
    </r>
    <r>
      <rPr>
        <b/>
        <sz val="11"/>
        <color theme="4" tint="-0.249977111117893"/>
        <rFont val="Calibri"/>
        <family val="2"/>
        <scheme val="minor"/>
      </rPr>
      <t>)</t>
    </r>
  </si>
  <si>
    <t>ρ (%)</t>
  </si>
  <si>
    <r>
      <t>M3</t>
    </r>
    <r>
      <rPr>
        <b/>
        <vertAlign val="subscript"/>
        <sz val="11"/>
        <color theme="4" tint="-0.249977111117893"/>
        <rFont val="Calibri"/>
        <family val="2"/>
        <scheme val="minor"/>
      </rPr>
      <t>trans</t>
    </r>
    <r>
      <rPr>
        <b/>
        <sz val="11"/>
        <color theme="4" tint="-0.249977111117893"/>
        <rFont val="Calibri"/>
        <family val="2"/>
        <scheme val="minor"/>
      </rPr>
      <t xml:space="preserve"> (t-m)</t>
    </r>
  </si>
  <si>
    <r>
      <t>M2</t>
    </r>
    <r>
      <rPr>
        <b/>
        <vertAlign val="subscript"/>
        <sz val="11"/>
        <color theme="4" tint="-0.249977111117893"/>
        <rFont val="Calibri"/>
        <family val="2"/>
        <scheme val="minor"/>
      </rPr>
      <t>long</t>
    </r>
    <r>
      <rPr>
        <b/>
        <sz val="11"/>
        <color theme="4" tint="-0.249977111117893"/>
        <rFont val="Calibri"/>
        <family val="2"/>
        <scheme val="minor"/>
      </rPr>
      <t xml:space="preserve"> (t-m)</t>
    </r>
  </si>
  <si>
    <r>
      <t>V</t>
    </r>
    <r>
      <rPr>
        <b/>
        <vertAlign val="subscript"/>
        <sz val="11"/>
        <color theme="4" tint="-0.249977111117893"/>
        <rFont val="Calibri"/>
        <family val="2"/>
        <scheme val="minor"/>
      </rPr>
      <t>U</t>
    </r>
    <r>
      <rPr>
        <b/>
        <sz val="11"/>
        <color theme="4" tint="-0.249977111117893"/>
        <rFont val="Calibri"/>
        <family val="2"/>
        <scheme val="minor"/>
      </rPr>
      <t xml:space="preserve"> (t)</t>
    </r>
  </si>
  <si>
    <r>
      <t>P</t>
    </r>
    <r>
      <rPr>
        <b/>
        <vertAlign val="subscript"/>
        <sz val="11"/>
        <color theme="4" tint="-0.249977111117893"/>
        <rFont val="Calibri"/>
        <family val="2"/>
        <scheme val="minor"/>
      </rPr>
      <t>comp.min</t>
    </r>
    <r>
      <rPr>
        <b/>
        <sz val="11"/>
        <color theme="4" tint="-0.249977111117893"/>
        <rFont val="Calibri"/>
        <family val="2"/>
        <scheme val="minor"/>
      </rPr>
      <t xml:space="preserve"> (t)</t>
    </r>
  </si>
  <si>
    <r>
      <t>A</t>
    </r>
    <r>
      <rPr>
        <b/>
        <vertAlign val="subscript"/>
        <sz val="11"/>
        <color theme="4" tint="-0.249977111117893"/>
        <rFont val="Calibri"/>
        <family val="2"/>
        <scheme val="minor"/>
      </rPr>
      <t>refuerzo</t>
    </r>
    <r>
      <rPr>
        <b/>
        <sz val="11"/>
        <color theme="4" tint="-0.249977111117893"/>
        <rFont val="Calibri"/>
        <family val="2"/>
        <scheme val="minor"/>
      </rPr>
      <t xml:space="preserve"> (m</t>
    </r>
    <r>
      <rPr>
        <b/>
        <vertAlign val="superscript"/>
        <sz val="11"/>
        <color theme="4" tint="-0.249977111117893"/>
        <rFont val="Calibri"/>
        <family val="2"/>
        <scheme val="minor"/>
      </rPr>
      <t>2</t>
    </r>
    <r>
      <rPr>
        <b/>
        <sz val="11"/>
        <color theme="4" tint="-0.249977111117893"/>
        <rFont val="Calibri"/>
        <family val="2"/>
        <scheme val="minor"/>
      </rPr>
      <t>)</t>
    </r>
  </si>
  <si>
    <r>
      <t>A (m</t>
    </r>
    <r>
      <rPr>
        <b/>
        <vertAlign val="superscript"/>
        <sz val="11"/>
        <color theme="4" tint="-0.249977111117893"/>
        <rFont val="Calibri"/>
        <family val="2"/>
        <scheme val="minor"/>
      </rPr>
      <t>2</t>
    </r>
    <r>
      <rPr>
        <b/>
        <sz val="11"/>
        <color theme="4" tint="-0.249977111117893"/>
        <rFont val="Calibri"/>
        <family val="2"/>
        <scheme val="minor"/>
      </rPr>
      <t>)</t>
    </r>
  </si>
  <si>
    <r>
      <t>D</t>
    </r>
    <r>
      <rPr>
        <b/>
        <vertAlign val="subscript"/>
        <sz val="11"/>
        <color theme="1"/>
        <rFont val="Calibri"/>
        <family val="2"/>
        <scheme val="minor"/>
      </rPr>
      <t>iámetro</t>
    </r>
    <r>
      <rPr>
        <b/>
        <sz val="11"/>
        <color theme="1"/>
        <rFont val="Calibri"/>
        <family val="2"/>
        <scheme val="minor"/>
      </rPr>
      <t xml:space="preserve"> (m)</t>
    </r>
  </si>
  <si>
    <t>H Acum (m)</t>
  </si>
  <si>
    <t>H (m)</t>
  </si>
  <si>
    <t>Tipo</t>
  </si>
  <si>
    <t>Frame</t>
  </si>
  <si>
    <t>Tramo</t>
  </si>
  <si>
    <t>Eje-lado pilotes</t>
  </si>
  <si>
    <t>Enterrado</t>
  </si>
  <si>
    <t>Confinamiento</t>
  </si>
  <si>
    <t>Refuerzo V</t>
  </si>
  <si>
    <t>Refuerzo M-P</t>
  </si>
  <si>
    <t>Geometría</t>
  </si>
  <si>
    <t>Libre</t>
  </si>
  <si>
    <t>P</t>
  </si>
  <si>
    <t>V2</t>
  </si>
  <si>
    <t>V3</t>
  </si>
  <si>
    <t>T</t>
  </si>
  <si>
    <t>M2</t>
  </si>
  <si>
    <t>M3</t>
  </si>
  <si>
    <t>Tonf</t>
  </si>
  <si>
    <t>Tonf-m</t>
  </si>
  <si>
    <t>DISEÑO VIGAS REFORZADAS</t>
  </si>
  <si>
    <t>Barras en pulgadas</t>
  </si>
  <si>
    <t>Numero Barra</t>
  </si>
  <si>
    <r>
      <t>Área           (mm</t>
    </r>
    <r>
      <rPr>
        <b/>
        <vertAlign val="superscript"/>
        <sz val="11"/>
        <color theme="0" tint="-0.249977111117893"/>
        <rFont val="Arial"/>
        <family val="2"/>
      </rPr>
      <t>2</t>
    </r>
    <r>
      <rPr>
        <b/>
        <sz val="11"/>
        <color theme="0" tint="-0.249977111117893"/>
        <rFont val="Arial"/>
        <family val="2"/>
      </rPr>
      <t>)</t>
    </r>
  </si>
  <si>
    <t>Diámetro (mm)</t>
  </si>
  <si>
    <t>Masa    (kg/m)</t>
  </si>
  <si>
    <t>b (m)</t>
  </si>
  <si>
    <t>Ancho de la viga</t>
  </si>
  <si>
    <t>h (m)</t>
  </si>
  <si>
    <t xml:space="preserve">Altura de la viga </t>
  </si>
  <si>
    <r>
      <t>f'c (kg/cm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</si>
  <si>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Resistencia compresión concreto</t>
  </si>
  <si>
    <t>1/4"</t>
  </si>
  <si>
    <t>Tipo concreto</t>
  </si>
  <si>
    <t>Concreto normal</t>
  </si>
  <si>
    <t>Tipo de concreto</t>
  </si>
  <si>
    <t>3/8"</t>
  </si>
  <si>
    <t>λ</t>
  </si>
  <si>
    <t>1/2"</t>
  </si>
  <si>
    <r>
      <t>fy (kg/cm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</si>
  <si>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Fluencia acero de refuerzo</t>
  </si>
  <si>
    <t>5/8"</t>
  </si>
  <si>
    <t>3/4''</t>
  </si>
  <si>
    <t>φ</t>
  </si>
  <si>
    <t>Factor de reducción flexión</t>
  </si>
  <si>
    <t>7/8''</t>
  </si>
  <si>
    <t>r (m)</t>
  </si>
  <si>
    <t>Recubrimiento libre</t>
  </si>
  <si>
    <t>1''</t>
  </si>
  <si>
    <t>fr (Mpa)</t>
  </si>
  <si>
    <r>
      <t>Módulo de rotura</t>
    </r>
    <r>
      <rPr>
        <i/>
        <sz val="11"/>
        <color rgb="FF0000FF"/>
        <rFont val="Calibri"/>
        <family val="2"/>
      </rPr>
      <t xml:space="preserve"> (CCP-14 5.4.2.6)</t>
    </r>
  </si>
  <si>
    <t>1 1/8"</t>
  </si>
  <si>
    <t>1 1/4"</t>
  </si>
  <si>
    <t>REFUERZO DE VC (MOMENTOS EN DIRECCIÓN VERTICAL)</t>
  </si>
  <si>
    <t>1 3/8"</t>
  </si>
  <si>
    <t>Tu (ton·m)</t>
  </si>
  <si>
    <t>Torsión de diseño</t>
  </si>
  <si>
    <t>MOMENTO NEGATIVO</t>
  </si>
  <si>
    <t>MOMENTO POSITIVO</t>
  </si>
  <si>
    <t>1 3/4"</t>
  </si>
  <si>
    <t>Vu (ton)</t>
  </si>
  <si>
    <t xml:space="preserve">Cortante de diseño </t>
  </si>
  <si>
    <t>2 1/4"</t>
  </si>
  <si>
    <r>
      <t>Mu- (ton</t>
    </r>
    <r>
      <rPr>
        <sz val="11"/>
        <rFont val="Calibri"/>
        <family val="2"/>
      </rPr>
      <t>·m)</t>
    </r>
  </si>
  <si>
    <t>Momento de diseño negativo</t>
  </si>
  <si>
    <r>
      <t>Mu+ (ton</t>
    </r>
    <r>
      <rPr>
        <sz val="11"/>
        <rFont val="Calibri"/>
        <family val="2"/>
      </rPr>
      <t>·m)</t>
    </r>
  </si>
  <si>
    <t>Momento de diseño positivo</t>
  </si>
  <si>
    <t>NEGATIVO (c.s.)</t>
  </si>
  <si>
    <t>POSITIVO (c.i)</t>
  </si>
  <si>
    <t>d (m)</t>
  </si>
  <si>
    <t>Altura efectiva de la viga</t>
  </si>
  <si>
    <t>MC (ton.m)</t>
  </si>
  <si>
    <t>Momento de fisuración</t>
  </si>
  <si>
    <t>Refuerzo mínimo                       (CCP14-5.7.3.3.2)</t>
  </si>
  <si>
    <t>Refuerzo mínimo                     (CCP14-5.7.3.3.2)</t>
  </si>
  <si>
    <t>1.33*Mu (ton.m)</t>
  </si>
  <si>
    <t>Momento de diseño</t>
  </si>
  <si>
    <t>m</t>
  </si>
  <si>
    <t>K</t>
  </si>
  <si>
    <r>
      <rPr>
        <sz val="11"/>
        <color indexed="12"/>
        <rFont val="Calibri"/>
        <family val="2"/>
      </rPr>
      <t>ρ</t>
    </r>
    <r>
      <rPr>
        <vertAlign val="subscript"/>
        <sz val="11"/>
        <color indexed="12"/>
        <rFont val="Calibri"/>
        <family val="2"/>
      </rPr>
      <t>min</t>
    </r>
  </si>
  <si>
    <t>Cuantía mínima</t>
  </si>
  <si>
    <t>ρ</t>
  </si>
  <si>
    <t>Cuantía diseño</t>
  </si>
  <si>
    <r>
      <t>ρ</t>
    </r>
    <r>
      <rPr>
        <vertAlign val="subscript"/>
        <sz val="11"/>
        <color indexed="12"/>
        <rFont val="Calibri"/>
        <family val="2"/>
      </rPr>
      <t>escogida</t>
    </r>
  </si>
  <si>
    <t>Cuantía escogida</t>
  </si>
  <si>
    <r>
      <t>As</t>
    </r>
    <r>
      <rPr>
        <vertAlign val="subscript"/>
        <sz val="11"/>
        <color indexed="12"/>
        <rFont val="Calibri"/>
        <family val="2"/>
      </rPr>
      <t xml:space="preserve">calculado  </t>
    </r>
    <r>
      <rPr>
        <sz val="11"/>
        <color indexed="12"/>
        <rFont val="Calibri"/>
        <family val="2"/>
      </rPr>
      <t>(cm</t>
    </r>
    <r>
      <rPr>
        <vertAlign val="superscript"/>
        <sz val="11"/>
        <color indexed="12"/>
        <rFont val="Calibri"/>
        <family val="2"/>
      </rPr>
      <t>2</t>
    </r>
    <r>
      <rPr>
        <sz val="11"/>
        <color indexed="12"/>
        <rFont val="Calibri"/>
        <family val="2"/>
      </rPr>
      <t>)</t>
    </r>
  </si>
  <si>
    <t>Área de refuerzo requerida</t>
  </si>
  <si>
    <t># Barra</t>
  </si>
  <si>
    <t>Número de la barra</t>
  </si>
  <si>
    <r>
      <t xml:space="preserve">Cant. barras </t>
    </r>
    <r>
      <rPr>
        <vertAlign val="subscript"/>
        <sz val="11"/>
        <color rgb="FF0000FF"/>
        <rFont val="Calibri"/>
        <family val="2"/>
        <scheme val="minor"/>
      </rPr>
      <t>cal</t>
    </r>
  </si>
  <si>
    <t>Cantidad de barras calculadas</t>
  </si>
  <si>
    <t>Area total requerida</t>
  </si>
  <si>
    <r>
      <t xml:space="preserve">Cant. barras </t>
    </r>
    <r>
      <rPr>
        <vertAlign val="subscript"/>
        <sz val="11"/>
        <color indexed="8"/>
        <rFont val="Calibri"/>
        <family val="2"/>
        <scheme val="minor"/>
      </rPr>
      <t>esc</t>
    </r>
  </si>
  <si>
    <t>Cantidad de barras utilizadas</t>
  </si>
  <si>
    <t>Area requerida cara superior</t>
  </si>
  <si>
    <r>
      <t>As</t>
    </r>
    <r>
      <rPr>
        <vertAlign val="subscript"/>
        <sz val="11"/>
        <color indexed="12"/>
        <rFont val="Calibri"/>
        <family val="2"/>
      </rPr>
      <t xml:space="preserve">utilizado </t>
    </r>
    <r>
      <rPr>
        <sz val="11"/>
        <color indexed="12"/>
        <rFont val="Calibri"/>
        <family val="2"/>
      </rPr>
      <t>(cm</t>
    </r>
    <r>
      <rPr>
        <vertAlign val="superscript"/>
        <sz val="11"/>
        <color indexed="12"/>
        <rFont val="Calibri"/>
        <family val="2"/>
      </rPr>
      <t>2</t>
    </r>
    <r>
      <rPr>
        <sz val="11"/>
        <color indexed="12"/>
        <rFont val="Calibri"/>
        <family val="2"/>
      </rPr>
      <t>)</t>
    </r>
  </si>
  <si>
    <t>Área de refuerzo usada</t>
  </si>
  <si>
    <r>
      <rPr>
        <sz val="11"/>
        <color indexed="12"/>
        <rFont val="Calibri"/>
        <family val="2"/>
      </rPr>
      <t>ρ</t>
    </r>
    <r>
      <rPr>
        <vertAlign val="subscript"/>
        <sz val="11"/>
        <color indexed="12"/>
        <rFont val="Calibri"/>
        <family val="2"/>
      </rPr>
      <t>utilizado</t>
    </r>
  </si>
  <si>
    <t>Cuantía utilizada</t>
  </si>
  <si>
    <r>
      <t>S</t>
    </r>
    <r>
      <rPr>
        <vertAlign val="subscript"/>
        <sz val="11"/>
        <color rgb="FF0000FF"/>
        <rFont val="Calibri"/>
        <family val="2"/>
        <scheme val="minor"/>
      </rPr>
      <t>mín</t>
    </r>
    <r>
      <rPr>
        <sz val="11"/>
        <color rgb="FF0000FF"/>
        <rFont val="Calibri"/>
        <family val="2"/>
        <scheme val="minor"/>
      </rPr>
      <t xml:space="preserve"> (m)</t>
    </r>
  </si>
  <si>
    <t>Control agrietamiento</t>
  </si>
  <si>
    <t>Scalc (m)</t>
  </si>
  <si>
    <t>Separación calculada</t>
  </si>
  <si>
    <t>S (m)</t>
  </si>
  <si>
    <t>Separación dispuesta</t>
  </si>
  <si>
    <t>CORTANTE MAXIMO</t>
  </si>
  <si>
    <t>TORSION</t>
  </si>
  <si>
    <t>CHEQUEOS DE RESISTENCIA Y SERVICIO</t>
  </si>
  <si>
    <r>
      <t>a</t>
    </r>
    <r>
      <rPr>
        <vertAlign val="subscript"/>
        <sz val="11"/>
        <color indexed="12"/>
        <rFont val="Calibri"/>
        <family val="2"/>
      </rPr>
      <t xml:space="preserve">whitney </t>
    </r>
    <r>
      <rPr>
        <sz val="11"/>
        <color indexed="12"/>
        <rFont val="Calibri"/>
        <family val="2"/>
      </rPr>
      <t>(cm)</t>
    </r>
  </si>
  <si>
    <t>Área del bloque de Whitney</t>
  </si>
  <si>
    <t>c (cm)</t>
  </si>
  <si>
    <t>Altura de la zona a compresión</t>
  </si>
  <si>
    <t>c/d</t>
  </si>
  <si>
    <r>
      <t>ε</t>
    </r>
    <r>
      <rPr>
        <vertAlign val="subscript"/>
        <sz val="11"/>
        <color indexed="12"/>
        <rFont val="Calibri"/>
        <family val="2"/>
      </rPr>
      <t>t</t>
    </r>
  </si>
  <si>
    <r>
      <t>Φ*Mn (ton</t>
    </r>
    <r>
      <rPr>
        <sz val="11"/>
        <color rgb="FF0000FF"/>
        <rFont val="Calibri"/>
        <family val="2"/>
      </rPr>
      <t>·m)</t>
    </r>
  </si>
  <si>
    <t>Momento resistente de la sección</t>
  </si>
  <si>
    <r>
      <t>ΦMn (ton</t>
    </r>
    <r>
      <rPr>
        <sz val="11"/>
        <color rgb="FF0000FF"/>
        <rFont val="Calibri"/>
        <family val="2"/>
      </rPr>
      <t>·m)</t>
    </r>
  </si>
  <si>
    <t>ÁREA TOTAL DE REFUERZO COLOCADA</t>
  </si>
  <si>
    <r>
      <t>A total req (cm</t>
    </r>
    <r>
      <rPr>
        <vertAlign val="superscript"/>
        <sz val="11"/>
        <color rgb="FF0000FF"/>
        <rFont val="Calibri"/>
        <family val="2"/>
        <scheme val="minor"/>
      </rPr>
      <t>2</t>
    </r>
    <r>
      <rPr>
        <sz val="11"/>
        <color rgb="FF0000FF"/>
        <rFont val="Calibri"/>
        <family val="2"/>
        <scheme val="minor"/>
      </rPr>
      <t>/cm)</t>
    </r>
  </si>
  <si>
    <t xml:space="preserve">Area total requerida </t>
  </si>
  <si>
    <r>
      <t>A total disp (cm</t>
    </r>
    <r>
      <rPr>
        <vertAlign val="superscript"/>
        <sz val="11"/>
        <color rgb="FF0000FF"/>
        <rFont val="Calibri"/>
        <family val="2"/>
        <scheme val="minor"/>
      </rPr>
      <t>2</t>
    </r>
    <r>
      <rPr>
        <sz val="11"/>
        <color rgb="FF0000FF"/>
        <rFont val="Calibri"/>
        <family val="2"/>
        <scheme val="minor"/>
      </rPr>
      <t>/cm)</t>
    </r>
  </si>
  <si>
    <t>Area total colocada</t>
  </si>
  <si>
    <t>REFUERZO DE PIEL</t>
  </si>
  <si>
    <t>TORSIÓN</t>
  </si>
  <si>
    <t>As calculado (cm2)</t>
  </si>
  <si>
    <r>
      <t xml:space="preserve">Control de agrietamiento por medio de la distribucion del refuerzo </t>
    </r>
    <r>
      <rPr>
        <i/>
        <sz val="11"/>
        <rFont val="Calibri"/>
        <family val="2"/>
        <scheme val="minor"/>
      </rPr>
      <t>(CCP14-5.7.3.4)</t>
    </r>
  </si>
  <si>
    <t xml:space="preserve"> φ</t>
  </si>
  <si>
    <t xml:space="preserve">Factor de reducción </t>
  </si>
  <si>
    <t>Acp (cm²)</t>
  </si>
  <si>
    <t>Pcp (cm)</t>
  </si>
  <si>
    <t>Tcr (ton·m)</t>
  </si>
  <si>
    <t>Momento torsor crítico</t>
  </si>
  <si>
    <t>Xo (mm)</t>
  </si>
  <si>
    <r>
      <t>As</t>
    </r>
    <r>
      <rPr>
        <vertAlign val="subscript"/>
        <sz val="11"/>
        <color indexed="12"/>
        <rFont val="Calibri"/>
        <family val="2"/>
      </rPr>
      <t>utilizado</t>
    </r>
  </si>
  <si>
    <t>Área de acero dispuesta</t>
  </si>
  <si>
    <t>Yo (mm)</t>
  </si>
  <si>
    <t>Aoh (mm²)</t>
  </si>
  <si>
    <t>CORTANTE</t>
  </si>
  <si>
    <t>Ph (mm)</t>
  </si>
  <si>
    <t>Factor de reducción a cortante</t>
  </si>
  <si>
    <t>Ao (mm²)</t>
  </si>
  <si>
    <t>φVc (ton)</t>
  </si>
  <si>
    <t>Resistencia del concreto</t>
  </si>
  <si>
    <t>At/s (mm²/mm)</t>
  </si>
  <si>
    <r>
      <t>φVs</t>
    </r>
    <r>
      <rPr>
        <vertAlign val="subscript"/>
        <sz val="11"/>
        <color indexed="12"/>
        <rFont val="Calibri"/>
        <family val="2"/>
      </rPr>
      <t>requerido</t>
    </r>
    <r>
      <rPr>
        <sz val="11"/>
        <color indexed="12"/>
        <rFont val="Calibri"/>
        <family val="2"/>
      </rPr>
      <t xml:space="preserve"> (ton)</t>
    </r>
  </si>
  <si>
    <t>Resistencia del acero requerida</t>
  </si>
  <si>
    <t>Al (cm²*m)</t>
  </si>
  <si>
    <r>
      <t>φVs</t>
    </r>
    <r>
      <rPr>
        <vertAlign val="subscript"/>
        <sz val="11"/>
        <color indexed="12"/>
        <rFont val="Calibri"/>
        <family val="2"/>
      </rPr>
      <t>máximo</t>
    </r>
    <r>
      <rPr>
        <sz val="11"/>
        <color indexed="12"/>
        <rFont val="Calibri"/>
        <family val="2"/>
      </rPr>
      <t xml:space="preserve"> (ton)</t>
    </r>
  </si>
  <si>
    <t>Resistencia del acero máxima</t>
  </si>
  <si>
    <t># Barra:</t>
  </si>
  <si>
    <r>
      <t>φVs</t>
    </r>
    <r>
      <rPr>
        <vertAlign val="subscript"/>
        <sz val="11"/>
        <color indexed="12"/>
        <rFont val="Calibri"/>
        <family val="2"/>
      </rPr>
      <t xml:space="preserve">mínimo </t>
    </r>
    <r>
      <rPr>
        <sz val="11"/>
        <color indexed="12"/>
        <rFont val="Calibri"/>
        <family val="2"/>
      </rPr>
      <t>(ton)</t>
    </r>
  </si>
  <si>
    <t>Resistencia del acero mínima</t>
  </si>
  <si>
    <r>
      <t xml:space="preserve">Cantidad de barras </t>
    </r>
    <r>
      <rPr>
        <vertAlign val="subscript"/>
        <sz val="11"/>
        <color indexed="12"/>
        <rFont val="Calibri"/>
        <family val="2"/>
      </rPr>
      <t>calculadas</t>
    </r>
  </si>
  <si>
    <r>
      <t>φVs</t>
    </r>
    <r>
      <rPr>
        <vertAlign val="subscript"/>
        <sz val="11"/>
        <color indexed="12"/>
        <rFont val="Calibri"/>
        <family val="2"/>
      </rPr>
      <t>utlizado</t>
    </r>
    <r>
      <rPr>
        <sz val="11"/>
        <color indexed="12"/>
        <rFont val="Calibri"/>
        <family val="2"/>
      </rPr>
      <t xml:space="preserve"> (ton)</t>
    </r>
  </si>
  <si>
    <t>Resistencia del acero utilizada</t>
  </si>
  <si>
    <r>
      <t xml:space="preserve">Cantidad de barras </t>
    </r>
    <r>
      <rPr>
        <vertAlign val="subscript"/>
        <sz val="11"/>
        <color indexed="8"/>
        <rFont val="Calibri"/>
        <family val="2"/>
      </rPr>
      <t>utilizadas</t>
    </r>
  </si>
  <si>
    <t>Separación en cada cara</t>
  </si>
  <si>
    <t># Ramas</t>
  </si>
  <si>
    <t>Número de ramas</t>
  </si>
  <si>
    <t>Area solicitada por torsion y cortante</t>
  </si>
  <si>
    <t>(mm²/mm)</t>
  </si>
  <si>
    <r>
      <t>Av (cm</t>
    </r>
    <r>
      <rPr>
        <vertAlign val="superscript"/>
        <sz val="11"/>
        <color rgb="FF0000FF"/>
        <rFont val="Calibri"/>
        <family val="2"/>
        <scheme val="minor"/>
      </rPr>
      <t>2</t>
    </r>
    <r>
      <rPr>
        <sz val="11"/>
        <color rgb="FF0000FF"/>
        <rFont val="Calibri"/>
        <family val="2"/>
        <scheme val="minor"/>
      </rPr>
      <t>)</t>
    </r>
  </si>
  <si>
    <t>Colocado por cortante</t>
  </si>
  <si>
    <t>Area Colocada por Torsión y flexión</t>
  </si>
  <si>
    <r>
      <t xml:space="preserve"> (cm</t>
    </r>
    <r>
      <rPr>
        <vertAlign val="superscript"/>
        <sz val="11"/>
        <color rgb="FF0000FF"/>
        <rFont val="Calibri"/>
        <family val="2"/>
        <scheme val="minor"/>
      </rPr>
      <t>2</t>
    </r>
    <r>
      <rPr>
        <sz val="11"/>
        <color rgb="FF0000FF"/>
        <rFont val="Calibri"/>
        <family val="2"/>
        <scheme val="minor"/>
      </rPr>
      <t>)</t>
    </r>
  </si>
  <si>
    <t>Separación escogida</t>
  </si>
  <si>
    <t xml:space="preserve">minimo de torsion </t>
  </si>
  <si>
    <t xml:space="preserve">el minimo tiene que ser mayor </t>
  </si>
  <si>
    <t>REFUERZO VC (MOMENTOS EN DIRECCIÓN HORIZONTAL)</t>
  </si>
  <si>
    <t xml:space="preserve">NEGATIVO </t>
  </si>
  <si>
    <t>POSITIVO</t>
  </si>
  <si>
    <t>Refuerzo mínimo                                (CCP14-5.7.3.3.2)</t>
  </si>
  <si>
    <t>Refuerzo mínimo                           (CCP14-5.7.3.3.2)</t>
  </si>
  <si>
    <t>Area total por cara</t>
  </si>
  <si>
    <t>Area requerida por cara</t>
  </si>
  <si>
    <r>
      <t xml:space="preserve">Cant. barras </t>
    </r>
    <r>
      <rPr>
        <vertAlign val="subscript"/>
        <sz val="11"/>
        <rFont val="Calibri"/>
        <family val="2"/>
        <scheme val="minor"/>
      </rPr>
      <t>esc</t>
    </r>
  </si>
  <si>
    <r>
      <t xml:space="preserve">Cant. barras </t>
    </r>
    <r>
      <rPr>
        <vertAlign val="subscript"/>
        <sz val="11"/>
        <color rgb="FF0000FF"/>
        <rFont val="Calibri"/>
        <family val="2"/>
        <scheme val="minor"/>
      </rPr>
      <t>esc</t>
    </r>
  </si>
  <si>
    <r>
      <t>As</t>
    </r>
    <r>
      <rPr>
        <vertAlign val="subscript"/>
        <sz val="11"/>
        <color rgb="FF0000FF"/>
        <rFont val="Calibri"/>
        <family val="2"/>
      </rPr>
      <t xml:space="preserve">utilizado </t>
    </r>
    <r>
      <rPr>
        <sz val="11"/>
        <color rgb="FF0000FF"/>
        <rFont val="Calibri"/>
        <family val="2"/>
      </rPr>
      <t>(cm</t>
    </r>
    <r>
      <rPr>
        <vertAlign val="superscript"/>
        <sz val="11"/>
        <color rgb="FF0000FF"/>
        <rFont val="Calibri"/>
        <family val="2"/>
      </rPr>
      <t>2</t>
    </r>
    <r>
      <rPr>
        <sz val="11"/>
        <color rgb="FF0000FF"/>
        <rFont val="Calibri"/>
        <family val="2"/>
      </rPr>
      <t>)</t>
    </r>
  </si>
  <si>
    <r>
      <t>ρ</t>
    </r>
    <r>
      <rPr>
        <vertAlign val="subscript"/>
        <sz val="11"/>
        <color rgb="FF0000FF"/>
        <rFont val="Calibri"/>
        <family val="2"/>
      </rPr>
      <t>utilizado</t>
    </r>
  </si>
  <si>
    <t>#</t>
  </si>
  <si>
    <t>@</t>
  </si>
  <si>
    <t xml:space="preserve">Resumen refuerzo </t>
  </si>
  <si>
    <t>Cara superior</t>
  </si>
  <si>
    <t>Cara posterior</t>
  </si>
  <si>
    <t>Ref. a cortante Vertical</t>
  </si>
  <si>
    <t>Cantidad de barras</t>
  </si>
  <si>
    <t>Separación</t>
  </si>
  <si>
    <t>Cara inferior</t>
  </si>
  <si>
    <t>Cara anterior</t>
  </si>
  <si>
    <t>Ref. a cortante Horizontal</t>
  </si>
  <si>
    <t>DISEÑO PANTALLA</t>
  </si>
  <si>
    <t>FLEXIÓN</t>
  </si>
  <si>
    <t xml:space="preserve">f 'c </t>
  </si>
  <si>
    <r>
      <t>kg/cm</t>
    </r>
    <r>
      <rPr>
        <vertAlign val="superscript"/>
        <sz val="10"/>
        <rFont val="Arial"/>
        <family val="2"/>
      </rPr>
      <t>2</t>
    </r>
  </si>
  <si>
    <t>Resistencia compresión del concreto</t>
  </si>
  <si>
    <t>fy</t>
  </si>
  <si>
    <t>Resistencia fluencia del acero de refuerzo</t>
  </si>
  <si>
    <t>b</t>
  </si>
  <si>
    <t>h</t>
  </si>
  <si>
    <t>Altura de la viga</t>
  </si>
  <si>
    <t>R.L</t>
  </si>
  <si>
    <r>
      <t>M</t>
    </r>
    <r>
      <rPr>
        <vertAlign val="subscript"/>
        <sz val="10"/>
        <color rgb="FF0000FF"/>
        <rFont val="Arial"/>
        <family val="2"/>
      </rPr>
      <t>U</t>
    </r>
  </si>
  <si>
    <t>ton-m</t>
  </si>
  <si>
    <r>
      <rPr>
        <sz val="10"/>
        <color indexed="12"/>
        <rFont val="Calibri"/>
        <family val="2"/>
      </rPr>
      <t>ρ</t>
    </r>
    <r>
      <rPr>
        <sz val="10"/>
        <color indexed="12"/>
        <rFont val="Arial"/>
        <family val="2"/>
      </rPr>
      <t xml:space="preserve"> </t>
    </r>
    <r>
      <rPr>
        <vertAlign val="subscript"/>
        <sz val="10"/>
        <color indexed="12"/>
        <rFont val="Arial"/>
        <family val="2"/>
      </rPr>
      <t>Mín</t>
    </r>
  </si>
  <si>
    <t>Cuantía Mínima</t>
  </si>
  <si>
    <r>
      <rPr>
        <sz val="10"/>
        <color indexed="12"/>
        <rFont val="Calibri"/>
        <family val="2"/>
      </rPr>
      <t>ρ</t>
    </r>
    <r>
      <rPr>
        <sz val="10"/>
        <color indexed="12"/>
        <rFont val="Arial"/>
        <family val="2"/>
      </rPr>
      <t xml:space="preserve"> </t>
    </r>
    <r>
      <rPr>
        <vertAlign val="subscript"/>
        <sz val="10"/>
        <color indexed="12"/>
        <rFont val="Arial"/>
        <family val="2"/>
      </rPr>
      <t>Req</t>
    </r>
  </si>
  <si>
    <t>Cuantía Requerida</t>
  </si>
  <si>
    <t>As</t>
  </si>
  <si>
    <r>
      <t>cm</t>
    </r>
    <r>
      <rPr>
        <vertAlign val="superscript"/>
        <sz val="10"/>
        <color indexed="12"/>
        <rFont val="Arial"/>
        <family val="2"/>
      </rPr>
      <t>2</t>
    </r>
  </si>
  <si>
    <t>Acero de Refuerzo Principal</t>
  </si>
  <si>
    <t xml:space="preserve">Ab </t>
  </si>
  <si>
    <t>cm2</t>
  </si>
  <si>
    <t>Área de la barra</t>
  </si>
  <si>
    <t xml:space="preserve">Cant </t>
  </si>
  <si>
    <t>UND</t>
  </si>
  <si>
    <t>Cantidad de barras requeridas</t>
  </si>
  <si>
    <t>Scalc</t>
  </si>
  <si>
    <t>cm</t>
  </si>
  <si>
    <t>Espaciamiento calculado</t>
  </si>
  <si>
    <t>S</t>
  </si>
  <si>
    <t>Espaciamiento dispuesto</t>
  </si>
  <si>
    <r>
      <t>Refuerzo horizontal 3 cm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por metro horizontal en altura</t>
    </r>
  </si>
  <si>
    <t>Barras horizontales #4 cada 0.24m</t>
  </si>
  <si>
    <t>Cortante</t>
  </si>
  <si>
    <t xml:space="preserve">d </t>
  </si>
  <si>
    <r>
      <rPr>
        <sz val="10"/>
        <color rgb="FF0000FF"/>
        <rFont val="Calibri"/>
        <family val="2"/>
      </rPr>
      <t>φ</t>
    </r>
    <r>
      <rPr>
        <sz val="10"/>
        <color rgb="FF0000FF"/>
        <rFont val="Arial"/>
        <family val="2"/>
      </rPr>
      <t xml:space="preserve">*Vc </t>
    </r>
  </si>
  <si>
    <t>ton</t>
  </si>
  <si>
    <t>Resistencia a cortante de la sección</t>
  </si>
  <si>
    <t>Vu</t>
  </si>
  <si>
    <t>Cortante último de diseño</t>
  </si>
  <si>
    <t>DISEÑO TALÓN</t>
  </si>
  <si>
    <r>
      <t>M</t>
    </r>
    <r>
      <rPr>
        <vertAlign val="subscript"/>
        <sz val="10"/>
        <rFont val="Arial"/>
        <family val="2"/>
      </rPr>
      <t>U</t>
    </r>
  </si>
  <si>
    <t>Área de la barra 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</si>
</sst>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00"/>
    <numFmt numFmtId="166" formatCode="0.00000"/>
    <numFmt numFmtId="167" formatCode="0.0"/>
    <numFmt numFmtId="168" formatCode="#,##0.000000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</font>
    <font>
      <b/>
      <vertAlign val="subscript"/>
      <sz val="11"/>
      <color theme="4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vertAlign val="superscript"/>
      <sz val="11"/>
      <color theme="4"/>
      <name val="Calibri"/>
      <family val="2"/>
      <scheme val="minor"/>
    </font>
    <font>
      <b/>
      <vertAlign val="subscript"/>
      <sz val="11"/>
      <color theme="4"/>
      <name val="Calibri"/>
      <family val="2"/>
      <scheme val="minor"/>
    </font>
    <font>
      <b/>
      <vertAlign val="superscript"/>
      <sz val="11"/>
      <color theme="4" tint="-0.249977111117893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vertAlign val="subscript"/>
      <sz val="11"/>
      <color rgb="FF0070C0"/>
      <name val="Calibri"/>
      <family val="2"/>
      <scheme val="minor"/>
    </font>
    <font>
      <b/>
      <sz val="11"/>
      <color theme="4" tint="-0.249977111117893"/>
      <name val="Arial"/>
      <family val="2"/>
    </font>
    <font>
      <b/>
      <vertAlign val="subscript"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rgb="FF000000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 tint="-0.249977111117893"/>
      <name val="Arial"/>
      <family val="2"/>
    </font>
    <font>
      <b/>
      <vertAlign val="superscript"/>
      <sz val="11"/>
      <color theme="0" tint="-0.249977111117893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00FF"/>
      <name val="Calibri"/>
      <family val="2"/>
    </font>
    <font>
      <i/>
      <sz val="11"/>
      <color rgb="FF0000FF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i/>
      <sz val="11"/>
      <name val="Calibri"/>
      <family val="2"/>
      <scheme val="minor"/>
    </font>
    <font>
      <sz val="11"/>
      <color indexed="12"/>
      <name val="Calibri"/>
      <family val="2"/>
    </font>
    <font>
      <vertAlign val="subscript"/>
      <sz val="11"/>
      <color indexed="12"/>
      <name val="Calibri"/>
      <family val="2"/>
    </font>
    <font>
      <sz val="11"/>
      <color indexed="12"/>
      <name val="Calibri"/>
      <family val="2"/>
      <scheme val="minor"/>
    </font>
    <font>
      <vertAlign val="superscript"/>
      <sz val="11"/>
      <color indexed="12"/>
      <name val="Calibri"/>
      <family val="2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bscript"/>
      <sz val="11"/>
      <color rgb="FF0000FF"/>
      <name val="Calibri"/>
      <family val="2"/>
      <scheme val="minor"/>
    </font>
    <font>
      <vertAlign val="subscript"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vertAlign val="subscript"/>
      <sz val="11"/>
      <color indexed="8"/>
      <name val="Calibri"/>
      <family val="2"/>
    </font>
    <font>
      <b/>
      <i/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bscript"/>
      <sz val="11"/>
      <color rgb="FF0000FF"/>
      <name val="Calibri"/>
      <family val="2"/>
    </font>
    <font>
      <vertAlign val="superscript"/>
      <sz val="11"/>
      <color rgb="FF0000FF"/>
      <name val="Calibri"/>
      <family val="2"/>
    </font>
    <font>
      <sz val="11"/>
      <color theme="0"/>
      <name val="Calibri"/>
      <family val="2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indexed="8"/>
      <name val="Arial"/>
      <family val="2"/>
    </font>
    <font>
      <sz val="10"/>
      <color rgb="FF0000FF"/>
      <name val="Arial"/>
      <family val="2"/>
    </font>
    <font>
      <vertAlign val="subscript"/>
      <sz val="10"/>
      <color rgb="FF0000FF"/>
      <name val="Arial"/>
      <family val="2"/>
    </font>
    <font>
      <sz val="10"/>
      <color indexed="12"/>
      <name val="Arial"/>
      <family val="2"/>
    </font>
    <font>
      <sz val="10"/>
      <color indexed="12"/>
      <name val="Calibri"/>
      <family val="2"/>
    </font>
    <font>
      <vertAlign val="subscript"/>
      <sz val="10"/>
      <color indexed="12"/>
      <name val="Arial"/>
      <family val="2"/>
    </font>
    <font>
      <vertAlign val="superscript"/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10"/>
      <color rgb="FF0000FF"/>
      <name val="Calibri"/>
      <family val="2"/>
    </font>
    <font>
      <b/>
      <i/>
      <sz val="10"/>
      <name val="Arial"/>
      <family val="2"/>
    </font>
    <font>
      <sz val="10"/>
      <color indexed="56"/>
      <name val="Arial"/>
      <family val="2"/>
    </font>
    <font>
      <vertAlign val="subscript"/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499984740745262"/>
      </left>
      <right/>
      <top style="medium">
        <color theme="1" tint="0.499984740745262"/>
      </top>
      <bottom style="thin">
        <color theme="0" tint="-0.249977111117893"/>
      </bottom>
      <diagonal/>
    </border>
    <border>
      <left/>
      <right/>
      <top style="medium">
        <color theme="1" tint="0.499984740745262"/>
      </top>
      <bottom style="thin">
        <color theme="0" tint="-0.249977111117893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 style="thin">
        <color theme="0" tint="-0.249977111117893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1" tint="0.499984740745262"/>
      </bottom>
      <diagonal/>
    </border>
    <border>
      <left/>
      <right/>
      <top style="medium">
        <color theme="0" tint="-0.499984740745262"/>
      </top>
      <bottom style="thin">
        <color theme="1" tint="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 style="thin">
        <color theme="0" tint="-0.249977111117893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1" tint="0.499984740745262"/>
      </top>
      <bottom/>
      <diagonal/>
    </border>
    <border>
      <left/>
      <right style="thin">
        <color theme="0" tint="-0.249977111117893"/>
      </right>
      <top style="thin">
        <color theme="1" tint="0.499984740745262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0" tint="-0.499984740745262"/>
      </right>
      <top/>
      <bottom style="medium">
        <color theme="1" tint="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499984740745262"/>
      </left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499984740745262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499984740745262"/>
      </bottom>
      <diagonal/>
    </border>
    <border>
      <left/>
      <right/>
      <top style="medium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0" fillId="0" borderId="0"/>
  </cellStyleXfs>
  <cellXfs count="39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7" fillId="2" borderId="0" xfId="0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66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2" fontId="6" fillId="0" borderId="0" xfId="1" applyNumberFormat="1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0" fontId="6" fillId="0" borderId="4" xfId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2" xfId="1" applyNumberFormat="1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0" fontId="6" fillId="0" borderId="7" xfId="1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6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5" borderId="0" xfId="0" applyFont="1" applyFill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0" fontId="6" fillId="0" borderId="14" xfId="1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2" fontId="6" fillId="0" borderId="12" xfId="1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" fillId="6" borderId="19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2" fontId="27" fillId="0" borderId="19" xfId="0" applyNumberFormat="1" applyFont="1" applyBorder="1" applyAlignment="1">
      <alignment horizontal="center"/>
    </xf>
    <xf numFmtId="0" fontId="28" fillId="7" borderId="20" xfId="0" applyFont="1" applyFill="1" applyBorder="1" applyAlignment="1">
      <alignment horizontal="center" vertical="center"/>
    </xf>
    <xf numFmtId="0" fontId="28" fillId="7" borderId="21" xfId="0" applyFont="1" applyFill="1" applyBorder="1" applyAlignment="1">
      <alignment horizontal="center" vertical="center"/>
    </xf>
    <xf numFmtId="0" fontId="28" fillId="7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9" fillId="0" borderId="1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2" fontId="5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2" fontId="5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167" fontId="31" fillId="0" borderId="19" xfId="0" applyNumberFormat="1" applyFont="1" applyBorder="1" applyAlignment="1">
      <alignment horizontal="center" vertical="center"/>
    </xf>
    <xf numFmtId="165" fontId="31" fillId="0" borderId="19" xfId="0" applyNumberFormat="1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5" fillId="8" borderId="27" xfId="0" applyFont="1" applyFill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27" fillId="0" borderId="30" xfId="0" applyFont="1" applyBorder="1" applyAlignment="1">
      <alignment horizontal="left" vertical="center"/>
    </xf>
    <xf numFmtId="0" fontId="27" fillId="0" borderId="27" xfId="0" applyFont="1" applyBorder="1" applyAlignment="1">
      <alignment horizontal="center" vertical="center"/>
    </xf>
    <xf numFmtId="0" fontId="27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27" fillId="0" borderId="28" xfId="0" applyFont="1" applyBorder="1" applyAlignment="1">
      <alignment horizontal="left" vertical="center"/>
    </xf>
    <xf numFmtId="2" fontId="27" fillId="0" borderId="29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7" fillId="3" borderId="20" xfId="0" applyFont="1" applyFill="1" applyBorder="1" applyAlignment="1">
      <alignment horizontal="center" vertical="center"/>
    </xf>
    <xf numFmtId="0" fontId="37" fillId="3" borderId="21" xfId="0" applyFont="1" applyFill="1" applyBorder="1" applyAlignment="1">
      <alignment horizontal="center" vertical="center"/>
    </xf>
    <xf numFmtId="0" fontId="37" fillId="3" borderId="22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7" fillId="9" borderId="40" xfId="0" applyFont="1" applyFill="1" applyBorder="1" applyAlignment="1">
      <alignment horizontal="center" vertical="center"/>
    </xf>
    <xf numFmtId="0" fontId="7" fillId="9" borderId="41" xfId="0" applyFont="1" applyFill="1" applyBorder="1" applyAlignment="1">
      <alignment horizontal="center" vertical="center"/>
    </xf>
    <xf numFmtId="0" fontId="7" fillId="9" borderId="42" xfId="0" applyFont="1" applyFill="1" applyBorder="1" applyAlignment="1">
      <alignment horizontal="center" vertical="center"/>
    </xf>
    <xf numFmtId="0" fontId="7" fillId="9" borderId="43" xfId="0" applyFont="1" applyFill="1" applyBorder="1" applyAlignment="1">
      <alignment horizontal="center" vertical="center"/>
    </xf>
    <xf numFmtId="0" fontId="7" fillId="9" borderId="44" xfId="0" applyFont="1" applyFill="1" applyBorder="1" applyAlignment="1">
      <alignment horizontal="center" vertical="center"/>
    </xf>
    <xf numFmtId="0" fontId="7" fillId="9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27" fillId="0" borderId="29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vertical="center"/>
    </xf>
    <xf numFmtId="0" fontId="27" fillId="0" borderId="46" xfId="0" applyFont="1" applyBorder="1" applyAlignment="1">
      <alignment horizontal="left" vertical="center"/>
    </xf>
    <xf numFmtId="2" fontId="27" fillId="0" borderId="47" xfId="0" applyNumberFormat="1" applyFont="1" applyBorder="1" applyAlignment="1">
      <alignment horizontal="center" vertical="center"/>
    </xf>
    <xf numFmtId="0" fontId="35" fillId="0" borderId="47" xfId="0" applyFont="1" applyBorder="1" applyAlignment="1">
      <alignment horizontal="left" vertical="center"/>
    </xf>
    <xf numFmtId="0" fontId="39" fillId="0" borderId="48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wrapText="1"/>
    </xf>
    <xf numFmtId="0" fontId="4" fillId="0" borderId="25" xfId="0" applyFont="1" applyBorder="1" applyAlignment="1">
      <alignment vertical="center"/>
    </xf>
    <xf numFmtId="0" fontId="39" fillId="0" borderId="50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9" fillId="0" borderId="52" xfId="0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166" fontId="27" fillId="0" borderId="29" xfId="0" applyNumberFormat="1" applyFont="1" applyBorder="1" applyAlignment="1">
      <alignment horizontal="center" vertical="center"/>
    </xf>
    <xf numFmtId="164" fontId="27" fillId="0" borderId="29" xfId="0" applyNumberFormat="1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25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5" fillId="0" borderId="25" xfId="0" applyFont="1" applyBorder="1" applyAlignment="1">
      <alignment vertical="center"/>
    </xf>
    <xf numFmtId="1" fontId="5" fillId="8" borderId="29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1" fontId="27" fillId="0" borderId="2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9" xfId="0" applyFont="1" applyBorder="1" applyAlignment="1">
      <alignment horizontal="center" vertical="center"/>
    </xf>
    <xf numFmtId="0" fontId="39" fillId="0" borderId="5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25" xfId="0" applyFont="1" applyBorder="1" applyAlignment="1">
      <alignment vertical="center"/>
    </xf>
    <xf numFmtId="0" fontId="0" fillId="0" borderId="54" xfId="0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5" fillId="0" borderId="54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45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7" fillId="0" borderId="58" xfId="0" applyFont="1" applyBorder="1" applyAlignment="1">
      <alignment horizontal="left" vertical="center"/>
    </xf>
    <xf numFmtId="2" fontId="27" fillId="0" borderId="59" xfId="0" applyNumberFormat="1" applyFont="1" applyBorder="1" applyAlignment="1">
      <alignment horizontal="center" vertical="center"/>
    </xf>
    <xf numFmtId="0" fontId="27" fillId="0" borderId="59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25" xfId="0" applyFont="1" applyBorder="1" applyAlignment="1">
      <alignment vertical="center"/>
    </xf>
    <xf numFmtId="0" fontId="5" fillId="0" borderId="58" xfId="0" applyFont="1" applyBorder="1" applyAlignment="1">
      <alignment horizontal="left" vertical="center"/>
    </xf>
    <xf numFmtId="2" fontId="5" fillId="0" borderId="59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horizontal="center" vertical="center"/>
    </xf>
    <xf numFmtId="0" fontId="27" fillId="0" borderId="23" xfId="0" applyFont="1" applyBorder="1" applyAlignment="1">
      <alignment horizontal="left" vertical="center"/>
    </xf>
    <xf numFmtId="2" fontId="27" fillId="0" borderId="24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vertical="center"/>
    </xf>
    <xf numFmtId="0" fontId="27" fillId="0" borderId="26" xfId="0" applyFont="1" applyBorder="1" applyAlignment="1">
      <alignment horizontal="left" vertical="center"/>
    </xf>
    <xf numFmtId="2" fontId="27" fillId="0" borderId="27" xfId="0" applyNumberFormat="1" applyFont="1" applyBorder="1" applyAlignment="1">
      <alignment horizontal="center" vertical="center"/>
    </xf>
    <xf numFmtId="164" fontId="27" fillId="0" borderId="2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27" fillId="0" borderId="27" xfId="0" applyNumberFormat="1" applyFont="1" applyBorder="1" applyAlignment="1">
      <alignment horizontal="center" vertical="center"/>
    </xf>
    <xf numFmtId="2" fontId="0" fillId="0" borderId="25" xfId="0" applyNumberFormat="1" applyBorder="1" applyAlignment="1">
      <alignment vertical="center"/>
    </xf>
    <xf numFmtId="2" fontId="0" fillId="0" borderId="0" xfId="0" applyNumberFormat="1" applyAlignment="1">
      <alignment vertical="center"/>
    </xf>
    <xf numFmtId="0" fontId="27" fillId="0" borderId="68" xfId="0" applyFont="1" applyBorder="1" applyAlignment="1">
      <alignment horizontal="left" vertical="center"/>
    </xf>
    <xf numFmtId="2" fontId="27" fillId="0" borderId="69" xfId="0" applyNumberFormat="1" applyFont="1" applyBorder="1" applyAlignment="1">
      <alignment horizontal="center" vertical="center"/>
    </xf>
    <xf numFmtId="0" fontId="27" fillId="0" borderId="69" xfId="0" applyFont="1" applyBorder="1" applyAlignment="1">
      <alignment vertical="center"/>
    </xf>
    <xf numFmtId="0" fontId="3" fillId="0" borderId="69" xfId="0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27" fillId="0" borderId="71" xfId="0" applyFont="1" applyBorder="1" applyAlignment="1">
      <alignment horizontal="left" vertical="center"/>
    </xf>
    <xf numFmtId="2" fontId="27" fillId="0" borderId="72" xfId="0" applyNumberFormat="1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0" fillId="0" borderId="72" xfId="0" applyBorder="1" applyAlignment="1">
      <alignment vertical="center"/>
    </xf>
    <xf numFmtId="0" fontId="0" fillId="0" borderId="73" xfId="0" applyBorder="1" applyAlignment="1">
      <alignment vertical="center"/>
    </xf>
    <xf numFmtId="0" fontId="7" fillId="9" borderId="74" xfId="0" applyFont="1" applyFill="1" applyBorder="1" applyAlignment="1">
      <alignment horizontal="center" vertical="center"/>
    </xf>
    <xf numFmtId="0" fontId="7" fillId="9" borderId="75" xfId="0" applyFont="1" applyFill="1" applyBorder="1" applyAlignment="1">
      <alignment horizontal="center" vertical="center"/>
    </xf>
    <xf numFmtId="0" fontId="7" fillId="9" borderId="76" xfId="0" applyFont="1" applyFill="1" applyBorder="1" applyAlignment="1">
      <alignment horizontal="center" vertical="center"/>
    </xf>
    <xf numFmtId="164" fontId="27" fillId="0" borderId="24" xfId="0" applyNumberFormat="1" applyFont="1" applyBorder="1" applyAlignment="1">
      <alignment horizontal="center" vertical="center"/>
    </xf>
    <xf numFmtId="0" fontId="27" fillId="0" borderId="24" xfId="0" applyFont="1" applyBorder="1" applyAlignment="1">
      <alignment vertical="center"/>
    </xf>
    <xf numFmtId="0" fontId="27" fillId="0" borderId="69" xfId="0" applyFont="1" applyBorder="1" applyAlignment="1">
      <alignment horizontal="left" vertical="center"/>
    </xf>
    <xf numFmtId="0" fontId="3" fillId="0" borderId="69" xfId="0" applyFont="1" applyBorder="1" applyAlignment="1">
      <alignment horizontal="center" vertical="center" wrapText="1"/>
    </xf>
    <xf numFmtId="0" fontId="7" fillId="9" borderId="77" xfId="0" applyFont="1" applyFill="1" applyBorder="1" applyAlignment="1">
      <alignment horizontal="center" vertical="center"/>
    </xf>
    <xf numFmtId="0" fontId="7" fillId="9" borderId="78" xfId="0" applyFont="1" applyFill="1" applyBorder="1" applyAlignment="1">
      <alignment horizontal="center" vertical="center"/>
    </xf>
    <xf numFmtId="0" fontId="7" fillId="9" borderId="79" xfId="0" applyFont="1" applyFill="1" applyBorder="1" applyAlignment="1">
      <alignment horizontal="center" vertical="center"/>
    </xf>
    <xf numFmtId="2" fontId="27" fillId="0" borderId="52" xfId="0" applyNumberFormat="1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 wrapText="1"/>
    </xf>
    <xf numFmtId="0" fontId="50" fillId="0" borderId="23" xfId="0" applyFont="1" applyBorder="1" applyAlignment="1">
      <alignment horizontal="left" vertical="center"/>
    </xf>
    <xf numFmtId="0" fontId="0" fillId="2" borderId="47" xfId="0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" fontId="27" fillId="0" borderId="27" xfId="0" applyNumberFormat="1" applyFont="1" applyBorder="1" applyAlignment="1">
      <alignment horizontal="center" vertical="center"/>
    </xf>
    <xf numFmtId="0" fontId="27" fillId="0" borderId="27" xfId="0" applyFont="1" applyBorder="1" applyAlignment="1">
      <alignment vertical="center"/>
    </xf>
    <xf numFmtId="0" fontId="27" fillId="0" borderId="82" xfId="0" applyFont="1" applyBorder="1" applyAlignment="1">
      <alignment horizontal="left" vertical="center"/>
    </xf>
    <xf numFmtId="0" fontId="27" fillId="0" borderId="83" xfId="0" applyFont="1" applyBorder="1" applyAlignment="1">
      <alignment horizontal="center" vertical="center" wrapText="1"/>
    </xf>
    <xf numFmtId="0" fontId="27" fillId="0" borderId="84" xfId="0" applyFont="1" applyBorder="1" applyAlignment="1">
      <alignment horizontal="center" vertical="center" wrapText="1"/>
    </xf>
    <xf numFmtId="2" fontId="27" fillId="0" borderId="85" xfId="0" applyNumberFormat="1" applyFont="1" applyBorder="1" applyAlignment="1">
      <alignment horizontal="center" vertical="center"/>
    </xf>
    <xf numFmtId="0" fontId="27" fillId="0" borderId="86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7" fillId="0" borderId="25" xfId="0" applyFont="1" applyBorder="1" applyAlignment="1">
      <alignment vertical="center"/>
    </xf>
    <xf numFmtId="0" fontId="27" fillId="0" borderId="87" xfId="0" applyFont="1" applyBorder="1" applyAlignment="1">
      <alignment horizontal="center" vertical="center" wrapText="1"/>
    </xf>
    <xf numFmtId="0" fontId="27" fillId="0" borderId="88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5" fillId="0" borderId="85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 wrapText="1"/>
    </xf>
    <xf numFmtId="0" fontId="3" fillId="0" borderId="8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left" vertical="center"/>
    </xf>
    <xf numFmtId="0" fontId="27" fillId="0" borderId="90" xfId="0" applyFont="1" applyBorder="1" applyAlignment="1">
      <alignment horizontal="left" vertical="center"/>
    </xf>
    <xf numFmtId="2" fontId="27" fillId="0" borderId="91" xfId="0" applyNumberFormat="1" applyFont="1" applyBorder="1" applyAlignment="1">
      <alignment horizontal="center" vertical="center"/>
    </xf>
    <xf numFmtId="0" fontId="27" fillId="0" borderId="92" xfId="0" applyFont="1" applyBorder="1" applyAlignment="1">
      <alignment vertical="center"/>
    </xf>
    <xf numFmtId="0" fontId="27" fillId="0" borderId="93" xfId="0" applyFont="1" applyBorder="1" applyAlignment="1">
      <alignment horizontal="center" vertical="center" wrapText="1"/>
    </xf>
    <xf numFmtId="0" fontId="5" fillId="0" borderId="94" xfId="0" applyFont="1" applyBorder="1" applyAlignment="1">
      <alignment vertical="center"/>
    </xf>
    <xf numFmtId="0" fontId="5" fillId="0" borderId="69" xfId="0" applyFont="1" applyBorder="1" applyAlignment="1">
      <alignment horizontal="center" vertical="center"/>
    </xf>
    <xf numFmtId="0" fontId="5" fillId="0" borderId="69" xfId="0" applyFont="1" applyBorder="1" applyAlignment="1">
      <alignment vertical="center"/>
    </xf>
    <xf numFmtId="0" fontId="5" fillId="0" borderId="95" xfId="0" applyFont="1" applyBorder="1" applyAlignment="1">
      <alignment vertical="center"/>
    </xf>
    <xf numFmtId="2" fontId="0" fillId="0" borderId="96" xfId="0" applyNumberFormat="1" applyBorder="1" applyAlignment="1">
      <alignment horizontal="center" vertical="center"/>
    </xf>
    <xf numFmtId="0" fontId="5" fillId="2" borderId="47" xfId="0" applyFont="1" applyFill="1" applyBorder="1" applyAlignment="1">
      <alignment horizontal="left" vertical="center" wrapText="1"/>
    </xf>
    <xf numFmtId="0" fontId="0" fillId="0" borderId="97" xfId="0" applyBorder="1" applyAlignment="1">
      <alignment horizontal="left" vertical="center"/>
    </xf>
    <xf numFmtId="0" fontId="0" fillId="0" borderId="98" xfId="0" applyBorder="1" applyAlignment="1">
      <alignment vertical="center"/>
    </xf>
    <xf numFmtId="0" fontId="0" fillId="0" borderId="99" xfId="0" applyBorder="1" applyAlignment="1">
      <alignment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51" fillId="0" borderId="25" xfId="0" applyFont="1" applyBorder="1" applyAlignment="1">
      <alignment vertical="center" wrapText="1"/>
    </xf>
    <xf numFmtId="0" fontId="51" fillId="0" borderId="0" xfId="0" applyFont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0" fillId="0" borderId="26" xfId="0" applyBorder="1" applyAlignment="1">
      <alignment horizontal="left" vertical="center"/>
    </xf>
    <xf numFmtId="1" fontId="5" fillId="8" borderId="27" xfId="0" applyNumberFormat="1" applyFont="1" applyFill="1" applyBorder="1" applyAlignment="1">
      <alignment horizontal="center" vertical="center"/>
    </xf>
    <xf numFmtId="0" fontId="0" fillId="0" borderId="100" xfId="0" applyBorder="1" applyAlignment="1">
      <alignment horizontal="left" vertical="center"/>
    </xf>
    <xf numFmtId="1" fontId="5" fillId="0" borderId="101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31" xfId="0" applyFont="1" applyBorder="1" applyAlignment="1">
      <alignment vertical="center"/>
    </xf>
    <xf numFmtId="0" fontId="3" fillId="0" borderId="102" xfId="0" applyFont="1" applyBorder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2" fontId="5" fillId="0" borderId="29" xfId="0" applyNumberFormat="1" applyFont="1" applyBorder="1" applyAlignment="1">
      <alignment horizontal="center" vertical="center"/>
    </xf>
    <xf numFmtId="0" fontId="0" fillId="0" borderId="103" xfId="0" applyBorder="1" applyAlignment="1">
      <alignment vertical="center"/>
    </xf>
    <xf numFmtId="2" fontId="27" fillId="0" borderId="29" xfId="0" applyNumberFormat="1" applyFont="1" applyBorder="1" applyAlignment="1">
      <alignment horizontal="left" vertical="center"/>
    </xf>
    <xf numFmtId="0" fontId="5" fillId="0" borderId="68" xfId="0" applyFont="1" applyBorder="1" applyAlignment="1">
      <alignment vertical="center"/>
    </xf>
    <xf numFmtId="0" fontId="27" fillId="0" borderId="104" xfId="0" applyFont="1" applyBorder="1" applyAlignment="1">
      <alignment horizontal="left" vertical="center"/>
    </xf>
    <xf numFmtId="2" fontId="27" fillId="0" borderId="105" xfId="0" applyNumberFormat="1" applyFont="1" applyBorder="1" applyAlignment="1">
      <alignment horizontal="center" vertical="center"/>
    </xf>
    <xf numFmtId="2" fontId="27" fillId="0" borderId="105" xfId="0" applyNumberFormat="1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2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71" xfId="0" applyBorder="1" applyAlignment="1">
      <alignment vertical="center"/>
    </xf>
    <xf numFmtId="0" fontId="39" fillId="0" borderId="106" xfId="0" applyFont="1" applyBorder="1" applyAlignment="1">
      <alignment horizontal="center" vertical="center" wrapText="1"/>
    </xf>
    <xf numFmtId="0" fontId="39" fillId="0" borderId="107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53" fillId="0" borderId="25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5" fillId="0" borderId="30" xfId="0" applyFont="1" applyBorder="1" applyAlignment="1">
      <alignment horizontal="left" vertical="center"/>
    </xf>
    <xf numFmtId="0" fontId="54" fillId="0" borderId="0" xfId="0" applyFont="1" applyAlignment="1">
      <alignment vertical="center"/>
    </xf>
    <xf numFmtId="1" fontId="5" fillId="0" borderId="29" xfId="0" applyNumberFormat="1" applyFont="1" applyBorder="1" applyAlignment="1">
      <alignment horizontal="center" vertical="center"/>
    </xf>
    <xf numFmtId="0" fontId="5" fillId="0" borderId="10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5" fillId="0" borderId="109" xfId="0" applyFont="1" applyBorder="1" applyAlignment="1">
      <alignment horizontal="left" vertical="center"/>
    </xf>
    <xf numFmtId="0" fontId="27" fillId="0" borderId="108" xfId="0" applyFont="1" applyBorder="1" applyAlignment="1">
      <alignment horizontal="left" vertical="center"/>
    </xf>
    <xf numFmtId="0" fontId="27" fillId="0" borderId="106" xfId="0" applyFont="1" applyBorder="1" applyAlignment="1">
      <alignment vertical="center"/>
    </xf>
    <xf numFmtId="0" fontId="35" fillId="0" borderId="26" xfId="0" applyFont="1" applyBorder="1" applyAlignment="1">
      <alignment horizontal="left" vertical="center"/>
    </xf>
    <xf numFmtId="0" fontId="27" fillId="0" borderId="72" xfId="0" applyFont="1" applyBorder="1" applyAlignment="1">
      <alignment vertical="center"/>
    </xf>
    <xf numFmtId="0" fontId="3" fillId="0" borderId="72" xfId="0" applyFont="1" applyBorder="1" applyAlignment="1">
      <alignment horizontal="center" vertical="center"/>
    </xf>
    <xf numFmtId="0" fontId="5" fillId="0" borderId="110" xfId="0" applyFont="1" applyBorder="1" applyAlignment="1">
      <alignment horizontal="left" vertical="center"/>
    </xf>
    <xf numFmtId="2" fontId="5" fillId="0" borderId="111" xfId="0" applyNumberFormat="1" applyFont="1" applyBorder="1" applyAlignment="1">
      <alignment horizontal="center" vertical="center"/>
    </xf>
    <xf numFmtId="0" fontId="0" fillId="0" borderId="112" xfId="0" applyBorder="1" applyAlignment="1">
      <alignment vertical="center"/>
    </xf>
    <xf numFmtId="0" fontId="58" fillId="0" borderId="0" xfId="0" applyFont="1" applyAlignment="1">
      <alignment vertical="center"/>
    </xf>
    <xf numFmtId="0" fontId="59" fillId="9" borderId="113" xfId="0" applyFont="1" applyFill="1" applyBorder="1" applyAlignment="1">
      <alignment horizontal="center" vertical="center"/>
    </xf>
    <xf numFmtId="0" fontId="59" fillId="9" borderId="114" xfId="0" applyFont="1" applyFill="1" applyBorder="1" applyAlignment="1">
      <alignment horizontal="center" vertical="center"/>
    </xf>
    <xf numFmtId="0" fontId="59" fillId="9" borderId="115" xfId="0" applyFont="1" applyFill="1" applyBorder="1" applyAlignment="1">
      <alignment horizontal="center" vertical="center"/>
    </xf>
    <xf numFmtId="0" fontId="59" fillId="10" borderId="116" xfId="0" applyFont="1" applyFill="1" applyBorder="1" applyAlignment="1">
      <alignment horizontal="center" vertical="center"/>
    </xf>
    <xf numFmtId="0" fontId="59" fillId="10" borderId="117" xfId="0" applyFont="1" applyFill="1" applyBorder="1" applyAlignment="1">
      <alignment horizontal="center" vertical="center"/>
    </xf>
    <xf numFmtId="0" fontId="27" fillId="10" borderId="116" xfId="0" applyFont="1" applyFill="1" applyBorder="1" applyAlignment="1">
      <alignment horizontal="center" vertical="center"/>
    </xf>
    <xf numFmtId="0" fontId="27" fillId="10" borderId="118" xfId="0" applyFont="1" applyFill="1" applyBorder="1" applyAlignment="1">
      <alignment horizontal="center" vertical="center"/>
    </xf>
    <xf numFmtId="0" fontId="27" fillId="10" borderId="117" xfId="0" applyFont="1" applyFill="1" applyBorder="1" applyAlignment="1">
      <alignment horizontal="center" vertical="center"/>
    </xf>
    <xf numFmtId="0" fontId="27" fillId="0" borderId="38" xfId="0" applyFont="1" applyBorder="1" applyAlignment="1">
      <alignment vertical="center"/>
    </xf>
    <xf numFmtId="1" fontId="27" fillId="0" borderId="39" xfId="0" applyNumberFormat="1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119" xfId="0" applyFont="1" applyBorder="1" applyAlignment="1">
      <alignment vertical="center"/>
    </xf>
    <xf numFmtId="0" fontId="27" fillId="0" borderId="120" xfId="0" applyFont="1" applyBorder="1" applyAlignment="1">
      <alignment vertical="center"/>
    </xf>
    <xf numFmtId="0" fontId="27" fillId="0" borderId="55" xfId="0" applyFont="1" applyBorder="1" applyAlignment="1">
      <alignment vertical="center"/>
    </xf>
    <xf numFmtId="2" fontId="27" fillId="0" borderId="57" xfId="0" applyNumberFormat="1" applyFont="1" applyBorder="1" applyAlignment="1">
      <alignment horizontal="center" vertical="center"/>
    </xf>
    <xf numFmtId="0" fontId="27" fillId="0" borderId="5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54" fillId="0" borderId="0" xfId="0" applyFont="1" applyAlignment="1">
      <alignment horizontal="center" vertical="center"/>
    </xf>
    <xf numFmtId="0" fontId="54" fillId="0" borderId="7" xfId="0" applyFont="1" applyBorder="1" applyAlignment="1">
      <alignment vertical="center"/>
    </xf>
    <xf numFmtId="4" fontId="60" fillId="2" borderId="0" xfId="2" applyNumberFormat="1" applyFill="1" applyAlignment="1">
      <alignment vertical="center"/>
    </xf>
    <xf numFmtId="4" fontId="60" fillId="2" borderId="0" xfId="2" applyNumberFormat="1" applyFill="1" applyAlignment="1">
      <alignment horizontal="center" vertical="center"/>
    </xf>
    <xf numFmtId="4" fontId="61" fillId="12" borderId="121" xfId="2" applyNumberFormat="1" applyFont="1" applyFill="1" applyBorder="1" applyAlignment="1">
      <alignment horizontal="center" vertical="center"/>
    </xf>
    <xf numFmtId="4" fontId="61" fillId="12" borderId="122" xfId="2" applyNumberFormat="1" applyFont="1" applyFill="1" applyBorder="1" applyAlignment="1">
      <alignment horizontal="center" vertical="center"/>
    </xf>
    <xf numFmtId="4" fontId="61" fillId="12" borderId="123" xfId="2" applyNumberFormat="1" applyFont="1" applyFill="1" applyBorder="1" applyAlignment="1">
      <alignment horizontal="center" vertical="center"/>
    </xf>
    <xf numFmtId="4" fontId="61" fillId="8" borderId="34" xfId="2" applyNumberFormat="1" applyFont="1" applyFill="1" applyBorder="1" applyAlignment="1">
      <alignment horizontal="center" vertical="center"/>
    </xf>
    <xf numFmtId="4" fontId="61" fillId="8" borderId="0" xfId="2" applyNumberFormat="1" applyFont="1" applyFill="1" applyAlignment="1">
      <alignment horizontal="center" vertical="center"/>
    </xf>
    <xf numFmtId="4" fontId="61" fillId="8" borderId="25" xfId="2" applyNumberFormat="1" applyFont="1" applyFill="1" applyBorder="1" applyAlignment="1">
      <alignment horizontal="center" vertical="center"/>
    </xf>
    <xf numFmtId="4" fontId="60" fillId="2" borderId="34" xfId="2" applyNumberFormat="1" applyFill="1" applyBorder="1" applyAlignment="1">
      <alignment vertical="center"/>
    </xf>
    <xf numFmtId="0" fontId="60" fillId="2" borderId="0" xfId="2" applyFill="1" applyAlignment="1">
      <alignment vertical="center"/>
    </xf>
    <xf numFmtId="4" fontId="60" fillId="2" borderId="25" xfId="2" applyNumberFormat="1" applyFill="1" applyBorder="1" applyAlignment="1">
      <alignment horizontal="center" vertical="center"/>
    </xf>
    <xf numFmtId="0" fontId="63" fillId="2" borderId="34" xfId="2" applyFont="1" applyFill="1" applyBorder="1" applyAlignment="1">
      <alignment vertical="center"/>
    </xf>
    <xf numFmtId="0" fontId="63" fillId="2" borderId="0" xfId="2" applyFont="1" applyFill="1" applyAlignment="1">
      <alignment vertical="center"/>
    </xf>
    <xf numFmtId="4" fontId="63" fillId="2" borderId="0" xfId="2" applyNumberFormat="1" applyFont="1" applyFill="1" applyAlignment="1">
      <alignment vertical="center"/>
    </xf>
    <xf numFmtId="4" fontId="63" fillId="2" borderId="25" xfId="2" applyNumberFormat="1" applyFont="1" applyFill="1" applyBorder="1" applyAlignment="1">
      <alignment horizontal="center" vertical="center"/>
    </xf>
    <xf numFmtId="4" fontId="63" fillId="2" borderId="34" xfId="2" applyNumberFormat="1" applyFont="1" applyFill="1" applyBorder="1" applyAlignment="1">
      <alignment vertical="center"/>
    </xf>
    <xf numFmtId="0" fontId="64" fillId="13" borderId="0" xfId="2" applyFont="1" applyFill="1" applyAlignment="1">
      <alignment vertical="center"/>
    </xf>
    <xf numFmtId="4" fontId="64" fillId="13" borderId="0" xfId="2" applyNumberFormat="1" applyFont="1" applyFill="1" applyAlignment="1">
      <alignment vertical="center"/>
    </xf>
    <xf numFmtId="0" fontId="66" fillId="2" borderId="0" xfId="2" applyFont="1" applyFill="1" applyAlignment="1">
      <alignment vertical="center"/>
    </xf>
    <xf numFmtId="2" fontId="66" fillId="2" borderId="0" xfId="2" applyNumberFormat="1" applyFont="1" applyFill="1" applyAlignment="1">
      <alignment vertical="center"/>
    </xf>
    <xf numFmtId="164" fontId="66" fillId="2" borderId="0" xfId="2" applyNumberFormat="1" applyFont="1" applyFill="1" applyAlignment="1">
      <alignment vertical="center"/>
    </xf>
    <xf numFmtId="4" fontId="70" fillId="2" borderId="0" xfId="2" applyNumberFormat="1" applyFont="1" applyFill="1" applyAlignment="1">
      <alignment horizontal="center" vertical="center"/>
    </xf>
    <xf numFmtId="4" fontId="60" fillId="2" borderId="124" xfId="2" applyNumberFormat="1" applyFill="1" applyBorder="1" applyAlignment="1">
      <alignment vertical="center"/>
    </xf>
    <xf numFmtId="4" fontId="60" fillId="2" borderId="125" xfId="2" applyNumberFormat="1" applyFill="1" applyBorder="1" applyAlignment="1">
      <alignment vertical="center"/>
    </xf>
    <xf numFmtId="4" fontId="60" fillId="2" borderId="126" xfId="2" applyNumberFormat="1" applyFill="1" applyBorder="1" applyAlignment="1">
      <alignment vertical="center"/>
    </xf>
    <xf numFmtId="4" fontId="66" fillId="2" borderId="124" xfId="2" applyNumberFormat="1" applyFont="1" applyFill="1" applyBorder="1" applyAlignment="1">
      <alignment vertical="center"/>
    </xf>
    <xf numFmtId="3" fontId="66" fillId="2" borderId="125" xfId="2" applyNumberFormat="1" applyFont="1" applyFill="1" applyBorder="1" applyAlignment="1">
      <alignment vertical="center"/>
    </xf>
    <xf numFmtId="3" fontId="66" fillId="2" borderId="126" xfId="2" applyNumberFormat="1" applyFont="1" applyFill="1" applyBorder="1" applyAlignment="1">
      <alignment vertical="center"/>
    </xf>
    <xf numFmtId="0" fontId="66" fillId="2" borderId="124" xfId="2" applyFont="1" applyFill="1" applyBorder="1" applyAlignment="1">
      <alignment vertical="center"/>
    </xf>
    <xf numFmtId="4" fontId="66" fillId="2" borderId="125" xfId="2" applyNumberFormat="1" applyFont="1" applyFill="1" applyBorder="1" applyAlignment="1">
      <alignment vertical="center"/>
    </xf>
    <xf numFmtId="4" fontId="66" fillId="2" borderId="126" xfId="2" applyNumberFormat="1" applyFont="1" applyFill="1" applyBorder="1" applyAlignment="1">
      <alignment vertical="center"/>
    </xf>
    <xf numFmtId="0" fontId="60" fillId="2" borderId="124" xfId="2" applyFill="1" applyBorder="1" applyAlignment="1">
      <alignment vertical="center"/>
    </xf>
    <xf numFmtId="4" fontId="60" fillId="2" borderId="0" xfId="2" applyNumberFormat="1" applyFill="1" applyAlignment="1">
      <alignment horizontal="left" vertical="center"/>
    </xf>
    <xf numFmtId="4" fontId="61" fillId="8" borderId="127" xfId="2" applyNumberFormat="1" applyFont="1" applyFill="1" applyBorder="1" applyAlignment="1">
      <alignment horizontal="center" vertical="center"/>
    </xf>
    <xf numFmtId="4" fontId="61" fillId="8" borderId="120" xfId="2" applyNumberFormat="1" applyFont="1" applyFill="1" applyBorder="1" applyAlignment="1">
      <alignment horizontal="center" vertical="center"/>
    </xf>
    <xf numFmtId="4" fontId="61" fillId="8" borderId="128" xfId="2" applyNumberFormat="1" applyFont="1" applyFill="1" applyBorder="1" applyAlignment="1">
      <alignment horizontal="center" vertical="center"/>
    </xf>
    <xf numFmtId="4" fontId="64" fillId="2" borderId="0" xfId="2" applyNumberFormat="1" applyFont="1" applyFill="1" applyAlignment="1">
      <alignment vertical="center"/>
    </xf>
    <xf numFmtId="4" fontId="60" fillId="2" borderId="71" xfId="2" applyNumberFormat="1" applyFill="1" applyBorder="1" applyAlignment="1">
      <alignment vertical="center"/>
    </xf>
    <xf numFmtId="4" fontId="64" fillId="13" borderId="72" xfId="2" applyNumberFormat="1" applyFont="1" applyFill="1" applyBorder="1" applyAlignment="1">
      <alignment vertical="center"/>
    </xf>
    <xf numFmtId="4" fontId="72" fillId="11" borderId="73" xfId="2" applyNumberFormat="1" applyFont="1" applyFill="1" applyBorder="1" applyAlignment="1">
      <alignment horizontal="center" vertical="center"/>
    </xf>
    <xf numFmtId="0" fontId="73" fillId="2" borderId="0" xfId="2" applyFont="1" applyFill="1" applyAlignment="1">
      <alignment vertical="center"/>
    </xf>
    <xf numFmtId="168" fontId="60" fillId="2" borderId="0" xfId="2" applyNumberFormat="1" applyFill="1" applyAlignment="1">
      <alignment vertical="center"/>
    </xf>
    <xf numFmtId="4" fontId="66" fillId="2" borderId="0" xfId="2" applyNumberFormat="1" applyFont="1" applyFill="1" applyAlignment="1">
      <alignment vertical="center"/>
    </xf>
    <xf numFmtId="4" fontId="66" fillId="2" borderId="0" xfId="2" applyNumberFormat="1" applyFont="1" applyFill="1" applyAlignment="1">
      <alignment horizontal="center" vertical="center"/>
    </xf>
    <xf numFmtId="0" fontId="60" fillId="2" borderId="0" xfId="2" applyFill="1" applyAlignment="1">
      <alignment horizontal="center" vertical="center"/>
    </xf>
    <xf numFmtId="4" fontId="61" fillId="2" borderId="0" xfId="2" applyNumberFormat="1" applyFont="1" applyFill="1" applyAlignment="1">
      <alignment vertical="center"/>
    </xf>
    <xf numFmtId="0" fontId="60" fillId="13" borderId="0" xfId="2" applyFill="1" applyAlignment="1">
      <alignment vertical="center"/>
    </xf>
    <xf numFmtId="4" fontId="60" fillId="13" borderId="0" xfId="2" applyNumberFormat="1" applyFill="1" applyAlignment="1">
      <alignment vertical="center"/>
    </xf>
  </cellXfs>
  <cellStyles count="3">
    <cellStyle name="Normal" xfId="0" builtinId="0"/>
    <cellStyle name="Normal 2" xfId="2" xr:uid="{4D07155C-B6E4-41F3-B37B-5BF1E440EE19}"/>
    <cellStyle name="Porcentaje" xfId="1" builtinId="5"/>
  </cellStyles>
  <dxfs count="668"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rgb="FF92D05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rgb="FF92D050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F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rgb="FF92D05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  <color auto="1"/>
      </font>
      <fill>
        <patternFill>
          <bgColor rgb="FF00B0F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  <border>
        <left/>
        <right/>
        <top/>
        <bottom/>
        <vertical/>
        <horizontal/>
      </border>
    </dxf>
    <dxf>
      <font>
        <color auto="1"/>
      </font>
      <fill>
        <patternFill>
          <bgColor rgb="FFFF0000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  <color theme="1"/>
      </font>
      <fill>
        <patternFill>
          <bgColor rgb="FF92D050"/>
        </patternFill>
      </fill>
      <border>
        <left/>
        <right/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172</xdr:row>
      <xdr:rowOff>19050</xdr:rowOff>
    </xdr:from>
    <xdr:to>
      <xdr:col>5</xdr:col>
      <xdr:colOff>228600</xdr:colOff>
      <xdr:row>173</xdr:row>
      <xdr:rowOff>9525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C8F9CCCD-B337-4280-857E-6A2096981F9E}"/>
            </a:ext>
          </a:extLst>
        </xdr:cNvPr>
        <xdr:cNvSpPr txBox="1">
          <a:spLocks noChangeArrowheads="1"/>
        </xdr:cNvSpPr>
      </xdr:nvSpPr>
      <xdr:spPr bwMode="auto">
        <a:xfrm>
          <a:off x="2916555" y="29104590"/>
          <a:ext cx="110680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304800</xdr:colOff>
      <xdr:row>167</xdr:row>
      <xdr:rowOff>142875</xdr:rowOff>
    </xdr:from>
    <xdr:to>
      <xdr:col>7</xdr:col>
      <xdr:colOff>628650</xdr:colOff>
      <xdr:row>169</xdr:row>
      <xdr:rowOff>19050</xdr:rowOff>
    </xdr:to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1F17DC2E-9FC9-4D40-97AB-D394F8890894}"/>
            </a:ext>
          </a:extLst>
        </xdr:cNvPr>
        <xdr:cNvSpPr txBox="1">
          <a:spLocks noChangeArrowheads="1"/>
        </xdr:cNvSpPr>
      </xdr:nvSpPr>
      <xdr:spPr bwMode="auto">
        <a:xfrm>
          <a:off x="7277100" y="28390215"/>
          <a:ext cx="27813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310116</xdr:colOff>
      <xdr:row>0</xdr:row>
      <xdr:rowOff>36327</xdr:rowOff>
    </xdr:from>
    <xdr:to>
      <xdr:col>1</xdr:col>
      <xdr:colOff>419100</xdr:colOff>
      <xdr:row>2</xdr:row>
      <xdr:rowOff>123824</xdr:rowOff>
    </xdr:to>
    <xdr:sp macro="[0]!Estribo" textlink="">
      <xdr:nvSpPr>
        <xdr:cNvPr id="2" name="CuadroTexto 1">
          <a:extLst>
            <a:ext uri="{FF2B5EF4-FFF2-40B4-BE49-F238E27FC236}">
              <a16:creationId xmlns:a16="http://schemas.microsoft.com/office/drawing/2014/main" id="{4D8EAE89-15E8-4E5C-989A-EE8D6D142730}"/>
            </a:ext>
          </a:extLst>
        </xdr:cNvPr>
        <xdr:cNvSpPr txBox="1"/>
      </xdr:nvSpPr>
      <xdr:spPr>
        <a:xfrm>
          <a:off x="310116" y="36327"/>
          <a:ext cx="2471184" cy="45325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 i="0"/>
            <a:t>VIGA</a:t>
          </a:r>
          <a:r>
            <a:rPr lang="es-CO" sz="1200" b="1" i="0" baseline="0"/>
            <a:t> CABEZAL ESTRIBO</a:t>
          </a:r>
          <a:endParaRPr lang="es-CO" sz="1200" b="1" i="0"/>
        </a:p>
      </xdr:txBody>
    </xdr:sp>
    <xdr:clientData/>
  </xdr:twoCellAnchor>
  <xdr:twoCellAnchor>
    <xdr:from>
      <xdr:col>1</xdr:col>
      <xdr:colOff>600074</xdr:colOff>
      <xdr:row>0</xdr:row>
      <xdr:rowOff>47403</xdr:rowOff>
    </xdr:from>
    <xdr:to>
      <xdr:col>3</xdr:col>
      <xdr:colOff>152399</xdr:colOff>
      <xdr:row>2</xdr:row>
      <xdr:rowOff>123824</xdr:rowOff>
    </xdr:to>
    <xdr:sp macro="[0]!ApoyoInter" textlink="">
      <xdr:nvSpPr>
        <xdr:cNvPr id="3" name="CuadroTexto 2">
          <a:extLst>
            <a:ext uri="{FF2B5EF4-FFF2-40B4-BE49-F238E27FC236}">
              <a16:creationId xmlns:a16="http://schemas.microsoft.com/office/drawing/2014/main" id="{43F09EC2-FD9F-41CD-98DE-55709766A01B}"/>
            </a:ext>
          </a:extLst>
        </xdr:cNvPr>
        <xdr:cNvSpPr txBox="1"/>
      </xdr:nvSpPr>
      <xdr:spPr>
        <a:xfrm>
          <a:off x="2962274" y="47403"/>
          <a:ext cx="2790825" cy="44218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 i="0"/>
            <a:t>VIGA</a:t>
          </a:r>
          <a:r>
            <a:rPr lang="es-CO" sz="1200" b="1" i="0" baseline="0"/>
            <a:t> CABEZAL APOYO INTERMEDIO</a:t>
          </a:r>
          <a:endParaRPr lang="es-CO" sz="1200" b="1" i="0"/>
        </a:p>
      </xdr:txBody>
    </xdr:sp>
    <xdr:clientData/>
  </xdr:twoCellAnchor>
  <xdr:twoCellAnchor>
    <xdr:from>
      <xdr:col>7</xdr:col>
      <xdr:colOff>236800</xdr:colOff>
      <xdr:row>118</xdr:row>
      <xdr:rowOff>96574</xdr:rowOff>
    </xdr:from>
    <xdr:to>
      <xdr:col>9</xdr:col>
      <xdr:colOff>27777</xdr:colOff>
      <xdr:row>130</xdr:row>
      <xdr:rowOff>175289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009E82E-D423-466F-B2F0-1A07344B9909}"/>
            </a:ext>
          </a:extLst>
        </xdr:cNvPr>
        <xdr:cNvGrpSpPr/>
      </xdr:nvGrpSpPr>
      <xdr:grpSpPr>
        <a:xfrm>
          <a:off x="11124933" y="22965041"/>
          <a:ext cx="3016777" cy="2364715"/>
          <a:chOff x="8882854" y="15290224"/>
          <a:chExt cx="3863506" cy="3709182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E3E13E80-427F-46E5-9DA9-12D399A86F6D}"/>
              </a:ext>
            </a:extLst>
          </xdr:cNvPr>
          <xdr:cNvGrpSpPr/>
        </xdr:nvGrpSpPr>
        <xdr:grpSpPr>
          <a:xfrm>
            <a:off x="8882854" y="15290224"/>
            <a:ext cx="3863506" cy="3709182"/>
            <a:chOff x="5008652" y="27993796"/>
            <a:chExt cx="3863511" cy="3709183"/>
          </a:xfrm>
        </xdr:grpSpPr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18EF50F1-81D1-43DE-A4E1-EDF6F1B4B97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008652" y="28007780"/>
              <a:ext cx="3863511" cy="3695199"/>
            </a:xfrm>
            <a:prstGeom prst="rect">
              <a:avLst/>
            </a:prstGeom>
          </xdr:spPr>
        </xdr:pic>
        <xdr:sp macro="" textlink="$B$125">
          <xdr:nvSpPr>
            <xdr:cNvPr id="9" name="CuadroTexto 8">
              <a:extLst>
                <a:ext uri="{FF2B5EF4-FFF2-40B4-BE49-F238E27FC236}">
                  <a16:creationId xmlns:a16="http://schemas.microsoft.com/office/drawing/2014/main" id="{0B05F61C-8487-4B38-8940-F86EBCEC28C2}"/>
                </a:ext>
              </a:extLst>
            </xdr:cNvPr>
            <xdr:cNvSpPr txBox="1"/>
          </xdr:nvSpPr>
          <xdr:spPr>
            <a:xfrm>
              <a:off x="6365217" y="27993796"/>
              <a:ext cx="1695565" cy="23180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0B9EB17-9188-4039-AB79-988122ACB325}" type="TxLink">
                <a:rPr lang="en-US" sz="14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5#8@0.3m</a:t>
              </a:fld>
              <a:endParaRPr lang="es-CO" sz="1400" b="1"/>
            </a:p>
          </xdr:txBody>
        </xdr:sp>
        <xdr:sp macro="" textlink="$B$130">
          <xdr:nvSpPr>
            <xdr:cNvPr id="10" name="CuadroTexto 9">
              <a:extLst>
                <a:ext uri="{FF2B5EF4-FFF2-40B4-BE49-F238E27FC236}">
                  <a16:creationId xmlns:a16="http://schemas.microsoft.com/office/drawing/2014/main" id="{0445894D-D69B-4870-88DC-64E9B29BB83D}"/>
                </a:ext>
              </a:extLst>
            </xdr:cNvPr>
            <xdr:cNvSpPr txBox="1"/>
          </xdr:nvSpPr>
          <xdr:spPr>
            <a:xfrm>
              <a:off x="6561914" y="30350160"/>
              <a:ext cx="1591745" cy="28854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09BFF7A-AB76-4806-B7A9-518272B9A5FC}" type="TxLink">
                <a:rPr lang="en-US" sz="14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5#8@0.3m</a:t>
              </a:fld>
              <a:endParaRPr lang="es-CO" sz="1800" b="1"/>
            </a:p>
          </xdr:txBody>
        </xdr:sp>
      </xdr:grpSp>
      <xdr:sp macro="" textlink="$D$125">
        <xdr:nvSpPr>
          <xdr:cNvPr id="6" name="CuadroTexto 5">
            <a:extLst>
              <a:ext uri="{FF2B5EF4-FFF2-40B4-BE49-F238E27FC236}">
                <a16:creationId xmlns:a16="http://schemas.microsoft.com/office/drawing/2014/main" id="{B0B37E4D-D23F-4709-99D0-A2F0DF858F17}"/>
              </a:ext>
            </a:extLst>
          </xdr:cNvPr>
          <xdr:cNvSpPr txBox="1"/>
        </xdr:nvSpPr>
        <xdr:spPr>
          <a:xfrm rot="16200000">
            <a:off x="9421873" y="16683527"/>
            <a:ext cx="1560741" cy="33029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D5626C0-3F9C-4E94-9CA8-AAA8CFEDF441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6#5@0.2m</a:t>
            </a:fld>
            <a:endParaRPr lang="es-CO" sz="14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D$130">
        <xdr:nvSpPr>
          <xdr:cNvPr id="7" name="CuadroTexto 6">
            <a:extLst>
              <a:ext uri="{FF2B5EF4-FFF2-40B4-BE49-F238E27FC236}">
                <a16:creationId xmlns:a16="http://schemas.microsoft.com/office/drawing/2014/main" id="{085153D3-56F3-45DA-8B1C-012C37D71B24}"/>
              </a:ext>
            </a:extLst>
          </xdr:cNvPr>
          <xdr:cNvSpPr txBox="1"/>
        </xdr:nvSpPr>
        <xdr:spPr>
          <a:xfrm rot="16200000">
            <a:off x="11312615" y="16537771"/>
            <a:ext cx="1621888" cy="347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003BB17-E8B4-4E91-8EAA-0C96E8A75C0D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6#5@0.2m</a:t>
            </a:fld>
            <a:endParaRPr lang="es-CO" sz="14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8</xdr:col>
      <xdr:colOff>1859490</xdr:colOff>
      <xdr:row>121</xdr:row>
      <xdr:rowOff>105834</xdr:rowOff>
    </xdr:from>
    <xdr:to>
      <xdr:col>9</xdr:col>
      <xdr:colOff>566573</xdr:colOff>
      <xdr:row>121</xdr:row>
      <xdr:rowOff>105834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1E8E695C-0C43-4EA9-8F03-B039ABBDBEE2}"/>
            </a:ext>
          </a:extLst>
        </xdr:cNvPr>
        <xdr:cNvCxnSpPr/>
      </xdr:nvCxnSpPr>
      <xdr:spPr>
        <a:xfrm>
          <a:off x="13822890" y="23384934"/>
          <a:ext cx="85592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0</xdr:row>
          <xdr:rowOff>0</xdr:rowOff>
        </xdr:from>
        <xdr:to>
          <xdr:col>13</xdr:col>
          <xdr:colOff>0</xdr:colOff>
          <xdr:row>1</xdr:row>
          <xdr:rowOff>182880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959E735B-9D71-4681-95CC-BBF960DD3D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DATOS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4</xdr:col>
      <xdr:colOff>95250</xdr:colOff>
      <xdr:row>37</xdr:row>
      <xdr:rowOff>179917</xdr:rowOff>
    </xdr:from>
    <xdr:to>
      <xdr:col>10</xdr:col>
      <xdr:colOff>160245</xdr:colOff>
      <xdr:row>78</xdr:row>
      <xdr:rowOff>171481</xdr:rowOff>
    </xdr:to>
    <xdr:pic>
      <xdr:nvPicPr>
        <xdr:cNvPr id="3" name="Imagen 2" descr="Recorte de pantalla">
          <a:extLst>
            <a:ext uri="{FF2B5EF4-FFF2-40B4-BE49-F238E27FC236}">
              <a16:creationId xmlns:a16="http://schemas.microsoft.com/office/drawing/2014/main" id="{04FCB917-BD9F-4862-9FAE-D9FBEA5DC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2150" y="7449397"/>
          <a:ext cx="3219675" cy="78020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172</xdr:row>
      <xdr:rowOff>19050</xdr:rowOff>
    </xdr:from>
    <xdr:to>
      <xdr:col>5</xdr:col>
      <xdr:colOff>228600</xdr:colOff>
      <xdr:row>173</xdr:row>
      <xdr:rowOff>9525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D2FB5252-5C29-45E4-BDEE-DEA6DED0BA82}"/>
            </a:ext>
          </a:extLst>
        </xdr:cNvPr>
        <xdr:cNvSpPr txBox="1">
          <a:spLocks noChangeArrowheads="1"/>
        </xdr:cNvSpPr>
      </xdr:nvSpPr>
      <xdr:spPr bwMode="auto">
        <a:xfrm>
          <a:off x="2916555" y="29104590"/>
          <a:ext cx="110680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304800</xdr:colOff>
      <xdr:row>167</xdr:row>
      <xdr:rowOff>142875</xdr:rowOff>
    </xdr:from>
    <xdr:to>
      <xdr:col>7</xdr:col>
      <xdr:colOff>628650</xdr:colOff>
      <xdr:row>169</xdr:row>
      <xdr:rowOff>19050</xdr:rowOff>
    </xdr:to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AA7A79AD-F87C-4DF0-856D-DFCB056D392B}"/>
            </a:ext>
          </a:extLst>
        </xdr:cNvPr>
        <xdr:cNvSpPr txBox="1">
          <a:spLocks noChangeArrowheads="1"/>
        </xdr:cNvSpPr>
      </xdr:nvSpPr>
      <xdr:spPr bwMode="auto">
        <a:xfrm>
          <a:off x="7277100" y="28390215"/>
          <a:ext cx="27813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172</xdr:row>
      <xdr:rowOff>19050</xdr:rowOff>
    </xdr:from>
    <xdr:to>
      <xdr:col>5</xdr:col>
      <xdr:colOff>228600</xdr:colOff>
      <xdr:row>173</xdr:row>
      <xdr:rowOff>9525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719085FC-1100-46A2-96A3-9ECE01FE638C}"/>
            </a:ext>
          </a:extLst>
        </xdr:cNvPr>
        <xdr:cNvSpPr txBox="1">
          <a:spLocks noChangeArrowheads="1"/>
        </xdr:cNvSpPr>
      </xdr:nvSpPr>
      <xdr:spPr bwMode="auto">
        <a:xfrm>
          <a:off x="2916555" y="29135070"/>
          <a:ext cx="1106805" cy="158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304800</xdr:colOff>
      <xdr:row>167</xdr:row>
      <xdr:rowOff>142875</xdr:rowOff>
    </xdr:from>
    <xdr:to>
      <xdr:col>7</xdr:col>
      <xdr:colOff>628650</xdr:colOff>
      <xdr:row>169</xdr:row>
      <xdr:rowOff>19050</xdr:rowOff>
    </xdr:to>
    <xdr:sp macro="" textlink="">
      <xdr:nvSpPr>
        <xdr:cNvPr id="3" name="Text Box 19">
          <a:extLst>
            <a:ext uri="{FF2B5EF4-FFF2-40B4-BE49-F238E27FC236}">
              <a16:creationId xmlns:a16="http://schemas.microsoft.com/office/drawing/2014/main" id="{B5FF2630-9AC8-4B2A-A6D5-05EC36E1B5F1}"/>
            </a:ext>
          </a:extLst>
        </xdr:cNvPr>
        <xdr:cNvSpPr txBox="1">
          <a:spLocks noChangeArrowheads="1"/>
        </xdr:cNvSpPr>
      </xdr:nvSpPr>
      <xdr:spPr bwMode="auto">
        <a:xfrm>
          <a:off x="7277100" y="28420695"/>
          <a:ext cx="278130" cy="211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310116</xdr:colOff>
      <xdr:row>0</xdr:row>
      <xdr:rowOff>36327</xdr:rowOff>
    </xdr:from>
    <xdr:to>
      <xdr:col>1</xdr:col>
      <xdr:colOff>419100</xdr:colOff>
      <xdr:row>2</xdr:row>
      <xdr:rowOff>123824</xdr:rowOff>
    </xdr:to>
    <xdr:sp macro="[0]!Estribo" textlink="">
      <xdr:nvSpPr>
        <xdr:cNvPr id="2" name="CuadroTexto 1">
          <a:extLst>
            <a:ext uri="{FF2B5EF4-FFF2-40B4-BE49-F238E27FC236}">
              <a16:creationId xmlns:a16="http://schemas.microsoft.com/office/drawing/2014/main" id="{772DE06F-EFE3-47DB-80F3-B7122F8F20E9}"/>
            </a:ext>
          </a:extLst>
        </xdr:cNvPr>
        <xdr:cNvSpPr txBox="1"/>
      </xdr:nvSpPr>
      <xdr:spPr>
        <a:xfrm>
          <a:off x="310116" y="36327"/>
          <a:ext cx="2471184" cy="453257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 i="0"/>
            <a:t>VIGA</a:t>
          </a:r>
          <a:r>
            <a:rPr lang="es-CO" sz="1200" b="1" i="0" baseline="0"/>
            <a:t> CABEZAL ESTRIBO</a:t>
          </a:r>
          <a:endParaRPr lang="es-CO" sz="1200" b="1" i="0"/>
        </a:p>
      </xdr:txBody>
    </xdr:sp>
    <xdr:clientData/>
  </xdr:twoCellAnchor>
  <xdr:twoCellAnchor>
    <xdr:from>
      <xdr:col>1</xdr:col>
      <xdr:colOff>600074</xdr:colOff>
      <xdr:row>0</xdr:row>
      <xdr:rowOff>47403</xdr:rowOff>
    </xdr:from>
    <xdr:to>
      <xdr:col>3</xdr:col>
      <xdr:colOff>152399</xdr:colOff>
      <xdr:row>2</xdr:row>
      <xdr:rowOff>123824</xdr:rowOff>
    </xdr:to>
    <xdr:sp macro="[0]!ApoyoInter" textlink="">
      <xdr:nvSpPr>
        <xdr:cNvPr id="3" name="CuadroTexto 2">
          <a:extLst>
            <a:ext uri="{FF2B5EF4-FFF2-40B4-BE49-F238E27FC236}">
              <a16:creationId xmlns:a16="http://schemas.microsoft.com/office/drawing/2014/main" id="{0A926422-59E3-4449-A7FB-A60A6488CFE4}"/>
            </a:ext>
          </a:extLst>
        </xdr:cNvPr>
        <xdr:cNvSpPr txBox="1"/>
      </xdr:nvSpPr>
      <xdr:spPr>
        <a:xfrm>
          <a:off x="2962274" y="47403"/>
          <a:ext cx="2790825" cy="442181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200" b="1" i="0"/>
            <a:t>VIGA</a:t>
          </a:r>
          <a:r>
            <a:rPr lang="es-CO" sz="1200" b="1" i="0" baseline="0"/>
            <a:t> CABEZAL APOYO INTERMEDIO</a:t>
          </a:r>
          <a:endParaRPr lang="es-CO" sz="1200" b="1" i="0"/>
        </a:p>
      </xdr:txBody>
    </xdr:sp>
    <xdr:clientData/>
  </xdr:twoCellAnchor>
  <xdr:twoCellAnchor>
    <xdr:from>
      <xdr:col>7</xdr:col>
      <xdr:colOff>236800</xdr:colOff>
      <xdr:row>118</xdr:row>
      <xdr:rowOff>96574</xdr:rowOff>
    </xdr:from>
    <xdr:to>
      <xdr:col>9</xdr:col>
      <xdr:colOff>27777</xdr:colOff>
      <xdr:row>130</xdr:row>
      <xdr:rowOff>175289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8DE1C548-8A69-4EF9-A46D-A91E4AA22E69}"/>
            </a:ext>
          </a:extLst>
        </xdr:cNvPr>
        <xdr:cNvGrpSpPr/>
      </xdr:nvGrpSpPr>
      <xdr:grpSpPr>
        <a:xfrm>
          <a:off x="11124933" y="22965041"/>
          <a:ext cx="3016777" cy="2364715"/>
          <a:chOff x="8882854" y="15290224"/>
          <a:chExt cx="3863506" cy="3709182"/>
        </a:xfrm>
      </xdr:grpSpPr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5A57C08A-770A-480C-9343-504E324CC1F8}"/>
              </a:ext>
            </a:extLst>
          </xdr:cNvPr>
          <xdr:cNvGrpSpPr/>
        </xdr:nvGrpSpPr>
        <xdr:grpSpPr>
          <a:xfrm>
            <a:off x="8882854" y="15290224"/>
            <a:ext cx="3863506" cy="3709182"/>
            <a:chOff x="5008652" y="27993796"/>
            <a:chExt cx="3863511" cy="3709183"/>
          </a:xfrm>
        </xdr:grpSpPr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4ED955D9-B46D-4CDD-94E3-B863B938875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008652" y="28007780"/>
              <a:ext cx="3863511" cy="3695199"/>
            </a:xfrm>
            <a:prstGeom prst="rect">
              <a:avLst/>
            </a:prstGeom>
          </xdr:spPr>
        </xdr:pic>
        <xdr:sp macro="" textlink="$B$125">
          <xdr:nvSpPr>
            <xdr:cNvPr id="9" name="CuadroTexto 8">
              <a:extLst>
                <a:ext uri="{FF2B5EF4-FFF2-40B4-BE49-F238E27FC236}">
                  <a16:creationId xmlns:a16="http://schemas.microsoft.com/office/drawing/2014/main" id="{619489FC-0D96-4C29-BA6A-71BF017FEA44}"/>
                </a:ext>
              </a:extLst>
            </xdr:cNvPr>
            <xdr:cNvSpPr txBox="1"/>
          </xdr:nvSpPr>
          <xdr:spPr>
            <a:xfrm>
              <a:off x="6365217" y="27993796"/>
              <a:ext cx="1695565" cy="23180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40B9EB17-9188-4039-AB79-988122ACB325}" type="TxLink">
                <a:rPr lang="en-US" sz="14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5#8@0.3m</a:t>
              </a:fld>
              <a:endParaRPr lang="es-CO" sz="1400" b="1"/>
            </a:p>
          </xdr:txBody>
        </xdr:sp>
        <xdr:sp macro="" textlink="$B$130">
          <xdr:nvSpPr>
            <xdr:cNvPr id="10" name="CuadroTexto 9">
              <a:extLst>
                <a:ext uri="{FF2B5EF4-FFF2-40B4-BE49-F238E27FC236}">
                  <a16:creationId xmlns:a16="http://schemas.microsoft.com/office/drawing/2014/main" id="{C51EF377-3DA1-41DC-A9A7-649001AD55CE}"/>
                </a:ext>
              </a:extLst>
            </xdr:cNvPr>
            <xdr:cNvSpPr txBox="1"/>
          </xdr:nvSpPr>
          <xdr:spPr>
            <a:xfrm>
              <a:off x="6561914" y="30350160"/>
              <a:ext cx="1591745" cy="288548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fld id="{A09BFF7A-AB76-4806-B7A9-518272B9A5FC}" type="TxLink">
                <a:rPr lang="en-US" sz="14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ctr"/>
                <a:t>5#8@0.3m</a:t>
              </a:fld>
              <a:endParaRPr lang="es-CO" sz="1800" b="1"/>
            </a:p>
          </xdr:txBody>
        </xdr:sp>
      </xdr:grpSp>
      <xdr:sp macro="" textlink="$D$125">
        <xdr:nvSpPr>
          <xdr:cNvPr id="6" name="CuadroTexto 5">
            <a:extLst>
              <a:ext uri="{FF2B5EF4-FFF2-40B4-BE49-F238E27FC236}">
                <a16:creationId xmlns:a16="http://schemas.microsoft.com/office/drawing/2014/main" id="{CD46130A-8F71-4101-A7B0-BAC2ED1C3E91}"/>
              </a:ext>
            </a:extLst>
          </xdr:cNvPr>
          <xdr:cNvSpPr txBox="1"/>
        </xdr:nvSpPr>
        <xdr:spPr>
          <a:xfrm rot="16200000">
            <a:off x="9421873" y="16683527"/>
            <a:ext cx="1560741" cy="33029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1D5626C0-3F9C-4E94-9CA8-AAA8CFEDF441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7#5@0.24m</a:t>
            </a:fld>
            <a:endParaRPr lang="es-CO" sz="14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  <xdr:sp macro="" textlink="$D$130">
        <xdr:nvSpPr>
          <xdr:cNvPr id="7" name="CuadroTexto 6">
            <a:extLst>
              <a:ext uri="{FF2B5EF4-FFF2-40B4-BE49-F238E27FC236}">
                <a16:creationId xmlns:a16="http://schemas.microsoft.com/office/drawing/2014/main" id="{96B60CDA-C069-445A-9A45-CB2AAB1E8DF2}"/>
              </a:ext>
            </a:extLst>
          </xdr:cNvPr>
          <xdr:cNvSpPr txBox="1"/>
        </xdr:nvSpPr>
        <xdr:spPr>
          <a:xfrm rot="16200000">
            <a:off x="11312615" y="16537771"/>
            <a:ext cx="1621888" cy="3475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fld id="{F003BB17-E8B4-4E91-8EAA-0C96E8A75C0D}" type="TxLink">
              <a:rPr lang="en-US" sz="1400" b="1" i="0" u="none" strike="noStrike">
                <a:solidFill>
                  <a:srgbClr val="000000"/>
                </a:solidFill>
                <a:latin typeface="Calibri"/>
                <a:ea typeface="+mn-ea"/>
                <a:cs typeface="Calibri"/>
              </a:rPr>
              <a:pPr marL="0" indent="0" algn="ctr"/>
              <a:t>7#5@0.24m</a:t>
            </a:fld>
            <a:endParaRPr lang="es-CO" sz="1400" b="1" i="0" u="none" strike="noStrike">
              <a:solidFill>
                <a:srgbClr val="000000"/>
              </a:solidFill>
              <a:latin typeface="Calibri"/>
              <a:ea typeface="+mn-ea"/>
              <a:cs typeface="Calibri"/>
            </a:endParaRPr>
          </a:p>
        </xdr:txBody>
      </xdr:sp>
    </xdr:grpSp>
    <xdr:clientData/>
  </xdr:twoCellAnchor>
  <xdr:twoCellAnchor>
    <xdr:from>
      <xdr:col>8</xdr:col>
      <xdr:colOff>1859490</xdr:colOff>
      <xdr:row>121</xdr:row>
      <xdr:rowOff>105834</xdr:rowOff>
    </xdr:from>
    <xdr:to>
      <xdr:col>9</xdr:col>
      <xdr:colOff>566573</xdr:colOff>
      <xdr:row>121</xdr:row>
      <xdr:rowOff>105834</xdr:rowOff>
    </xdr:to>
    <xdr:cxnSp macro="">
      <xdr:nvCxnSpPr>
        <xdr:cNvPr id="11" name="Conector recto de flecha 10">
          <a:extLst>
            <a:ext uri="{FF2B5EF4-FFF2-40B4-BE49-F238E27FC236}">
              <a16:creationId xmlns:a16="http://schemas.microsoft.com/office/drawing/2014/main" id="{F0ADC8F9-6822-4545-A6C5-FAB65954EBE6}"/>
            </a:ext>
          </a:extLst>
        </xdr:cNvPr>
        <xdr:cNvCxnSpPr/>
      </xdr:nvCxnSpPr>
      <xdr:spPr>
        <a:xfrm>
          <a:off x="13822890" y="23384934"/>
          <a:ext cx="85592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</xdr:colOff>
          <xdr:row>0</xdr:row>
          <xdr:rowOff>0</xdr:rowOff>
        </xdr:from>
        <xdr:to>
          <xdr:col>13</xdr:col>
          <xdr:colOff>0</xdr:colOff>
          <xdr:row>1</xdr:row>
          <xdr:rowOff>182880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F70AA7A-3714-4062-975F-40C95885B2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DATOS</a:t>
              </a:r>
            </a:p>
          </xdr:txBody>
        </xdr:sp>
        <xdr:clientData fPrintsWithSheet="0"/>
      </xdr:twoCellAnchor>
    </mc:Choice>
    <mc:Fallback/>
  </mc:AlternateContent>
  <xdr:oneCellAnchor>
    <xdr:from>
      <xdr:col>4</xdr:col>
      <xdr:colOff>95250</xdr:colOff>
      <xdr:row>37</xdr:row>
      <xdr:rowOff>179917</xdr:rowOff>
    </xdr:from>
    <xdr:ext cx="3234492" cy="7975630"/>
    <xdr:pic>
      <xdr:nvPicPr>
        <xdr:cNvPr id="3" name="Imagen 2" descr="Recorte de pantalla">
          <a:extLst>
            <a:ext uri="{FF2B5EF4-FFF2-40B4-BE49-F238E27FC236}">
              <a16:creationId xmlns:a16="http://schemas.microsoft.com/office/drawing/2014/main" id="{2620F825-34ED-4BFD-AE8C-F8870B869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4690" y="6946477"/>
          <a:ext cx="3234492" cy="797563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lan/Desktop/UdeA%202021-1%20Practica/Proyecto%20de%20practica/01.%20Informes/02.%20Informe%20Final/02.%20Modelos/Estribo+Talon/Dise&#241;oEstribo_CCP-14/2.%20RefuerzoPilotes_P12_Eje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\Datos\Mis%20Documentos\L&amp;L%20-%20SantiagoCiro\Ibague2\Coello\Proceso%20de%20dise&#241;o\Pilotes\161216.PilotesCoell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lan/Desktop/UdeA%202021-1%20Practica/Proyecto%20de%20practica/01.%20Informes/02.%20Informe%20Final/02.%20Modelos/Estribo+Talon/Dise&#241;oEstribo_CCP-14/210527.RefuerzoVigaCabezal(M+yM-)(Mc)_Eje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lan/Desktop/UdeA%202021-1%20Practica/Proyecto%20de%20practica/01.%20Informes/02.%20Informe%20Final/02.%20Modelos/Estribo+Talon/Dise&#241;oEstribo_Empresa/2.%20RefuerzoPilotes_P12_Eje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olan/Desktop/UdeA%202021-1%20Practica/Proyecto%20de%20practica/01.%20Informes/02.%20Informe%20Final/02.%20Modelos/Estribo+Talon/Dise&#241;oEstribo_Empresa/210527.RefuerzoVigaCabezal(M+yM-)(Mc)_Eje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. R=1"/>
      <sheetName val="Solicit.-I R=1"/>
      <sheetName val="Solicit.-I R=2"/>
      <sheetName val="Cuantia R=1"/>
      <sheetName val="Cuantia-I R=2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</row>
        <row r="3">
          <cell r="A3">
            <v>2</v>
          </cell>
          <cell r="B3">
            <v>0.32</v>
          </cell>
          <cell r="C3">
            <v>0.64</v>
          </cell>
          <cell r="D3">
            <v>0.25</v>
          </cell>
        </row>
        <row r="4">
          <cell r="A4">
            <v>3</v>
          </cell>
          <cell r="B4">
            <v>0.71</v>
          </cell>
          <cell r="C4">
            <v>0.95</v>
          </cell>
          <cell r="D4">
            <v>0.56000000000000005</v>
          </cell>
        </row>
        <row r="5">
          <cell r="A5">
            <v>4</v>
          </cell>
          <cell r="B5">
            <v>1.29</v>
          </cell>
          <cell r="C5">
            <v>1.27</v>
          </cell>
          <cell r="D5">
            <v>0.99399999999999999</v>
          </cell>
        </row>
        <row r="6">
          <cell r="A6">
            <v>5</v>
          </cell>
          <cell r="B6">
            <v>1.99</v>
          </cell>
          <cell r="C6">
            <v>1.59</v>
          </cell>
          <cell r="D6">
            <v>1.552</v>
          </cell>
        </row>
        <row r="7">
          <cell r="A7">
            <v>6</v>
          </cell>
          <cell r="B7">
            <v>2.84</v>
          </cell>
          <cell r="C7">
            <v>1.9100000000000001</v>
          </cell>
          <cell r="D7">
            <v>2.2349999999999999</v>
          </cell>
        </row>
        <row r="8">
          <cell r="A8">
            <v>7</v>
          </cell>
          <cell r="B8">
            <v>3.87</v>
          </cell>
          <cell r="C8">
            <v>2.2199999999999998</v>
          </cell>
          <cell r="D8">
            <v>3.0419999999999998</v>
          </cell>
        </row>
        <row r="9">
          <cell r="A9">
            <v>8</v>
          </cell>
          <cell r="B9">
            <v>5.0999999999999996</v>
          </cell>
          <cell r="C9">
            <v>2.54</v>
          </cell>
          <cell r="D9">
            <v>3.9729999999999999</v>
          </cell>
        </row>
        <row r="10">
          <cell r="A10">
            <v>9</v>
          </cell>
          <cell r="B10">
            <v>6.45</v>
          </cell>
          <cell r="C10">
            <v>2.87</v>
          </cell>
          <cell r="D10">
            <v>5.0599999999999996</v>
          </cell>
        </row>
        <row r="11">
          <cell r="A11">
            <v>10</v>
          </cell>
          <cell r="B11">
            <v>8.19</v>
          </cell>
          <cell r="C11">
            <v>3.2299999999999995</v>
          </cell>
          <cell r="D11">
            <v>6.4039999999999999</v>
          </cell>
        </row>
        <row r="12">
          <cell r="A12">
            <v>11</v>
          </cell>
          <cell r="B12">
            <v>10.06</v>
          </cell>
          <cell r="C12">
            <v>3.5799999999999996</v>
          </cell>
          <cell r="D12">
            <v>7.907</v>
          </cell>
        </row>
        <row r="13">
          <cell r="A13">
            <v>14</v>
          </cell>
          <cell r="B13">
            <v>14.52</v>
          </cell>
          <cell r="C13">
            <v>4.3</v>
          </cell>
          <cell r="D13">
            <v>11.38</v>
          </cell>
        </row>
        <row r="14">
          <cell r="A14">
            <v>18</v>
          </cell>
          <cell r="B14">
            <v>25.81</v>
          </cell>
          <cell r="C14">
            <v>5.7299999999999995</v>
          </cell>
          <cell r="D14">
            <v>20.239999999999998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. R=1"/>
      <sheetName val="Solicit.-I R=1"/>
      <sheetName val="Solicit.-I R=2"/>
      <sheetName val="Cuantia R=1"/>
      <sheetName val="Cuantia-I R=2"/>
      <sheetName val="Diseñ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</row>
        <row r="3">
          <cell r="A3">
            <v>2</v>
          </cell>
          <cell r="B3">
            <v>0.32</v>
          </cell>
          <cell r="C3">
            <v>0.64</v>
          </cell>
          <cell r="D3">
            <v>0.25</v>
          </cell>
        </row>
        <row r="4">
          <cell r="A4">
            <v>3</v>
          </cell>
          <cell r="B4">
            <v>0.71</v>
          </cell>
          <cell r="C4">
            <v>0.95</v>
          </cell>
          <cell r="D4">
            <v>0.56000000000000005</v>
          </cell>
        </row>
        <row r="5">
          <cell r="A5">
            <v>4</v>
          </cell>
          <cell r="B5">
            <v>1.29</v>
          </cell>
          <cell r="C5">
            <v>1.27</v>
          </cell>
          <cell r="D5">
            <v>0.99399999999999999</v>
          </cell>
        </row>
        <row r="6">
          <cell r="A6">
            <v>5</v>
          </cell>
          <cell r="B6">
            <v>1.99</v>
          </cell>
          <cell r="C6">
            <v>1.59</v>
          </cell>
          <cell r="D6">
            <v>1.552</v>
          </cell>
        </row>
        <row r="7">
          <cell r="A7">
            <v>6</v>
          </cell>
          <cell r="B7">
            <v>2.84</v>
          </cell>
          <cell r="C7">
            <v>1.9100000000000001</v>
          </cell>
          <cell r="D7">
            <v>2.2349999999999999</v>
          </cell>
        </row>
        <row r="8">
          <cell r="A8">
            <v>7</v>
          </cell>
          <cell r="B8">
            <v>3.87</v>
          </cell>
          <cell r="C8">
            <v>2.2199999999999998</v>
          </cell>
          <cell r="D8">
            <v>3.0419999999999998</v>
          </cell>
        </row>
        <row r="9">
          <cell r="A9">
            <v>8</v>
          </cell>
          <cell r="B9">
            <v>5.0999999999999996</v>
          </cell>
          <cell r="C9">
            <v>2.54</v>
          </cell>
          <cell r="D9">
            <v>3.9729999999999999</v>
          </cell>
        </row>
        <row r="10">
          <cell r="A10">
            <v>9</v>
          </cell>
          <cell r="B10">
            <v>6.45</v>
          </cell>
          <cell r="C10">
            <v>2.87</v>
          </cell>
          <cell r="D10">
            <v>5.0599999999999996</v>
          </cell>
        </row>
        <row r="11">
          <cell r="A11">
            <v>10</v>
          </cell>
          <cell r="B11">
            <v>8.19</v>
          </cell>
          <cell r="C11">
            <v>3.2299999999999995</v>
          </cell>
          <cell r="D11">
            <v>6.4039999999999999</v>
          </cell>
        </row>
        <row r="12">
          <cell r="A12">
            <v>11</v>
          </cell>
          <cell r="B12">
            <v>10.06</v>
          </cell>
          <cell r="C12">
            <v>3.5799999999999996</v>
          </cell>
          <cell r="D12">
            <v>7.907</v>
          </cell>
        </row>
        <row r="13">
          <cell r="A13">
            <v>14</v>
          </cell>
          <cell r="B13">
            <v>14.52</v>
          </cell>
          <cell r="C13">
            <v>4.3</v>
          </cell>
          <cell r="D13">
            <v>11.38</v>
          </cell>
        </row>
        <row r="14">
          <cell r="A14">
            <v>18</v>
          </cell>
          <cell r="B14">
            <v>25.81</v>
          </cell>
          <cell r="C14">
            <v>5.7299999999999995</v>
          </cell>
          <cell r="D14">
            <v>20.239999999999998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uerzo Viga Cabezal"/>
      <sheetName val="Dinámico"/>
    </sheetNames>
    <sheetDataSet>
      <sheetData sheetId="0" refreshError="1"/>
      <sheetData sheetId="1">
        <row r="4">
          <cell r="O4">
            <v>53.886000000000003</v>
          </cell>
          <cell r="P4">
            <v>140.94550000000001</v>
          </cell>
          <cell r="Q4">
            <v>42.246499999999997</v>
          </cell>
          <cell r="R4">
            <v>16.96827</v>
          </cell>
          <cell r="S4">
            <v>28.313839999999999</v>
          </cell>
          <cell r="T4">
            <v>49.581119999999999</v>
          </cell>
        </row>
        <row r="5">
          <cell r="O5">
            <v>-65.272800000000004</v>
          </cell>
          <cell r="P5">
            <v>-140.94550000000001</v>
          </cell>
          <cell r="Q5">
            <v>-42.246499999999997</v>
          </cell>
          <cell r="R5">
            <v>-16.96827</v>
          </cell>
          <cell r="S5">
            <v>-15.308770000000001</v>
          </cell>
          <cell r="T5">
            <v>-122.40035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. R=1"/>
      <sheetName val="Solicit.-I R=1"/>
      <sheetName val="Solicit.-I R=2"/>
      <sheetName val="Cuantia R=1"/>
      <sheetName val="Cuantia-I R=2"/>
      <sheetName val="Diseñ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</row>
        <row r="3">
          <cell r="A3">
            <v>2</v>
          </cell>
          <cell r="B3">
            <v>0.32</v>
          </cell>
          <cell r="C3">
            <v>0.64</v>
          </cell>
          <cell r="D3">
            <v>0.25</v>
          </cell>
        </row>
        <row r="4">
          <cell r="A4">
            <v>3</v>
          </cell>
          <cell r="B4">
            <v>0.71</v>
          </cell>
          <cell r="C4">
            <v>0.95</v>
          </cell>
          <cell r="D4">
            <v>0.56000000000000005</v>
          </cell>
        </row>
        <row r="5">
          <cell r="A5">
            <v>4</v>
          </cell>
          <cell r="B5">
            <v>1.29</v>
          </cell>
          <cell r="C5">
            <v>1.27</v>
          </cell>
          <cell r="D5">
            <v>0.99399999999999999</v>
          </cell>
        </row>
        <row r="6">
          <cell r="A6">
            <v>5</v>
          </cell>
          <cell r="B6">
            <v>1.99</v>
          </cell>
          <cell r="C6">
            <v>1.59</v>
          </cell>
          <cell r="D6">
            <v>1.552</v>
          </cell>
        </row>
        <row r="7">
          <cell r="A7">
            <v>6</v>
          </cell>
          <cell r="B7">
            <v>2.84</v>
          </cell>
          <cell r="C7">
            <v>1.9100000000000001</v>
          </cell>
          <cell r="D7">
            <v>2.2349999999999999</v>
          </cell>
        </row>
        <row r="8">
          <cell r="A8">
            <v>7</v>
          </cell>
          <cell r="B8">
            <v>3.87</v>
          </cell>
          <cell r="C8">
            <v>2.2199999999999998</v>
          </cell>
          <cell r="D8">
            <v>3.0419999999999998</v>
          </cell>
        </row>
        <row r="9">
          <cell r="A9">
            <v>8</v>
          </cell>
          <cell r="B9">
            <v>5.0999999999999996</v>
          </cell>
          <cell r="C9">
            <v>2.54</v>
          </cell>
          <cell r="D9">
            <v>3.9729999999999999</v>
          </cell>
        </row>
        <row r="10">
          <cell r="A10">
            <v>9</v>
          </cell>
          <cell r="B10">
            <v>6.45</v>
          </cell>
          <cell r="C10">
            <v>2.87</v>
          </cell>
          <cell r="D10">
            <v>5.0599999999999996</v>
          </cell>
        </row>
        <row r="11">
          <cell r="A11">
            <v>10</v>
          </cell>
          <cell r="B11">
            <v>8.19</v>
          </cell>
          <cell r="C11">
            <v>3.2299999999999995</v>
          </cell>
          <cell r="D11">
            <v>6.4039999999999999</v>
          </cell>
        </row>
        <row r="12">
          <cell r="A12">
            <v>11</v>
          </cell>
          <cell r="B12">
            <v>10.06</v>
          </cell>
          <cell r="C12">
            <v>3.5799999999999996</v>
          </cell>
          <cell r="D12">
            <v>7.907</v>
          </cell>
        </row>
        <row r="13">
          <cell r="A13">
            <v>14</v>
          </cell>
          <cell r="B13">
            <v>14.52</v>
          </cell>
          <cell r="C13">
            <v>4.3</v>
          </cell>
          <cell r="D13">
            <v>11.38</v>
          </cell>
        </row>
        <row r="14">
          <cell r="A14">
            <v>18</v>
          </cell>
          <cell r="B14">
            <v>25.81</v>
          </cell>
          <cell r="C14">
            <v>5.7299999999999995</v>
          </cell>
          <cell r="D14">
            <v>20.239999999999998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uerzo Viga Cabezal"/>
      <sheetName val="Dinámico"/>
    </sheetNames>
    <sheetDataSet>
      <sheetData sheetId="0" refreshError="1"/>
      <sheetData sheetId="1">
        <row r="4">
          <cell r="O4">
            <v>53.886000000000003</v>
          </cell>
          <cell r="P4">
            <v>140.94550000000001</v>
          </cell>
          <cell r="Q4">
            <v>42.246499999999997</v>
          </cell>
          <cell r="R4">
            <v>16.96827</v>
          </cell>
          <cell r="S4">
            <v>28.313839999999999</v>
          </cell>
          <cell r="T4">
            <v>49.581119999999999</v>
          </cell>
        </row>
        <row r="5">
          <cell r="O5">
            <v>-65.272800000000004</v>
          </cell>
          <cell r="P5">
            <v>-140.94550000000001</v>
          </cell>
          <cell r="Q5">
            <v>-42.246499999999997</v>
          </cell>
          <cell r="R5">
            <v>-16.96827</v>
          </cell>
          <cell r="S5">
            <v>-15.308770000000001</v>
          </cell>
          <cell r="T5">
            <v>-122.40035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0D00B-46E7-4CD9-A1ED-780999B68770}">
  <dimension ref="B1:J186"/>
  <sheetViews>
    <sheetView tabSelected="1" workbookViewId="0">
      <selection activeCell="N14" sqref="N14"/>
    </sheetView>
  </sheetViews>
  <sheetFormatPr baseColWidth="10" defaultColWidth="11.44140625" defaultRowHeight="13.2" x14ac:dyDescent="0.3"/>
  <cols>
    <col min="1" max="1" width="11.44140625" style="346"/>
    <col min="2" max="2" width="5.6640625" style="346" customWidth="1"/>
    <col min="3" max="3" width="20" style="346" customWidth="1"/>
    <col min="4" max="4" width="8.109375" style="346" bestFit="1" customWidth="1"/>
    <col min="5" max="5" width="10.109375" style="346" customWidth="1"/>
    <col min="6" max="6" width="36" style="346" bestFit="1" customWidth="1"/>
    <col min="7" max="7" width="10.33203125" style="347" customWidth="1"/>
    <col min="8" max="8" width="8.5546875" style="346" customWidth="1"/>
    <col min="9" max="16384" width="11.44140625" style="346"/>
  </cols>
  <sheetData>
    <row r="1" spans="2:10" ht="13.8" thickBot="1" x14ac:dyDescent="0.35"/>
    <row r="2" spans="2:10" ht="15" customHeight="1" x14ac:dyDescent="0.3">
      <c r="B2" s="348" t="s">
        <v>317</v>
      </c>
      <c r="C2" s="349"/>
      <c r="D2" s="349"/>
      <c r="E2" s="349"/>
      <c r="F2" s="349"/>
      <c r="G2" s="350"/>
    </row>
    <row r="3" spans="2:10" ht="15" customHeight="1" x14ac:dyDescent="0.3">
      <c r="B3" s="351" t="s">
        <v>278</v>
      </c>
      <c r="C3" s="352"/>
      <c r="D3" s="352"/>
      <c r="E3" s="352"/>
      <c r="F3" s="352"/>
      <c r="G3" s="353"/>
    </row>
    <row r="4" spans="2:10" ht="15.6" x14ac:dyDescent="0.3">
      <c r="B4" s="354"/>
      <c r="C4" s="355" t="s">
        <v>279</v>
      </c>
      <c r="D4" s="355">
        <v>280</v>
      </c>
      <c r="E4" s="355" t="s">
        <v>280</v>
      </c>
      <c r="F4" s="355" t="s">
        <v>281</v>
      </c>
      <c r="G4" s="356"/>
    </row>
    <row r="5" spans="2:10" ht="15.6" x14ac:dyDescent="0.3">
      <c r="B5" s="354"/>
      <c r="C5" s="355" t="s">
        <v>282</v>
      </c>
      <c r="D5" s="355">
        <v>4220</v>
      </c>
      <c r="E5" s="355" t="s">
        <v>280</v>
      </c>
      <c r="F5" s="355" t="s">
        <v>283</v>
      </c>
      <c r="G5" s="356"/>
    </row>
    <row r="6" spans="2:10" x14ac:dyDescent="0.3">
      <c r="B6" s="354"/>
      <c r="C6" s="355"/>
      <c r="D6" s="355"/>
      <c r="E6" s="355"/>
      <c r="F6" s="355"/>
      <c r="G6" s="356"/>
    </row>
    <row r="7" spans="2:10" s="359" customFormat="1" x14ac:dyDescent="0.3">
      <c r="B7" s="357"/>
      <c r="C7" s="358" t="s">
        <v>284</v>
      </c>
      <c r="D7" s="359">
        <v>1</v>
      </c>
      <c r="E7" s="359" t="s">
        <v>164</v>
      </c>
      <c r="F7" s="358" t="s">
        <v>114</v>
      </c>
      <c r="G7" s="360"/>
    </row>
    <row r="8" spans="2:10" s="359" customFormat="1" x14ac:dyDescent="0.3">
      <c r="B8" s="357"/>
      <c r="C8" s="358" t="s">
        <v>285</v>
      </c>
      <c r="D8" s="359">
        <v>0.5</v>
      </c>
      <c r="E8" s="359" t="s">
        <v>164</v>
      </c>
      <c r="F8" s="358" t="s">
        <v>286</v>
      </c>
      <c r="G8" s="360"/>
    </row>
    <row r="9" spans="2:10" s="359" customFormat="1" x14ac:dyDescent="0.3">
      <c r="B9" s="361"/>
      <c r="C9" s="358" t="s">
        <v>287</v>
      </c>
      <c r="D9" s="358">
        <v>0.05</v>
      </c>
      <c r="E9" s="358" t="s">
        <v>164</v>
      </c>
      <c r="F9" s="358" t="s">
        <v>134</v>
      </c>
      <c r="G9" s="360"/>
    </row>
    <row r="10" spans="2:10" ht="15.6" x14ac:dyDescent="0.3">
      <c r="B10" s="354"/>
      <c r="C10" s="392" t="s">
        <v>318</v>
      </c>
      <c r="D10" s="393">
        <v>8.8000000000000007</v>
      </c>
      <c r="E10" s="393" t="s">
        <v>289</v>
      </c>
      <c r="F10" s="392" t="s">
        <v>163</v>
      </c>
      <c r="G10" s="356"/>
    </row>
    <row r="11" spans="2:10" x14ac:dyDescent="0.3">
      <c r="B11" s="354"/>
      <c r="C11" s="364" t="s">
        <v>164</v>
      </c>
      <c r="D11" s="365">
        <f>+D5/(0.85*D4)</f>
        <v>17.731092436974791</v>
      </c>
      <c r="E11" s="365"/>
      <c r="F11" s="364"/>
      <c r="G11" s="356"/>
    </row>
    <row r="12" spans="2:10" x14ac:dyDescent="0.3">
      <c r="B12" s="354"/>
      <c r="C12" s="364" t="s">
        <v>165</v>
      </c>
      <c r="D12" s="365">
        <f>+D10*100000/(D7*100*(D8*100-D9*100)^2)</f>
        <v>4.3456790123456797</v>
      </c>
      <c r="E12" s="365"/>
      <c r="F12" s="355"/>
      <c r="G12" s="356"/>
    </row>
    <row r="13" spans="2:10" ht="15.6" x14ac:dyDescent="0.3">
      <c r="B13" s="354"/>
      <c r="C13" s="364" t="s">
        <v>290</v>
      </c>
      <c r="D13" s="366">
        <v>1.8E-3</v>
      </c>
      <c r="E13" s="366"/>
      <c r="F13" s="364" t="s">
        <v>291</v>
      </c>
      <c r="G13" s="356"/>
    </row>
    <row r="14" spans="2:10" ht="15.6" x14ac:dyDescent="0.3">
      <c r="B14" s="354"/>
      <c r="C14" s="364" t="s">
        <v>292</v>
      </c>
      <c r="D14" s="366">
        <f>+IF(D13&gt;(1/D11)*(1-((1-2*D11*D12/(0.9*D5))^(1/2))),D13,(1/D11)*(1-((1-2*D11*D12/(0.9*D5))^(1/2))))</f>
        <v>1.8E-3</v>
      </c>
      <c r="E14" s="366"/>
      <c r="F14" s="364" t="s">
        <v>293</v>
      </c>
      <c r="G14" s="356"/>
    </row>
    <row r="15" spans="2:10" ht="15.6" x14ac:dyDescent="0.3">
      <c r="B15" s="354"/>
      <c r="C15" s="364" t="s">
        <v>294</v>
      </c>
      <c r="D15" s="365">
        <f>+MAX(I15,J15)</f>
        <v>9</v>
      </c>
      <c r="E15" s="365" t="s">
        <v>295</v>
      </c>
      <c r="F15" s="364" t="s">
        <v>296</v>
      </c>
      <c r="G15" s="356"/>
      <c r="I15" s="367">
        <f>+D14*(D8*100-D9*100)*100*D7</f>
        <v>8.1</v>
      </c>
      <c r="J15" s="367">
        <f>+D13*(D8*100)*100*D7</f>
        <v>9</v>
      </c>
    </row>
    <row r="16" spans="2:10" x14ac:dyDescent="0.3">
      <c r="B16" s="354"/>
      <c r="C16" s="364"/>
      <c r="D16" s="365"/>
      <c r="E16" s="365"/>
      <c r="F16" s="364"/>
      <c r="G16" s="356"/>
    </row>
    <row r="17" spans="2:7" x14ac:dyDescent="0.3">
      <c r="B17" s="354"/>
      <c r="C17" s="368" t="s">
        <v>297</v>
      </c>
      <c r="D17" s="369">
        <v>1.99</v>
      </c>
      <c r="E17" s="370" t="s">
        <v>298</v>
      </c>
      <c r="F17" s="368" t="s">
        <v>319</v>
      </c>
      <c r="G17" s="356"/>
    </row>
    <row r="18" spans="2:7" x14ac:dyDescent="0.3">
      <c r="B18" s="354"/>
      <c r="C18" s="371" t="s">
        <v>300</v>
      </c>
      <c r="D18" s="372">
        <f>ROUNDUP(D15/D17,0)</f>
        <v>5</v>
      </c>
      <c r="E18" s="373" t="s">
        <v>301</v>
      </c>
      <c r="F18" s="371" t="s">
        <v>302</v>
      </c>
      <c r="G18" s="356"/>
    </row>
    <row r="19" spans="2:7" x14ac:dyDescent="0.3">
      <c r="B19" s="354"/>
      <c r="C19" s="374" t="s">
        <v>303</v>
      </c>
      <c r="D19" s="375">
        <f>+D7/(D15/D17)*100</f>
        <v>22.111111111111111</v>
      </c>
      <c r="E19" s="376" t="s">
        <v>304</v>
      </c>
      <c r="F19" s="371" t="s">
        <v>305</v>
      </c>
      <c r="G19" s="356"/>
    </row>
    <row r="20" spans="2:7" x14ac:dyDescent="0.3">
      <c r="B20" s="354"/>
      <c r="C20" s="377" t="s">
        <v>306</v>
      </c>
      <c r="D20" s="369">
        <v>20</v>
      </c>
      <c r="E20" s="370" t="s">
        <v>304</v>
      </c>
      <c r="F20" s="368" t="s">
        <v>307</v>
      </c>
      <c r="G20" s="356"/>
    </row>
    <row r="21" spans="2:7" x14ac:dyDescent="0.3">
      <c r="B21" s="354"/>
      <c r="C21" s="378"/>
      <c r="D21" s="378"/>
      <c r="E21" s="378"/>
      <c r="F21" s="378"/>
      <c r="G21" s="356"/>
    </row>
    <row r="22" spans="2:7" x14ac:dyDescent="0.3">
      <c r="B22" s="354"/>
      <c r="C22" s="378"/>
      <c r="D22" s="378"/>
      <c r="E22" s="378"/>
      <c r="F22" s="378"/>
      <c r="G22" s="356"/>
    </row>
    <row r="23" spans="2:7" x14ac:dyDescent="0.3">
      <c r="B23" s="354"/>
      <c r="G23" s="356"/>
    </row>
    <row r="24" spans="2:7" x14ac:dyDescent="0.3">
      <c r="B24" s="379" t="s">
        <v>224</v>
      </c>
      <c r="C24" s="380" t="s">
        <v>310</v>
      </c>
      <c r="D24" s="380"/>
      <c r="E24" s="380"/>
      <c r="F24" s="380"/>
      <c r="G24" s="381"/>
    </row>
    <row r="25" spans="2:7" x14ac:dyDescent="0.3">
      <c r="B25" s="354"/>
      <c r="C25" s="382" t="s">
        <v>311</v>
      </c>
      <c r="D25" s="382">
        <f>D8-D9</f>
        <v>0.45</v>
      </c>
      <c r="E25" s="382" t="s">
        <v>164</v>
      </c>
      <c r="F25" s="382" t="s">
        <v>157</v>
      </c>
      <c r="G25" s="356"/>
    </row>
    <row r="26" spans="2:7" ht="13.8" x14ac:dyDescent="0.3">
      <c r="B26" s="354"/>
      <c r="C26" s="382" t="s">
        <v>312</v>
      </c>
      <c r="D26" s="382">
        <f>+D7*D25*10*0.53*0.9*SQRT(D4)</f>
        <v>35.917814939107863</v>
      </c>
      <c r="E26" s="382" t="s">
        <v>313</v>
      </c>
      <c r="F26" s="382" t="s">
        <v>314</v>
      </c>
      <c r="G26" s="356"/>
    </row>
    <row r="27" spans="2:7" ht="13.8" thickBot="1" x14ac:dyDescent="0.35">
      <c r="B27" s="383"/>
      <c r="C27" s="384" t="s">
        <v>315</v>
      </c>
      <c r="D27" s="384">
        <v>10.48</v>
      </c>
      <c r="E27" s="384" t="s">
        <v>313</v>
      </c>
      <c r="F27" s="384" t="s">
        <v>316</v>
      </c>
      <c r="G27" s="385" t="str">
        <f>+IF(D27&lt;=D26,"Cumple","No cumple")</f>
        <v>Cumple</v>
      </c>
    </row>
    <row r="44" spans="2:6" x14ac:dyDescent="0.3">
      <c r="F44" s="386"/>
    </row>
    <row r="46" spans="2:6" x14ac:dyDescent="0.3">
      <c r="F46" s="387"/>
    </row>
    <row r="48" spans="2:6" x14ac:dyDescent="0.3">
      <c r="B48" s="358"/>
      <c r="C48" s="359"/>
    </row>
    <row r="90" spans="3:3" x14ac:dyDescent="0.3">
      <c r="C90" s="346" t="e">
        <f>+IF(#REF!/100&lt;#REF!,"Diseño como viga rectangular","Diseño como viga L")</f>
        <v>#REF!</v>
      </c>
    </row>
    <row r="140" spans="3:3" x14ac:dyDescent="0.3">
      <c r="C140" s="346" t="e">
        <f>+IF(#REF!&gt;#REF!,"Cumple","No Cumple")</f>
        <v>#REF!</v>
      </c>
    </row>
    <row r="155" spans="6:7" x14ac:dyDescent="0.3">
      <c r="F155" s="388"/>
      <c r="G155" s="389"/>
    </row>
    <row r="162" spans="2:8" x14ac:dyDescent="0.3">
      <c r="C162" s="346" t="e">
        <f>+IF(#REF!&gt;#REF!,"Cumple","No Cumple")</f>
        <v>#REF!</v>
      </c>
    </row>
    <row r="168" spans="2:8" x14ac:dyDescent="0.3">
      <c r="B168" s="355"/>
      <c r="C168" s="355"/>
      <c r="D168" s="355"/>
      <c r="E168" s="355"/>
      <c r="F168" s="355"/>
      <c r="G168" s="390"/>
      <c r="H168" s="355"/>
    </row>
    <row r="169" spans="2:8" x14ac:dyDescent="0.3">
      <c r="B169" s="355"/>
      <c r="C169" s="355"/>
      <c r="D169" s="355"/>
      <c r="E169" s="355"/>
      <c r="F169" s="355"/>
      <c r="G169" s="390"/>
      <c r="H169" s="355"/>
    </row>
    <row r="170" spans="2:8" x14ac:dyDescent="0.3">
      <c r="B170" s="355"/>
      <c r="C170" s="355"/>
      <c r="D170" s="355"/>
      <c r="E170" s="355"/>
      <c r="F170" s="355"/>
      <c r="G170" s="390"/>
      <c r="H170" s="355"/>
    </row>
    <row r="171" spans="2:8" x14ac:dyDescent="0.3">
      <c r="B171" s="355"/>
      <c r="C171" s="355"/>
      <c r="D171" s="355"/>
      <c r="E171" s="355"/>
      <c r="F171" s="355"/>
      <c r="G171" s="390"/>
      <c r="H171" s="355"/>
    </row>
    <row r="172" spans="2:8" x14ac:dyDescent="0.3">
      <c r="B172" s="355"/>
      <c r="C172" s="355"/>
      <c r="D172" s="355"/>
      <c r="E172" s="355"/>
      <c r="F172" s="355"/>
      <c r="G172" s="390"/>
      <c r="H172" s="355"/>
    </row>
    <row r="173" spans="2:8" x14ac:dyDescent="0.3">
      <c r="B173" s="355"/>
      <c r="C173" s="355"/>
      <c r="D173" s="355"/>
      <c r="E173" s="355"/>
      <c r="F173" s="355"/>
      <c r="G173" s="390"/>
      <c r="H173" s="355"/>
    </row>
    <row r="174" spans="2:8" x14ac:dyDescent="0.3">
      <c r="B174" s="355"/>
      <c r="C174" s="355"/>
      <c r="D174" s="355"/>
      <c r="E174" s="355"/>
      <c r="F174" s="355"/>
      <c r="G174" s="390"/>
      <c r="H174" s="355"/>
    </row>
    <row r="184" spans="6:6" x14ac:dyDescent="0.3">
      <c r="F184" s="391"/>
    </row>
    <row r="185" spans="6:6" x14ac:dyDescent="0.3">
      <c r="F185" s="391"/>
    </row>
    <row r="186" spans="6:6" x14ac:dyDescent="0.3">
      <c r="F186" s="391"/>
    </row>
  </sheetData>
  <mergeCells count="5">
    <mergeCell ref="B2:G2"/>
    <mergeCell ref="B3:G3"/>
    <mergeCell ref="C21:F21"/>
    <mergeCell ref="C22:F22"/>
    <mergeCell ref="B24:G24"/>
  </mergeCells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CFD3-60DE-475E-9917-82A04DBA1971}">
  <sheetPr codeName="Hoja4"/>
  <dimension ref="A1:AN189"/>
  <sheetViews>
    <sheetView showGridLines="0" topLeftCell="A79" zoomScale="90" zoomScaleNormal="90" workbookViewId="0">
      <selection activeCell="I137" sqref="I137"/>
    </sheetView>
  </sheetViews>
  <sheetFormatPr baseColWidth="10" defaultColWidth="11.44140625" defaultRowHeight="14.4" x14ac:dyDescent="0.3"/>
  <cols>
    <col min="1" max="1" width="34.44140625" style="102" bestFit="1" customWidth="1"/>
    <col min="2" max="2" width="15.6640625" style="84" bestFit="1" customWidth="1"/>
    <col min="3" max="3" width="31.5546875" style="102" bestFit="1" customWidth="1"/>
    <col min="4" max="4" width="17.6640625" style="102" customWidth="1"/>
    <col min="5" max="5" width="10.6640625" style="102" bestFit="1" customWidth="1"/>
    <col min="6" max="6" width="14.33203125" style="102" customWidth="1"/>
    <col min="7" max="7" width="34.44140625" style="102" customWidth="1"/>
    <col min="8" max="8" width="15.6640625" style="102" customWidth="1"/>
    <col min="9" max="9" width="31.33203125" style="102" bestFit="1" customWidth="1"/>
    <col min="10" max="10" width="15.33203125" style="102" customWidth="1"/>
    <col min="11" max="14" width="14.33203125" style="102" customWidth="1"/>
    <col min="15" max="15" width="13" style="102" customWidth="1"/>
    <col min="16" max="21" width="17.44140625" style="102" customWidth="1"/>
    <col min="22" max="26" width="16.6640625" style="102" customWidth="1"/>
    <col min="27" max="27" width="15" style="102" customWidth="1"/>
    <col min="28" max="28" width="19" style="102" bestFit="1" customWidth="1"/>
    <col min="29" max="29" width="11.5546875" style="102" customWidth="1"/>
    <col min="30" max="30" width="9.109375" style="102" customWidth="1"/>
    <col min="31" max="31" width="8.88671875" style="102" customWidth="1"/>
    <col min="32" max="32" width="12.88671875" style="102" customWidth="1"/>
    <col min="33" max="33" width="9" style="102" bestFit="1" customWidth="1"/>
    <col min="34" max="34" width="18.44140625" style="102" bestFit="1" customWidth="1"/>
    <col min="35" max="35" width="19.109375" style="102" bestFit="1" customWidth="1"/>
    <col min="36" max="36" width="22.33203125" style="102" bestFit="1" customWidth="1"/>
    <col min="37" max="37" width="19.109375" style="102" bestFit="1" customWidth="1"/>
    <col min="38" max="16384" width="11.44140625" style="102"/>
  </cols>
  <sheetData>
    <row r="1" spans="1:40" s="93" customFormat="1" x14ac:dyDescent="0.3">
      <c r="B1" s="94"/>
      <c r="E1" s="93">
        <v>0</v>
      </c>
      <c r="P1" s="95" t="s">
        <v>99</v>
      </c>
      <c r="Q1" s="95" t="s">
        <v>100</v>
      </c>
      <c r="R1" s="95" t="s">
        <v>101</v>
      </c>
      <c r="S1" s="95" t="s">
        <v>102</v>
      </c>
      <c r="T1" s="95" t="s">
        <v>103</v>
      </c>
      <c r="U1" s="95" t="s">
        <v>104</v>
      </c>
    </row>
    <row r="2" spans="1:40" s="93" customFormat="1" x14ac:dyDescent="0.3">
      <c r="B2" s="94"/>
      <c r="P2" s="96" t="s">
        <v>105</v>
      </c>
      <c r="Q2" s="96" t="s">
        <v>105</v>
      </c>
      <c r="R2" s="96" t="s">
        <v>105</v>
      </c>
      <c r="S2" s="96" t="s">
        <v>106</v>
      </c>
      <c r="T2" s="96" t="s">
        <v>106</v>
      </c>
      <c r="U2" s="96" t="s">
        <v>106</v>
      </c>
    </row>
    <row r="3" spans="1:40" s="93" customFormat="1" ht="15" thickBot="1" x14ac:dyDescent="0.35">
      <c r="B3" s="94"/>
      <c r="P3" s="97" t="e">
        <f>+MAX([5]Dinámico!O4,#REF!)</f>
        <v>#REF!</v>
      </c>
      <c r="Q3" s="97" t="e">
        <f>+MAX([5]Dinámico!P4,#REF!)</f>
        <v>#REF!</v>
      </c>
      <c r="R3" s="97" t="e">
        <f>+MAX([5]Dinámico!Q4,#REF!)</f>
        <v>#REF!</v>
      </c>
      <c r="S3" s="97" t="e">
        <f>+MAX([5]Dinámico!R4,#REF!)</f>
        <v>#REF!</v>
      </c>
      <c r="T3" s="97" t="e">
        <f>+MAX([5]Dinámico!S4,#REF!)</f>
        <v>#REF!</v>
      </c>
      <c r="U3" s="97" t="e">
        <f>+MAX([5]Dinámico!T4,#REF!)</f>
        <v>#REF!</v>
      </c>
    </row>
    <row r="4" spans="1:40" ht="16.2" thickBot="1" x14ac:dyDescent="0.35">
      <c r="A4" s="98" t="s">
        <v>107</v>
      </c>
      <c r="B4" s="99"/>
      <c r="C4" s="99"/>
      <c r="D4" s="99"/>
      <c r="E4" s="99"/>
      <c r="F4" s="100"/>
      <c r="G4" s="101"/>
      <c r="H4" s="101"/>
      <c r="I4" s="101"/>
      <c r="J4" s="101"/>
      <c r="K4" s="101"/>
      <c r="L4" s="101"/>
      <c r="M4" s="101"/>
      <c r="N4" s="101"/>
      <c r="O4" s="93"/>
      <c r="P4" s="97" t="e">
        <f>+MIN([5]Dinámico!O5,#REF!)</f>
        <v>#REF!</v>
      </c>
      <c r="Q4" s="97" t="e">
        <f>+MIN([5]Dinámico!P5,#REF!)</f>
        <v>#REF!</v>
      </c>
      <c r="R4" s="97" t="e">
        <f>+MIN([5]Dinámico!Q5,#REF!)</f>
        <v>#REF!</v>
      </c>
      <c r="S4" s="97" t="e">
        <f>+MIN([5]Dinámico!R5,#REF!)</f>
        <v>#REF!</v>
      </c>
      <c r="T4" s="97" t="e">
        <f>+MIN([5]Dinámico!S5,#REF!)</f>
        <v>#REF!</v>
      </c>
      <c r="U4" s="97" t="e">
        <f>+MIN([5]Dinámico!T5,#REF!)</f>
        <v>#REF!</v>
      </c>
      <c r="V4" s="93"/>
      <c r="AC4" s="103" t="s">
        <v>108</v>
      </c>
      <c r="AD4" s="103" t="s">
        <v>109</v>
      </c>
      <c r="AE4" s="103" t="s">
        <v>110</v>
      </c>
      <c r="AF4" s="103" t="s">
        <v>111</v>
      </c>
      <c r="AG4" s="103" t="s">
        <v>112</v>
      </c>
    </row>
    <row r="5" spans="1:40" ht="17.25" customHeight="1" x14ac:dyDescent="0.3">
      <c r="A5" s="104" t="s">
        <v>113</v>
      </c>
      <c r="B5" s="105">
        <v>1.6</v>
      </c>
      <c r="C5" s="106" t="s">
        <v>114</v>
      </c>
      <c r="F5" s="107"/>
      <c r="O5" s="93"/>
      <c r="P5" s="93"/>
      <c r="Q5" s="93"/>
      <c r="R5" s="93"/>
      <c r="S5" s="93"/>
      <c r="T5" s="93"/>
      <c r="U5" s="93"/>
      <c r="V5" s="93"/>
      <c r="AC5" s="103"/>
      <c r="AD5" s="103"/>
      <c r="AE5" s="103"/>
      <c r="AF5" s="103"/>
      <c r="AG5" s="103"/>
    </row>
    <row r="6" spans="1:40" x14ac:dyDescent="0.3">
      <c r="A6" s="108" t="s">
        <v>115</v>
      </c>
      <c r="B6" s="109">
        <v>1.5</v>
      </c>
      <c r="C6" s="110" t="s">
        <v>116</v>
      </c>
      <c r="F6" s="107"/>
      <c r="O6" s="93"/>
      <c r="P6" s="93"/>
      <c r="Q6" s="93"/>
      <c r="R6" s="93"/>
      <c r="S6" s="93"/>
      <c r="T6" s="93"/>
      <c r="U6" s="93"/>
      <c r="V6" s="93"/>
      <c r="W6" s="111"/>
      <c r="X6" s="111"/>
      <c r="Y6" s="111"/>
      <c r="Z6" s="111"/>
      <c r="AA6" s="111"/>
      <c r="AB6" s="111"/>
      <c r="AC6" s="112"/>
      <c r="AD6" s="112">
        <v>0</v>
      </c>
      <c r="AE6" s="113">
        <v>0</v>
      </c>
      <c r="AF6" s="113">
        <v>0</v>
      </c>
      <c r="AG6" s="112">
        <v>0</v>
      </c>
      <c r="AI6" s="93"/>
      <c r="AJ6" s="93"/>
      <c r="AK6" s="93"/>
      <c r="AL6" s="93"/>
      <c r="AM6" s="93"/>
      <c r="AN6" s="93"/>
    </row>
    <row r="7" spans="1:40" ht="16.2" x14ac:dyDescent="0.3">
      <c r="A7" s="114" t="s">
        <v>117</v>
      </c>
      <c r="B7" s="115">
        <v>28</v>
      </c>
      <c r="C7" s="116" t="s">
        <v>118</v>
      </c>
      <c r="F7" s="107"/>
      <c r="O7" s="93"/>
      <c r="P7" s="93"/>
      <c r="Q7" s="93"/>
      <c r="R7" s="93"/>
      <c r="S7" s="93"/>
      <c r="T7" s="93"/>
      <c r="U7" s="93"/>
      <c r="V7" s="93"/>
      <c r="W7" s="111"/>
      <c r="X7" s="111"/>
      <c r="Y7" s="111"/>
      <c r="Z7" s="111"/>
      <c r="AA7" s="111"/>
      <c r="AB7" s="111"/>
      <c r="AC7" s="112" t="s">
        <v>119</v>
      </c>
      <c r="AD7" s="112">
        <v>2</v>
      </c>
      <c r="AE7" s="112">
        <v>32</v>
      </c>
      <c r="AF7" s="117">
        <v>6.4</v>
      </c>
      <c r="AG7" s="118">
        <v>0.25</v>
      </c>
      <c r="AI7" s="93"/>
      <c r="AJ7" s="93"/>
      <c r="AK7" s="93"/>
      <c r="AL7" s="93"/>
      <c r="AM7" s="93"/>
      <c r="AN7" s="93"/>
    </row>
    <row r="8" spans="1:40" x14ac:dyDescent="0.3">
      <c r="A8" s="119" t="s">
        <v>120</v>
      </c>
      <c r="B8" s="120" t="s">
        <v>121</v>
      </c>
      <c r="C8" s="121" t="s">
        <v>122</v>
      </c>
      <c r="F8" s="107"/>
      <c r="O8" s="93"/>
      <c r="P8" s="93"/>
      <c r="Q8" s="93"/>
      <c r="R8" s="93"/>
      <c r="S8" s="93"/>
      <c r="T8" s="93"/>
      <c r="U8" s="93"/>
      <c r="V8" s="93"/>
      <c r="W8" s="111"/>
      <c r="X8" s="111"/>
      <c r="Y8" s="111"/>
      <c r="Z8" s="111"/>
      <c r="AA8" s="111"/>
      <c r="AB8" s="111"/>
      <c r="AC8" s="112" t="s">
        <v>123</v>
      </c>
      <c r="AD8" s="112">
        <v>3</v>
      </c>
      <c r="AE8" s="112">
        <v>71</v>
      </c>
      <c r="AF8" s="117">
        <v>9.5</v>
      </c>
      <c r="AG8" s="118">
        <v>0.56000000000000005</v>
      </c>
      <c r="AI8" s="93"/>
      <c r="AJ8" s="93"/>
      <c r="AK8" s="93"/>
      <c r="AL8" s="93"/>
      <c r="AM8" s="93"/>
      <c r="AN8" s="93"/>
    </row>
    <row r="9" spans="1:40" x14ac:dyDescent="0.3">
      <c r="A9" s="122" t="s">
        <v>124</v>
      </c>
      <c r="B9" s="123">
        <f>IF(B8="Concreto normal",1,0.85)</f>
        <v>1</v>
      </c>
      <c r="C9" s="124"/>
      <c r="F9" s="107"/>
      <c r="O9" s="93"/>
      <c r="P9" s="93"/>
      <c r="Q9" s="93"/>
      <c r="R9" s="93"/>
      <c r="S9" s="93"/>
      <c r="T9" s="93"/>
      <c r="U9" s="93"/>
      <c r="V9" s="93"/>
      <c r="W9" s="111"/>
      <c r="X9" s="111"/>
      <c r="Y9" s="111"/>
      <c r="Z9" s="111"/>
      <c r="AA9" s="111"/>
      <c r="AB9" s="111"/>
      <c r="AC9" s="112" t="s">
        <v>125</v>
      </c>
      <c r="AD9" s="112">
        <v>4</v>
      </c>
      <c r="AE9" s="112">
        <v>129</v>
      </c>
      <c r="AF9" s="117">
        <v>12.7</v>
      </c>
      <c r="AG9" s="112">
        <v>0.99399999999999999</v>
      </c>
      <c r="AI9" s="93"/>
      <c r="AJ9" s="93"/>
      <c r="AK9" s="93"/>
      <c r="AL9" s="93"/>
      <c r="AM9" s="93"/>
      <c r="AN9" s="93"/>
    </row>
    <row r="10" spans="1:40" ht="16.2" x14ac:dyDescent="0.3">
      <c r="A10" s="125" t="s">
        <v>126</v>
      </c>
      <c r="B10" s="126">
        <v>420</v>
      </c>
      <c r="C10" s="127" t="s">
        <v>127</v>
      </c>
      <c r="F10" s="107"/>
      <c r="O10" s="93"/>
      <c r="P10" s="93"/>
      <c r="Q10" s="93"/>
      <c r="R10" s="93"/>
      <c r="S10" s="93"/>
      <c r="T10" s="93"/>
      <c r="U10" s="93"/>
      <c r="V10" s="93"/>
      <c r="W10" s="111"/>
      <c r="X10" s="111"/>
      <c r="Y10" s="111"/>
      <c r="Z10" s="111"/>
      <c r="AA10" s="111"/>
      <c r="AB10" s="111"/>
      <c r="AC10" s="112" t="s">
        <v>128</v>
      </c>
      <c r="AD10" s="112">
        <v>5</v>
      </c>
      <c r="AE10" s="112">
        <v>199</v>
      </c>
      <c r="AF10" s="117">
        <v>15.9</v>
      </c>
      <c r="AG10" s="112">
        <v>1.552</v>
      </c>
      <c r="AI10" s="93"/>
      <c r="AJ10" s="93"/>
      <c r="AK10" s="93"/>
      <c r="AL10" s="93"/>
      <c r="AM10" s="93"/>
      <c r="AN10" s="93"/>
    </row>
    <row r="11" spans="1:40" x14ac:dyDescent="0.3">
      <c r="A11" s="128"/>
      <c r="B11" s="102"/>
      <c r="F11" s="107"/>
      <c r="O11" s="93"/>
      <c r="P11" s="93"/>
      <c r="Q11" s="93"/>
      <c r="R11" s="93"/>
      <c r="S11" s="93"/>
      <c r="T11" s="93"/>
      <c r="U11" s="93"/>
      <c r="V11" s="93"/>
      <c r="W11" s="111"/>
      <c r="X11" s="111"/>
      <c r="Y11" s="111"/>
      <c r="Z11" s="111"/>
      <c r="AA11" s="111"/>
      <c r="AB11" s="111"/>
      <c r="AC11" s="112" t="s">
        <v>129</v>
      </c>
      <c r="AD11" s="112">
        <v>6</v>
      </c>
      <c r="AE11" s="112">
        <v>287</v>
      </c>
      <c r="AF11" s="117">
        <v>19.100000000000001</v>
      </c>
      <c r="AG11" s="112">
        <v>2.2349999999999999</v>
      </c>
      <c r="AI11" s="93"/>
      <c r="AJ11" s="93"/>
      <c r="AK11" s="93"/>
      <c r="AL11" s="93"/>
      <c r="AM11" s="93"/>
      <c r="AN11" s="93"/>
    </row>
    <row r="12" spans="1:40" x14ac:dyDescent="0.3">
      <c r="A12" s="125" t="s">
        <v>130</v>
      </c>
      <c r="B12" s="109">
        <v>0.9</v>
      </c>
      <c r="C12" s="127" t="s">
        <v>131</v>
      </c>
      <c r="F12" s="107"/>
      <c r="O12" s="93"/>
      <c r="P12" s="93"/>
      <c r="Q12" s="93"/>
      <c r="R12" s="93"/>
      <c r="S12" s="93"/>
      <c r="T12" s="93"/>
      <c r="U12" s="93"/>
      <c r="V12" s="93"/>
      <c r="W12" s="111"/>
      <c r="X12" s="111"/>
      <c r="Y12" s="111"/>
      <c r="Z12" s="111"/>
      <c r="AA12" s="111"/>
      <c r="AB12" s="111"/>
      <c r="AC12" s="112" t="s">
        <v>132</v>
      </c>
      <c r="AD12" s="112">
        <v>7</v>
      </c>
      <c r="AE12" s="112">
        <v>387</v>
      </c>
      <c r="AF12" s="117">
        <v>22.2</v>
      </c>
      <c r="AG12" s="112">
        <v>3.0419999999999998</v>
      </c>
      <c r="AI12" s="93"/>
      <c r="AJ12" s="93"/>
      <c r="AK12" s="93"/>
      <c r="AL12" s="93"/>
      <c r="AM12" s="93"/>
      <c r="AN12" s="93"/>
    </row>
    <row r="13" spans="1:40" x14ac:dyDescent="0.3">
      <c r="A13" s="108" t="s">
        <v>133</v>
      </c>
      <c r="B13" s="109">
        <v>0.05</v>
      </c>
      <c r="C13" s="110" t="s">
        <v>134</v>
      </c>
      <c r="F13" s="107"/>
      <c r="O13" s="93"/>
      <c r="P13" s="93"/>
      <c r="Q13" s="93"/>
      <c r="R13" s="93"/>
      <c r="S13" s="93"/>
      <c r="T13" s="93"/>
      <c r="U13" s="93"/>
      <c r="V13" s="93"/>
      <c r="W13" s="111"/>
      <c r="X13" s="111"/>
      <c r="Y13" s="111"/>
      <c r="Z13" s="111"/>
      <c r="AA13" s="111"/>
      <c r="AB13" s="111"/>
      <c r="AC13" s="112" t="s">
        <v>135</v>
      </c>
      <c r="AD13" s="112">
        <v>8</v>
      </c>
      <c r="AE13" s="112">
        <v>507</v>
      </c>
      <c r="AF13" s="117">
        <v>25.4</v>
      </c>
      <c r="AG13" s="112">
        <v>3.9729999999999999</v>
      </c>
      <c r="AI13" s="93"/>
      <c r="AJ13" s="93"/>
      <c r="AK13" s="93"/>
      <c r="AL13" s="93"/>
      <c r="AM13" s="93"/>
      <c r="AN13" s="93"/>
    </row>
    <row r="14" spans="1:40" x14ac:dyDescent="0.3">
      <c r="A14" s="129" t="s">
        <v>136</v>
      </c>
      <c r="B14" s="130">
        <f>0.62*SQRT(B7)*B9</f>
        <v>3.2807316257200925</v>
      </c>
      <c r="C14" s="131" t="s">
        <v>137</v>
      </c>
      <c r="F14" s="107"/>
      <c r="O14" s="93"/>
      <c r="P14" s="93"/>
      <c r="Q14" s="93"/>
      <c r="R14" s="93"/>
      <c r="S14" s="93"/>
      <c r="T14" s="93"/>
      <c r="U14" s="93"/>
      <c r="V14" s="93"/>
      <c r="W14" s="111"/>
      <c r="X14" s="111"/>
      <c r="Y14" s="111"/>
      <c r="Z14" s="111"/>
      <c r="AA14" s="111"/>
      <c r="AB14" s="111"/>
      <c r="AC14" s="112" t="s">
        <v>138</v>
      </c>
      <c r="AD14" s="112">
        <v>9</v>
      </c>
      <c r="AE14" s="112">
        <v>647</v>
      </c>
      <c r="AF14" s="117">
        <v>28.7</v>
      </c>
      <c r="AG14" s="112">
        <v>5.0599999999999996</v>
      </c>
      <c r="AI14" s="93"/>
      <c r="AJ14" s="93"/>
      <c r="AK14" s="93"/>
      <c r="AL14" s="93"/>
      <c r="AM14" s="93"/>
      <c r="AN14" s="93"/>
    </row>
    <row r="15" spans="1:40" ht="15" thickBot="1" x14ac:dyDescent="0.35">
      <c r="B15" s="102"/>
      <c r="F15" s="107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111"/>
      <c r="AB15" s="111"/>
      <c r="AC15" s="112" t="s">
        <v>139</v>
      </c>
      <c r="AD15" s="112">
        <v>10</v>
      </c>
      <c r="AE15" s="112">
        <v>819</v>
      </c>
      <c r="AF15" s="117">
        <v>32.299999999999997</v>
      </c>
      <c r="AG15" s="112">
        <v>6.4039999999999999</v>
      </c>
      <c r="AI15" s="93"/>
      <c r="AJ15" s="93"/>
      <c r="AK15" s="93"/>
      <c r="AL15" s="93"/>
      <c r="AM15" s="93"/>
      <c r="AN15" s="93"/>
    </row>
    <row r="16" spans="1:40" ht="16.2" thickBot="1" x14ac:dyDescent="0.35">
      <c r="A16" s="132" t="s">
        <v>140</v>
      </c>
      <c r="B16" s="133"/>
      <c r="C16" s="133"/>
      <c r="D16" s="133"/>
      <c r="E16" s="133"/>
      <c r="F16" s="134"/>
      <c r="G16" s="135"/>
      <c r="H16" s="135"/>
      <c r="I16" s="135"/>
      <c r="J16" s="135"/>
      <c r="K16" s="135"/>
      <c r="L16" s="135"/>
      <c r="M16" s="135"/>
      <c r="N16" s="135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111"/>
      <c r="AB16" s="111"/>
      <c r="AC16" s="112" t="s">
        <v>141</v>
      </c>
      <c r="AD16" s="112">
        <v>11</v>
      </c>
      <c r="AE16" s="112">
        <v>1007</v>
      </c>
      <c r="AF16" s="117">
        <v>35.799999999999997</v>
      </c>
      <c r="AG16" s="112">
        <v>7.907</v>
      </c>
      <c r="AI16" s="93"/>
      <c r="AJ16" s="93"/>
      <c r="AK16" s="93"/>
      <c r="AL16" s="93"/>
      <c r="AM16" s="93"/>
      <c r="AN16" s="93"/>
    </row>
    <row r="17" spans="1:40" x14ac:dyDescent="0.3">
      <c r="A17" s="108" t="s">
        <v>142</v>
      </c>
      <c r="B17" s="109">
        <v>65.959999999999994</v>
      </c>
      <c r="C17" s="110" t="s">
        <v>143</v>
      </c>
      <c r="F17" s="107"/>
      <c r="O17" s="93"/>
      <c r="P17" s="136" t="s">
        <v>144</v>
      </c>
      <c r="Q17" s="137"/>
      <c r="R17" s="137"/>
      <c r="S17" s="137"/>
      <c r="T17" s="138"/>
      <c r="U17" s="139"/>
      <c r="V17" s="136" t="s">
        <v>145</v>
      </c>
      <c r="W17" s="137"/>
      <c r="X17" s="137"/>
      <c r="Y17" s="140"/>
      <c r="Z17" s="141"/>
      <c r="AA17" s="111"/>
      <c r="AB17" s="111"/>
      <c r="AC17" s="112" t="s">
        <v>146</v>
      </c>
      <c r="AD17" s="112">
        <v>14</v>
      </c>
      <c r="AE17" s="112">
        <v>1452</v>
      </c>
      <c r="AF17" s="117">
        <v>43</v>
      </c>
      <c r="AG17" s="112">
        <v>11.38</v>
      </c>
      <c r="AH17" s="142"/>
      <c r="AI17" s="93"/>
      <c r="AJ17" s="93"/>
      <c r="AK17" s="93"/>
      <c r="AL17" s="93"/>
      <c r="AM17" s="93"/>
      <c r="AN17" s="93"/>
    </row>
    <row r="18" spans="1:40" x14ac:dyDescent="0.3">
      <c r="A18" s="108" t="s">
        <v>147</v>
      </c>
      <c r="B18" s="109">
        <v>149.62</v>
      </c>
      <c r="C18" s="110" t="s">
        <v>148</v>
      </c>
      <c r="F18" s="107"/>
      <c r="O18" s="93"/>
      <c r="P18" s="143"/>
      <c r="Q18" s="111"/>
      <c r="R18" s="111"/>
      <c r="S18" s="111"/>
      <c r="T18" s="144"/>
      <c r="U18" s="111"/>
      <c r="V18" s="143"/>
      <c r="W18" s="111"/>
      <c r="X18" s="111"/>
      <c r="Y18" s="111"/>
      <c r="Z18" s="144"/>
      <c r="AA18" s="111"/>
      <c r="AB18" s="111"/>
      <c r="AC18" s="112" t="s">
        <v>149</v>
      </c>
      <c r="AD18" s="112">
        <v>18</v>
      </c>
      <c r="AE18" s="112">
        <v>2581</v>
      </c>
      <c r="AF18" s="117">
        <v>57.3</v>
      </c>
      <c r="AG18" s="112">
        <v>20.239999999999998</v>
      </c>
      <c r="AH18" s="142"/>
    </row>
    <row r="19" spans="1:40" x14ac:dyDescent="0.3">
      <c r="A19" s="108" t="s">
        <v>150</v>
      </c>
      <c r="B19" s="109">
        <v>98.86</v>
      </c>
      <c r="C19" s="110" t="s">
        <v>151</v>
      </c>
      <c r="F19" s="107"/>
      <c r="O19" s="93"/>
      <c r="P19" s="143"/>
      <c r="Q19" s="111"/>
      <c r="R19" s="111"/>
      <c r="S19" s="111"/>
      <c r="T19" s="144"/>
      <c r="U19" s="111"/>
      <c r="V19" s="143"/>
      <c r="W19" s="111"/>
      <c r="X19" s="111"/>
      <c r="Y19" s="111"/>
      <c r="Z19" s="144"/>
      <c r="AA19" s="111"/>
    </row>
    <row r="20" spans="1:40" x14ac:dyDescent="0.3">
      <c r="A20" s="108" t="s">
        <v>152</v>
      </c>
      <c r="B20" s="109">
        <f>+[5]Dinámico!T4</f>
        <v>49.581119999999999</v>
      </c>
      <c r="C20" s="110" t="s">
        <v>153</v>
      </c>
      <c r="F20" s="107"/>
      <c r="O20" s="93"/>
      <c r="P20" s="143"/>
      <c r="Q20" s="111"/>
      <c r="R20" s="111"/>
      <c r="S20" s="111"/>
      <c r="T20" s="144"/>
      <c r="U20" s="111"/>
      <c r="V20" s="143"/>
      <c r="W20" s="111"/>
      <c r="X20" s="111"/>
      <c r="Y20" s="111"/>
      <c r="Z20" s="144"/>
      <c r="AA20" s="111"/>
    </row>
    <row r="21" spans="1:40" ht="15" thickBot="1" x14ac:dyDescent="0.35">
      <c r="B21" s="102"/>
      <c r="F21" s="107"/>
      <c r="O21" s="93"/>
      <c r="P21" s="143"/>
      <c r="Q21" s="111"/>
      <c r="R21" s="111"/>
      <c r="S21" s="111"/>
      <c r="T21" s="144"/>
      <c r="U21" s="111"/>
      <c r="V21" s="143"/>
      <c r="W21" s="111"/>
      <c r="X21" s="111"/>
      <c r="Y21" s="111"/>
      <c r="Z21" s="144"/>
      <c r="AA21" s="111"/>
    </row>
    <row r="22" spans="1:40" x14ac:dyDescent="0.3">
      <c r="A22" s="145" t="s">
        <v>154</v>
      </c>
      <c r="B22" s="146"/>
      <c r="C22" s="146"/>
      <c r="D22" s="146"/>
      <c r="E22" s="146"/>
      <c r="F22" s="147"/>
      <c r="G22" s="148" t="s">
        <v>155</v>
      </c>
      <c r="H22" s="149"/>
      <c r="I22" s="149"/>
      <c r="J22" s="149"/>
      <c r="K22" s="149"/>
      <c r="L22" s="150"/>
      <c r="M22" s="151"/>
      <c r="N22" s="151"/>
      <c r="P22" s="143"/>
      <c r="Q22" s="111"/>
      <c r="R22" s="111"/>
      <c r="S22" s="111"/>
      <c r="T22" s="144"/>
      <c r="U22" s="111"/>
      <c r="V22" s="143"/>
      <c r="W22" s="111"/>
      <c r="X22" s="111"/>
      <c r="Y22" s="111"/>
      <c r="Z22" s="144"/>
      <c r="AA22" s="111"/>
    </row>
    <row r="23" spans="1:40" x14ac:dyDescent="0.3">
      <c r="A23" s="129" t="s">
        <v>156</v>
      </c>
      <c r="B23" s="152">
        <f>ROUND(B6-(B13+(VLOOKUP(B67,AD6:AF18,3))/1000+(VLOOKUP(B32,AD6:AF18,3)/2/1000)),3)</f>
        <v>1.425</v>
      </c>
      <c r="C23" s="153" t="s">
        <v>157</v>
      </c>
      <c r="F23" s="107"/>
      <c r="G23" s="129" t="s">
        <v>156</v>
      </c>
      <c r="H23" s="152">
        <f>+B23</f>
        <v>1.425</v>
      </c>
      <c r="I23" s="153" t="s">
        <v>157</v>
      </c>
      <c r="L23" s="107"/>
      <c r="P23" s="143"/>
      <c r="Q23" s="111"/>
      <c r="R23" s="111"/>
      <c r="S23" s="111"/>
      <c r="T23" s="144"/>
      <c r="U23" s="111"/>
      <c r="V23" s="143"/>
      <c r="W23" s="111"/>
      <c r="X23" s="111"/>
      <c r="Y23" s="111"/>
      <c r="Z23" s="144"/>
      <c r="AA23" s="111"/>
    </row>
    <row r="24" spans="1:40" ht="15" customHeight="1" x14ac:dyDescent="0.3">
      <c r="A24" s="154" t="s">
        <v>158</v>
      </c>
      <c r="B24" s="155">
        <f>1.6*0.75*((B5*B6^2)*(100)*B14/6)</f>
        <v>236.2126770518467</v>
      </c>
      <c r="C24" s="156" t="s">
        <v>159</v>
      </c>
      <c r="D24" s="157" t="s">
        <v>160</v>
      </c>
      <c r="E24" s="158"/>
      <c r="F24" s="159"/>
      <c r="G24" s="154" t="s">
        <v>158</v>
      </c>
      <c r="H24" s="130">
        <f>1.6*0.75*((B5*B6^2)*(100)*B14/6)</f>
        <v>236.2126770518467</v>
      </c>
      <c r="I24" s="156" t="s">
        <v>159</v>
      </c>
      <c r="J24" s="160" t="s">
        <v>161</v>
      </c>
      <c r="K24" s="161"/>
      <c r="L24" s="107"/>
      <c r="M24" s="162"/>
      <c r="N24" s="162"/>
      <c r="P24" s="143"/>
      <c r="Q24" s="111"/>
      <c r="R24" s="111"/>
      <c r="S24" s="111"/>
      <c r="T24" s="144"/>
      <c r="U24" s="111"/>
      <c r="V24" s="143"/>
      <c r="W24" s="111"/>
      <c r="X24" s="111"/>
      <c r="Y24" s="111"/>
      <c r="Z24" s="144"/>
      <c r="AA24" s="111"/>
    </row>
    <row r="25" spans="1:40" x14ac:dyDescent="0.3">
      <c r="A25" s="129" t="s">
        <v>162</v>
      </c>
      <c r="B25" s="130">
        <f>1.33*B19</f>
        <v>131.4838</v>
      </c>
      <c r="C25" s="131" t="s">
        <v>163</v>
      </c>
      <c r="D25" s="163"/>
      <c r="E25" s="164"/>
      <c r="F25" s="159"/>
      <c r="G25" s="129" t="s">
        <v>162</v>
      </c>
      <c r="H25" s="130">
        <f>1.33*B20</f>
        <v>65.942889600000001</v>
      </c>
      <c r="I25" s="131" t="s">
        <v>163</v>
      </c>
      <c r="J25" s="163"/>
      <c r="K25" s="164"/>
      <c r="L25" s="107"/>
      <c r="M25" s="162"/>
      <c r="N25" s="162"/>
      <c r="P25" s="143"/>
      <c r="Q25" s="111"/>
      <c r="R25" s="111"/>
      <c r="S25" s="111"/>
      <c r="T25" s="144"/>
      <c r="U25" s="111"/>
      <c r="V25" s="143"/>
      <c r="W25" s="111"/>
      <c r="X25" s="111"/>
      <c r="Y25" s="111"/>
      <c r="Z25" s="144"/>
      <c r="AA25" s="111"/>
    </row>
    <row r="26" spans="1:40" x14ac:dyDescent="0.3">
      <c r="A26" s="129" t="s">
        <v>164</v>
      </c>
      <c r="B26" s="130">
        <f>B10/(0.85*B7)</f>
        <v>17.647058823529409</v>
      </c>
      <c r="C26" s="131"/>
      <c r="D26" s="162"/>
      <c r="E26" s="165"/>
      <c r="F26" s="159"/>
      <c r="G26" s="129" t="s">
        <v>164</v>
      </c>
      <c r="H26" s="130">
        <f>B10/(0.85*B7)</f>
        <v>17.647058823529409</v>
      </c>
      <c r="I26" s="131"/>
      <c r="K26" s="166"/>
      <c r="L26" s="107"/>
      <c r="M26" s="162"/>
      <c r="N26" s="162"/>
      <c r="P26" s="143"/>
      <c r="Q26" s="111"/>
      <c r="R26" s="111"/>
      <c r="S26" s="111"/>
      <c r="T26" s="144"/>
      <c r="U26" s="111"/>
      <c r="V26" s="143"/>
      <c r="W26" s="111"/>
      <c r="X26" s="111"/>
      <c r="Y26" s="111"/>
      <c r="Z26" s="144"/>
      <c r="AA26" s="111"/>
      <c r="AB26" s="111"/>
      <c r="AG26" s="111"/>
      <c r="AH26" s="142"/>
    </row>
    <row r="27" spans="1:40" x14ac:dyDescent="0.3">
      <c r="A27" s="129" t="s">
        <v>165</v>
      </c>
      <c r="B27" s="130">
        <f>B19*100000/(B5*100*(B23*100)^2)</f>
        <v>3.0427823945829484</v>
      </c>
      <c r="C27" s="131"/>
      <c r="D27" s="162"/>
      <c r="E27" s="165"/>
      <c r="F27" s="159"/>
      <c r="G27" s="129" t="s">
        <v>165</v>
      </c>
      <c r="H27" s="130">
        <f>B20*100000/(B5*100*(B23*100)^2)</f>
        <v>1.5260424746075716</v>
      </c>
      <c r="I27" s="131"/>
      <c r="K27" s="166"/>
      <c r="L27" s="107"/>
      <c r="M27" s="162"/>
      <c r="N27" s="162"/>
      <c r="P27" s="143"/>
      <c r="Q27" s="111"/>
      <c r="R27" s="111"/>
      <c r="S27" s="111"/>
      <c r="T27" s="144"/>
      <c r="U27" s="111"/>
      <c r="V27" s="143"/>
      <c r="W27" s="111"/>
      <c r="X27" s="111"/>
      <c r="Y27" s="111"/>
      <c r="Z27" s="144"/>
      <c r="AA27" s="111"/>
      <c r="AB27" s="111"/>
      <c r="AG27" s="111"/>
      <c r="AH27" s="142"/>
    </row>
    <row r="28" spans="1:40" ht="15.6" x14ac:dyDescent="0.3">
      <c r="A28" s="167" t="s">
        <v>166</v>
      </c>
      <c r="B28" s="168">
        <f>(1/B26)*(1-((1-2*B26*(MIN(B24,B25)*100000/(B5*100*(B23*100)^2))/(B12*B10*10))^(1/2)))</f>
        <v>1.0809178862888635E-3</v>
      </c>
      <c r="C28" s="131" t="s">
        <v>167</v>
      </c>
      <c r="D28" s="162"/>
      <c r="E28" s="165"/>
      <c r="F28" s="159"/>
      <c r="G28" s="167" t="s">
        <v>166</v>
      </c>
      <c r="H28" s="169">
        <f>(1/H26)*(1-((1-2*H26*(MIN(H24,H25)*100000/(B5*100*(B23*100)^2))/(B12*B10*10))^(1/2)))</f>
        <v>5.3950913635594723E-4</v>
      </c>
      <c r="I28" s="131" t="s">
        <v>167</v>
      </c>
      <c r="K28" s="166"/>
      <c r="L28" s="107"/>
      <c r="M28" s="162"/>
      <c r="N28" s="162"/>
      <c r="P28" s="143"/>
      <c r="Q28" s="111"/>
      <c r="R28" s="111"/>
      <c r="S28" s="111"/>
      <c r="T28" s="144"/>
      <c r="U28" s="111"/>
      <c r="V28" s="143"/>
      <c r="W28" s="111"/>
      <c r="X28" s="111"/>
      <c r="Y28" s="111"/>
      <c r="Z28" s="144"/>
      <c r="AA28" s="111"/>
      <c r="AB28" s="111"/>
      <c r="AG28" s="111"/>
      <c r="AH28" s="142"/>
    </row>
    <row r="29" spans="1:40" x14ac:dyDescent="0.3">
      <c r="A29" s="170" t="s">
        <v>168</v>
      </c>
      <c r="B29" s="168">
        <f>(1/B26)*(1-((1-2*B26*B27/(B12*B10*10))^(1/2)))</f>
        <v>8.1076900253347541E-4</v>
      </c>
      <c r="C29" s="131" t="s">
        <v>169</v>
      </c>
      <c r="D29" s="162"/>
      <c r="E29" s="165"/>
      <c r="F29" s="159"/>
      <c r="G29" s="170" t="s">
        <v>168</v>
      </c>
      <c r="H29" s="169">
        <f>(1/H26)*(1-((1-2*H26*H27/(B12*B10*10))^(1/2)))</f>
        <v>4.0516338776163085E-4</v>
      </c>
      <c r="I29" s="131" t="s">
        <v>169</v>
      </c>
      <c r="K29" s="166"/>
      <c r="L29" s="107"/>
      <c r="M29" s="162"/>
      <c r="N29" s="162"/>
      <c r="P29" s="143"/>
      <c r="Q29" s="111"/>
      <c r="R29" s="111"/>
      <c r="S29" s="111"/>
      <c r="T29" s="144"/>
      <c r="U29" s="111"/>
      <c r="V29" s="143"/>
      <c r="W29" s="111"/>
      <c r="X29" s="111"/>
      <c r="Y29" s="111"/>
      <c r="Z29" s="144"/>
      <c r="AA29" s="111"/>
      <c r="AB29" s="111"/>
      <c r="AG29" s="111"/>
      <c r="AH29" s="142"/>
    </row>
    <row r="30" spans="1:40" ht="15.6" x14ac:dyDescent="0.3">
      <c r="A30" s="167" t="s">
        <v>170</v>
      </c>
      <c r="B30" s="168">
        <f>MAX(B28:B29)</f>
        <v>1.0809178862888635E-3</v>
      </c>
      <c r="C30" s="131" t="s">
        <v>171</v>
      </c>
      <c r="D30" s="162"/>
      <c r="E30" s="165"/>
      <c r="F30" s="159"/>
      <c r="G30" s="167" t="s">
        <v>170</v>
      </c>
      <c r="H30" s="169">
        <f>MAX(H28:H29)</f>
        <v>5.3950913635594723E-4</v>
      </c>
      <c r="I30" s="131" t="s">
        <v>171</v>
      </c>
      <c r="K30" s="166"/>
      <c r="L30" s="107"/>
      <c r="M30" s="162"/>
      <c r="N30" s="162"/>
      <c r="P30" s="143"/>
      <c r="Q30" s="111"/>
      <c r="R30" s="111"/>
      <c r="S30" s="111"/>
      <c r="T30" s="144"/>
      <c r="U30" s="111"/>
      <c r="V30" s="143"/>
      <c r="W30" s="111"/>
      <c r="X30" s="111"/>
      <c r="Y30" s="111"/>
      <c r="Z30" s="144"/>
      <c r="AA30" s="111"/>
      <c r="AB30" s="111"/>
      <c r="AG30" s="111"/>
      <c r="AH30" s="142"/>
    </row>
    <row r="31" spans="1:40" ht="17.25" customHeight="1" x14ac:dyDescent="0.3">
      <c r="A31" s="129" t="s">
        <v>172</v>
      </c>
      <c r="B31" s="130">
        <f>B30*B5*100*B23*100</f>
        <v>24.64492780738609</v>
      </c>
      <c r="C31" s="131" t="s">
        <v>173</v>
      </c>
      <c r="D31" s="162"/>
      <c r="E31" s="171"/>
      <c r="F31" s="172"/>
      <c r="G31" s="129" t="s">
        <v>172</v>
      </c>
      <c r="H31" s="130">
        <f>H30*B5*100*B23*100</f>
        <v>12.300808308915597</v>
      </c>
      <c r="I31" s="131" t="s">
        <v>173</v>
      </c>
      <c r="K31" s="173"/>
      <c r="L31" s="174"/>
      <c r="M31" s="171"/>
      <c r="N31" s="171"/>
      <c r="P31" s="143"/>
      <c r="Q31" s="111"/>
      <c r="R31" s="111"/>
      <c r="S31" s="111"/>
      <c r="T31" s="144"/>
      <c r="U31" s="111"/>
      <c r="V31" s="143"/>
      <c r="W31" s="111"/>
      <c r="X31" s="111"/>
      <c r="Y31" s="111"/>
      <c r="Z31" s="144"/>
      <c r="AA31" s="111"/>
      <c r="AB31" s="111"/>
      <c r="AH31" s="142"/>
    </row>
    <row r="32" spans="1:40" x14ac:dyDescent="0.3">
      <c r="A32" s="119" t="s">
        <v>174</v>
      </c>
      <c r="B32" s="175">
        <v>8</v>
      </c>
      <c r="C32" s="176" t="s">
        <v>175</v>
      </c>
      <c r="D32" s="162"/>
      <c r="E32" s="162"/>
      <c r="F32" s="159"/>
      <c r="G32" s="119" t="s">
        <v>174</v>
      </c>
      <c r="H32" s="175">
        <v>8</v>
      </c>
      <c r="I32" s="176" t="s">
        <v>175</v>
      </c>
      <c r="L32" s="107"/>
      <c r="M32" s="162"/>
      <c r="N32" s="162"/>
      <c r="P32" s="143"/>
      <c r="Q32" s="111"/>
      <c r="R32" s="111"/>
      <c r="S32" s="111"/>
      <c r="T32" s="144"/>
      <c r="U32" s="111"/>
      <c r="V32" s="143"/>
      <c r="W32" s="111"/>
      <c r="X32" s="111"/>
      <c r="Y32" s="111"/>
      <c r="Z32" s="144"/>
      <c r="AH32" s="142"/>
    </row>
    <row r="33" spans="1:39" ht="15.6" x14ac:dyDescent="0.3">
      <c r="A33" s="129" t="s">
        <v>176</v>
      </c>
      <c r="B33" s="177">
        <f>ROUNDUP(B31/(VLOOKUP($B$32,AD6:AE22,2)/100),0)</f>
        <v>5</v>
      </c>
      <c r="C33" s="124" t="s">
        <v>177</v>
      </c>
      <c r="D33" s="178" t="s">
        <v>178</v>
      </c>
      <c r="E33" s="162">
        <f>0.0018*B5*B6*100^2/(2*B5*100+2*B6*100)</f>
        <v>6.9677419354838718E-2</v>
      </c>
      <c r="F33" s="159"/>
      <c r="G33" s="129" t="s">
        <v>176</v>
      </c>
      <c r="H33" s="177">
        <f>ROUNDUP(H31/(VLOOKUP($H$32,AD6:AE22,2)/100),0)</f>
        <v>3</v>
      </c>
      <c r="I33" s="124" t="s">
        <v>177</v>
      </c>
      <c r="L33" s="107"/>
      <c r="M33" s="162"/>
      <c r="N33" s="162"/>
      <c r="P33" s="143"/>
      <c r="Q33" s="111"/>
      <c r="R33" s="111"/>
      <c r="S33" s="111"/>
      <c r="T33" s="144"/>
      <c r="U33" s="111"/>
      <c r="V33" s="143"/>
      <c r="W33" s="111"/>
      <c r="X33" s="111"/>
      <c r="Y33" s="111"/>
      <c r="Z33" s="144"/>
      <c r="AH33" s="142"/>
    </row>
    <row r="34" spans="1:39" ht="15.6" x14ac:dyDescent="0.3">
      <c r="A34" s="119" t="s">
        <v>179</v>
      </c>
      <c r="B34" s="179">
        <v>5</v>
      </c>
      <c r="C34" s="176" t="s">
        <v>180</v>
      </c>
      <c r="D34" s="178" t="s">
        <v>181</v>
      </c>
      <c r="E34" s="162">
        <f>E33*B5*100</f>
        <v>11.148387096774195</v>
      </c>
      <c r="F34" s="159"/>
      <c r="G34" s="119" t="s">
        <v>179</v>
      </c>
      <c r="H34" s="179">
        <v>5</v>
      </c>
      <c r="I34" s="176" t="s">
        <v>180</v>
      </c>
      <c r="L34" s="107"/>
      <c r="M34" s="162"/>
      <c r="N34" s="162"/>
      <c r="P34" s="143"/>
      <c r="Q34" s="111"/>
      <c r="R34" s="111"/>
      <c r="S34" s="111"/>
      <c r="T34" s="144"/>
      <c r="U34" s="111"/>
      <c r="V34" s="143"/>
      <c r="W34" s="111"/>
      <c r="X34" s="111"/>
      <c r="Y34" s="111"/>
      <c r="Z34" s="144"/>
      <c r="AH34" s="162"/>
      <c r="AM34" s="111"/>
    </row>
    <row r="35" spans="1:39" ht="16.2" x14ac:dyDescent="0.3">
      <c r="A35" s="129" t="s">
        <v>182</v>
      </c>
      <c r="B35" s="130">
        <f>B34*VLOOKUP($B$32,AD6:AE22,2)/100</f>
        <v>25.35</v>
      </c>
      <c r="C35" s="131" t="s">
        <v>183</v>
      </c>
      <c r="D35" s="180" t="str">
        <f>IF(B35&gt;E34,"Cumple","Aumentar area de refuerzo")</f>
        <v>Cumple</v>
      </c>
      <c r="E35" s="181"/>
      <c r="F35" s="182"/>
      <c r="G35" s="129" t="s">
        <v>182</v>
      </c>
      <c r="H35" s="130">
        <f>H34*VLOOKUP($H$32,AD6:AE22,2)/100</f>
        <v>25.35</v>
      </c>
      <c r="I35" s="131" t="s">
        <v>183</v>
      </c>
      <c r="J35" s="183" t="str">
        <f>IF(H35&gt;E34,"Cumple","Aumentar area de refuerzo")</f>
        <v>Cumple</v>
      </c>
      <c r="K35" s="83"/>
      <c r="L35" s="107"/>
      <c r="M35" s="184"/>
      <c r="N35" s="184"/>
      <c r="P35" s="143"/>
      <c r="Q35" s="111"/>
      <c r="R35" s="111"/>
      <c r="S35" s="111"/>
      <c r="T35" s="144"/>
      <c r="U35" s="111"/>
      <c r="V35" s="143"/>
      <c r="W35" s="111"/>
      <c r="X35" s="111"/>
      <c r="Y35" s="111"/>
      <c r="Z35" s="144"/>
      <c r="AM35" s="111"/>
    </row>
    <row r="36" spans="1:39" ht="16.2" thickBot="1" x14ac:dyDescent="0.35">
      <c r="A36" s="167" t="s">
        <v>184</v>
      </c>
      <c r="B36" s="169">
        <f>B35/10000/(B5*B23)</f>
        <v>1.1118421052631578E-3</v>
      </c>
      <c r="C36" s="124" t="s">
        <v>185</v>
      </c>
      <c r="D36" s="185" t="str">
        <f>IF(AND(B36&gt;=B30,B36&lt;B28),"Cumple por momento de fisuración",IF(B36&gt;=B28,"Cumple","No Cumple"))</f>
        <v>Cumple</v>
      </c>
      <c r="E36" s="186"/>
      <c r="F36" s="187"/>
      <c r="G36" s="167" t="s">
        <v>184</v>
      </c>
      <c r="H36" s="169">
        <f>H35/10000/(B5*B23)</f>
        <v>1.1118421052631578E-3</v>
      </c>
      <c r="I36" s="124" t="s">
        <v>185</v>
      </c>
      <c r="J36" s="188" t="str">
        <f>IF(AND(H36&gt;=H30,H36&lt;H28),"Cumple por momento de fisuración",IF(H36&gt;=H28,"Cumple","No Cumple"))</f>
        <v>Cumple</v>
      </c>
      <c r="K36" s="86"/>
      <c r="L36" s="189"/>
      <c r="M36" s="190"/>
      <c r="N36" s="190"/>
      <c r="O36" s="111"/>
      <c r="P36" s="191"/>
      <c r="Q36" s="192"/>
      <c r="R36" s="192"/>
      <c r="S36" s="192"/>
      <c r="T36" s="193"/>
      <c r="U36" s="111"/>
      <c r="V36" s="191"/>
      <c r="W36" s="192"/>
      <c r="X36" s="192"/>
      <c r="Y36" s="192"/>
      <c r="Z36" s="193"/>
      <c r="AM36" s="111"/>
    </row>
    <row r="37" spans="1:39" ht="15.6" x14ac:dyDescent="0.3">
      <c r="A37" s="129" t="s">
        <v>186</v>
      </c>
      <c r="B37" s="130">
        <f>ROUNDUP(123*1/((1+B13/(0.7*($B$6-B13)))*$B$10*0.6)-2*B13,2)</f>
        <v>0.37</v>
      </c>
      <c r="C37" s="131" t="s">
        <v>187</v>
      </c>
      <c r="D37" s="190" t="str">
        <f>IF(B38&lt;=B37,"Cumple","No Cumple")</f>
        <v>Cumple</v>
      </c>
      <c r="E37" s="190"/>
      <c r="F37" s="194"/>
      <c r="G37" s="129" t="s">
        <v>186</v>
      </c>
      <c r="H37" s="130">
        <f>ROUNDUP(123*1/((1+B13/(0.7*($B$6-B13)))*$B$10*0.6)-2*B13,2)</f>
        <v>0.37</v>
      </c>
      <c r="I37" s="131" t="s">
        <v>187</v>
      </c>
      <c r="J37" s="101" t="str">
        <f>IF(H38&lt;=H37,"Cumple","No Cumple")</f>
        <v>Cumple</v>
      </c>
      <c r="K37" s="101"/>
      <c r="L37" s="195"/>
      <c r="M37" s="190"/>
      <c r="N37" s="190"/>
      <c r="O37" s="111"/>
      <c r="P37" s="111"/>
      <c r="Q37" s="139"/>
      <c r="R37" s="111"/>
      <c r="S37" s="111"/>
      <c r="T37" s="111"/>
      <c r="U37" s="111"/>
      <c r="V37" s="111"/>
      <c r="W37" s="111"/>
      <c r="X37" s="111"/>
      <c r="Y37" s="111"/>
      <c r="Z37" s="111"/>
      <c r="AM37" s="111"/>
    </row>
    <row r="38" spans="1:39" ht="15" thickBot="1" x14ac:dyDescent="0.35">
      <c r="A38" s="196" t="s">
        <v>188</v>
      </c>
      <c r="B38" s="197">
        <f>ROUND((B5-2*B13-VLOOKUP(B32,AD6:AF22,3)/1000-2*VLOOKUP(B67,AD6:AF22,3)/1000)/(B34-1),2)</f>
        <v>0.36</v>
      </c>
      <c r="C38" s="198" t="s">
        <v>189</v>
      </c>
      <c r="D38" s="190" t="str">
        <f>IF(B38&gt;=0.0254+VLOOKUP(B32,AD6:AG22,3)/1000,"Cumple","No Cumple")</f>
        <v>Cumple</v>
      </c>
      <c r="E38" s="199"/>
      <c r="F38" s="200"/>
      <c r="G38" s="196" t="s">
        <v>188</v>
      </c>
      <c r="H38" s="197">
        <f>ROUND((B5-2*B13-VLOOKUP(H32,AD6:AF22,3)/1000-2*VLOOKUP(B67,AD6:AF22,3)/1000)/(H34-1),2)</f>
        <v>0.36</v>
      </c>
      <c r="I38" s="198" t="s">
        <v>189</v>
      </c>
      <c r="J38" s="101" t="str">
        <f>IF(H38&gt;=0.0254+VLOOKUP(H32,AD6:AG22,3)/1000,"Cumple","No Cumple")</f>
        <v>Cumple</v>
      </c>
      <c r="L38" s="107"/>
      <c r="M38" s="199"/>
      <c r="N38" s="199"/>
      <c r="P38" s="111"/>
      <c r="Q38" s="139"/>
      <c r="R38" s="111"/>
      <c r="S38" s="111"/>
      <c r="T38" s="111"/>
      <c r="U38" s="111"/>
      <c r="V38" s="111"/>
      <c r="W38" s="111"/>
      <c r="X38" s="111"/>
      <c r="Y38" s="111"/>
      <c r="Z38" s="111"/>
      <c r="AM38" s="111"/>
    </row>
    <row r="39" spans="1:39" x14ac:dyDescent="0.3">
      <c r="A39" s="201" t="s">
        <v>190</v>
      </c>
      <c r="B39" s="202">
        <v>0.3</v>
      </c>
      <c r="C39" s="203" t="s">
        <v>191</v>
      </c>
      <c r="D39" s="101"/>
      <c r="F39" s="107"/>
      <c r="G39" s="201" t="s">
        <v>190</v>
      </c>
      <c r="H39" s="202">
        <v>0.3</v>
      </c>
      <c r="I39" s="203" t="s">
        <v>191</v>
      </c>
      <c r="J39" s="101"/>
      <c r="L39" s="107"/>
      <c r="P39" s="204" t="s">
        <v>192</v>
      </c>
      <c r="Q39" s="205"/>
      <c r="R39" s="205"/>
      <c r="S39" s="206"/>
      <c r="T39" s="207"/>
      <c r="U39" s="139"/>
      <c r="V39" s="204" t="s">
        <v>193</v>
      </c>
      <c r="W39" s="205"/>
      <c r="X39" s="205"/>
      <c r="Y39" s="206"/>
      <c r="Z39" s="207"/>
      <c r="AM39" s="111"/>
    </row>
    <row r="40" spans="1:39" x14ac:dyDescent="0.3">
      <c r="A40" s="208" t="s">
        <v>194</v>
      </c>
      <c r="B40" s="209"/>
      <c r="C40" s="209"/>
      <c r="D40" s="209"/>
      <c r="E40" s="209"/>
      <c r="F40" s="210"/>
      <c r="G40" s="208" t="s">
        <v>194</v>
      </c>
      <c r="H40" s="209"/>
      <c r="I40" s="209"/>
      <c r="J40" s="209"/>
      <c r="K40" s="209"/>
      <c r="L40" s="210"/>
      <c r="M40" s="139"/>
      <c r="N40" s="139"/>
      <c r="P40" s="211"/>
      <c r="Q40" s="111"/>
      <c r="R40" s="111"/>
      <c r="S40" s="139"/>
      <c r="T40" s="212"/>
      <c r="U40" s="111"/>
      <c r="V40" s="211"/>
      <c r="W40" s="111"/>
      <c r="X40" s="111"/>
      <c r="Y40" s="139"/>
      <c r="Z40" s="212"/>
      <c r="AM40" s="111"/>
    </row>
    <row r="41" spans="1:39" ht="15.6" x14ac:dyDescent="0.3">
      <c r="A41" s="213" t="s">
        <v>195</v>
      </c>
      <c r="B41" s="214">
        <f>(B35*B10*100)/(0.85*B7*B5*1000)/10</f>
        <v>2.7959558823529407</v>
      </c>
      <c r="C41" s="131" t="s">
        <v>196</v>
      </c>
      <c r="F41" s="107"/>
      <c r="G41" s="213" t="s">
        <v>195</v>
      </c>
      <c r="H41" s="214">
        <f>(H35*B10*100)/(0.85*B7*B5*1000)/10</f>
        <v>2.7959558823529407</v>
      </c>
      <c r="I41" s="131" t="s">
        <v>196</v>
      </c>
      <c r="L41" s="107"/>
      <c r="P41" s="211"/>
      <c r="Q41" s="111"/>
      <c r="R41" s="111"/>
      <c r="S41" s="111"/>
      <c r="T41" s="215"/>
      <c r="U41" s="111"/>
      <c r="V41" s="211"/>
      <c r="W41" s="111"/>
      <c r="X41" s="111"/>
      <c r="Y41" s="111"/>
      <c r="Z41" s="215"/>
      <c r="AM41" s="111"/>
    </row>
    <row r="42" spans="1:39" x14ac:dyDescent="0.3">
      <c r="A42" s="216" t="s">
        <v>197</v>
      </c>
      <c r="B42" s="217">
        <f>B41/B14</f>
        <v>0.85223547712143399</v>
      </c>
      <c r="C42" s="131" t="s">
        <v>198</v>
      </c>
      <c r="F42" s="107"/>
      <c r="G42" s="216" t="s">
        <v>197</v>
      </c>
      <c r="H42" s="217">
        <f>H41/B14</f>
        <v>0.85223547712143399</v>
      </c>
      <c r="I42" s="131" t="s">
        <v>198</v>
      </c>
      <c r="L42" s="107"/>
      <c r="P42" s="211"/>
      <c r="Q42" s="111"/>
      <c r="R42" s="111"/>
      <c r="S42" s="111"/>
      <c r="T42" s="215"/>
      <c r="U42" s="111"/>
      <c r="V42" s="211"/>
      <c r="W42" s="111"/>
      <c r="X42" s="111"/>
      <c r="Y42" s="111"/>
      <c r="Z42" s="215"/>
      <c r="AM42" s="111"/>
    </row>
    <row r="43" spans="1:39" x14ac:dyDescent="0.3">
      <c r="A43" s="216" t="s">
        <v>199</v>
      </c>
      <c r="B43" s="218">
        <f>B42/(B23*100)</f>
        <v>5.9805998394486595E-3</v>
      </c>
      <c r="C43" s="131"/>
      <c r="D43" s="101" t="str">
        <f>IF(B43&lt;=0.375,"Cumple","No Cumple")</f>
        <v>Cumple</v>
      </c>
      <c r="E43" s="219"/>
      <c r="F43" s="107"/>
      <c r="G43" s="216" t="s">
        <v>199</v>
      </c>
      <c r="H43" s="218">
        <f>H42/(B23*100)</f>
        <v>5.9805998394486595E-3</v>
      </c>
      <c r="I43" s="131"/>
      <c r="J43" s="101" t="str">
        <f>IF(H43&lt;=0.375,"Cumple","No Cumple")</f>
        <v>Cumple</v>
      </c>
      <c r="K43" s="219"/>
      <c r="L43" s="107"/>
      <c r="P43" s="211"/>
      <c r="Q43" s="111"/>
      <c r="R43" s="111"/>
      <c r="S43" s="111"/>
      <c r="T43" s="215"/>
      <c r="U43" s="111"/>
      <c r="V43" s="211"/>
      <c r="W43" s="111"/>
      <c r="X43" s="111"/>
      <c r="Y43" s="111"/>
      <c r="Z43" s="215"/>
      <c r="AM43" s="111"/>
    </row>
    <row r="44" spans="1:39" ht="15.6" x14ac:dyDescent="0.3">
      <c r="A44" s="216" t="s">
        <v>200</v>
      </c>
      <c r="B44" s="220">
        <f>0.003*(B23*100-B42)/B42</f>
        <v>0.49862192431128521</v>
      </c>
      <c r="C44" s="131"/>
      <c r="D44" s="101" t="str">
        <f>IF(B44&gt;=0.005,"Cumple","No Cumple")</f>
        <v>Cumple</v>
      </c>
      <c r="F44" s="221"/>
      <c r="G44" s="216" t="s">
        <v>200</v>
      </c>
      <c r="H44" s="220">
        <f>0.003*(B23*100-H42)/H42</f>
        <v>0.49862192431128521</v>
      </c>
      <c r="I44" s="131"/>
      <c r="J44" s="101" t="str">
        <f>IF(H44&gt;=0.005,"Cumple","No Cumple")</f>
        <v>Cumple</v>
      </c>
      <c r="L44" s="107"/>
      <c r="M44" s="222"/>
      <c r="N44" s="222"/>
      <c r="P44" s="211"/>
      <c r="Q44" s="111"/>
      <c r="R44" s="111"/>
      <c r="S44" s="111"/>
      <c r="T44" s="215"/>
      <c r="U44" s="111"/>
      <c r="V44" s="211"/>
      <c r="W44" s="111"/>
      <c r="X44" s="111"/>
      <c r="Y44" s="111"/>
      <c r="Z44" s="215"/>
      <c r="AM44" s="111"/>
    </row>
    <row r="45" spans="1:39" x14ac:dyDescent="0.3">
      <c r="A45" s="216" t="s">
        <v>201</v>
      </c>
      <c r="B45" s="217">
        <f>B12*B10*(B35*(B23*100-B41/2))*1000/10000000</f>
        <v>135.20819059742647</v>
      </c>
      <c r="C45" s="131" t="s">
        <v>202</v>
      </c>
      <c r="D45" s="101" t="str">
        <f>IF(B45&gt;=B19,"Cumple","No Cumple")</f>
        <v>Cumple</v>
      </c>
      <c r="F45" s="107"/>
      <c r="G45" s="216" t="s">
        <v>203</v>
      </c>
      <c r="H45" s="217">
        <f>B12*B10*(H35*(B23*100-H41/2))*1000/10000000</f>
        <v>135.20819059742647</v>
      </c>
      <c r="I45" s="131" t="s">
        <v>202</v>
      </c>
      <c r="J45" s="101" t="str">
        <f>IF(H45&gt;=B19,"Cumple","No Cumple")</f>
        <v>Cumple</v>
      </c>
      <c r="L45" s="107"/>
      <c r="P45" s="211"/>
      <c r="Q45" s="111"/>
      <c r="R45" s="111"/>
      <c r="S45" s="111"/>
      <c r="T45" s="215"/>
      <c r="U45" s="111"/>
      <c r="V45" s="211"/>
      <c r="W45" s="111"/>
      <c r="X45" s="111"/>
      <c r="Y45" s="111"/>
      <c r="Z45" s="215"/>
      <c r="AM45" s="111"/>
    </row>
    <row r="46" spans="1:39" ht="15" thickBot="1" x14ac:dyDescent="0.35">
      <c r="A46" s="223"/>
      <c r="B46" s="224"/>
      <c r="C46" s="225"/>
      <c r="D46" s="226"/>
      <c r="E46" s="227"/>
      <c r="F46" s="228"/>
      <c r="G46" s="229"/>
      <c r="H46" s="230"/>
      <c r="I46" s="231"/>
      <c r="J46" s="231"/>
      <c r="K46" s="232"/>
      <c r="L46" s="233"/>
      <c r="P46" s="211"/>
      <c r="Q46" s="111"/>
      <c r="R46" s="111"/>
      <c r="S46" s="111"/>
      <c r="T46" s="215"/>
      <c r="U46" s="111"/>
      <c r="V46" s="211"/>
      <c r="W46" s="111"/>
      <c r="X46" s="111"/>
      <c r="Y46" s="111"/>
      <c r="Z46" s="215"/>
      <c r="AM46" s="111"/>
    </row>
    <row r="47" spans="1:39" ht="15" thickBot="1" x14ac:dyDescent="0.35">
      <c r="P47" s="211"/>
      <c r="Q47" s="111"/>
      <c r="R47" s="111"/>
      <c r="S47" s="111"/>
      <c r="T47" s="215"/>
      <c r="U47" s="111"/>
      <c r="V47" s="211"/>
      <c r="W47" s="111"/>
      <c r="X47" s="111"/>
      <c r="Y47" s="111"/>
      <c r="Z47" s="215"/>
      <c r="AM47" s="111"/>
    </row>
    <row r="48" spans="1:39" ht="15" customHeight="1" x14ac:dyDescent="0.3">
      <c r="A48" s="234" t="s">
        <v>204</v>
      </c>
      <c r="B48" s="235"/>
      <c r="C48" s="235"/>
      <c r="D48" s="235"/>
      <c r="E48" s="235"/>
      <c r="F48" s="236"/>
      <c r="P48" s="211"/>
      <c r="Q48" s="111"/>
      <c r="R48" s="111"/>
      <c r="S48" s="111"/>
      <c r="T48" s="215"/>
      <c r="U48" s="111"/>
      <c r="V48" s="211"/>
      <c r="W48" s="111"/>
      <c r="X48" s="111"/>
      <c r="Y48" s="111"/>
      <c r="Z48" s="215"/>
      <c r="AM48" s="111"/>
    </row>
    <row r="49" spans="1:39" ht="16.2" x14ac:dyDescent="0.3">
      <c r="A49" s="213" t="s">
        <v>205</v>
      </c>
      <c r="B49" s="237">
        <f>0.0018*B5*100*B6*100/(2*B5*100+2*B6*100)</f>
        <v>6.9677419354838718E-2</v>
      </c>
      <c r="C49" s="238" t="s">
        <v>206</v>
      </c>
      <c r="F49" s="107"/>
      <c r="P49" s="211"/>
      <c r="Q49" s="111"/>
      <c r="R49" s="111"/>
      <c r="S49" s="111"/>
      <c r="T49" s="215"/>
      <c r="U49" s="111"/>
      <c r="V49" s="211"/>
      <c r="W49" s="111"/>
      <c r="X49" s="111"/>
      <c r="Y49" s="111"/>
      <c r="Z49" s="215"/>
      <c r="AM49" s="111"/>
    </row>
    <row r="50" spans="1:39" ht="16.2" x14ac:dyDescent="0.3">
      <c r="A50" s="216" t="s">
        <v>207</v>
      </c>
      <c r="B50" s="218">
        <f>(B58+B31+H31)/(B5*100*2+B6*100*2)</f>
        <v>7.8106025994034975E-2</v>
      </c>
      <c r="C50" s="238" t="s">
        <v>208</v>
      </c>
      <c r="F50" s="107"/>
      <c r="P50" s="211"/>
      <c r="Q50" s="111"/>
      <c r="R50" s="111"/>
      <c r="S50" s="111"/>
      <c r="T50" s="215"/>
      <c r="U50" s="111"/>
      <c r="V50" s="211"/>
      <c r="W50" s="111"/>
      <c r="X50" s="111"/>
      <c r="Y50" s="111"/>
      <c r="Z50" s="215"/>
      <c r="AM50" s="111"/>
    </row>
    <row r="51" spans="1:39" ht="15" thickBot="1" x14ac:dyDescent="0.35">
      <c r="A51" s="223"/>
      <c r="B51" s="224"/>
      <c r="C51" s="239"/>
      <c r="D51" s="240"/>
      <c r="E51" s="227"/>
      <c r="F51" s="228"/>
      <c r="P51" s="211"/>
      <c r="Q51" s="111"/>
      <c r="R51" s="111"/>
      <c r="S51" s="111"/>
      <c r="T51" s="215"/>
      <c r="U51" s="111"/>
      <c r="V51" s="211"/>
      <c r="W51" s="111"/>
      <c r="X51" s="111"/>
      <c r="Y51" s="111"/>
      <c r="Z51" s="215"/>
      <c r="AM51" s="111"/>
    </row>
    <row r="52" spans="1:39" x14ac:dyDescent="0.3">
      <c r="A52" s="241" t="s">
        <v>209</v>
      </c>
      <c r="B52" s="242"/>
      <c r="C52" s="242"/>
      <c r="D52" s="242"/>
      <c r="E52" s="242"/>
      <c r="F52" s="243"/>
      <c r="G52" s="241" t="s">
        <v>210</v>
      </c>
      <c r="H52" s="242"/>
      <c r="I52" s="242"/>
      <c r="J52" s="242"/>
      <c r="K52" s="242"/>
      <c r="L52" s="243"/>
      <c r="M52" s="151"/>
      <c r="N52" s="151"/>
      <c r="P52" s="211"/>
      <c r="Q52" s="111"/>
      <c r="R52" s="111"/>
      <c r="S52" s="111"/>
      <c r="T52" s="215"/>
      <c r="U52" s="111"/>
      <c r="V52" s="211"/>
      <c r="W52" s="111"/>
      <c r="X52" s="111"/>
      <c r="Y52" s="111"/>
      <c r="Z52" s="215"/>
      <c r="AM52" s="111"/>
    </row>
    <row r="53" spans="1:39" x14ac:dyDescent="0.3">
      <c r="A53" s="154" t="s">
        <v>211</v>
      </c>
      <c r="B53" s="244">
        <f>IF(C53="Requerido",(ROUNDUP(0.001*((B23*1000)-760)*(B23*1000),0))/100,0)</f>
        <v>9.48</v>
      </c>
      <c r="C53" s="245" t="str">
        <f>IF(B6&lt;1,"No requiere","Requerido")</f>
        <v>Requerido</v>
      </c>
      <c r="D53" s="246" t="s">
        <v>212</v>
      </c>
      <c r="E53" s="246"/>
      <c r="F53" s="107"/>
      <c r="G53" s="247" t="s">
        <v>213</v>
      </c>
      <c r="H53" s="84">
        <v>0.9</v>
      </c>
      <c r="I53" s="248" t="s">
        <v>214</v>
      </c>
      <c r="L53" s="107"/>
      <c r="P53" s="211"/>
      <c r="Q53" s="111"/>
      <c r="R53" s="111"/>
      <c r="S53" s="111"/>
      <c r="T53" s="215"/>
      <c r="U53" s="111"/>
      <c r="V53" s="211"/>
      <c r="W53" s="111"/>
      <c r="X53" s="111"/>
      <c r="Y53" s="111"/>
      <c r="Z53" s="215"/>
      <c r="AM53" s="111"/>
    </row>
    <row r="54" spans="1:39" x14ac:dyDescent="0.3">
      <c r="A54" s="119" t="s">
        <v>174</v>
      </c>
      <c r="B54" s="175">
        <v>6</v>
      </c>
      <c r="C54" s="176" t="s">
        <v>175</v>
      </c>
      <c r="D54" s="249"/>
      <c r="E54" s="249"/>
      <c r="F54" s="107"/>
      <c r="G54" s="216" t="s">
        <v>215</v>
      </c>
      <c r="H54" s="250">
        <f>B5*100*B6*100</f>
        <v>24000</v>
      </c>
      <c r="I54" s="251"/>
      <c r="L54" s="107"/>
      <c r="P54" s="211"/>
      <c r="Q54" s="111"/>
      <c r="R54" s="111"/>
      <c r="S54" s="111"/>
      <c r="T54" s="215"/>
      <c r="U54" s="111"/>
      <c r="V54" s="211"/>
      <c r="W54" s="111"/>
      <c r="X54" s="111"/>
      <c r="Y54" s="111"/>
      <c r="Z54" s="215"/>
      <c r="AM54" s="111"/>
    </row>
    <row r="55" spans="1:39" ht="15.75" customHeight="1" x14ac:dyDescent="0.3">
      <c r="A55" s="129" t="s">
        <v>176</v>
      </c>
      <c r="B55" s="177">
        <f>IF(C53="Requerido",ROUNDUP(B53/(VLOOKUP($B$54,AD5:AE22,2)/100),0),0)</f>
        <v>4</v>
      </c>
      <c r="C55" s="124" t="s">
        <v>177</v>
      </c>
      <c r="D55" s="249"/>
      <c r="E55" s="249"/>
      <c r="F55" s="107"/>
      <c r="G55" s="216" t="s">
        <v>216</v>
      </c>
      <c r="H55" s="250">
        <f>2*(B5+B6)*100</f>
        <v>620</v>
      </c>
      <c r="I55" s="252"/>
      <c r="J55" s="253" t="str">
        <f>IF(H56&gt;B17,"No requiere refuerzo por torsión",IF((H63/2)&gt;B58,"Requiere refuerzo","Usar Refuerzo Piel"))</f>
        <v>Requiere refuerzo</v>
      </c>
      <c r="K55" s="254"/>
      <c r="L55" s="107"/>
      <c r="P55" s="211"/>
      <c r="Q55" s="111"/>
      <c r="R55" s="111"/>
      <c r="S55" s="111"/>
      <c r="T55" s="215"/>
      <c r="U55" s="111"/>
      <c r="V55" s="211"/>
      <c r="W55" s="111"/>
      <c r="X55" s="111"/>
      <c r="Y55" s="111"/>
      <c r="Z55" s="215"/>
      <c r="AM55" s="111"/>
    </row>
    <row r="56" spans="1:39" x14ac:dyDescent="0.3">
      <c r="A56" s="196" t="s">
        <v>188</v>
      </c>
      <c r="B56" s="255">
        <f>(IF(C53="Requerido",ROUNDDOWN(MIN((B6*100-(2*(B13+VLOOKUP(B54,AD6:AF22,3)/10)))/(B55+1),B23*100/6,30),1),0))/100</f>
        <v>0.23699999999999999</v>
      </c>
      <c r="C56" s="198" t="s">
        <v>189</v>
      </c>
      <c r="D56" s="256" t="str">
        <f>IF(AND(J55="Requiere refuerzo",B58&lt;(H63/2)),"Usar refuerzo a Torsión","Usar Refuerzo de Piel")</f>
        <v>Usar refuerzo a Torsión</v>
      </c>
      <c r="E56" s="257"/>
      <c r="F56" s="258"/>
      <c r="G56" s="216" t="s">
        <v>217</v>
      </c>
      <c r="H56" s="217">
        <f>(H53*(1/12)*SQRT(B7)*((H54*10*10)^2)/(H55*10))/(10000000)</f>
        <v>36.86982472193236</v>
      </c>
      <c r="I56" s="252" t="s">
        <v>218</v>
      </c>
      <c r="J56" s="259"/>
      <c r="K56" s="260"/>
      <c r="L56" s="107"/>
      <c r="M56" s="261"/>
      <c r="N56" s="261"/>
      <c r="P56" s="211"/>
      <c r="Q56" s="111"/>
      <c r="R56" s="111"/>
      <c r="S56" s="111"/>
      <c r="T56" s="215"/>
      <c r="U56" s="111"/>
      <c r="V56" s="211"/>
      <c r="W56" s="111"/>
      <c r="X56" s="111"/>
      <c r="Y56" s="111"/>
      <c r="Z56" s="215"/>
      <c r="AM56" s="111"/>
    </row>
    <row r="57" spans="1:39" ht="15.6" x14ac:dyDescent="0.3">
      <c r="A57" s="119" t="s">
        <v>179</v>
      </c>
      <c r="B57" s="262">
        <v>4</v>
      </c>
      <c r="C57" s="176" t="s">
        <v>180</v>
      </c>
      <c r="D57" s="263"/>
      <c r="E57" s="264" t="str">
        <f>IF(B58&gt;Q91,"Cumple","Aumentar area de refuerzo")</f>
        <v>Cumple</v>
      </c>
      <c r="F57" s="265"/>
      <c r="G57" s="216" t="s">
        <v>219</v>
      </c>
      <c r="H57" s="250">
        <f>(B5*1000)-(2*B13*100)</f>
        <v>1590</v>
      </c>
      <c r="I57" s="266"/>
      <c r="L57" s="107"/>
      <c r="M57" s="74"/>
      <c r="N57" s="74"/>
      <c r="P57" s="211"/>
      <c r="Q57" s="111"/>
      <c r="R57" s="111"/>
      <c r="S57" s="111"/>
      <c r="T57" s="215"/>
      <c r="U57" s="111"/>
      <c r="V57" s="211"/>
      <c r="W57" s="111"/>
      <c r="X57" s="111"/>
      <c r="Y57" s="111"/>
      <c r="Z57" s="215"/>
      <c r="AM57" s="111"/>
    </row>
    <row r="58" spans="1:39" ht="15" customHeight="1" thickBot="1" x14ac:dyDescent="0.35">
      <c r="A58" s="267" t="s">
        <v>220</v>
      </c>
      <c r="B58" s="268">
        <f>IF(C53="Requerido",B57*VLOOKUP(B54,AD6:AE22,2)/100,0)</f>
        <v>11.48</v>
      </c>
      <c r="C58" s="269" t="s">
        <v>221</v>
      </c>
      <c r="D58" s="270"/>
      <c r="E58" s="264"/>
      <c r="F58" s="265"/>
      <c r="G58" s="216" t="s">
        <v>222</v>
      </c>
      <c r="H58" s="250">
        <f>(B6*1000)-(2*B13*100)</f>
        <v>1490</v>
      </c>
      <c r="I58" s="266"/>
      <c r="L58" s="107"/>
      <c r="M58" s="74"/>
      <c r="N58" s="74"/>
      <c r="P58" s="271"/>
      <c r="Q58" s="272"/>
      <c r="R58" s="273"/>
      <c r="S58" s="273"/>
      <c r="T58" s="274"/>
      <c r="U58" s="111"/>
      <c r="V58" s="271"/>
      <c r="W58" s="273"/>
      <c r="X58" s="273"/>
      <c r="Y58" s="273"/>
      <c r="Z58" s="274"/>
      <c r="AM58" s="111"/>
    </row>
    <row r="59" spans="1:39" ht="15" thickBot="1" x14ac:dyDescent="0.35">
      <c r="A59" s="223"/>
      <c r="B59" s="224"/>
      <c r="C59" s="240"/>
      <c r="D59" s="240"/>
      <c r="E59" s="227"/>
      <c r="F59" s="228"/>
      <c r="G59" s="216" t="s">
        <v>223</v>
      </c>
      <c r="H59" s="250">
        <f>H57*H58</f>
        <v>2369100</v>
      </c>
      <c r="I59" s="266"/>
      <c r="L59" s="107"/>
      <c r="U59" s="111"/>
      <c r="AM59" s="111"/>
    </row>
    <row r="60" spans="1:39" ht="15" thickBot="1" x14ac:dyDescent="0.35">
      <c r="A60" s="241" t="s">
        <v>224</v>
      </c>
      <c r="B60" s="242"/>
      <c r="C60" s="242"/>
      <c r="D60" s="242"/>
      <c r="E60" s="242"/>
      <c r="F60" s="243"/>
      <c r="G60" s="216" t="s">
        <v>225</v>
      </c>
      <c r="H60" s="250">
        <f>2*(H57+H58)</f>
        <v>6160</v>
      </c>
      <c r="I60" s="266"/>
      <c r="L60" s="107"/>
      <c r="M60" s="151"/>
      <c r="N60" s="151"/>
      <c r="U60" s="111"/>
      <c r="AM60" s="111"/>
    </row>
    <row r="61" spans="1:39" x14ac:dyDescent="0.3">
      <c r="A61" s="247" t="s">
        <v>213</v>
      </c>
      <c r="B61" s="275">
        <v>0.9</v>
      </c>
      <c r="C61" s="276" t="s">
        <v>226</v>
      </c>
      <c r="F61" s="107"/>
      <c r="G61" s="216" t="s">
        <v>227</v>
      </c>
      <c r="H61" s="250">
        <f>0.85*H59</f>
        <v>2013735</v>
      </c>
      <c r="I61" s="266"/>
      <c r="L61" s="107"/>
      <c r="P61" s="277" t="s">
        <v>145</v>
      </c>
      <c r="Q61" s="278"/>
      <c r="R61" s="278"/>
      <c r="S61" s="278"/>
      <c r="T61" s="279"/>
      <c r="V61" s="277" t="s">
        <v>192</v>
      </c>
      <c r="W61" s="278"/>
      <c r="X61" s="278"/>
      <c r="Y61" s="280"/>
      <c r="Z61" s="281"/>
      <c r="AM61" s="111"/>
    </row>
    <row r="62" spans="1:39" x14ac:dyDescent="0.3">
      <c r="A62" s="216" t="s">
        <v>228</v>
      </c>
      <c r="B62" s="217">
        <f>(B61*0.17*SQRT(B7)*B5*B23*1000000)/10000</f>
        <v>184.58877747035442</v>
      </c>
      <c r="C62" s="251" t="s">
        <v>229</v>
      </c>
      <c r="F62" s="282"/>
      <c r="G62" s="216" t="s">
        <v>230</v>
      </c>
      <c r="H62" s="217">
        <f>(B17*10000000)/(2*H53*H61*B10)</f>
        <v>0.43326791881095195</v>
      </c>
      <c r="I62" s="266"/>
      <c r="L62" s="107"/>
      <c r="M62" s="283"/>
      <c r="N62" s="283"/>
      <c r="P62" s="128"/>
      <c r="T62" s="107"/>
      <c r="V62" s="128"/>
      <c r="Y62" s="84"/>
      <c r="Z62" s="284"/>
    </row>
    <row r="63" spans="1:39" ht="18" customHeight="1" x14ac:dyDescent="0.3">
      <c r="A63" s="216" t="s">
        <v>231</v>
      </c>
      <c r="B63" s="217">
        <f>IF(B18-B62&gt;0,B18-B62,0)</f>
        <v>0</v>
      </c>
      <c r="C63" s="251" t="s">
        <v>232</v>
      </c>
      <c r="D63" s="253" t="str">
        <f>IF(B63&gt;B64,"Aumentar dimesiones",IF(B63=0,"No requiere estribos - Usar refuerzo mínimo","Cumple"))</f>
        <v>No requiere estribos - Usar refuerzo mínimo</v>
      </c>
      <c r="E63" s="254"/>
      <c r="F63" s="107"/>
      <c r="G63" s="216" t="s">
        <v>233</v>
      </c>
      <c r="H63" s="217">
        <f>H62*H60/100</f>
        <v>26.68930379875464</v>
      </c>
      <c r="I63" s="266" t="s">
        <v>173</v>
      </c>
      <c r="L63" s="107"/>
      <c r="P63" s="128"/>
      <c r="T63" s="107"/>
      <c r="V63" s="128"/>
      <c r="Z63" s="107"/>
    </row>
    <row r="64" spans="1:39" ht="18" customHeight="1" x14ac:dyDescent="0.3">
      <c r="A64" s="216" t="s">
        <v>234</v>
      </c>
      <c r="B64" s="217">
        <f>(B61*0.66*SQRT(B7)*B5*B23*1000000)/10000</f>
        <v>716.63878312019949</v>
      </c>
      <c r="C64" s="251" t="s">
        <v>235</v>
      </c>
      <c r="D64" s="259"/>
      <c r="E64" s="260"/>
      <c r="F64" s="107"/>
      <c r="G64" s="114" t="s">
        <v>236</v>
      </c>
      <c r="H64" s="175">
        <v>8</v>
      </c>
      <c r="I64" s="285"/>
      <c r="L64" s="107"/>
      <c r="P64" s="128"/>
      <c r="T64" s="107"/>
      <c r="V64" s="128"/>
      <c r="Z64" s="107"/>
    </row>
    <row r="65" spans="1:34" ht="17.25" customHeight="1" x14ac:dyDescent="0.3">
      <c r="A65" s="216" t="s">
        <v>237</v>
      </c>
      <c r="B65" s="217">
        <f>(B61*0.35*B5*B23*1000000)/10000</f>
        <v>71.820000000000007</v>
      </c>
      <c r="C65" s="251" t="s">
        <v>238</v>
      </c>
      <c r="D65" s="166"/>
      <c r="F65" s="107"/>
      <c r="G65" s="129" t="s">
        <v>239</v>
      </c>
      <c r="H65" s="177">
        <f>ROUNDUP(H63/(VLOOKUP($H$64,AD6:AE22,2)/100),0)</f>
        <v>6</v>
      </c>
      <c r="I65" s="285"/>
      <c r="L65" s="107"/>
      <c r="P65" s="128"/>
      <c r="T65" s="107"/>
      <c r="V65" s="128"/>
      <c r="Z65" s="107"/>
    </row>
    <row r="66" spans="1:34" ht="23.25" customHeight="1" x14ac:dyDescent="0.3">
      <c r="A66" s="216" t="s">
        <v>240</v>
      </c>
      <c r="B66" s="217">
        <f>MAX(B65,B63)</f>
        <v>71.820000000000007</v>
      </c>
      <c r="C66" s="251" t="s">
        <v>241</v>
      </c>
      <c r="D66" s="166"/>
      <c r="F66" s="107"/>
      <c r="G66" s="114" t="s">
        <v>242</v>
      </c>
      <c r="H66" s="179">
        <v>6</v>
      </c>
      <c r="L66" s="107"/>
      <c r="P66" s="128"/>
      <c r="T66" s="107"/>
      <c r="V66" s="128"/>
      <c r="Z66" s="107"/>
    </row>
    <row r="67" spans="1:34" ht="18" customHeight="1" x14ac:dyDescent="0.3">
      <c r="A67" s="286" t="s">
        <v>174</v>
      </c>
      <c r="B67" s="287">
        <v>4</v>
      </c>
      <c r="C67" s="176" t="s">
        <v>175</v>
      </c>
      <c r="F67" s="107"/>
      <c r="G67" s="129" t="s">
        <v>243</v>
      </c>
      <c r="H67" s="130">
        <f>(B6-2*B13)/((H66/2)+1)</f>
        <v>0.35</v>
      </c>
      <c r="I67" s="266" t="s">
        <v>164</v>
      </c>
      <c r="L67" s="107"/>
      <c r="P67" s="128"/>
      <c r="T67" s="107"/>
      <c r="V67" s="128"/>
      <c r="Z67" s="107"/>
    </row>
    <row r="68" spans="1:34" ht="15.75" customHeight="1" x14ac:dyDescent="0.3">
      <c r="A68" s="288" t="s">
        <v>244</v>
      </c>
      <c r="B68" s="289">
        <v>4</v>
      </c>
      <c r="C68" s="176" t="s">
        <v>245</v>
      </c>
      <c r="F68" s="107"/>
      <c r="G68" s="129" t="s">
        <v>246</v>
      </c>
      <c r="H68" s="130">
        <f>2*H62</f>
        <v>0.86653583762190389</v>
      </c>
      <c r="I68" s="266" t="s">
        <v>247</v>
      </c>
      <c r="L68" s="107"/>
      <c r="P68" s="128"/>
      <c r="T68" s="107"/>
      <c r="V68" s="128"/>
      <c r="Z68" s="107"/>
      <c r="AC68" s="111"/>
      <c r="AD68" s="111"/>
      <c r="AE68" s="111"/>
      <c r="AF68" s="111"/>
      <c r="AG68" s="111"/>
      <c r="AH68" s="111"/>
    </row>
    <row r="69" spans="1:34" ht="16.2" x14ac:dyDescent="0.3">
      <c r="A69" s="129" t="s">
        <v>248</v>
      </c>
      <c r="B69" s="290">
        <f>B68*VLOOKUP($B$67,AD6:AE22,2)/100</f>
        <v>5.16</v>
      </c>
      <c r="C69" s="251" t="s">
        <v>183</v>
      </c>
      <c r="F69" s="107"/>
      <c r="G69" s="129" t="s">
        <v>249</v>
      </c>
      <c r="H69" s="130">
        <f>(B69*100)/(B70*1000)</f>
        <v>1.72</v>
      </c>
      <c r="I69" s="266" t="s">
        <v>247</v>
      </c>
      <c r="J69" s="101" t="str">
        <f>IF(H69&gt;H68,"Cumple","Disminuir separacion estribos")</f>
        <v>Cumple</v>
      </c>
      <c r="K69" s="101"/>
      <c r="L69" s="107"/>
      <c r="P69" s="128"/>
      <c r="T69" s="107"/>
      <c r="V69" s="128"/>
      <c r="Z69" s="107"/>
      <c r="AB69" s="111"/>
    </row>
    <row r="70" spans="1:34" ht="16.2" x14ac:dyDescent="0.3">
      <c r="A70" s="129" t="s">
        <v>188</v>
      </c>
      <c r="B70" s="130">
        <f>(ROUNDDOWN(MIN(B61*B69*100*B10*B23*1000/B66/10000,B69*100*B10/(0.35*B5*1000),300,IF(B18&lt;B62+(B66/2),B23*1000/2,B23*1000/2)),0))/1000</f>
        <v>0.3</v>
      </c>
      <c r="C70" s="291" t="s">
        <v>189</v>
      </c>
      <c r="D70" s="292" t="str">
        <f>IF(OR(B70&gt;=0.1,B67=0),"Cumple","No Cumple")</f>
        <v>Cumple</v>
      </c>
      <c r="F70" s="107"/>
      <c r="G70" s="129" t="s">
        <v>250</v>
      </c>
      <c r="H70" s="293">
        <f>H63+B35</f>
        <v>52.039303798754645</v>
      </c>
      <c r="I70" s="266" t="s">
        <v>251</v>
      </c>
      <c r="L70" s="107"/>
      <c r="P70" s="128"/>
      <c r="T70" s="107"/>
      <c r="V70" s="128"/>
      <c r="Z70" s="107"/>
    </row>
    <row r="71" spans="1:34" x14ac:dyDescent="0.3">
      <c r="A71" s="294" t="s">
        <v>190</v>
      </c>
      <c r="B71" s="295">
        <v>0.3</v>
      </c>
      <c r="C71" s="296" t="s">
        <v>252</v>
      </c>
      <c r="D71" s="101"/>
      <c r="F71" s="107"/>
      <c r="G71" s="129" t="s">
        <v>253</v>
      </c>
      <c r="H71" s="130">
        <f>0.062*SQRT(B7)*(B5*100*B70*100)/B10</f>
        <v>3.7494075722515343</v>
      </c>
      <c r="I71" s="297" t="s">
        <v>247</v>
      </c>
      <c r="L71" s="107"/>
      <c r="P71" s="128"/>
      <c r="T71" s="107"/>
      <c r="V71" s="128"/>
      <c r="Z71" s="107"/>
    </row>
    <row r="72" spans="1:34" ht="15" thickBot="1" x14ac:dyDescent="0.35">
      <c r="A72" s="298"/>
      <c r="B72" s="272"/>
      <c r="C72" s="273"/>
      <c r="D72" s="273"/>
      <c r="E72" s="273"/>
      <c r="F72" s="228"/>
      <c r="G72" s="299" t="s">
        <v>254</v>
      </c>
      <c r="H72" s="300">
        <f>(0.35*B5*100*B70*100)/B10</f>
        <v>3.9999999999999996</v>
      </c>
      <c r="I72" s="301" t="s">
        <v>247</v>
      </c>
      <c r="J72" s="227"/>
      <c r="K72" s="227"/>
      <c r="L72" s="228"/>
      <c r="P72" s="128"/>
      <c r="T72" s="107"/>
      <c r="V72" s="128"/>
      <c r="Z72" s="107"/>
    </row>
    <row r="73" spans="1:34" ht="15" thickBot="1" x14ac:dyDescent="0.35">
      <c r="B73" s="102"/>
      <c r="P73" s="128"/>
      <c r="T73" s="107"/>
      <c r="V73" s="128"/>
      <c r="Z73" s="107"/>
    </row>
    <row r="74" spans="1:34" ht="16.2" thickBot="1" x14ac:dyDescent="0.35">
      <c r="A74" s="132" t="s">
        <v>255</v>
      </c>
      <c r="B74" s="133"/>
      <c r="C74" s="133"/>
      <c r="D74" s="133"/>
      <c r="E74" s="133"/>
      <c r="F74" s="134"/>
      <c r="G74" s="135"/>
      <c r="H74" s="135"/>
      <c r="I74" s="135"/>
      <c r="J74" s="135"/>
      <c r="K74" s="135"/>
      <c r="L74" s="135"/>
      <c r="M74" s="135"/>
      <c r="N74" s="135"/>
      <c r="P74" s="128"/>
      <c r="T74" s="107"/>
      <c r="V74" s="128"/>
      <c r="Z74" s="107"/>
      <c r="AA74" s="111"/>
    </row>
    <row r="75" spans="1:34" x14ac:dyDescent="0.3">
      <c r="A75" s="108" t="s">
        <v>142</v>
      </c>
      <c r="B75" s="109">
        <f>+B17</f>
        <v>65.959999999999994</v>
      </c>
      <c r="C75" s="110" t="s">
        <v>143</v>
      </c>
      <c r="F75" s="107"/>
      <c r="P75" s="128"/>
      <c r="T75" s="107"/>
      <c r="V75" s="128"/>
      <c r="Z75" s="107"/>
    </row>
    <row r="76" spans="1:34" x14ac:dyDescent="0.3">
      <c r="A76" s="108" t="s">
        <v>147</v>
      </c>
      <c r="B76" s="109">
        <v>38.68</v>
      </c>
      <c r="C76" s="110" t="s">
        <v>148</v>
      </c>
      <c r="F76" s="107"/>
      <c r="P76" s="128"/>
      <c r="T76" s="107"/>
      <c r="V76" s="128"/>
      <c r="Z76" s="107"/>
    </row>
    <row r="77" spans="1:34" x14ac:dyDescent="0.3">
      <c r="A77" s="108" t="s">
        <v>150</v>
      </c>
      <c r="B77" s="109">
        <f>-[5]Dinámico!S5</f>
        <v>15.308770000000001</v>
      </c>
      <c r="C77" s="110" t="s">
        <v>151</v>
      </c>
      <c r="F77" s="107"/>
      <c r="P77" s="128"/>
      <c r="T77" s="107"/>
      <c r="V77" s="128"/>
      <c r="Z77" s="107"/>
    </row>
    <row r="78" spans="1:34" x14ac:dyDescent="0.3">
      <c r="A78" s="108" t="s">
        <v>152</v>
      </c>
      <c r="B78" s="109">
        <v>22.52</v>
      </c>
      <c r="C78" s="110" t="s">
        <v>153</v>
      </c>
      <c r="F78" s="107"/>
      <c r="P78" s="128"/>
      <c r="T78" s="107"/>
      <c r="V78" s="128"/>
      <c r="Z78" s="107"/>
    </row>
    <row r="79" spans="1:34" ht="15" thickBot="1" x14ac:dyDescent="0.35">
      <c r="A79" s="302"/>
      <c r="B79" s="303"/>
      <c r="C79" s="111"/>
      <c r="F79" s="107"/>
      <c r="P79" s="128"/>
      <c r="T79" s="107"/>
      <c r="V79" s="128"/>
      <c r="Z79" s="107"/>
    </row>
    <row r="80" spans="1:34" x14ac:dyDescent="0.3">
      <c r="A80" s="148" t="s">
        <v>256</v>
      </c>
      <c r="B80" s="149"/>
      <c r="C80" s="149"/>
      <c r="D80" s="149"/>
      <c r="E80" s="149"/>
      <c r="F80" s="150"/>
      <c r="G80" s="148" t="s">
        <v>257</v>
      </c>
      <c r="H80" s="149"/>
      <c r="I80" s="149"/>
      <c r="J80" s="149"/>
      <c r="K80" s="149"/>
      <c r="L80" s="150"/>
      <c r="M80" s="151"/>
      <c r="N80" s="151"/>
      <c r="P80" s="128"/>
      <c r="T80" s="107"/>
      <c r="V80" s="128"/>
      <c r="Z80" s="107"/>
    </row>
    <row r="81" spans="1:26" ht="15" thickBot="1" x14ac:dyDescent="0.35">
      <c r="A81" s="129" t="s">
        <v>156</v>
      </c>
      <c r="B81" s="152">
        <f>ROUND(B5-(B13+(VLOOKUP(B113,AD6:AF22,3))/1000+(VLOOKUP(B90,AD6:AF22,3)/2/1000)),3)</f>
        <v>1.5289999999999999</v>
      </c>
      <c r="C81" s="153" t="s">
        <v>157</v>
      </c>
      <c r="E81" s="304"/>
      <c r="F81" s="107"/>
      <c r="G81" s="129"/>
      <c r="H81" s="152"/>
      <c r="I81" s="153"/>
      <c r="K81" s="304"/>
      <c r="L81" s="107"/>
      <c r="P81" s="305"/>
      <c r="Q81" s="232"/>
      <c r="R81" s="232"/>
      <c r="S81" s="232"/>
      <c r="T81" s="233"/>
      <c r="V81" s="305"/>
      <c r="W81" s="232"/>
      <c r="X81" s="232"/>
      <c r="Y81" s="232"/>
      <c r="Z81" s="233"/>
    </row>
    <row r="82" spans="1:26" x14ac:dyDescent="0.3">
      <c r="A82" s="154" t="s">
        <v>158</v>
      </c>
      <c r="B82" s="155">
        <f>1.6*0.75*((B5*B6^2)*(100)*B14/6)</f>
        <v>236.2126770518467</v>
      </c>
      <c r="C82" s="156" t="s">
        <v>159</v>
      </c>
      <c r="D82" s="306" t="s">
        <v>258</v>
      </c>
      <c r="E82" s="307"/>
      <c r="F82" s="308"/>
      <c r="G82" s="154" t="s">
        <v>158</v>
      </c>
      <c r="H82" s="155">
        <f>1.6*0.75*((B5*B6^2)*(100)*B14/6)</f>
        <v>236.2126770518467</v>
      </c>
      <c r="I82" s="156" t="s">
        <v>159</v>
      </c>
      <c r="J82" s="306" t="s">
        <v>259</v>
      </c>
      <c r="K82" s="307"/>
      <c r="L82" s="308"/>
      <c r="M82" s="111"/>
      <c r="N82" s="111"/>
    </row>
    <row r="83" spans="1:26" x14ac:dyDescent="0.3">
      <c r="A83" s="129" t="s">
        <v>162</v>
      </c>
      <c r="B83" s="130">
        <f>1.33*B77</f>
        <v>20.360664100000001</v>
      </c>
      <c r="C83" s="131" t="s">
        <v>163</v>
      </c>
      <c r="D83" s="163"/>
      <c r="E83" s="164"/>
      <c r="F83" s="308"/>
      <c r="G83" s="129" t="s">
        <v>162</v>
      </c>
      <c r="H83" s="130">
        <f>1.33*B78</f>
        <v>29.951600000000003</v>
      </c>
      <c r="I83" s="131" t="s">
        <v>163</v>
      </c>
      <c r="J83" s="163"/>
      <c r="K83" s="164"/>
      <c r="L83" s="308"/>
      <c r="M83" s="111"/>
      <c r="N83" s="111"/>
    </row>
    <row r="84" spans="1:26" x14ac:dyDescent="0.3">
      <c r="A84" s="129" t="s">
        <v>164</v>
      </c>
      <c r="B84" s="130">
        <f>B10/(0.85*B7)</f>
        <v>17.647058823529409</v>
      </c>
      <c r="C84" s="131"/>
      <c r="D84" s="111"/>
      <c r="E84" s="304"/>
      <c r="F84" s="308"/>
      <c r="G84" s="129" t="s">
        <v>164</v>
      </c>
      <c r="H84" s="130">
        <f>B10/(0.85*B7)</f>
        <v>17.647058823529409</v>
      </c>
      <c r="I84" s="131"/>
      <c r="J84" s="111"/>
      <c r="K84" s="304"/>
      <c r="L84" s="308"/>
      <c r="M84" s="111"/>
      <c r="N84" s="111"/>
    </row>
    <row r="85" spans="1:26" x14ac:dyDescent="0.3">
      <c r="A85" s="129" t="s">
        <v>165</v>
      </c>
      <c r="B85" s="130">
        <f>B77*100000/(B5*100*(B81*100)^2)</f>
        <v>0.40926569642674604</v>
      </c>
      <c r="C85" s="131"/>
      <c r="D85" s="111"/>
      <c r="E85" s="304"/>
      <c r="F85" s="308"/>
      <c r="G85" s="129" t="s">
        <v>165</v>
      </c>
      <c r="H85" s="130">
        <f>B78*100000/(B5*100*(B81*100)^2)</f>
        <v>0.60205120878622642</v>
      </c>
      <c r="I85" s="131"/>
      <c r="J85" s="111"/>
      <c r="K85" s="304"/>
      <c r="L85" s="308"/>
      <c r="M85" s="111"/>
      <c r="N85" s="111"/>
    </row>
    <row r="86" spans="1:26" ht="15.6" x14ac:dyDescent="0.3">
      <c r="A86" s="167" t="s">
        <v>166</v>
      </c>
      <c r="B86" s="168">
        <f>(1/B84)*(1-((1-2*B84*(MIN(B82,B83)*100000/(B5*100*(B81*100)^2))/(B12*B10*10))^(1/2)))</f>
        <v>1.4418432659927706E-4</v>
      </c>
      <c r="C86" s="131" t="s">
        <v>167</v>
      </c>
      <c r="D86" s="111"/>
      <c r="E86" s="304"/>
      <c r="F86" s="308"/>
      <c r="G86" s="167" t="s">
        <v>166</v>
      </c>
      <c r="H86" s="168">
        <f>(1/H84)*(1-((1-2*H84*(MIN(H82,H83)*100000/(B5*100*(B81*100)^2))/(B12*B10*10))^(1/2)))</f>
        <v>2.1223025933558813E-4</v>
      </c>
      <c r="I86" s="131" t="s">
        <v>167</v>
      </c>
      <c r="J86" s="111"/>
      <c r="K86" s="304"/>
      <c r="L86" s="308"/>
      <c r="M86" s="111"/>
      <c r="N86" s="111"/>
    </row>
    <row r="87" spans="1:26" x14ac:dyDescent="0.3">
      <c r="A87" s="170" t="s">
        <v>168</v>
      </c>
      <c r="B87" s="168">
        <f>(1/B84)*(1-((1-2*B84*B85/(B12*B10*10))^(1/2)))</f>
        <v>1.0837498182002082E-4</v>
      </c>
      <c r="C87" s="131" t="s">
        <v>169</v>
      </c>
      <c r="D87" s="111"/>
      <c r="E87" s="304"/>
      <c r="F87" s="308"/>
      <c r="G87" s="170" t="s">
        <v>168</v>
      </c>
      <c r="H87" s="168">
        <f>(1/H84)*(1-((1-2*H84*H85/(B12*B10*10))^(1/2)))</f>
        <v>1.5949727167194414E-4</v>
      </c>
      <c r="I87" s="131" t="s">
        <v>169</v>
      </c>
      <c r="J87" s="111"/>
      <c r="K87" s="304"/>
      <c r="L87" s="308"/>
      <c r="M87" s="111"/>
      <c r="N87" s="111"/>
    </row>
    <row r="88" spans="1:26" ht="15.6" x14ac:dyDescent="0.3">
      <c r="A88" s="167" t="s">
        <v>170</v>
      </c>
      <c r="B88" s="168">
        <f>MAX(B86:B87)</f>
        <v>1.4418432659927706E-4</v>
      </c>
      <c r="C88" s="131" t="s">
        <v>171</v>
      </c>
      <c r="D88" s="111"/>
      <c r="E88" s="304"/>
      <c r="F88" s="308"/>
      <c r="G88" s="167" t="s">
        <v>170</v>
      </c>
      <c r="H88" s="168">
        <f>MAX(H86:H87)</f>
        <v>2.1223025933558813E-4</v>
      </c>
      <c r="I88" s="131" t="s">
        <v>171</v>
      </c>
      <c r="J88" s="111"/>
      <c r="K88" s="304"/>
      <c r="L88" s="308"/>
      <c r="M88" s="111"/>
      <c r="N88" s="111"/>
    </row>
    <row r="89" spans="1:26" ht="16.2" x14ac:dyDescent="0.3">
      <c r="A89" s="129" t="s">
        <v>172</v>
      </c>
      <c r="B89" s="130">
        <f>B88*B5*100*B81*100</f>
        <v>3.5273253659247135</v>
      </c>
      <c r="C89" s="131" t="s">
        <v>173</v>
      </c>
      <c r="D89" s="162" t="s">
        <v>178</v>
      </c>
      <c r="E89" s="309">
        <f>0.0018*B5*100*B6*100/(B5*100*2+B6*2*100)</f>
        <v>6.9677419354838718E-2</v>
      </c>
      <c r="F89" s="310"/>
      <c r="G89" s="129" t="s">
        <v>172</v>
      </c>
      <c r="H89" s="130">
        <f>H88*B5*100*B81*100</f>
        <v>5.1920010643858276</v>
      </c>
      <c r="I89" s="131" t="s">
        <v>173</v>
      </c>
      <c r="J89" s="162" t="s">
        <v>178</v>
      </c>
      <c r="K89" s="309">
        <f>0.0018*B5*100*B6*100/(B5*100*2+B6*2*100)</f>
        <v>6.9677419354838718E-2</v>
      </c>
      <c r="L89" s="310"/>
      <c r="M89" s="311"/>
      <c r="N89" s="311"/>
    </row>
    <row r="90" spans="1:26" x14ac:dyDescent="0.3">
      <c r="A90" s="312" t="s">
        <v>174</v>
      </c>
      <c r="B90" s="175">
        <v>5</v>
      </c>
      <c r="C90" s="121" t="s">
        <v>175</v>
      </c>
      <c r="D90" s="162" t="s">
        <v>260</v>
      </c>
      <c r="E90" s="309">
        <f>E89*B5*100</f>
        <v>11.148387096774195</v>
      </c>
      <c r="F90" s="308"/>
      <c r="G90" s="312" t="s">
        <v>174</v>
      </c>
      <c r="H90" s="175">
        <v>5</v>
      </c>
      <c r="I90" s="121" t="s">
        <v>175</v>
      </c>
      <c r="J90" s="162" t="s">
        <v>260</v>
      </c>
      <c r="K90" s="309">
        <f>K89*B5*100</f>
        <v>11.148387096774195</v>
      </c>
      <c r="L90" s="308"/>
      <c r="M90" s="111"/>
      <c r="N90" s="111"/>
    </row>
    <row r="91" spans="1:26" ht="15.6" x14ac:dyDescent="0.3">
      <c r="A91" s="129" t="s">
        <v>176</v>
      </c>
      <c r="B91" s="177">
        <f>ROUNDUP(B89/(VLOOKUP($B$90,AD6:AE22,2)/100),0)</f>
        <v>2</v>
      </c>
      <c r="C91" s="124" t="s">
        <v>177</v>
      </c>
      <c r="D91" s="111"/>
      <c r="E91" s="111"/>
      <c r="F91" s="308"/>
      <c r="G91" s="129" t="s">
        <v>176</v>
      </c>
      <c r="H91" s="177">
        <f>ROUNDUP(H89/(VLOOKUP($H$90,AD6:AE22,2)/100),0)</f>
        <v>3</v>
      </c>
      <c r="I91" s="124" t="s">
        <v>177</v>
      </c>
      <c r="J91" s="111"/>
      <c r="K91" s="111"/>
      <c r="L91" s="308"/>
      <c r="M91" s="111"/>
      <c r="N91" s="111"/>
      <c r="P91" s="313" t="s">
        <v>261</v>
      </c>
      <c r="Q91" s="313">
        <f>E33*B6*100</f>
        <v>10.451612903225808</v>
      </c>
    </row>
    <row r="92" spans="1:26" ht="15.6" x14ac:dyDescent="0.3">
      <c r="A92" s="312" t="s">
        <v>262</v>
      </c>
      <c r="B92" s="314">
        <v>6</v>
      </c>
      <c r="C92" s="315" t="s">
        <v>180</v>
      </c>
      <c r="D92" s="316" t="str">
        <f>IF(D63="Requiere refuerzo",IF(B89+'Refuerzo Viga Cabezal_Empresa'!$H$63/2&gt;B93,"Sumar el diseño a torsion","Usar refuerzo de fisuracion sin sumar torsion"),IF(B93&gt;'Refuerzo Viga Cabezal_Empresa'!B58,"Reemplazar Refuerzo de Piel","Usar refuerzo de piel"))</f>
        <v>Reemplazar Refuerzo de Piel</v>
      </c>
      <c r="E92" s="316"/>
      <c r="F92" s="308"/>
      <c r="G92" s="312" t="s">
        <v>263</v>
      </c>
      <c r="H92" s="314">
        <f t="shared" ref="H92" si="0">+B92</f>
        <v>6</v>
      </c>
      <c r="I92" s="315" t="s">
        <v>180</v>
      </c>
      <c r="J92" s="316" t="str">
        <f>IF(D63="Requiere refuerzo",IF(H89+'Refuerzo Viga Cabezal_Empresa'!$H$63/2&gt;H93,"Sumar el diseño a torsion","Usar refuerzo de fisuracion sin sumar torsion"),IF(H93&gt;'Refuerzo Viga Cabezal_Empresa'!B58,"Reemplazar Refuerzo de Piel","Usar refuerzo de piel"))</f>
        <v>Reemplazar Refuerzo de Piel</v>
      </c>
      <c r="K92" s="316"/>
      <c r="L92" s="308"/>
      <c r="M92" s="111"/>
      <c r="N92" s="111"/>
    </row>
    <row r="93" spans="1:26" ht="16.2" x14ac:dyDescent="0.3">
      <c r="A93" s="129" t="s">
        <v>182</v>
      </c>
      <c r="B93" s="130">
        <f>B92*VLOOKUP($B$90,AD6:AF22,2)/100</f>
        <v>11.94</v>
      </c>
      <c r="C93" s="317" t="s">
        <v>183</v>
      </c>
      <c r="D93" s="83" t="str">
        <f>IF(B93&gt;E90,"Cumple","Aumentar area de refuerzo")</f>
        <v>Cumple</v>
      </c>
      <c r="E93" s="83"/>
      <c r="F93" s="308"/>
      <c r="G93" s="129" t="s">
        <v>264</v>
      </c>
      <c r="H93" s="130">
        <f>H92*VLOOKUP($H$90,AD6:AF22,2)/100</f>
        <v>11.94</v>
      </c>
      <c r="I93" s="317" t="s">
        <v>183</v>
      </c>
      <c r="J93" s="83" t="str">
        <f>IF(H93&gt;K90,"Cumple","Aumentar area de refuerzo")</f>
        <v>Cumple</v>
      </c>
      <c r="K93" s="83"/>
      <c r="L93" s="308"/>
      <c r="M93" s="111"/>
      <c r="N93" s="111"/>
    </row>
    <row r="94" spans="1:26" ht="15.6" x14ac:dyDescent="0.3">
      <c r="A94" s="167" t="s">
        <v>184</v>
      </c>
      <c r="B94" s="169">
        <f>B93/10000/(B5*B81)</f>
        <v>4.8806409417920206E-4</v>
      </c>
      <c r="C94" s="318" t="s">
        <v>185</v>
      </c>
      <c r="D94" s="86" t="str">
        <f>IF(AND(B94&gt;=B88,B94&lt;B86),"Cumple por momento de fisuración",IF(B94&gt;=B86,"Cumple","No Cumple"))</f>
        <v>Cumple</v>
      </c>
      <c r="E94" s="86"/>
      <c r="F94" s="189"/>
      <c r="G94" s="167" t="s">
        <v>265</v>
      </c>
      <c r="H94" s="169">
        <f>H93/10000/(B5*B81)</f>
        <v>4.8806409417920206E-4</v>
      </c>
      <c r="I94" s="318" t="s">
        <v>185</v>
      </c>
      <c r="J94" s="86" t="str">
        <f>IF(AND(H94&gt;=H88,H94&lt;H86),"Cumple por momento de fisuración",IF(H94&gt;=H86,"Cumple","No Cumple"))</f>
        <v>Cumple</v>
      </c>
      <c r="K94" s="86"/>
      <c r="L94" s="189"/>
      <c r="M94" s="101"/>
      <c r="N94" s="101"/>
    </row>
    <row r="95" spans="1:26" ht="15.6" x14ac:dyDescent="0.3">
      <c r="A95" s="129" t="s">
        <v>186</v>
      </c>
      <c r="B95" s="130">
        <f>ROUNDUP(123*1/((1+B13/(0.7*($B$6-B13)))*$B$10*0.6)-2*B13,2)</f>
        <v>0.37</v>
      </c>
      <c r="C95" s="317" t="s">
        <v>187</v>
      </c>
      <c r="D95" s="101" t="str">
        <f>IF(B96&lt;=B95,"Cumple","No Cumple")</f>
        <v>Cumple</v>
      </c>
      <c r="E95" s="101"/>
      <c r="F95" s="195"/>
      <c r="G95" s="129" t="s">
        <v>186</v>
      </c>
      <c r="H95" s="130">
        <f>ROUNDUP(123*1/((1+B13/(0.7*($B$6-B13)))*$B$10*0.6)-2*B13,2)</f>
        <v>0.37</v>
      </c>
      <c r="I95" s="317" t="s">
        <v>187</v>
      </c>
      <c r="J95" s="101" t="str">
        <f>IF(H96&lt;=H95,"Cumple","No Cumple")</f>
        <v>Cumple</v>
      </c>
      <c r="K95" s="101"/>
      <c r="L95" s="195"/>
      <c r="M95" s="101"/>
      <c r="N95" s="101"/>
    </row>
    <row r="96" spans="1:26" x14ac:dyDescent="0.3">
      <c r="A96" s="196" t="s">
        <v>188</v>
      </c>
      <c r="B96" s="197">
        <f>ROUND((B5-2*B13-VLOOKUP(B90,AD6:AF22,3)/1000-2*VLOOKUP(B113,AD6:AF22,3)/1000)/(B92-1),2)</f>
        <v>0.28999999999999998</v>
      </c>
      <c r="C96" s="319" t="s">
        <v>189</v>
      </c>
      <c r="D96" s="101" t="str">
        <f>IF(B96&gt;=0.0254+VLOOKUP(B90,AD6:AF22,3)/1000,"Cumple","No Cumple")</f>
        <v>Cumple</v>
      </c>
      <c r="F96" s="107"/>
      <c r="G96" s="196" t="s">
        <v>188</v>
      </c>
      <c r="H96" s="197">
        <f>ROUND((B5-2*B13-VLOOKUP(H90,AD6:AF22,3)/1000-2*VLOOKUP(B113,AD6:AF22,3)/1000)/(H92-1),2)</f>
        <v>0.28999999999999998</v>
      </c>
      <c r="I96" s="319" t="s">
        <v>189</v>
      </c>
      <c r="J96" s="101" t="str">
        <f>IF(H96&gt;=0.0254+VLOOKUP(H90,AD6:AF22,3)/1000,"Cumple","No Cumple")</f>
        <v>Cumple</v>
      </c>
      <c r="L96" s="107"/>
    </row>
    <row r="97" spans="1:14" x14ac:dyDescent="0.3">
      <c r="A97" s="201" t="s">
        <v>190</v>
      </c>
      <c r="B97" s="202">
        <v>0.2</v>
      </c>
      <c r="C97" s="203" t="s">
        <v>191</v>
      </c>
      <c r="D97" s="101"/>
      <c r="F97" s="107"/>
      <c r="G97" s="201" t="s">
        <v>190</v>
      </c>
      <c r="H97" s="202">
        <v>0.2</v>
      </c>
      <c r="I97" s="203" t="s">
        <v>191</v>
      </c>
      <c r="J97" s="101"/>
      <c r="L97" s="107"/>
    </row>
    <row r="98" spans="1:14" x14ac:dyDescent="0.3">
      <c r="A98" s="208" t="s">
        <v>194</v>
      </c>
      <c r="B98" s="209"/>
      <c r="C98" s="209"/>
      <c r="D98" s="209"/>
      <c r="E98" s="209"/>
      <c r="F98" s="210"/>
      <c r="G98" s="208" t="s">
        <v>194</v>
      </c>
      <c r="H98" s="209"/>
      <c r="I98" s="209"/>
      <c r="J98" s="209"/>
      <c r="K98" s="209"/>
      <c r="L98" s="210"/>
      <c r="M98" s="139"/>
      <c r="N98" s="139"/>
    </row>
    <row r="99" spans="1:14" ht="15.6" x14ac:dyDescent="0.3">
      <c r="A99" s="213" t="s">
        <v>195</v>
      </c>
      <c r="B99" s="214">
        <f>(B93*B10*100)/(0.85*B7*B5*1000)/10</f>
        <v>1.3169117647058821</v>
      </c>
      <c r="C99" s="131" t="s">
        <v>196</v>
      </c>
      <c r="F99" s="107"/>
      <c r="G99" s="213" t="s">
        <v>195</v>
      </c>
      <c r="H99" s="214">
        <f>(H93*B10*100)/(0.85*B7*B5*1000)/10</f>
        <v>1.3169117647058821</v>
      </c>
      <c r="I99" s="131" t="s">
        <v>196</v>
      </c>
      <c r="L99" s="107"/>
    </row>
    <row r="100" spans="1:14" x14ac:dyDescent="0.3">
      <c r="A100" s="216" t="s">
        <v>197</v>
      </c>
      <c r="B100" s="217">
        <f>B99/B14</f>
        <v>0.40140795253766948</v>
      </c>
      <c r="C100" s="131" t="s">
        <v>198</v>
      </c>
      <c r="F100" s="107"/>
      <c r="G100" s="216" t="s">
        <v>197</v>
      </c>
      <c r="H100" s="217">
        <f>H99/B14</f>
        <v>0.40140795253766948</v>
      </c>
      <c r="I100" s="131" t="s">
        <v>198</v>
      </c>
      <c r="L100" s="107"/>
    </row>
    <row r="101" spans="1:14" x14ac:dyDescent="0.3">
      <c r="A101" s="216" t="s">
        <v>199</v>
      </c>
      <c r="B101" s="218">
        <f>B100/(B81*100)</f>
        <v>2.6252972697035286E-3</v>
      </c>
      <c r="C101" s="131"/>
      <c r="D101" s="101" t="str">
        <f>IF(B101&lt;=0.375,"Cumple","No Cumple")</f>
        <v>Cumple</v>
      </c>
      <c r="E101" s="219"/>
      <c r="F101" s="107"/>
      <c r="G101" s="216" t="s">
        <v>199</v>
      </c>
      <c r="H101" s="218">
        <f>H100/(B81*100)</f>
        <v>2.6252972697035286E-3</v>
      </c>
      <c r="I101" s="131"/>
      <c r="J101" s="101" t="str">
        <f>IF(H101&lt;=0.375,"Cumple","No Cumple")</f>
        <v>Cumple</v>
      </c>
      <c r="K101" s="219"/>
      <c r="L101" s="107"/>
    </row>
    <row r="102" spans="1:14" ht="15.6" x14ac:dyDescent="0.3">
      <c r="A102" s="320" t="s">
        <v>200</v>
      </c>
      <c r="B102" s="220">
        <f>0.003*(B81*100-B100)/B100</f>
        <v>1.139727733967737</v>
      </c>
      <c r="C102" s="131"/>
      <c r="D102" s="101" t="str">
        <f>IF(B102&gt;=0.005,"Cumple","No Cumple")</f>
        <v>Cumple</v>
      </c>
      <c r="F102" s="107"/>
      <c r="G102" s="320" t="s">
        <v>200</v>
      </c>
      <c r="H102" s="220">
        <f>0.003*(B81*100-H100)/H100</f>
        <v>1.139727733967737</v>
      </c>
      <c r="I102" s="131"/>
      <c r="J102" s="101" t="str">
        <f>IF(H102&gt;=0.005,"Cumple","No Cumple")</f>
        <v>Cumple</v>
      </c>
      <c r="L102" s="107"/>
    </row>
    <row r="103" spans="1:14" x14ac:dyDescent="0.3">
      <c r="A103" s="216" t="s">
        <v>203</v>
      </c>
      <c r="B103" s="217">
        <f>B12*B10*(B93*(B81*100-B99/2))*1000/10000000</f>
        <v>68.711480589705872</v>
      </c>
      <c r="C103" s="131" t="s">
        <v>202</v>
      </c>
      <c r="D103" s="101" t="str">
        <f>IF(B103&gt;=B77,"Cumple","No Cumple")</f>
        <v>Cumple</v>
      </c>
      <c r="F103" s="107"/>
      <c r="G103" s="216" t="s">
        <v>203</v>
      </c>
      <c r="H103" s="217">
        <f>B12*B10*(H93*(B81*100-H99/2))*1000/10000000</f>
        <v>68.711480589705872</v>
      </c>
      <c r="I103" s="131" t="s">
        <v>202</v>
      </c>
      <c r="J103" s="101" t="str">
        <f>IF(H103&gt;=B78,"Cumple","No Cumple")</f>
        <v>Cumple</v>
      </c>
      <c r="L103" s="107"/>
    </row>
    <row r="104" spans="1:14" ht="15" thickBot="1" x14ac:dyDescent="0.35">
      <c r="A104" s="229"/>
      <c r="B104" s="230"/>
      <c r="C104" s="321"/>
      <c r="D104" s="322"/>
      <c r="E104" s="232"/>
      <c r="F104" s="233"/>
      <c r="G104" s="229"/>
      <c r="H104" s="230"/>
      <c r="I104" s="321"/>
      <c r="J104" s="322"/>
      <c r="K104" s="232"/>
      <c r="L104" s="233"/>
    </row>
    <row r="105" spans="1:14" ht="15" thickBot="1" x14ac:dyDescent="0.35">
      <c r="A105" s="128"/>
      <c r="B105" s="102"/>
      <c r="F105" s="107"/>
    </row>
    <row r="106" spans="1:14" x14ac:dyDescent="0.3">
      <c r="A106" s="241" t="s">
        <v>224</v>
      </c>
      <c r="B106" s="242"/>
      <c r="C106" s="242"/>
      <c r="D106" s="242"/>
      <c r="E106" s="242"/>
      <c r="F106" s="243"/>
      <c r="G106" s="151"/>
      <c r="H106" s="151"/>
      <c r="I106" s="151"/>
      <c r="J106" s="151"/>
      <c r="K106" s="151"/>
      <c r="L106" s="151"/>
      <c r="M106" s="151"/>
      <c r="N106" s="151"/>
    </row>
    <row r="107" spans="1:14" x14ac:dyDescent="0.3">
      <c r="A107" s="247" t="s">
        <v>213</v>
      </c>
      <c r="B107" s="275">
        <v>0.9</v>
      </c>
      <c r="C107" s="276" t="s">
        <v>226</v>
      </c>
      <c r="F107" s="107"/>
    </row>
    <row r="108" spans="1:14" x14ac:dyDescent="0.3">
      <c r="A108" s="216" t="s">
        <v>228</v>
      </c>
      <c r="B108" s="217">
        <f>(B107*0.17*SQRT(B7)*B5*B81*1000000)/10000</f>
        <v>198.06051982608551</v>
      </c>
      <c r="C108" s="251" t="s">
        <v>229</v>
      </c>
      <c r="F108" s="282"/>
      <c r="G108" s="283"/>
      <c r="H108" s="283"/>
      <c r="I108" s="283"/>
      <c r="J108" s="283"/>
      <c r="K108" s="283"/>
      <c r="L108" s="283"/>
      <c r="M108" s="283"/>
      <c r="N108" s="283"/>
    </row>
    <row r="109" spans="1:14" ht="15.6" x14ac:dyDescent="0.3">
      <c r="A109" s="216" t="s">
        <v>231</v>
      </c>
      <c r="B109" s="217">
        <f>IF(B76-B108&gt;0,B76-B108,0)</f>
        <v>0</v>
      </c>
      <c r="C109" s="251" t="s">
        <v>232</v>
      </c>
      <c r="D109" s="253" t="str">
        <f>IF(B109&gt;B110,"Aumentar dimesiones",IF(B109=0,"No requiere estribos - Usar refuerzo mínimo","Cumple"))</f>
        <v>No requiere estribos - Usar refuerzo mínimo</v>
      </c>
      <c r="E109" s="254"/>
      <c r="F109" s="107"/>
    </row>
    <row r="110" spans="1:14" ht="15.6" x14ac:dyDescent="0.3">
      <c r="A110" s="216" t="s">
        <v>234</v>
      </c>
      <c r="B110" s="217">
        <f>(B107*0.66*SQRT(B7)*B5*B81*1000000)/10000</f>
        <v>768.94084167774372</v>
      </c>
      <c r="C110" s="251" t="s">
        <v>235</v>
      </c>
      <c r="D110" s="259"/>
      <c r="E110" s="260"/>
      <c r="F110" s="107"/>
    </row>
    <row r="111" spans="1:14" ht="15.6" x14ac:dyDescent="0.3">
      <c r="A111" s="216" t="s">
        <v>237</v>
      </c>
      <c r="B111" s="217">
        <f>(B107*0.35*B5*B81*1000000)/10000</f>
        <v>77.061599999999999</v>
      </c>
      <c r="C111" s="251" t="s">
        <v>238</v>
      </c>
      <c r="D111" s="166"/>
      <c r="F111" s="107"/>
    </row>
    <row r="112" spans="1:14" ht="15.6" x14ac:dyDescent="0.3">
      <c r="A112" s="216" t="s">
        <v>240</v>
      </c>
      <c r="B112" s="217">
        <f>MAX(B111,B109)</f>
        <v>77.061599999999999</v>
      </c>
      <c r="C112" s="251" t="s">
        <v>241</v>
      </c>
      <c r="D112" s="166"/>
      <c r="F112" s="107"/>
    </row>
    <row r="113" spans="1:28" x14ac:dyDescent="0.3">
      <c r="A113" s="286" t="s">
        <v>174</v>
      </c>
      <c r="B113" s="287">
        <v>4</v>
      </c>
      <c r="C113" s="176" t="s">
        <v>175</v>
      </c>
      <c r="F113" s="107"/>
    </row>
    <row r="114" spans="1:28" x14ac:dyDescent="0.3">
      <c r="A114" s="288" t="s">
        <v>244</v>
      </c>
      <c r="B114" s="289">
        <v>4</v>
      </c>
      <c r="C114" s="176" t="s">
        <v>245</v>
      </c>
      <c r="F114" s="107"/>
    </row>
    <row r="115" spans="1:28" ht="16.2" x14ac:dyDescent="0.3">
      <c r="A115" s="129" t="s">
        <v>248</v>
      </c>
      <c r="B115" s="290">
        <f>B114*VLOOKUP($B$113,AD6:AF22,2)/100</f>
        <v>5.16</v>
      </c>
      <c r="C115" s="251" t="s">
        <v>183</v>
      </c>
      <c r="F115" s="107"/>
    </row>
    <row r="116" spans="1:28" x14ac:dyDescent="0.3">
      <c r="A116" s="129" t="s">
        <v>188</v>
      </c>
      <c r="B116" s="130">
        <f>(ROUNDDOWN(MIN(B107*B115*100*B10*B81*1000/B112/10000,B115*100*B10/(0.35*B5*1000),300,IF(B76&lt;B108+(B112/2),B81*1000/2,B81*1000/2)),0))/1000</f>
        <v>0.3</v>
      </c>
      <c r="C116" s="291" t="s">
        <v>189</v>
      </c>
      <c r="D116" s="292" t="str">
        <f>IF(OR(B116&gt;=0.1,B113=0),"Cumple","No Cumple")</f>
        <v>Cumple</v>
      </c>
      <c r="F116" s="107"/>
    </row>
    <row r="117" spans="1:28" ht="15" thickBot="1" x14ac:dyDescent="0.35">
      <c r="A117" s="323" t="s">
        <v>190</v>
      </c>
      <c r="B117" s="324">
        <v>0.3</v>
      </c>
      <c r="C117" s="325" t="s">
        <v>252</v>
      </c>
      <c r="D117" s="322"/>
      <c r="E117" s="232"/>
      <c r="F117" s="233"/>
    </row>
    <row r="118" spans="1:28" x14ac:dyDescent="0.3">
      <c r="C118" s="142"/>
    </row>
    <row r="119" spans="1:28" ht="15" thickBot="1" x14ac:dyDescent="0.35">
      <c r="A119" s="326" t="s">
        <v>266</v>
      </c>
      <c r="B119" s="142" t="s">
        <v>267</v>
      </c>
      <c r="C119" s="142" t="s">
        <v>164</v>
      </c>
    </row>
    <row r="120" spans="1:28" ht="15" thickBot="1" x14ac:dyDescent="0.35">
      <c r="A120" s="327" t="s">
        <v>268</v>
      </c>
      <c r="B120" s="328"/>
      <c r="C120" s="328"/>
      <c r="D120" s="328"/>
      <c r="E120" s="328"/>
      <c r="F120" s="328"/>
      <c r="G120" s="329"/>
    </row>
    <row r="121" spans="1:28" x14ac:dyDescent="0.3">
      <c r="A121" s="330" t="s">
        <v>269</v>
      </c>
      <c r="B121" s="331"/>
      <c r="C121" s="330" t="s">
        <v>270</v>
      </c>
      <c r="D121" s="331"/>
      <c r="E121" s="332" t="s">
        <v>271</v>
      </c>
      <c r="F121" s="333"/>
      <c r="G121" s="334"/>
      <c r="AB121" s="111"/>
    </row>
    <row r="122" spans="1:28" ht="15" customHeight="1" x14ac:dyDescent="0.3">
      <c r="A122" s="335" t="s">
        <v>174</v>
      </c>
      <c r="B122" s="336">
        <f>B32</f>
        <v>8</v>
      </c>
      <c r="C122" s="335" t="s">
        <v>174</v>
      </c>
      <c r="D122" s="337">
        <f>IF(AND(D92="reemplazar refuerzo de piel",E1=0),B90,B54)</f>
        <v>5</v>
      </c>
      <c r="E122" s="338" t="s">
        <v>174</v>
      </c>
      <c r="F122" s="339"/>
      <c r="G122" s="336">
        <f>B67</f>
        <v>4</v>
      </c>
      <c r="J122" s="13" t="str">
        <f>CONCATENATE(A119,G122,B119,(ROUND(G124,2)),C119)</f>
        <v>#4@0.3m</v>
      </c>
      <c r="K122" s="13"/>
      <c r="AB122" s="111"/>
    </row>
    <row r="123" spans="1:28" x14ac:dyDescent="0.3">
      <c r="A123" s="335" t="s">
        <v>272</v>
      </c>
      <c r="B123" s="337">
        <f>B34</f>
        <v>5</v>
      </c>
      <c r="C123" s="335" t="s">
        <v>272</v>
      </c>
      <c r="D123" s="337">
        <f>IF(AND(D92="reemplazar refuerzo de piel",E1=0),B92,B57)</f>
        <v>6</v>
      </c>
      <c r="E123" s="335" t="s">
        <v>244</v>
      </c>
      <c r="F123" s="261"/>
      <c r="G123" s="336">
        <f>B68</f>
        <v>4</v>
      </c>
      <c r="AB123" s="111"/>
    </row>
    <row r="124" spans="1:28" ht="15" thickBot="1" x14ac:dyDescent="0.35">
      <c r="A124" s="340" t="s">
        <v>273</v>
      </c>
      <c r="B124" s="341">
        <f>B39</f>
        <v>0.3</v>
      </c>
      <c r="C124" s="340" t="s">
        <v>273</v>
      </c>
      <c r="D124" s="341">
        <f>IF(AND(D92="reemplazar refuerzo de piel",E1=0),B97,B56)</f>
        <v>0.2</v>
      </c>
      <c r="E124" s="340" t="s">
        <v>273</v>
      </c>
      <c r="F124" s="342"/>
      <c r="G124" s="341">
        <f>B70</f>
        <v>0.3</v>
      </c>
    </row>
    <row r="125" spans="1:28" ht="15" customHeight="1" thickBot="1" x14ac:dyDescent="0.35">
      <c r="A125" s="343"/>
      <c r="B125" s="344" t="str">
        <f>CONCATENATE(B123,A119,B122,B119,B124,C119)</f>
        <v>5#8@0.3m</v>
      </c>
      <c r="C125" s="261"/>
      <c r="D125" s="344" t="str">
        <f>CONCATENATE(D123,A119,D122,B119,(ROUND(D124,2)),C119)</f>
        <v>6#5@0.2m</v>
      </c>
      <c r="E125" s="261"/>
      <c r="F125" s="261"/>
      <c r="G125" s="261"/>
    </row>
    <row r="126" spans="1:28" x14ac:dyDescent="0.3">
      <c r="A126" s="330" t="s">
        <v>274</v>
      </c>
      <c r="B126" s="331"/>
      <c r="C126" s="330" t="s">
        <v>275</v>
      </c>
      <c r="D126" s="331"/>
      <c r="E126" s="332" t="s">
        <v>276</v>
      </c>
      <c r="F126" s="333"/>
      <c r="G126" s="334"/>
    </row>
    <row r="127" spans="1:28" x14ac:dyDescent="0.3">
      <c r="A127" s="335" t="s">
        <v>174</v>
      </c>
      <c r="B127" s="336">
        <f>H32</f>
        <v>8</v>
      </c>
      <c r="C127" s="335" t="s">
        <v>174</v>
      </c>
      <c r="D127" s="337">
        <f>IF(AND(J92="reemplazar refuerzo de piel",E1=0),H90,B54)</f>
        <v>5</v>
      </c>
      <c r="E127" s="338" t="s">
        <v>174</v>
      </c>
      <c r="F127" s="339"/>
      <c r="G127" s="336">
        <f>IF(E1=1,B67,B113)</f>
        <v>4</v>
      </c>
    </row>
    <row r="128" spans="1:28" x14ac:dyDescent="0.3">
      <c r="A128" s="335" t="s">
        <v>272</v>
      </c>
      <c r="B128" s="337">
        <f>H34</f>
        <v>5</v>
      </c>
      <c r="C128" s="335" t="s">
        <v>272</v>
      </c>
      <c r="D128" s="337">
        <f>IF(AND(J92="reemplazar refuerzo de piel",E1=0),H92,B57)</f>
        <v>6</v>
      </c>
      <c r="E128" s="335" t="s">
        <v>244</v>
      </c>
      <c r="F128" s="261"/>
      <c r="G128" s="336">
        <f>IF(E1=1,B68,B114)</f>
        <v>4</v>
      </c>
    </row>
    <row r="129" spans="1:7" ht="15" thickBot="1" x14ac:dyDescent="0.35">
      <c r="A129" s="340" t="s">
        <v>273</v>
      </c>
      <c r="B129" s="341">
        <f>H39</f>
        <v>0.3</v>
      </c>
      <c r="C129" s="340" t="s">
        <v>273</v>
      </c>
      <c r="D129" s="341">
        <f>IF(AND(J92="reemplazar refuerzo de piel",E1=0),H97,B56)</f>
        <v>0.2</v>
      </c>
      <c r="E129" s="340" t="s">
        <v>273</v>
      </c>
      <c r="F129" s="342"/>
      <c r="G129" s="341">
        <f>IF(E1=1,B70*2,B116)</f>
        <v>0.3</v>
      </c>
    </row>
    <row r="130" spans="1:7" x14ac:dyDescent="0.3">
      <c r="A130" s="345"/>
      <c r="B130" s="344" t="str">
        <f>CONCATENATE(B128,A119,B127,B119,B129,C119)</f>
        <v>5#8@0.3m</v>
      </c>
      <c r="C130" s="313"/>
      <c r="D130" s="344" t="str">
        <f>CONCATENATE(D128,A119,D127,B119,ROUND(D129,2),C119)</f>
        <v>6#5@0.2m</v>
      </c>
    </row>
    <row r="149" ht="15" customHeight="1" x14ac:dyDescent="0.3"/>
    <row r="175" ht="18" customHeight="1" x14ac:dyDescent="0.3"/>
    <row r="189" spans="16:16" x14ac:dyDescent="0.3">
      <c r="P189" s="283"/>
    </row>
  </sheetData>
  <mergeCells count="49">
    <mergeCell ref="J122:K122"/>
    <mergeCell ref="A126:B126"/>
    <mergeCell ref="C126:D126"/>
    <mergeCell ref="E126:G126"/>
    <mergeCell ref="A106:F106"/>
    <mergeCell ref="D109:E110"/>
    <mergeCell ref="A120:G120"/>
    <mergeCell ref="A121:B121"/>
    <mergeCell ref="C121:D121"/>
    <mergeCell ref="E121:G121"/>
    <mergeCell ref="D93:E93"/>
    <mergeCell ref="J93:K93"/>
    <mergeCell ref="D94:F94"/>
    <mergeCell ref="J94:L94"/>
    <mergeCell ref="A98:F98"/>
    <mergeCell ref="G98:L98"/>
    <mergeCell ref="A74:F74"/>
    <mergeCell ref="A80:F80"/>
    <mergeCell ref="G80:L80"/>
    <mergeCell ref="D82:E83"/>
    <mergeCell ref="J82:K83"/>
    <mergeCell ref="D92:E92"/>
    <mergeCell ref="J92:K92"/>
    <mergeCell ref="D53:E55"/>
    <mergeCell ref="J55:K56"/>
    <mergeCell ref="D56:D58"/>
    <mergeCell ref="E57:F58"/>
    <mergeCell ref="A60:F60"/>
    <mergeCell ref="D63:E64"/>
    <mergeCell ref="D36:F36"/>
    <mergeCell ref="J36:L36"/>
    <mergeCell ref="A40:F40"/>
    <mergeCell ref="G40:L40"/>
    <mergeCell ref="A48:F48"/>
    <mergeCell ref="A52:F52"/>
    <mergeCell ref="G52:L52"/>
    <mergeCell ref="A16:F16"/>
    <mergeCell ref="A22:F22"/>
    <mergeCell ref="G22:L22"/>
    <mergeCell ref="D24:E25"/>
    <mergeCell ref="J24:K25"/>
    <mergeCell ref="D35:E35"/>
    <mergeCell ref="J35:K35"/>
    <mergeCell ref="A4:F4"/>
    <mergeCell ref="AC4:AC5"/>
    <mergeCell ref="AD4:AD5"/>
    <mergeCell ref="AE4:AE5"/>
    <mergeCell ref="AF4:AF5"/>
    <mergeCell ref="AG4:AG5"/>
  </mergeCells>
  <conditionalFormatting sqref="D92">
    <cfRule type="cellIs" dxfId="51" priority="52" operator="equal">
      <formula>"Reemplazar Refuerzo de Piel"</formula>
    </cfRule>
  </conditionalFormatting>
  <conditionalFormatting sqref="D92:E92">
    <cfRule type="cellIs" dxfId="50" priority="51" operator="equal">
      <formula>"Usar refuerzo de piel"</formula>
    </cfRule>
  </conditionalFormatting>
  <conditionalFormatting sqref="A5:XFD14 AB117:XFD137 A1:O4 V1:XFD4 A15:O16 AA15:XFD16 G122:G124 A131:O1048576 A17:XFD22 A23:F46 M23:XFD46 G24:L46 G47:O48 A49:F72 M49:O72 G52:L72 A73:O80 M81:O104 P139:XFD1048576 AA138:XFD138 P47:XFD116 A81:F90 A120:A121 E121 A105:O119 A92:F104 A91 C91:F91 A125:G125 A122:E124 L122:O122 J122">
    <cfRule type="cellIs" dxfId="49" priority="48" operator="equal">
      <formula>"NO CUMPLE"</formula>
    </cfRule>
    <cfRule type="cellIs" dxfId="48" priority="49" operator="equal">
      <formula>"Aumentar area de refuerzo"</formula>
    </cfRule>
    <cfRule type="cellIs" dxfId="47" priority="50" operator="equal">
      <formula>"CUMPLE"</formula>
    </cfRule>
  </conditionalFormatting>
  <conditionalFormatting sqref="B127:B129 A130:G130 D127:D129">
    <cfRule type="cellIs" dxfId="46" priority="45" operator="equal">
      <formula>"NO CUMPLE"</formula>
    </cfRule>
    <cfRule type="cellIs" dxfId="45" priority="46" operator="equal">
      <formula>"Aumentar area de refuerzo"</formula>
    </cfRule>
    <cfRule type="cellIs" dxfId="44" priority="47" operator="equal">
      <formula>"CUMPLE"</formula>
    </cfRule>
  </conditionalFormatting>
  <conditionalFormatting sqref="P15:Z16">
    <cfRule type="cellIs" dxfId="43" priority="42" operator="equal">
      <formula>"NO CUMPLE"</formula>
    </cfRule>
    <cfRule type="cellIs" dxfId="42" priority="43" operator="equal">
      <formula>"Aumentar area de refuerzo"</formula>
    </cfRule>
    <cfRule type="cellIs" dxfId="41" priority="44" operator="equal">
      <formula>"CUMPLE"</formula>
    </cfRule>
  </conditionalFormatting>
  <conditionalFormatting sqref="G23:I23">
    <cfRule type="cellIs" dxfId="40" priority="39" operator="equal">
      <formula>"NO CUMPLE"</formula>
    </cfRule>
    <cfRule type="cellIs" dxfId="39" priority="40" operator="equal">
      <formula>"Aumentar area de refuerzo"</formula>
    </cfRule>
    <cfRule type="cellIs" dxfId="38" priority="41" operator="equal">
      <formula>"CUMPLE"</formula>
    </cfRule>
  </conditionalFormatting>
  <conditionalFormatting sqref="A48:F48">
    <cfRule type="cellIs" dxfId="37" priority="36" operator="equal">
      <formula>"NO CUMPLE"</formula>
    </cfRule>
    <cfRule type="cellIs" dxfId="36" priority="37" operator="equal">
      <formula>"Aumentar area de refuerzo"</formula>
    </cfRule>
    <cfRule type="cellIs" dxfId="35" priority="38" operator="equal">
      <formula>"CUMPLE"</formula>
    </cfRule>
  </conditionalFormatting>
  <conditionalFormatting sqref="J92">
    <cfRule type="cellIs" dxfId="34" priority="35" operator="equal">
      <formula>"Reemplazar Refuerzo de Piel"</formula>
    </cfRule>
  </conditionalFormatting>
  <conditionalFormatting sqref="J92:K92">
    <cfRule type="cellIs" dxfId="33" priority="34" operator="equal">
      <formula>"Usar refuerzo de piel"</formula>
    </cfRule>
  </conditionalFormatting>
  <conditionalFormatting sqref="G81:L89 G93:L104 J90:L92">
    <cfRule type="cellIs" dxfId="32" priority="31" operator="equal">
      <formula>"NO CUMPLE"</formula>
    </cfRule>
    <cfRule type="cellIs" dxfId="31" priority="32" operator="equal">
      <formula>"Aumentar area de refuerzo"</formula>
    </cfRule>
    <cfRule type="cellIs" dxfId="30" priority="33" operator="equal">
      <formula>"CUMPLE"</formula>
    </cfRule>
  </conditionalFormatting>
  <conditionalFormatting sqref="H120:O121 H123:O130 H122:I122">
    <cfRule type="cellIs" dxfId="29" priority="28" operator="equal">
      <formula>"NO CUMPLE"</formula>
    </cfRule>
    <cfRule type="cellIs" dxfId="28" priority="29" operator="equal">
      <formula>"Aumentar area de refuerzo"</formula>
    </cfRule>
    <cfRule type="cellIs" dxfId="27" priority="30" operator="equal">
      <formula>"CUMPLE"</formula>
    </cfRule>
  </conditionalFormatting>
  <conditionalFormatting sqref="C121">
    <cfRule type="cellIs" dxfId="26" priority="25" operator="equal">
      <formula>"NO CUMPLE"</formula>
    </cfRule>
    <cfRule type="cellIs" dxfId="25" priority="26" operator="equal">
      <formula>"Aumentar area de refuerzo"</formula>
    </cfRule>
    <cfRule type="cellIs" dxfId="24" priority="27" operator="equal">
      <formula>"CUMPLE"</formula>
    </cfRule>
  </conditionalFormatting>
  <conditionalFormatting sqref="A126">
    <cfRule type="cellIs" dxfId="23" priority="22" operator="equal">
      <formula>"NO CUMPLE"</formula>
    </cfRule>
    <cfRule type="cellIs" dxfId="22" priority="23" operator="equal">
      <formula>"Aumentar area de refuerzo"</formula>
    </cfRule>
    <cfRule type="cellIs" dxfId="21" priority="24" operator="equal">
      <formula>"CUMPLE"</formula>
    </cfRule>
  </conditionalFormatting>
  <conditionalFormatting sqref="B91">
    <cfRule type="cellIs" dxfId="20" priority="20" operator="equal">
      <formula>"CUMPLE"</formula>
    </cfRule>
    <cfRule type="cellIs" dxfId="19" priority="21" operator="equal">
      <formula>"NO CUMPLE"</formula>
    </cfRule>
  </conditionalFormatting>
  <conditionalFormatting sqref="B91">
    <cfRule type="cellIs" dxfId="18" priority="19" operator="equal">
      <formula>"Aumentar area de refuerzo"</formula>
    </cfRule>
  </conditionalFormatting>
  <conditionalFormatting sqref="G90:I90 G92:I92 G91 I91">
    <cfRule type="cellIs" dxfId="17" priority="16" operator="equal">
      <formula>"NO CUMPLE"</formula>
    </cfRule>
    <cfRule type="cellIs" dxfId="16" priority="17" operator="equal">
      <formula>"Aumentar area de refuerzo"</formula>
    </cfRule>
    <cfRule type="cellIs" dxfId="15" priority="18" operator="equal">
      <formula>"CUMPLE"</formula>
    </cfRule>
  </conditionalFormatting>
  <conditionalFormatting sqref="H91">
    <cfRule type="cellIs" dxfId="14" priority="14" operator="equal">
      <formula>"CUMPLE"</formula>
    </cfRule>
    <cfRule type="cellIs" dxfId="13" priority="15" operator="equal">
      <formula>"NO CUMPLE"</formula>
    </cfRule>
  </conditionalFormatting>
  <conditionalFormatting sqref="H91">
    <cfRule type="cellIs" dxfId="12" priority="13" operator="equal">
      <formula>"Aumentar area de refuerzo"</formula>
    </cfRule>
  </conditionalFormatting>
  <conditionalFormatting sqref="A127:A129">
    <cfRule type="cellIs" dxfId="11" priority="10" operator="equal">
      <formula>"NO CUMPLE"</formula>
    </cfRule>
    <cfRule type="cellIs" dxfId="10" priority="11" operator="equal">
      <formula>"Aumentar area de refuerzo"</formula>
    </cfRule>
    <cfRule type="cellIs" dxfId="9" priority="12" operator="equal">
      <formula>"CUMPLE"</formula>
    </cfRule>
  </conditionalFormatting>
  <conditionalFormatting sqref="C127:C129">
    <cfRule type="cellIs" dxfId="8" priority="7" operator="equal">
      <formula>"NO CUMPLE"</formula>
    </cfRule>
    <cfRule type="cellIs" dxfId="7" priority="8" operator="equal">
      <formula>"Aumentar area de refuerzo"</formula>
    </cfRule>
    <cfRule type="cellIs" dxfId="6" priority="9" operator="equal">
      <formula>"CUMPLE"</formula>
    </cfRule>
  </conditionalFormatting>
  <conditionalFormatting sqref="C126">
    <cfRule type="cellIs" dxfId="5" priority="4" operator="equal">
      <formula>"NO CUMPLE"</formula>
    </cfRule>
    <cfRule type="cellIs" dxfId="4" priority="5" operator="equal">
      <formula>"Aumentar area de refuerzo"</formula>
    </cfRule>
    <cfRule type="cellIs" dxfId="3" priority="6" operator="equal">
      <formula>"CUMPLE"</formula>
    </cfRule>
  </conditionalFormatting>
  <conditionalFormatting sqref="G127:G129 E126:E129">
    <cfRule type="cellIs" dxfId="2" priority="1" operator="equal">
      <formula>"NO CUMPLE"</formula>
    </cfRule>
    <cfRule type="cellIs" dxfId="1" priority="2" operator="equal">
      <formula>"Aumentar area de refuerzo"</formula>
    </cfRule>
    <cfRule type="cellIs" dxfId="0" priority="3" operator="equal">
      <formula>"CUMPLE"</formula>
    </cfRule>
  </conditionalFormatting>
  <dataValidations count="4">
    <dataValidation type="list" allowBlank="1" showInputMessage="1" showErrorMessage="1" sqref="B90 H90" xr:uid="{C73E71A6-FA6C-4F7A-AC1A-45041EC0DD8D}">
      <formula1>$AD$7:$AD$18</formula1>
    </dataValidation>
    <dataValidation type="list" allowBlank="1" showInputMessage="1" showErrorMessage="1" sqref="B32 B54 B67 H32 H64" xr:uid="{443E1EFB-01A0-4ED1-A616-492EF242C170}">
      <formula1>$AD$7:$AD$22</formula1>
    </dataValidation>
    <dataValidation type="list" allowBlank="1" showInputMessage="1" showErrorMessage="1" sqref="B113" xr:uid="{88B2A827-560D-4943-93A0-D2531F6D12B3}">
      <formula1>$AD$6:$AD$22</formula1>
    </dataValidation>
    <dataValidation type="list" allowBlank="1" showInputMessage="1" showErrorMessage="1" sqref="B8" xr:uid="{A7B60FDC-577D-4D98-87C5-E046BD62BA2D}">
      <formula1>"Concreto normal,Concreto liviano"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A078-CD67-405F-BFD9-2A2174FD6836}">
  <sheetPr codeName="Hoja3"/>
  <dimension ref="A1:AQ1011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S16" sqref="S16"/>
    </sheetView>
  </sheetViews>
  <sheetFormatPr baseColWidth="10" defaultColWidth="11.44140625" defaultRowHeight="14.4" x14ac:dyDescent="0.3"/>
  <cols>
    <col min="1" max="1" width="9" style="1" customWidth="1"/>
    <col min="2" max="3" width="6.6640625" style="1" bestFit="1" customWidth="1"/>
    <col min="4" max="4" width="4.88671875" style="1" bestFit="1" customWidth="1"/>
    <col min="5" max="5" width="5.88671875" style="5" bestFit="1" customWidth="1"/>
    <col min="6" max="6" width="8.109375" style="3" customWidth="1"/>
    <col min="7" max="7" width="7.88671875" style="5" customWidth="1"/>
    <col min="8" max="8" width="5.109375" style="3" customWidth="1"/>
    <col min="9" max="9" width="9.88671875" style="4" customWidth="1"/>
    <col min="10" max="10" width="9.109375" style="3" customWidth="1"/>
    <col min="11" max="11" width="7.109375" style="4" bestFit="1" customWidth="1"/>
    <col min="12" max="12" width="7.88671875" style="4" customWidth="1"/>
    <col min="13" max="13" width="8.44140625" style="3" customWidth="1"/>
    <col min="14" max="14" width="6.33203125" style="1" bestFit="1" customWidth="1"/>
    <col min="15" max="15" width="7.5546875" style="1" bestFit="1" customWidth="1"/>
    <col min="16" max="16" width="5.6640625" style="1" bestFit="1" customWidth="1"/>
    <col min="17" max="17" width="8.44140625" style="1" bestFit="1" customWidth="1"/>
    <col min="18" max="18" width="8.109375" style="3" bestFit="1" customWidth="1"/>
    <col min="19" max="19" width="7.88671875" style="1" customWidth="1"/>
    <col min="20" max="20" width="7.5546875" style="2" bestFit="1" customWidth="1"/>
    <col min="21" max="21" width="7.6640625" style="1" bestFit="1" customWidth="1"/>
    <col min="22" max="22" width="9" style="1" bestFit="1" customWidth="1"/>
    <col min="23" max="23" width="8.6640625" style="1" customWidth="1"/>
    <col min="24" max="24" width="6.6640625" style="1" customWidth="1"/>
    <col min="25" max="25" width="5.6640625" style="1" bestFit="1" customWidth="1"/>
    <col min="26" max="26" width="7.33203125" style="1" customWidth="1"/>
    <col min="27" max="27" width="7.44140625" style="1" bestFit="1" customWidth="1"/>
    <col min="28" max="29" width="7.109375" style="1" bestFit="1" customWidth="1"/>
    <col min="30" max="30" width="9" style="1" bestFit="1" customWidth="1"/>
    <col min="31" max="31" width="7.109375" style="1" bestFit="1" customWidth="1"/>
    <col min="32" max="32" width="6.109375" style="1" customWidth="1"/>
    <col min="33" max="34" width="8.44140625" style="1" bestFit="1" customWidth="1"/>
    <col min="35" max="35" width="5.5546875" style="1" customWidth="1"/>
    <col min="36" max="36" width="4.88671875" style="1" bestFit="1" customWidth="1"/>
    <col min="37" max="37" width="6.44140625" style="1" customWidth="1"/>
    <col min="38" max="38" width="8.6640625" style="1" bestFit="1" customWidth="1"/>
    <col min="39" max="39" width="8.33203125" style="1" bestFit="1" customWidth="1"/>
    <col min="40" max="40" width="7.109375" style="1" bestFit="1" customWidth="1"/>
    <col min="41" max="41" width="7.33203125" style="1" customWidth="1"/>
    <col min="42" max="42" width="10.44140625" style="1" bestFit="1" customWidth="1"/>
    <col min="43" max="43" width="9" style="1" bestFit="1" customWidth="1"/>
    <col min="44" max="16384" width="11.44140625" style="1"/>
  </cols>
  <sheetData>
    <row r="1" spans="1:43" ht="15" customHeight="1" x14ac:dyDescent="0.3">
      <c r="B1" s="88" t="s">
        <v>98</v>
      </c>
      <c r="C1" s="88"/>
      <c r="D1" s="1">
        <v>0</v>
      </c>
      <c r="E1" s="86" t="s">
        <v>97</v>
      </c>
      <c r="F1" s="86"/>
      <c r="G1" s="86"/>
      <c r="H1" s="86"/>
      <c r="I1" s="1"/>
      <c r="J1" s="1"/>
      <c r="K1" s="1"/>
      <c r="L1" s="1"/>
      <c r="M1" s="1"/>
      <c r="N1" s="92" t="s">
        <v>96</v>
      </c>
      <c r="O1" s="91"/>
      <c r="P1" s="91"/>
      <c r="Q1" s="91"/>
      <c r="R1" s="91"/>
      <c r="S1" s="91"/>
      <c r="T1" s="91"/>
      <c r="U1" s="91"/>
      <c r="V1" s="90"/>
      <c r="W1" s="86" t="s">
        <v>95</v>
      </c>
      <c r="X1" s="83"/>
      <c r="Y1" s="83"/>
      <c r="Z1" s="83"/>
      <c r="AA1" s="83"/>
      <c r="AB1" s="83"/>
      <c r="AC1" s="83"/>
      <c r="AD1" s="83"/>
      <c r="AE1" s="84"/>
      <c r="AF1" s="86" t="s">
        <v>94</v>
      </c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</row>
    <row r="2" spans="1:43" ht="15" thickBot="1" x14ac:dyDescent="0.35">
      <c r="A2" s="89"/>
      <c r="B2" s="88" t="s">
        <v>93</v>
      </c>
      <c r="C2" s="88"/>
      <c r="D2" s="1">
        <v>1</v>
      </c>
      <c r="E2" s="86"/>
      <c r="F2" s="86"/>
      <c r="G2" s="86"/>
      <c r="H2" s="86"/>
      <c r="I2" s="1"/>
      <c r="J2" s="1"/>
      <c r="K2" s="1"/>
      <c r="L2" s="1"/>
      <c r="M2" s="1"/>
      <c r="N2" s="87"/>
      <c r="O2" s="86"/>
      <c r="P2" s="86"/>
      <c r="Q2" s="86"/>
      <c r="R2" s="86"/>
      <c r="S2" s="86"/>
      <c r="T2" s="86"/>
      <c r="U2" s="86"/>
      <c r="V2" s="85"/>
      <c r="W2" s="83"/>
      <c r="X2" s="83"/>
      <c r="Y2" s="83"/>
      <c r="Z2" s="83"/>
      <c r="AA2" s="83"/>
      <c r="AB2" s="83"/>
      <c r="AC2" s="83"/>
      <c r="AD2" s="83"/>
      <c r="AE2" s="84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 s="71" customFormat="1" ht="32.4" thickBot="1" x14ac:dyDescent="0.35">
      <c r="A3" s="82" t="s">
        <v>92</v>
      </c>
      <c r="B3" s="81" t="s">
        <v>91</v>
      </c>
      <c r="C3" s="79" t="s">
        <v>90</v>
      </c>
      <c r="D3" s="79" t="s">
        <v>89</v>
      </c>
      <c r="E3" s="79" t="s">
        <v>88</v>
      </c>
      <c r="F3" s="77" t="s">
        <v>87</v>
      </c>
      <c r="G3" s="79" t="s">
        <v>86</v>
      </c>
      <c r="H3" s="77" t="s">
        <v>85</v>
      </c>
      <c r="I3" s="77" t="s">
        <v>84</v>
      </c>
      <c r="J3" s="77" t="s">
        <v>83</v>
      </c>
      <c r="K3" s="77" t="s">
        <v>82</v>
      </c>
      <c r="L3" s="77" t="s">
        <v>81</v>
      </c>
      <c r="M3" s="77" t="s">
        <v>80</v>
      </c>
      <c r="N3" s="80" t="s">
        <v>79</v>
      </c>
      <c r="O3" s="77" t="s">
        <v>78</v>
      </c>
      <c r="P3" s="79" t="s">
        <v>70</v>
      </c>
      <c r="Q3" s="79" t="s">
        <v>77</v>
      </c>
      <c r="R3" s="77" t="s">
        <v>76</v>
      </c>
      <c r="S3" s="77" t="s">
        <v>75</v>
      </c>
      <c r="T3" s="78" t="s">
        <v>74</v>
      </c>
      <c r="U3" s="77" t="s">
        <v>73</v>
      </c>
      <c r="V3" s="76" t="s">
        <v>53</v>
      </c>
      <c r="W3" s="79" t="s">
        <v>72</v>
      </c>
      <c r="X3" s="77" t="s">
        <v>71</v>
      </c>
      <c r="Y3" s="79" t="s">
        <v>70</v>
      </c>
      <c r="Z3" s="77" t="s">
        <v>69</v>
      </c>
      <c r="AA3" s="78" t="s">
        <v>68</v>
      </c>
      <c r="AB3" s="77" t="s">
        <v>67</v>
      </c>
      <c r="AC3" s="77" t="s">
        <v>66</v>
      </c>
      <c r="AD3" s="76" t="s">
        <v>53</v>
      </c>
      <c r="AE3" s="75" t="s">
        <v>65</v>
      </c>
      <c r="AF3" s="74" t="s">
        <v>64</v>
      </c>
      <c r="AG3" s="73" t="s">
        <v>63</v>
      </c>
      <c r="AH3" s="72" t="s">
        <v>62</v>
      </c>
      <c r="AI3" s="73" t="s">
        <v>61</v>
      </c>
      <c r="AJ3" s="73" t="s">
        <v>60</v>
      </c>
      <c r="AK3" s="74" t="s">
        <v>59</v>
      </c>
      <c r="AL3" s="72" t="s">
        <v>58</v>
      </c>
      <c r="AM3" s="73" t="s">
        <v>57</v>
      </c>
      <c r="AN3" s="73" t="s">
        <v>56</v>
      </c>
      <c r="AO3" s="73" t="s">
        <v>55</v>
      </c>
      <c r="AP3" s="72" t="s">
        <v>54</v>
      </c>
      <c r="AQ3" s="72" t="s">
        <v>53</v>
      </c>
    </row>
    <row r="4" spans="1:43" ht="15" customHeight="1" x14ac:dyDescent="0.3">
      <c r="A4" s="70" t="s">
        <v>52</v>
      </c>
      <c r="B4" s="44">
        <v>1</v>
      </c>
      <c r="C4" s="1" t="s">
        <v>51</v>
      </c>
      <c r="D4" s="1">
        <v>1</v>
      </c>
      <c r="E4" s="5">
        <v>1</v>
      </c>
      <c r="F4" s="3">
        <f>E4</f>
        <v>1</v>
      </c>
      <c r="G4" s="5">
        <v>1.3</v>
      </c>
      <c r="H4" s="3">
        <f>PI()*(G4^2)/4</f>
        <v>1.3273228961416876</v>
      </c>
      <c r="I4" s="21">
        <v>1.3273E-2</v>
      </c>
      <c r="J4" s="20">
        <v>124.27589999999999</v>
      </c>
      <c r="K4" s="3">
        <v>106.10257137416603</v>
      </c>
      <c r="L4" s="20">
        <v>205.83131</v>
      </c>
      <c r="M4" s="43">
        <v>51.984169999999999</v>
      </c>
      <c r="N4" s="42">
        <f t="shared" ref="N4:N37" si="0">I4/H4</f>
        <v>9.9998275013430862E-3</v>
      </c>
      <c r="O4" s="11">
        <f t="shared" ref="O4:O37" si="1">I4*10000</f>
        <v>132.72999999999999</v>
      </c>
      <c r="P4" s="1">
        <v>10</v>
      </c>
      <c r="Q4" s="1">
        <v>1</v>
      </c>
      <c r="R4" s="3">
        <f>Q4*VLOOKUP(P4,[4]Datos!$A$2:$D$14,2)</f>
        <v>8.19</v>
      </c>
      <c r="S4" s="10">
        <f>ROUNDUP(O4/R4,0)</f>
        <v>17</v>
      </c>
      <c r="T4" s="2">
        <v>17</v>
      </c>
      <c r="U4" s="3">
        <f>ROUNDDOWN(PI()*(G4-0.185)/T4,2)</f>
        <v>0.2</v>
      </c>
      <c r="V4" s="41" t="str">
        <f>+IF(T4&gt;=S4,"Cumple","No cumple")</f>
        <v>Cumple</v>
      </c>
      <c r="W4" s="60">
        <v>280</v>
      </c>
      <c r="X4" s="61">
        <v>4</v>
      </c>
      <c r="Y4" s="60">
        <v>5</v>
      </c>
      <c r="Z4" s="59">
        <f>X4*VLOOKUP(Y4,[4]Datos!$A$2:$D$14,2)</f>
        <v>7.96</v>
      </c>
      <c r="AA4" s="58">
        <v>0.08</v>
      </c>
      <c r="AB4" s="57">
        <f>IF(D4=0,IF(AH4="",1,IF(J4&gt;0.1*W4*H4*10,1,J4/(0.1*W4*H4*10))),0)*0.9*0.53*SQRT(W4)*G4*MAX(0.72*G4,0.9*((G4/2)+((G4-0.11)/PI())))*10</f>
        <v>0</v>
      </c>
      <c r="AC4" s="57">
        <f>0.9*Z4*4220*MAX(0.72*G4,0.9*((G4/2)+((G4-0.11)/PI())))/AA4/1000</f>
        <v>353.71533599999998</v>
      </c>
      <c r="AD4" s="56" t="str">
        <f>+IF(AND(AC4&gt;K4-AB4,AA4&lt;=IF(K4&lt;0.125*W4*G4*MAX(0.72*G4,0.9*((G4/2)+((G4-0.11)/PI())))*10,MIN(0.6,0.8*MAX(0.72*G4,0.9*((G4/2)+((G4-0.11)/PI())))),MIN(0.3,0.4*MAX(0.72*G4,0.9*((G4/2)+((G4-0.11)/PI()))))),K4/0.9&lt;=0.25*W4*G4*MAX(0.72*G4,0.9*((G4/2)+((G4-0.11)/PI())))*10),"Cumple","No Cumple")</f>
        <v>Cumple</v>
      </c>
      <c r="AE4" s="55">
        <f>K4</f>
        <v>106.10257137416603</v>
      </c>
      <c r="AF4" s="5"/>
      <c r="AG4" s="7">
        <f>ROUNDUP(MAX(0.45,2*G4,),1)</f>
        <v>2.6</v>
      </c>
      <c r="AH4" s="3">
        <f t="shared" ref="AH4:AH6" si="2">PI()*(G4-0.15)^2/4</f>
        <v>1.0386890710931256</v>
      </c>
      <c r="AI4" s="7">
        <f>G4-0.15-VLOOKUP(Y4,[2]Datos!$A$2:$D$14,3)/100</f>
        <v>1.1341000000000001</v>
      </c>
      <c r="AJ4" s="7">
        <f t="shared" ref="AJ4:AJ6" si="3">SQRT((PI()*AI4)^2+AA4^2)</f>
        <v>3.5637782650133385</v>
      </c>
      <c r="AK4" s="1">
        <v>0.12</v>
      </c>
      <c r="AL4" s="16">
        <f t="shared" ref="AL4:AL6" si="4">MAX(0.45*(H4/AH4-1),AK4)*(W4/4220)</f>
        <v>8.2969745294259878E-3</v>
      </c>
      <c r="AM4" s="7">
        <f t="shared" ref="AM4:AM6" si="5">AG4*(AJ4/AA4)</f>
        <v>115.82279361293351</v>
      </c>
      <c r="AN4" s="17">
        <f t="shared" ref="AN4:AN6" si="6">AM4*Z4/X4/10000</f>
        <v>2.3048735928973767E-2</v>
      </c>
      <c r="AO4" s="17">
        <f t="shared" ref="AO4:AO6" si="7">AH4*AG4</f>
        <v>2.7005915848421265</v>
      </c>
      <c r="AP4" s="16">
        <f t="shared" ref="AP4:AP6" si="8">AN4/AO4</f>
        <v>8.5346988631460063E-3</v>
      </c>
      <c r="AQ4" s="6" t="str">
        <f t="shared" ref="AQ4:AQ6" si="9">+IF(AP4&gt;AL4,"Cumple","No Cumple")</f>
        <v>Cumple</v>
      </c>
    </row>
    <row r="5" spans="1:43" ht="15" customHeight="1" x14ac:dyDescent="0.3">
      <c r="A5" s="45"/>
      <c r="B5" s="44">
        <v>2</v>
      </c>
      <c r="C5" s="1" t="s">
        <v>50</v>
      </c>
      <c r="D5" s="1">
        <v>1</v>
      </c>
      <c r="E5" s="5">
        <v>1</v>
      </c>
      <c r="F5" s="3">
        <f>F4+E5</f>
        <v>2</v>
      </c>
      <c r="G5" s="5">
        <v>1.3</v>
      </c>
      <c r="H5" s="3">
        <f t="shared" ref="H5:H520" si="10">PI()*(G5^2)/4</f>
        <v>1.3273228961416876</v>
      </c>
      <c r="I5" s="21">
        <v>1.3273E-2</v>
      </c>
      <c r="J5" s="20">
        <v>124.27589999999999</v>
      </c>
      <c r="K5" s="3">
        <v>93.931481809668057</v>
      </c>
      <c r="L5" s="20">
        <v>299.19429000000002</v>
      </c>
      <c r="M5" s="43">
        <v>43.690930000000002</v>
      </c>
      <c r="N5" s="42">
        <f t="shared" si="0"/>
        <v>9.9998275013430862E-3</v>
      </c>
      <c r="O5" s="11">
        <f t="shared" si="1"/>
        <v>132.72999999999999</v>
      </c>
      <c r="P5" s="1">
        <v>10</v>
      </c>
      <c r="Q5" s="1">
        <v>1</v>
      </c>
      <c r="R5" s="3">
        <f>Q5*VLOOKUP(P5,[4]Datos!$A$2:$D$14,2)</f>
        <v>8.19</v>
      </c>
      <c r="S5" s="10">
        <f t="shared" ref="S5:S520" si="11">ROUNDUP(O5/R5,0)</f>
        <v>17</v>
      </c>
      <c r="T5" s="2">
        <v>17</v>
      </c>
      <c r="U5" s="3">
        <f t="shared" ref="U5:U520" si="12">ROUNDDOWN(PI()*(G5-0.185)/T5,2)</f>
        <v>0.2</v>
      </c>
      <c r="V5" s="41" t="str">
        <f t="shared" ref="V5:V37" si="13">+IF(T5&gt;=S5,"Cumple","No cumple")</f>
        <v>Cumple</v>
      </c>
      <c r="W5" s="1">
        <v>280</v>
      </c>
      <c r="X5" s="9">
        <v>4</v>
      </c>
      <c r="Y5" s="1">
        <v>5</v>
      </c>
      <c r="Z5" s="3">
        <f>X5*VLOOKUP(Y5,[4]Datos!$A$2:$D$14,2)</f>
        <v>7.96</v>
      </c>
      <c r="AA5" s="5">
        <v>0.08</v>
      </c>
      <c r="AB5" s="7">
        <f t="shared" ref="AB5:AB37" si="14">IF(D5=0,IF(AH5="",1,IF(J5&gt;0.1*W5*H5*10,1,J5/(0.1*W5*H5*10))),0)*0.9*0.53*SQRT(W5)*G5*MAX(0.72*G5,0.9*((G5/2)+((G5-0.11)/PI())))*10</f>
        <v>0</v>
      </c>
      <c r="AC5" s="7">
        <f t="shared" ref="AC5:AC520" si="15">0.9*Z5*4220*MAX(0.72*G5,0.9*((G5/2)+((G5-0.11)/PI())))/AA5/1000</f>
        <v>353.71533599999998</v>
      </c>
      <c r="AD5" s="6" t="str">
        <f t="shared" ref="AD5:AD37" si="16">+IF(AND(AC5&gt;K5-AB5,AA5&lt;=IF(K5&lt;0.125*W5*G5*MAX(0.72*G5,0.9*((G5/2)+((G5-0.11)/PI())))*10,MIN(0.6,0.8*MAX(0.72*G5,0.9*((G5/2)+((G5-0.11)/PI())))),MIN(0.3,0.4*MAX(0.72*G5,0.9*((G5/2)+((G5-0.11)/PI()))))),K5/0.9&lt;=0.25*W5*G5*MAX(0.72*G5,0.9*((G5/2)+((G5-0.11)/PI())))*10),"Cumple","No Cumple")</f>
        <v>Cumple</v>
      </c>
      <c r="AE5" s="40">
        <f t="shared" ref="AE5:AE37" si="17">K5</f>
        <v>93.931481809668057</v>
      </c>
      <c r="AF5" s="5"/>
      <c r="AG5" s="7">
        <f t="shared" ref="AG5:AG6" si="18">ROUNDUP(MAX(0.45,2*G5,),1)</f>
        <v>2.6</v>
      </c>
      <c r="AH5" s="3">
        <f t="shared" si="2"/>
        <v>1.0386890710931256</v>
      </c>
      <c r="AI5" s="7">
        <f>G5-0.15-VLOOKUP(Y5,[2]Datos!$A$2:$D$14,3)/100</f>
        <v>1.1341000000000001</v>
      </c>
      <c r="AJ5" s="7">
        <f t="shared" si="3"/>
        <v>3.5637782650133385</v>
      </c>
      <c r="AK5" s="1">
        <v>0.12</v>
      </c>
      <c r="AL5" s="16">
        <f t="shared" si="4"/>
        <v>8.2969745294259878E-3</v>
      </c>
      <c r="AM5" s="7">
        <f t="shared" si="5"/>
        <v>115.82279361293351</v>
      </c>
      <c r="AN5" s="17">
        <f t="shared" si="6"/>
        <v>2.3048735928973767E-2</v>
      </c>
      <c r="AO5" s="17">
        <f t="shared" si="7"/>
        <v>2.7005915848421265</v>
      </c>
      <c r="AP5" s="16">
        <f t="shared" si="8"/>
        <v>8.5346988631460063E-3</v>
      </c>
      <c r="AQ5" s="6" t="str">
        <f t="shared" si="9"/>
        <v>Cumple</v>
      </c>
    </row>
    <row r="6" spans="1:43" ht="15" customHeight="1" x14ac:dyDescent="0.3">
      <c r="A6" s="45"/>
      <c r="B6" s="44">
        <v>3</v>
      </c>
      <c r="C6" s="1" t="s">
        <v>49</v>
      </c>
      <c r="D6" s="1">
        <v>1</v>
      </c>
      <c r="E6" s="5">
        <v>1</v>
      </c>
      <c r="F6" s="3">
        <f t="shared" ref="F6" si="19">F5+E6</f>
        <v>3</v>
      </c>
      <c r="G6" s="5">
        <v>1.3</v>
      </c>
      <c r="H6" s="3">
        <f t="shared" si="10"/>
        <v>1.3273228961416876</v>
      </c>
      <c r="I6" s="21">
        <v>1.8568000000000001E-2</v>
      </c>
      <c r="J6" s="20">
        <v>124.27589999999999</v>
      </c>
      <c r="K6" s="3">
        <v>71.254612250786963</v>
      </c>
      <c r="L6" s="20">
        <v>370.30725999999999</v>
      </c>
      <c r="M6" s="43">
        <v>58.146270000000001</v>
      </c>
      <c r="N6" s="42">
        <f t="shared" si="0"/>
        <v>1.3989060276119824E-2</v>
      </c>
      <c r="O6" s="11">
        <f t="shared" si="1"/>
        <v>185.68</v>
      </c>
      <c r="P6" s="1">
        <v>10</v>
      </c>
      <c r="Q6" s="1">
        <v>1</v>
      </c>
      <c r="R6" s="3">
        <f>Q6*VLOOKUP(P6,[4]Datos!$A$2:$D$14,2)</f>
        <v>8.19</v>
      </c>
      <c r="S6" s="10">
        <f t="shared" si="11"/>
        <v>23</v>
      </c>
      <c r="T6" s="54">
        <v>23</v>
      </c>
      <c r="U6" s="3">
        <f t="shared" si="12"/>
        <v>0.15</v>
      </c>
      <c r="V6" s="41" t="str">
        <f t="shared" si="13"/>
        <v>Cumple</v>
      </c>
      <c r="W6" s="51">
        <v>280</v>
      </c>
      <c r="X6" s="52">
        <v>4</v>
      </c>
      <c r="Y6" s="51">
        <v>5</v>
      </c>
      <c r="Z6" s="50">
        <f>X6*VLOOKUP(Y6,[4]Datos!$A$2:$D$14,2)</f>
        <v>7.96</v>
      </c>
      <c r="AA6" s="49">
        <v>0.08</v>
      </c>
      <c r="AB6" s="48">
        <f t="shared" si="14"/>
        <v>0</v>
      </c>
      <c r="AC6" s="48">
        <f t="shared" si="15"/>
        <v>353.71533599999998</v>
      </c>
      <c r="AD6" s="47" t="str">
        <f t="shared" si="16"/>
        <v>Cumple</v>
      </c>
      <c r="AE6" s="46">
        <f t="shared" si="17"/>
        <v>71.254612250786963</v>
      </c>
      <c r="AF6" s="5"/>
      <c r="AG6" s="7">
        <f t="shared" si="18"/>
        <v>2.6</v>
      </c>
      <c r="AH6" s="3">
        <f t="shared" si="2"/>
        <v>1.0386890710931256</v>
      </c>
      <c r="AI6" s="7">
        <f>G6-0.15-VLOOKUP(Y6,[2]Datos!$A$2:$D$14,3)/100</f>
        <v>1.1341000000000001</v>
      </c>
      <c r="AJ6" s="7">
        <f t="shared" si="3"/>
        <v>3.5637782650133385</v>
      </c>
      <c r="AK6" s="1">
        <v>0.12</v>
      </c>
      <c r="AL6" s="16">
        <f t="shared" si="4"/>
        <v>8.2969745294259878E-3</v>
      </c>
      <c r="AM6" s="7">
        <f t="shared" si="5"/>
        <v>115.82279361293351</v>
      </c>
      <c r="AN6" s="17">
        <f t="shared" si="6"/>
        <v>2.3048735928973767E-2</v>
      </c>
      <c r="AO6" s="17">
        <f t="shared" si="7"/>
        <v>2.7005915848421265</v>
      </c>
      <c r="AP6" s="16">
        <f t="shared" si="8"/>
        <v>8.5346988631460063E-3</v>
      </c>
      <c r="AQ6" s="6" t="str">
        <f t="shared" si="9"/>
        <v>Cumple</v>
      </c>
    </row>
    <row r="7" spans="1:43" ht="15" customHeight="1" x14ac:dyDescent="0.3">
      <c r="A7" s="45"/>
      <c r="B7" s="44">
        <v>4</v>
      </c>
      <c r="C7" s="1" t="s">
        <v>48</v>
      </c>
      <c r="D7" s="1">
        <v>1</v>
      </c>
      <c r="E7" s="5">
        <v>1</v>
      </c>
      <c r="F7" s="3">
        <f>F6+E7</f>
        <v>4</v>
      </c>
      <c r="G7" s="5">
        <v>1.3</v>
      </c>
      <c r="H7" s="3">
        <f t="shared" si="10"/>
        <v>1.3273228961416876</v>
      </c>
      <c r="I7" s="21">
        <v>1.8568000000000001E-2</v>
      </c>
      <c r="J7" s="20">
        <v>124.27589999999999</v>
      </c>
      <c r="K7" s="3">
        <v>10.666616590559537</v>
      </c>
      <c r="L7" s="20">
        <v>370.30725999999999</v>
      </c>
      <c r="M7" s="43">
        <v>59.875140000000002</v>
      </c>
      <c r="N7" s="42">
        <f t="shared" si="0"/>
        <v>1.3989060276119824E-2</v>
      </c>
      <c r="O7" s="11">
        <f t="shared" si="1"/>
        <v>185.68</v>
      </c>
      <c r="P7" s="1">
        <v>10</v>
      </c>
      <c r="Q7" s="1">
        <v>1</v>
      </c>
      <c r="R7" s="3">
        <f>Q7*VLOOKUP(P7,[4]Datos!$A$2:$D$14,2)</f>
        <v>8.19</v>
      </c>
      <c r="S7" s="10">
        <f t="shared" si="11"/>
        <v>23</v>
      </c>
      <c r="T7" s="54">
        <v>23</v>
      </c>
      <c r="U7" s="3">
        <f t="shared" si="12"/>
        <v>0.15</v>
      </c>
      <c r="V7" s="41" t="str">
        <f t="shared" si="13"/>
        <v>Cumple</v>
      </c>
      <c r="W7" s="1">
        <v>280</v>
      </c>
      <c r="X7" s="9">
        <v>2</v>
      </c>
      <c r="Y7" s="1">
        <v>5</v>
      </c>
      <c r="Z7" s="3">
        <f>X7*VLOOKUP(Y7,[4]Datos!$A$2:$D$14,2)</f>
        <v>3.98</v>
      </c>
      <c r="AA7" s="5">
        <v>0.3</v>
      </c>
      <c r="AB7" s="7">
        <f t="shared" si="14"/>
        <v>0</v>
      </c>
      <c r="AC7" s="7">
        <f t="shared" si="15"/>
        <v>47.162044799999997</v>
      </c>
      <c r="AD7" s="6" t="str">
        <f t="shared" si="16"/>
        <v>Cumple</v>
      </c>
      <c r="AE7" s="40">
        <f t="shared" si="17"/>
        <v>10.666616590559537</v>
      </c>
      <c r="AF7" s="5"/>
      <c r="AG7" s="7"/>
      <c r="AH7" s="3"/>
      <c r="AI7" s="7"/>
      <c r="AJ7" s="7"/>
      <c r="AL7" s="16"/>
      <c r="AM7" s="7"/>
      <c r="AN7" s="17"/>
      <c r="AO7" s="17"/>
      <c r="AP7" s="16"/>
      <c r="AQ7" s="6"/>
    </row>
    <row r="8" spans="1:43" ht="15" customHeight="1" x14ac:dyDescent="0.3">
      <c r="A8" s="45"/>
      <c r="B8" s="44">
        <v>5</v>
      </c>
      <c r="C8" s="1" t="s">
        <v>47</v>
      </c>
      <c r="D8" s="1">
        <v>1</v>
      </c>
      <c r="E8" s="5">
        <v>1</v>
      </c>
      <c r="F8" s="3">
        <f t="shared" ref="F8:F20" si="20">F7+E8</f>
        <v>5</v>
      </c>
      <c r="G8" s="5">
        <v>1.3</v>
      </c>
      <c r="H8" s="3">
        <f t="shared" si="10"/>
        <v>1.3273228961416876</v>
      </c>
      <c r="I8" s="21">
        <v>1.8495000000000001E-2</v>
      </c>
      <c r="J8" s="20">
        <v>124.27589999999999</v>
      </c>
      <c r="K8" s="3">
        <v>42.490465277871458</v>
      </c>
      <c r="L8" s="20">
        <v>369.26022999999998</v>
      </c>
      <c r="M8" s="43">
        <v>59.875140000000002</v>
      </c>
      <c r="N8" s="42">
        <f t="shared" si="0"/>
        <v>1.3934062354956707E-2</v>
      </c>
      <c r="O8" s="11">
        <f t="shared" si="1"/>
        <v>184.95000000000002</v>
      </c>
      <c r="P8" s="1">
        <v>10</v>
      </c>
      <c r="Q8" s="1">
        <v>1</v>
      </c>
      <c r="R8" s="3">
        <f>Q8*VLOOKUP(P8,[4]Datos!$A$2:$D$14,2)</f>
        <v>8.19</v>
      </c>
      <c r="S8" s="10">
        <f t="shared" si="11"/>
        <v>23</v>
      </c>
      <c r="T8" s="54">
        <v>23</v>
      </c>
      <c r="U8" s="3">
        <f t="shared" si="12"/>
        <v>0.15</v>
      </c>
      <c r="V8" s="41" t="str">
        <f t="shared" si="13"/>
        <v>Cumple</v>
      </c>
      <c r="W8" s="53">
        <v>280</v>
      </c>
      <c r="X8" s="52">
        <v>2</v>
      </c>
      <c r="Y8" s="51">
        <v>5</v>
      </c>
      <c r="Z8" s="50">
        <f>X8*VLOOKUP(Y8,[4]Datos!$A$2:$D$14,2)</f>
        <v>3.98</v>
      </c>
      <c r="AA8" s="49">
        <v>0.3</v>
      </c>
      <c r="AB8" s="48">
        <f t="shared" si="14"/>
        <v>0</v>
      </c>
      <c r="AC8" s="48">
        <f t="shared" si="15"/>
        <v>47.162044799999997</v>
      </c>
      <c r="AD8" s="47" t="str">
        <f t="shared" si="16"/>
        <v>Cumple</v>
      </c>
      <c r="AE8" s="46">
        <f t="shared" si="17"/>
        <v>42.490465277871458</v>
      </c>
      <c r="AF8" s="5"/>
      <c r="AG8" s="7"/>
      <c r="AH8" s="3"/>
      <c r="AI8" s="7"/>
      <c r="AJ8" s="7"/>
      <c r="AL8" s="16"/>
      <c r="AM8" s="7"/>
      <c r="AN8" s="17"/>
      <c r="AO8" s="17"/>
      <c r="AP8" s="16"/>
      <c r="AQ8" s="6"/>
    </row>
    <row r="9" spans="1:43" ht="15" customHeight="1" x14ac:dyDescent="0.3">
      <c r="A9" s="45"/>
      <c r="B9" s="44">
        <v>6</v>
      </c>
      <c r="C9" s="1" t="s">
        <v>46</v>
      </c>
      <c r="D9" s="1">
        <v>1</v>
      </c>
      <c r="E9" s="5">
        <v>1</v>
      </c>
      <c r="F9" s="3">
        <f t="shared" si="20"/>
        <v>6</v>
      </c>
      <c r="G9" s="5">
        <v>1.3</v>
      </c>
      <c r="H9" s="3">
        <f t="shared" si="10"/>
        <v>1.3273228961416876</v>
      </c>
      <c r="I9" s="21">
        <v>1.4834E-2</v>
      </c>
      <c r="J9" s="20">
        <v>124.27589999999999</v>
      </c>
      <c r="K9" s="3">
        <v>61.501423722788729</v>
      </c>
      <c r="L9" s="20">
        <v>326.80651</v>
      </c>
      <c r="M9" s="43">
        <v>54.093150000000001</v>
      </c>
      <c r="N9" s="42">
        <f t="shared" si="0"/>
        <v>1.1175878938817399E-2</v>
      </c>
      <c r="O9" s="11">
        <f t="shared" si="1"/>
        <v>148.34</v>
      </c>
      <c r="P9" s="1">
        <v>10</v>
      </c>
      <c r="Q9" s="1">
        <v>1</v>
      </c>
      <c r="R9" s="3">
        <f>Q9*VLOOKUP(P9,[4]Datos!$A$2:$D$14,2)</f>
        <v>8.19</v>
      </c>
      <c r="S9" s="10">
        <f t="shared" si="11"/>
        <v>19</v>
      </c>
      <c r="T9" s="54">
        <v>23</v>
      </c>
      <c r="U9" s="3">
        <f t="shared" si="12"/>
        <v>0.15</v>
      </c>
      <c r="V9" s="41" t="str">
        <f t="shared" si="13"/>
        <v>Cumple</v>
      </c>
      <c r="W9" s="1">
        <v>280</v>
      </c>
      <c r="X9" s="9">
        <v>2</v>
      </c>
      <c r="Y9" s="1">
        <v>5</v>
      </c>
      <c r="Z9" s="3">
        <f>X9*VLOOKUP(Y9,[4]Datos!$A$2:$D$14,2)</f>
        <v>3.98</v>
      </c>
      <c r="AA9" s="5">
        <v>0.2</v>
      </c>
      <c r="AB9" s="7">
        <f t="shared" si="14"/>
        <v>0</v>
      </c>
      <c r="AC9" s="7">
        <f t="shared" si="15"/>
        <v>70.74306719999997</v>
      </c>
      <c r="AD9" s="6" t="str">
        <f t="shared" si="16"/>
        <v>Cumple</v>
      </c>
      <c r="AE9" s="40">
        <f t="shared" si="17"/>
        <v>61.501423722788729</v>
      </c>
      <c r="AF9" s="5"/>
      <c r="AG9" s="7"/>
      <c r="AH9" s="3"/>
      <c r="AI9" s="7"/>
      <c r="AJ9" s="7"/>
      <c r="AL9" s="3"/>
      <c r="AM9" s="3"/>
      <c r="AN9" s="3"/>
      <c r="AO9" s="3"/>
      <c r="AP9" s="9"/>
      <c r="AQ9" s="6"/>
    </row>
    <row r="10" spans="1:43" ht="15" customHeight="1" x14ac:dyDescent="0.3">
      <c r="A10" s="45"/>
      <c r="B10" s="44">
        <v>7</v>
      </c>
      <c r="C10" s="1" t="s">
        <v>45</v>
      </c>
      <c r="D10" s="1">
        <v>1</v>
      </c>
      <c r="E10" s="5">
        <v>1</v>
      </c>
      <c r="F10" s="3">
        <f t="shared" si="20"/>
        <v>7</v>
      </c>
      <c r="G10" s="5">
        <v>1.3</v>
      </c>
      <c r="H10" s="3">
        <f t="shared" si="10"/>
        <v>1.3273228961416876</v>
      </c>
      <c r="I10" s="21">
        <v>1.3273E-2</v>
      </c>
      <c r="J10" s="20">
        <v>124.27589999999999</v>
      </c>
      <c r="K10" s="3">
        <v>65.392570656000359</v>
      </c>
      <c r="L10" s="20">
        <v>265.37135999999998</v>
      </c>
      <c r="M10" s="43">
        <v>44.709049999999998</v>
      </c>
      <c r="N10" s="42">
        <f t="shared" si="0"/>
        <v>9.9998275013430862E-3</v>
      </c>
      <c r="O10" s="11">
        <f t="shared" si="1"/>
        <v>132.72999999999999</v>
      </c>
      <c r="P10" s="1">
        <v>10</v>
      </c>
      <c r="Q10" s="1">
        <v>1</v>
      </c>
      <c r="R10" s="3">
        <f>Q10*VLOOKUP(P10,[4]Datos!$A$2:$D$14,2)</f>
        <v>8.19</v>
      </c>
      <c r="S10" s="10">
        <f t="shared" si="11"/>
        <v>17</v>
      </c>
      <c r="T10" s="2">
        <v>17</v>
      </c>
      <c r="U10" s="3">
        <f t="shared" si="12"/>
        <v>0.2</v>
      </c>
      <c r="V10" s="41" t="str">
        <f t="shared" si="13"/>
        <v>Cumple</v>
      </c>
      <c r="W10" s="1">
        <v>280</v>
      </c>
      <c r="X10" s="9">
        <v>2</v>
      </c>
      <c r="Y10" s="1">
        <v>5</v>
      </c>
      <c r="Z10" s="3">
        <f>X10*VLOOKUP(Y10,[4]Datos!$A$2:$D$14,2)</f>
        <v>3.98</v>
      </c>
      <c r="AA10" s="5">
        <v>0.2</v>
      </c>
      <c r="AB10" s="7">
        <f t="shared" si="14"/>
        <v>0</v>
      </c>
      <c r="AC10" s="7">
        <f t="shared" si="15"/>
        <v>70.74306719999997</v>
      </c>
      <c r="AD10" s="6" t="str">
        <f t="shared" si="16"/>
        <v>Cumple</v>
      </c>
      <c r="AE10" s="40">
        <f t="shared" si="17"/>
        <v>65.392570656000359</v>
      </c>
      <c r="AF10" s="5"/>
      <c r="AG10" s="7"/>
      <c r="AH10" s="3"/>
      <c r="AI10" s="7"/>
      <c r="AJ10" s="7"/>
      <c r="AL10" s="3"/>
      <c r="AM10" s="3"/>
      <c r="AN10" s="3"/>
      <c r="AO10" s="3"/>
      <c r="AP10" s="9"/>
      <c r="AQ10" s="6"/>
    </row>
    <row r="11" spans="1:43" ht="15" customHeight="1" x14ac:dyDescent="0.3">
      <c r="A11" s="45"/>
      <c r="B11" s="44">
        <v>8</v>
      </c>
      <c r="C11" s="1" t="s">
        <v>44</v>
      </c>
      <c r="D11" s="1">
        <v>1</v>
      </c>
      <c r="E11" s="5">
        <v>1</v>
      </c>
      <c r="F11" s="3">
        <f t="shared" si="20"/>
        <v>8</v>
      </c>
      <c r="G11" s="5">
        <v>1.3</v>
      </c>
      <c r="H11" s="3">
        <f t="shared" si="10"/>
        <v>1.3273228961416876</v>
      </c>
      <c r="I11" s="21">
        <v>1.3273E-2</v>
      </c>
      <c r="J11" s="20">
        <v>124.27589999999999</v>
      </c>
      <c r="K11" s="3">
        <v>60.089804113676387</v>
      </c>
      <c r="L11" s="20">
        <v>200.05473000000001</v>
      </c>
      <c r="M11" s="43">
        <v>34.259909999999998</v>
      </c>
      <c r="N11" s="42">
        <f t="shared" si="0"/>
        <v>9.9998275013430862E-3</v>
      </c>
      <c r="O11" s="11">
        <f t="shared" si="1"/>
        <v>132.72999999999999</v>
      </c>
      <c r="P11" s="1">
        <v>10</v>
      </c>
      <c r="Q11" s="1">
        <v>1</v>
      </c>
      <c r="R11" s="3">
        <f>Q11*VLOOKUP(P11,[4]Datos!$A$2:$D$14,2)</f>
        <v>8.19</v>
      </c>
      <c r="S11" s="10">
        <f t="shared" si="11"/>
        <v>17</v>
      </c>
      <c r="T11" s="2">
        <v>17</v>
      </c>
      <c r="U11" s="3">
        <f t="shared" si="12"/>
        <v>0.2</v>
      </c>
      <c r="V11" s="41" t="str">
        <f t="shared" si="13"/>
        <v>Cumple</v>
      </c>
      <c r="W11" s="1">
        <v>280</v>
      </c>
      <c r="X11" s="9">
        <v>2</v>
      </c>
      <c r="Y11" s="1">
        <v>5</v>
      </c>
      <c r="Z11" s="3">
        <f>X11*VLOOKUP(Y11,[4]Datos!$A$2:$D$14,2)</f>
        <v>3.98</v>
      </c>
      <c r="AA11" s="5">
        <v>0.2</v>
      </c>
      <c r="AB11" s="7">
        <f t="shared" si="14"/>
        <v>0</v>
      </c>
      <c r="AC11" s="7">
        <f t="shared" si="15"/>
        <v>70.74306719999997</v>
      </c>
      <c r="AD11" s="6" t="str">
        <f t="shared" si="16"/>
        <v>Cumple</v>
      </c>
      <c r="AE11" s="40">
        <f t="shared" si="17"/>
        <v>60.089804113676387</v>
      </c>
      <c r="AF11" s="5"/>
      <c r="AG11" s="7"/>
      <c r="AH11" s="3"/>
      <c r="AI11" s="7"/>
      <c r="AJ11" s="7"/>
      <c r="AL11" s="3"/>
      <c r="AM11" s="3"/>
      <c r="AN11" s="3"/>
      <c r="AO11" s="3"/>
      <c r="AP11" s="9"/>
      <c r="AQ11" s="6"/>
    </row>
    <row r="12" spans="1:43" ht="15" customHeight="1" x14ac:dyDescent="0.3">
      <c r="A12" s="45"/>
      <c r="B12" s="44">
        <v>9</v>
      </c>
      <c r="C12" s="1" t="s">
        <v>43</v>
      </c>
      <c r="D12" s="1">
        <v>1</v>
      </c>
      <c r="E12" s="5">
        <v>1</v>
      </c>
      <c r="F12" s="3">
        <f t="shared" si="20"/>
        <v>9</v>
      </c>
      <c r="G12" s="5">
        <v>1.3</v>
      </c>
      <c r="H12" s="3">
        <f t="shared" si="10"/>
        <v>1.3273228961416876</v>
      </c>
      <c r="I12" s="21">
        <v>1.3273E-2</v>
      </c>
      <c r="J12" s="20">
        <v>124.27589999999999</v>
      </c>
      <c r="K12" s="3">
        <v>50.039584818621343</v>
      </c>
      <c r="L12" s="20">
        <v>140.03782000000001</v>
      </c>
      <c r="M12" s="43">
        <v>24.403289999999998</v>
      </c>
      <c r="N12" s="42">
        <f t="shared" si="0"/>
        <v>9.9998275013430862E-3</v>
      </c>
      <c r="O12" s="11">
        <f t="shared" si="1"/>
        <v>132.72999999999999</v>
      </c>
      <c r="P12" s="1">
        <v>10</v>
      </c>
      <c r="Q12" s="1">
        <v>1</v>
      </c>
      <c r="R12" s="3">
        <f>Q12*VLOOKUP(P12,[4]Datos!$A$2:$D$14,2)</f>
        <v>8.19</v>
      </c>
      <c r="S12" s="10">
        <f t="shared" si="11"/>
        <v>17</v>
      </c>
      <c r="T12" s="2">
        <v>17</v>
      </c>
      <c r="U12" s="3">
        <f t="shared" si="12"/>
        <v>0.2</v>
      </c>
      <c r="V12" s="41" t="str">
        <f t="shared" si="13"/>
        <v>Cumple</v>
      </c>
      <c r="W12" s="53">
        <v>280</v>
      </c>
      <c r="X12" s="52">
        <v>2</v>
      </c>
      <c r="Y12" s="51">
        <v>5</v>
      </c>
      <c r="Z12" s="50">
        <f>X12*VLOOKUP(Y12,[4]Datos!$A$2:$D$14,2)</f>
        <v>3.98</v>
      </c>
      <c r="AA12" s="49">
        <v>0.2</v>
      </c>
      <c r="AB12" s="48">
        <f t="shared" si="14"/>
        <v>0</v>
      </c>
      <c r="AC12" s="48">
        <f t="shared" si="15"/>
        <v>70.74306719999997</v>
      </c>
      <c r="AD12" s="47" t="str">
        <f t="shared" si="16"/>
        <v>Cumple</v>
      </c>
      <c r="AE12" s="46">
        <f t="shared" si="17"/>
        <v>50.039584818621343</v>
      </c>
      <c r="AF12" s="5"/>
      <c r="AG12" s="7"/>
      <c r="AH12" s="3"/>
      <c r="AI12" s="7"/>
      <c r="AJ12" s="7"/>
      <c r="AL12" s="3"/>
      <c r="AM12" s="3"/>
      <c r="AN12" s="3"/>
      <c r="AO12" s="3"/>
      <c r="AP12" s="9"/>
      <c r="AQ12" s="6"/>
    </row>
    <row r="13" spans="1:43" ht="15" customHeight="1" x14ac:dyDescent="0.3">
      <c r="A13" s="45"/>
      <c r="B13" s="44">
        <v>10</v>
      </c>
      <c r="C13" s="1" t="s">
        <v>42</v>
      </c>
      <c r="D13" s="1">
        <v>1</v>
      </c>
      <c r="E13" s="5">
        <v>1</v>
      </c>
      <c r="F13" s="3">
        <f t="shared" si="20"/>
        <v>10</v>
      </c>
      <c r="G13" s="5">
        <v>1.3</v>
      </c>
      <c r="H13" s="3">
        <f t="shared" si="10"/>
        <v>1.3273228961416876</v>
      </c>
      <c r="I13" s="21">
        <v>1.3273E-2</v>
      </c>
      <c r="J13" s="20">
        <v>124.27589999999999</v>
      </c>
      <c r="K13" s="3">
        <v>38.338325060179663</v>
      </c>
      <c r="L13" s="20">
        <v>90.060959999999994</v>
      </c>
      <c r="M13" s="43">
        <v>16.035409999999999</v>
      </c>
      <c r="N13" s="42">
        <f t="shared" si="0"/>
        <v>9.9998275013430862E-3</v>
      </c>
      <c r="O13" s="11">
        <f t="shared" si="1"/>
        <v>132.72999999999999</v>
      </c>
      <c r="P13" s="1">
        <v>10</v>
      </c>
      <c r="Q13" s="1">
        <v>1</v>
      </c>
      <c r="R13" s="3">
        <f>Q13*VLOOKUP(P13,[4]Datos!$A$2:$D$14,2)</f>
        <v>8.19</v>
      </c>
      <c r="S13" s="10">
        <f t="shared" si="11"/>
        <v>17</v>
      </c>
      <c r="T13" s="2">
        <v>17</v>
      </c>
      <c r="U13" s="3">
        <f t="shared" si="12"/>
        <v>0.2</v>
      </c>
      <c r="V13" s="41" t="str">
        <f t="shared" si="13"/>
        <v>Cumple</v>
      </c>
      <c r="W13" s="1">
        <v>280</v>
      </c>
      <c r="X13" s="9">
        <v>2</v>
      </c>
      <c r="Y13" s="1">
        <v>5</v>
      </c>
      <c r="Z13" s="3">
        <f>X13*VLOOKUP(Y13,[4]Datos!$A$2:$D$14,2)</f>
        <v>3.98</v>
      </c>
      <c r="AA13" s="5">
        <v>0.3</v>
      </c>
      <c r="AB13" s="7">
        <f t="shared" si="14"/>
        <v>0</v>
      </c>
      <c r="AC13" s="7">
        <f t="shared" si="15"/>
        <v>47.162044799999997</v>
      </c>
      <c r="AD13" s="6" t="str">
        <f t="shared" si="16"/>
        <v>Cumple</v>
      </c>
      <c r="AE13" s="40">
        <f t="shared" si="17"/>
        <v>38.338325060179663</v>
      </c>
      <c r="AF13" s="5"/>
      <c r="AG13" s="7"/>
      <c r="AH13" s="3"/>
      <c r="AI13" s="7"/>
      <c r="AJ13" s="7"/>
      <c r="AL13" s="3"/>
      <c r="AM13" s="3"/>
      <c r="AN13" s="3"/>
      <c r="AO13" s="3"/>
      <c r="AP13" s="9"/>
      <c r="AQ13" s="6"/>
    </row>
    <row r="14" spans="1:43" ht="15" customHeight="1" x14ac:dyDescent="0.3">
      <c r="A14" s="45"/>
      <c r="B14" s="44">
        <v>11</v>
      </c>
      <c r="C14" s="1" t="s">
        <v>41</v>
      </c>
      <c r="D14" s="1">
        <v>1</v>
      </c>
      <c r="E14" s="5">
        <v>1</v>
      </c>
      <c r="F14" s="3">
        <f t="shared" si="20"/>
        <v>11</v>
      </c>
      <c r="G14" s="5">
        <v>1.3</v>
      </c>
      <c r="H14" s="3">
        <f t="shared" si="10"/>
        <v>1.3273228961416876</v>
      </c>
      <c r="I14" s="21">
        <v>1.3273E-2</v>
      </c>
      <c r="J14" s="20">
        <v>124.27589999999999</v>
      </c>
      <c r="K14" s="3">
        <v>26.964250899292566</v>
      </c>
      <c r="L14" s="20">
        <v>51.772089999999999</v>
      </c>
      <c r="M14" s="43">
        <v>9.5129599999999996</v>
      </c>
      <c r="N14" s="42">
        <f t="shared" si="0"/>
        <v>9.9998275013430862E-3</v>
      </c>
      <c r="O14" s="11">
        <f t="shared" si="1"/>
        <v>132.72999999999999</v>
      </c>
      <c r="P14" s="1">
        <v>10</v>
      </c>
      <c r="Q14" s="1">
        <v>1</v>
      </c>
      <c r="R14" s="3">
        <f>Q14*VLOOKUP(P14,[4]Datos!$A$2:$D$14,2)</f>
        <v>8.19</v>
      </c>
      <c r="S14" s="10">
        <f t="shared" si="11"/>
        <v>17</v>
      </c>
      <c r="T14" s="2">
        <v>17</v>
      </c>
      <c r="U14" s="3">
        <f t="shared" si="12"/>
        <v>0.2</v>
      </c>
      <c r="V14" s="41" t="str">
        <f t="shared" si="13"/>
        <v>Cumple</v>
      </c>
      <c r="W14" s="1">
        <v>280</v>
      </c>
      <c r="X14" s="9">
        <v>2</v>
      </c>
      <c r="Y14" s="1">
        <v>5</v>
      </c>
      <c r="Z14" s="3">
        <f>X14*VLOOKUP(Y14,[4]Datos!$A$2:$D$14,2)</f>
        <v>3.98</v>
      </c>
      <c r="AA14" s="5">
        <v>0.3</v>
      </c>
      <c r="AB14" s="7">
        <f t="shared" si="14"/>
        <v>0</v>
      </c>
      <c r="AC14" s="7">
        <f t="shared" si="15"/>
        <v>47.162044799999997</v>
      </c>
      <c r="AD14" s="6" t="str">
        <f t="shared" si="16"/>
        <v>Cumple</v>
      </c>
      <c r="AE14" s="40">
        <f t="shared" si="17"/>
        <v>26.964250899292566</v>
      </c>
      <c r="AF14" s="5"/>
      <c r="AG14" s="7"/>
      <c r="AH14" s="3"/>
      <c r="AI14" s="7"/>
      <c r="AJ14" s="7"/>
      <c r="AL14" s="3"/>
      <c r="AM14" s="3"/>
      <c r="AN14" s="3"/>
      <c r="AO14" s="3"/>
      <c r="AP14" s="9"/>
      <c r="AQ14" s="6"/>
    </row>
    <row r="15" spans="1:43" ht="15" customHeight="1" x14ac:dyDescent="0.3">
      <c r="A15" s="45"/>
      <c r="B15" s="44">
        <v>12</v>
      </c>
      <c r="C15" s="1" t="s">
        <v>40</v>
      </c>
      <c r="D15" s="1">
        <v>1</v>
      </c>
      <c r="E15" s="5">
        <v>1</v>
      </c>
      <c r="F15" s="3">
        <f t="shared" si="20"/>
        <v>12</v>
      </c>
      <c r="G15" s="5">
        <v>1.3</v>
      </c>
      <c r="H15" s="3">
        <f t="shared" si="10"/>
        <v>1.3273228961416876</v>
      </c>
      <c r="I15" s="21">
        <v>1.3273E-2</v>
      </c>
      <c r="J15" s="20">
        <v>124.27589999999999</v>
      </c>
      <c r="K15" s="3">
        <v>17.042595848344227</v>
      </c>
      <c r="L15" s="20">
        <v>24.843730000000001</v>
      </c>
      <c r="M15" s="43">
        <v>4.8402900000000004</v>
      </c>
      <c r="N15" s="42">
        <f t="shared" si="0"/>
        <v>9.9998275013430862E-3</v>
      </c>
      <c r="O15" s="11">
        <f t="shared" si="1"/>
        <v>132.72999999999999</v>
      </c>
      <c r="P15" s="1">
        <v>10</v>
      </c>
      <c r="Q15" s="1">
        <v>1</v>
      </c>
      <c r="R15" s="3">
        <f>Q15*VLOOKUP(P15,[4]Datos!$A$2:$D$14,2)</f>
        <v>8.19</v>
      </c>
      <c r="S15" s="10">
        <f t="shared" si="11"/>
        <v>17</v>
      </c>
      <c r="T15" s="2">
        <v>17</v>
      </c>
      <c r="U15" s="3">
        <f t="shared" si="12"/>
        <v>0.2</v>
      </c>
      <c r="V15" s="41" t="str">
        <f t="shared" si="13"/>
        <v>Cumple</v>
      </c>
      <c r="W15" s="1">
        <v>280</v>
      </c>
      <c r="X15" s="9">
        <v>2</v>
      </c>
      <c r="Y15" s="1">
        <v>5</v>
      </c>
      <c r="Z15" s="3">
        <f>X15*VLOOKUP(Y15,[4]Datos!$A$2:$D$14,2)</f>
        <v>3.98</v>
      </c>
      <c r="AA15" s="5">
        <v>0.3</v>
      </c>
      <c r="AB15" s="7">
        <f t="shared" si="14"/>
        <v>0</v>
      </c>
      <c r="AC15" s="7">
        <f t="shared" si="15"/>
        <v>47.162044799999997</v>
      </c>
      <c r="AD15" s="6" t="str">
        <f t="shared" si="16"/>
        <v>Cumple</v>
      </c>
      <c r="AE15" s="40">
        <f t="shared" si="17"/>
        <v>17.042595848344227</v>
      </c>
      <c r="AF15" s="5"/>
      <c r="AG15" s="7"/>
      <c r="AH15" s="3"/>
      <c r="AI15" s="7"/>
      <c r="AJ15" s="7"/>
      <c r="AL15" s="3"/>
      <c r="AM15" s="3"/>
      <c r="AN15" s="3"/>
      <c r="AO15" s="3"/>
      <c r="AP15" s="9"/>
      <c r="AQ15" s="6"/>
    </row>
    <row r="16" spans="1:43" ht="15" customHeight="1" x14ac:dyDescent="0.3">
      <c r="A16" s="45"/>
      <c r="B16" s="44">
        <v>13</v>
      </c>
      <c r="C16" s="1" t="s">
        <v>39</v>
      </c>
      <c r="D16" s="1">
        <v>1</v>
      </c>
      <c r="E16" s="5">
        <v>1</v>
      </c>
      <c r="F16" s="3">
        <f t="shared" si="20"/>
        <v>13</v>
      </c>
      <c r="G16" s="5">
        <v>1.3</v>
      </c>
      <c r="H16" s="3">
        <f t="shared" si="10"/>
        <v>1.3273228961416876</v>
      </c>
      <c r="I16" s="21">
        <v>1.3273E-2</v>
      </c>
      <c r="J16" s="20">
        <v>124.27589999999999</v>
      </c>
      <c r="K16" s="3">
        <v>9.1020244039444318</v>
      </c>
      <c r="L16" s="20">
        <v>7.8279699999999997</v>
      </c>
      <c r="M16" s="43">
        <v>1.81467</v>
      </c>
      <c r="N16" s="42">
        <f t="shared" si="0"/>
        <v>9.9998275013430862E-3</v>
      </c>
      <c r="O16" s="11">
        <f t="shared" si="1"/>
        <v>132.72999999999999</v>
      </c>
      <c r="P16" s="1">
        <v>10</v>
      </c>
      <c r="Q16" s="1">
        <v>1</v>
      </c>
      <c r="R16" s="3">
        <f>Q16*VLOOKUP(P16,[4]Datos!$A$2:$D$14,2)</f>
        <v>8.19</v>
      </c>
      <c r="S16" s="10">
        <f t="shared" si="11"/>
        <v>17</v>
      </c>
      <c r="T16" s="2">
        <v>17</v>
      </c>
      <c r="U16" s="3">
        <f t="shared" si="12"/>
        <v>0.2</v>
      </c>
      <c r="V16" s="41" t="str">
        <f t="shared" si="13"/>
        <v>Cumple</v>
      </c>
      <c r="W16" s="1">
        <v>280</v>
      </c>
      <c r="X16" s="9">
        <v>2</v>
      </c>
      <c r="Y16" s="1">
        <v>5</v>
      </c>
      <c r="Z16" s="3">
        <f>X16*VLOOKUP(Y16,[4]Datos!$A$2:$D$14,2)</f>
        <v>3.98</v>
      </c>
      <c r="AA16" s="5">
        <v>0.3</v>
      </c>
      <c r="AB16" s="7">
        <f t="shared" si="14"/>
        <v>0</v>
      </c>
      <c r="AC16" s="7">
        <f t="shared" si="15"/>
        <v>47.162044799999997</v>
      </c>
      <c r="AD16" s="6" t="str">
        <f t="shared" si="16"/>
        <v>Cumple</v>
      </c>
      <c r="AE16" s="40">
        <f t="shared" si="17"/>
        <v>9.1020244039444318</v>
      </c>
      <c r="AF16" s="5"/>
      <c r="AG16" s="7"/>
      <c r="AH16" s="3"/>
      <c r="AI16" s="7"/>
      <c r="AJ16" s="7"/>
      <c r="AL16" s="3"/>
      <c r="AM16" s="3"/>
      <c r="AN16" s="3"/>
      <c r="AO16" s="3"/>
      <c r="AP16" s="9"/>
      <c r="AQ16" s="6"/>
    </row>
    <row r="17" spans="1:43" ht="15" customHeight="1" x14ac:dyDescent="0.3">
      <c r="A17" s="45"/>
      <c r="B17" s="44">
        <v>14</v>
      </c>
      <c r="C17" s="1" t="s">
        <v>38</v>
      </c>
      <c r="D17" s="1">
        <v>1</v>
      </c>
      <c r="E17" s="5">
        <v>1</v>
      </c>
      <c r="F17" s="3">
        <f t="shared" si="20"/>
        <v>14</v>
      </c>
      <c r="G17" s="5">
        <v>1.3</v>
      </c>
      <c r="H17" s="3">
        <f t="shared" si="10"/>
        <v>1.3273228961416876</v>
      </c>
      <c r="I17" s="21">
        <v>1.3273E-2</v>
      </c>
      <c r="J17" s="20">
        <v>124.27589999999999</v>
      </c>
      <c r="K17" s="3">
        <v>3.2976614820202514</v>
      </c>
      <c r="L17" s="20">
        <v>4.5545900000000001</v>
      </c>
      <c r="M17" s="43">
        <v>0.57593000000000005</v>
      </c>
      <c r="N17" s="42">
        <f t="shared" si="0"/>
        <v>9.9998275013430862E-3</v>
      </c>
      <c r="O17" s="11">
        <f t="shared" si="1"/>
        <v>132.72999999999999</v>
      </c>
      <c r="P17" s="1">
        <v>10</v>
      </c>
      <c r="Q17" s="1">
        <v>1</v>
      </c>
      <c r="R17" s="3">
        <f>Q17*VLOOKUP(P17,[4]Datos!$A$2:$D$14,2)</f>
        <v>8.19</v>
      </c>
      <c r="S17" s="10">
        <f t="shared" si="11"/>
        <v>17</v>
      </c>
      <c r="T17" s="2">
        <v>17</v>
      </c>
      <c r="U17" s="3">
        <f t="shared" si="12"/>
        <v>0.2</v>
      </c>
      <c r="V17" s="41" t="str">
        <f t="shared" si="13"/>
        <v>Cumple</v>
      </c>
      <c r="W17" s="1">
        <v>280</v>
      </c>
      <c r="X17" s="9">
        <v>2</v>
      </c>
      <c r="Y17" s="1">
        <v>5</v>
      </c>
      <c r="Z17" s="3">
        <f>X17*VLOOKUP(Y17,[4]Datos!$A$2:$D$14,2)</f>
        <v>3.98</v>
      </c>
      <c r="AA17" s="5">
        <v>0.3</v>
      </c>
      <c r="AB17" s="7">
        <f t="shared" si="14"/>
        <v>0</v>
      </c>
      <c r="AC17" s="7">
        <f t="shared" si="15"/>
        <v>47.162044799999997</v>
      </c>
      <c r="AD17" s="6" t="str">
        <f t="shared" si="16"/>
        <v>Cumple</v>
      </c>
      <c r="AE17" s="40">
        <f t="shared" si="17"/>
        <v>3.2976614820202514</v>
      </c>
      <c r="AF17" s="5"/>
      <c r="AG17" s="7"/>
      <c r="AH17" s="3"/>
      <c r="AI17" s="7"/>
      <c r="AJ17" s="7"/>
      <c r="AL17" s="3"/>
      <c r="AM17" s="3"/>
      <c r="AN17" s="3"/>
      <c r="AO17" s="3"/>
      <c r="AP17" s="9"/>
      <c r="AQ17" s="6"/>
    </row>
    <row r="18" spans="1:43" ht="15" customHeight="1" x14ac:dyDescent="0.3">
      <c r="A18" s="45"/>
      <c r="B18" s="44">
        <v>15</v>
      </c>
      <c r="C18" s="1" t="s">
        <v>37</v>
      </c>
      <c r="D18" s="1">
        <v>1</v>
      </c>
      <c r="E18" s="5">
        <v>1</v>
      </c>
      <c r="F18" s="3">
        <f t="shared" si="20"/>
        <v>15</v>
      </c>
      <c r="G18" s="5">
        <v>1.3</v>
      </c>
      <c r="H18" s="3">
        <f t="shared" si="10"/>
        <v>1.3273228961416876</v>
      </c>
      <c r="I18" s="21">
        <v>1.3273E-2</v>
      </c>
      <c r="J18" s="20">
        <v>124.27589999999999</v>
      </c>
      <c r="K18" s="3">
        <v>0.61286756318147562</v>
      </c>
      <c r="L18" s="20">
        <v>4.5545900000000001</v>
      </c>
      <c r="M18" s="43">
        <v>0.59967999999999999</v>
      </c>
      <c r="N18" s="42">
        <f t="shared" si="0"/>
        <v>9.9998275013430862E-3</v>
      </c>
      <c r="O18" s="11">
        <f t="shared" si="1"/>
        <v>132.72999999999999</v>
      </c>
      <c r="P18" s="1">
        <v>10</v>
      </c>
      <c r="Q18" s="1">
        <v>1</v>
      </c>
      <c r="R18" s="3">
        <f>Q18*VLOOKUP(P18,[4]Datos!$A$2:$D$14,2)</f>
        <v>8.19</v>
      </c>
      <c r="S18" s="10">
        <f t="shared" si="11"/>
        <v>17</v>
      </c>
      <c r="T18" s="2">
        <v>17</v>
      </c>
      <c r="U18" s="3">
        <f t="shared" si="12"/>
        <v>0.2</v>
      </c>
      <c r="V18" s="41" t="str">
        <f t="shared" si="13"/>
        <v>Cumple</v>
      </c>
      <c r="W18" s="51">
        <v>280</v>
      </c>
      <c r="X18" s="52">
        <v>2</v>
      </c>
      <c r="Y18" s="51">
        <v>5</v>
      </c>
      <c r="Z18" s="50">
        <f>X18*VLOOKUP(Y18,[4]Datos!$A$2:$D$14,2)</f>
        <v>3.98</v>
      </c>
      <c r="AA18" s="49">
        <v>0.3</v>
      </c>
      <c r="AB18" s="48">
        <f t="shared" si="14"/>
        <v>0</v>
      </c>
      <c r="AC18" s="48">
        <f t="shared" si="15"/>
        <v>47.162044799999997</v>
      </c>
      <c r="AD18" s="47" t="str">
        <f t="shared" si="16"/>
        <v>Cumple</v>
      </c>
      <c r="AE18" s="46">
        <f t="shared" si="17"/>
        <v>0.61286756318147562</v>
      </c>
      <c r="AF18" s="5"/>
      <c r="AG18" s="7"/>
      <c r="AH18" s="3"/>
      <c r="AI18" s="7"/>
      <c r="AJ18" s="7"/>
      <c r="AL18" s="3"/>
      <c r="AM18" s="3"/>
      <c r="AN18" s="3"/>
      <c r="AO18" s="3"/>
      <c r="AP18" s="9"/>
      <c r="AQ18" s="6"/>
    </row>
    <row r="19" spans="1:43" ht="15" customHeight="1" x14ac:dyDescent="0.3">
      <c r="A19" s="45"/>
      <c r="B19" s="44">
        <v>16</v>
      </c>
      <c r="C19" s="1" t="s">
        <v>36</v>
      </c>
      <c r="D19" s="1">
        <v>1</v>
      </c>
      <c r="E19" s="5">
        <v>1</v>
      </c>
      <c r="F19" s="3">
        <f t="shared" si="20"/>
        <v>16</v>
      </c>
      <c r="G19" s="5">
        <v>1.3</v>
      </c>
      <c r="H19" s="3">
        <f t="shared" si="10"/>
        <v>1.3273228961416876</v>
      </c>
      <c r="I19" s="21">
        <v>1.3273E-2</v>
      </c>
      <c r="J19" s="20">
        <v>124.27589999999999</v>
      </c>
      <c r="K19" s="3">
        <v>2.1476076783248845</v>
      </c>
      <c r="L19" s="20">
        <v>4.1377199999999998</v>
      </c>
      <c r="M19" s="43">
        <v>0.59967999999999999</v>
      </c>
      <c r="N19" s="42">
        <f t="shared" si="0"/>
        <v>9.9998275013430862E-3</v>
      </c>
      <c r="O19" s="11">
        <f t="shared" si="1"/>
        <v>132.72999999999999</v>
      </c>
      <c r="P19" s="1">
        <v>10</v>
      </c>
      <c r="Q19" s="1">
        <v>1</v>
      </c>
      <c r="R19" s="3">
        <f>Q19*VLOOKUP(P19,[4]Datos!$A$2:$D$14,2)</f>
        <v>8.19</v>
      </c>
      <c r="S19" s="10">
        <f t="shared" si="11"/>
        <v>17</v>
      </c>
      <c r="T19" s="2">
        <v>17</v>
      </c>
      <c r="U19" s="3">
        <f t="shared" si="12"/>
        <v>0.2</v>
      </c>
      <c r="V19" s="41" t="str">
        <f t="shared" si="13"/>
        <v>Cumple</v>
      </c>
      <c r="W19" s="1">
        <v>280</v>
      </c>
      <c r="X19" s="9">
        <v>2</v>
      </c>
      <c r="Y19" s="1">
        <v>5</v>
      </c>
      <c r="Z19" s="3">
        <f>X19*VLOOKUP(Y19,[4]Datos!$A$2:$D$14,2)</f>
        <v>3.98</v>
      </c>
      <c r="AA19" s="5">
        <v>0.3</v>
      </c>
      <c r="AB19" s="7">
        <f t="shared" si="14"/>
        <v>0</v>
      </c>
      <c r="AC19" s="7">
        <f t="shared" si="15"/>
        <v>47.162044799999997</v>
      </c>
      <c r="AD19" s="6" t="str">
        <f t="shared" si="16"/>
        <v>Cumple</v>
      </c>
      <c r="AE19" s="40">
        <f t="shared" si="17"/>
        <v>2.1476076783248845</v>
      </c>
      <c r="AF19" s="5"/>
      <c r="AG19" s="7"/>
      <c r="AH19" s="3"/>
      <c r="AI19" s="7"/>
      <c r="AJ19" s="7"/>
      <c r="AL19" s="3"/>
      <c r="AM19" s="3"/>
      <c r="AN19" s="3"/>
      <c r="AO19" s="3"/>
      <c r="AP19" s="9"/>
      <c r="AQ19" s="6"/>
    </row>
    <row r="20" spans="1:43" ht="15" customHeight="1" thickBot="1" x14ac:dyDescent="0.35">
      <c r="A20" s="39"/>
      <c r="B20" s="38">
        <v>17</v>
      </c>
      <c r="C20" s="28" t="s">
        <v>35</v>
      </c>
      <c r="D20" s="28">
        <v>1</v>
      </c>
      <c r="E20" s="26">
        <v>1</v>
      </c>
      <c r="F20" s="27">
        <f t="shared" si="20"/>
        <v>17</v>
      </c>
      <c r="G20" s="26">
        <v>1.3</v>
      </c>
      <c r="H20" s="27">
        <f t="shared" si="10"/>
        <v>1.3273228961416876</v>
      </c>
      <c r="I20" s="37">
        <v>1.3273E-2</v>
      </c>
      <c r="J20" s="36">
        <v>124.27589999999999</v>
      </c>
      <c r="K20" s="27">
        <v>1.9941956699381331</v>
      </c>
      <c r="L20" s="36">
        <v>1.9920500000000001</v>
      </c>
      <c r="M20" s="35">
        <v>0.30266999999999999</v>
      </c>
      <c r="N20" s="34">
        <f t="shared" si="0"/>
        <v>9.9998275013430862E-3</v>
      </c>
      <c r="O20" s="33">
        <f t="shared" si="1"/>
        <v>132.72999999999999</v>
      </c>
      <c r="P20" s="28">
        <v>10</v>
      </c>
      <c r="Q20" s="28">
        <v>1</v>
      </c>
      <c r="R20" s="27">
        <f>Q20*VLOOKUP(P20,[4]Datos!$A$2:$D$14,2)</f>
        <v>8.19</v>
      </c>
      <c r="S20" s="32">
        <f t="shared" si="11"/>
        <v>17</v>
      </c>
      <c r="T20" s="31">
        <v>17</v>
      </c>
      <c r="U20" s="27">
        <f t="shared" si="12"/>
        <v>0.2</v>
      </c>
      <c r="V20" s="30" t="str">
        <f t="shared" si="13"/>
        <v>Cumple</v>
      </c>
      <c r="W20" s="28">
        <v>280</v>
      </c>
      <c r="X20" s="29">
        <v>2</v>
      </c>
      <c r="Y20" s="28">
        <v>5</v>
      </c>
      <c r="Z20" s="27">
        <f>X20*VLOOKUP(Y20,[4]Datos!$A$2:$D$14,2)</f>
        <v>3.98</v>
      </c>
      <c r="AA20" s="26">
        <v>0.3</v>
      </c>
      <c r="AB20" s="25">
        <f t="shared" si="14"/>
        <v>0</v>
      </c>
      <c r="AC20" s="25">
        <f t="shared" si="15"/>
        <v>47.162044799999997</v>
      </c>
      <c r="AD20" s="24" t="str">
        <f t="shared" si="16"/>
        <v>Cumple</v>
      </c>
      <c r="AE20" s="23">
        <f t="shared" si="17"/>
        <v>1.9941956699381331</v>
      </c>
      <c r="AF20" s="5"/>
      <c r="AG20" s="7"/>
      <c r="AH20" s="3"/>
      <c r="AI20" s="7"/>
      <c r="AJ20" s="7"/>
      <c r="AL20" s="3"/>
      <c r="AM20" s="3"/>
      <c r="AN20" s="3"/>
      <c r="AO20" s="3"/>
      <c r="AP20" s="9"/>
      <c r="AQ20" s="6"/>
    </row>
    <row r="21" spans="1:43" ht="15" customHeight="1" x14ac:dyDescent="0.3">
      <c r="A21" s="70" t="s">
        <v>34</v>
      </c>
      <c r="B21" s="69">
        <v>1</v>
      </c>
      <c r="C21" s="60" t="s">
        <v>33</v>
      </c>
      <c r="D21" s="60">
        <v>1</v>
      </c>
      <c r="E21" s="58">
        <v>1</v>
      </c>
      <c r="F21" s="59">
        <f>E21</f>
        <v>1</v>
      </c>
      <c r="G21" s="58">
        <v>1.3</v>
      </c>
      <c r="H21" s="59">
        <f>PI()*(G21^2)/4</f>
        <v>1.3273228961416876</v>
      </c>
      <c r="I21" s="68">
        <v>1.3273E-2</v>
      </c>
      <c r="J21" s="67">
        <v>124.27589999999999</v>
      </c>
      <c r="K21" s="59">
        <v>106.10257137416603</v>
      </c>
      <c r="L21" s="67">
        <v>205.83131</v>
      </c>
      <c r="M21" s="66">
        <v>51.984169999999999</v>
      </c>
      <c r="N21" s="65">
        <f t="shared" si="0"/>
        <v>9.9998275013430862E-3</v>
      </c>
      <c r="O21" s="64">
        <f t="shared" si="1"/>
        <v>132.72999999999999</v>
      </c>
      <c r="P21" s="60">
        <v>10</v>
      </c>
      <c r="Q21" s="60">
        <v>1</v>
      </c>
      <c r="R21" s="59">
        <f>Q21*VLOOKUP(P21,[4]Datos!$A$2:$D$14,2)</f>
        <v>8.19</v>
      </c>
      <c r="S21" s="63">
        <f>ROUNDUP(O21/R21,0)</f>
        <v>17</v>
      </c>
      <c r="T21" s="2">
        <v>17</v>
      </c>
      <c r="U21" s="59">
        <f>ROUNDDOWN(PI()*(G21-0.185)/T21,2)</f>
        <v>0.2</v>
      </c>
      <c r="V21" s="62" t="str">
        <f t="shared" si="13"/>
        <v>Cumple</v>
      </c>
      <c r="W21" s="60">
        <v>280</v>
      </c>
      <c r="X21" s="61">
        <v>4</v>
      </c>
      <c r="Y21" s="60">
        <v>5</v>
      </c>
      <c r="Z21" s="59">
        <f>X21*VLOOKUP(Y21,[4]Datos!$A$2:$D$14,2)</f>
        <v>7.96</v>
      </c>
      <c r="AA21" s="58">
        <v>0.08</v>
      </c>
      <c r="AB21" s="57">
        <f t="shared" si="14"/>
        <v>0</v>
      </c>
      <c r="AC21" s="57">
        <f>0.9*Z21*4220*MAX(0.72*G21,0.9*((G21/2)+((G21-0.11)/PI())))/AA21/1000</f>
        <v>353.71533599999998</v>
      </c>
      <c r="AD21" s="56" t="str">
        <f t="shared" si="16"/>
        <v>Cumple</v>
      </c>
      <c r="AE21" s="55">
        <f t="shared" si="17"/>
        <v>106.10257137416603</v>
      </c>
      <c r="AF21" s="5"/>
      <c r="AG21" s="7">
        <f>ROUNDUP(MAX(0.45,2*G21,),1)</f>
        <v>2.6</v>
      </c>
      <c r="AH21" s="3">
        <f>PI()*(G21-0.15)^2/4</f>
        <v>1.0386890710931256</v>
      </c>
      <c r="AI21" s="7">
        <f>G21-0.15-VLOOKUP(Y21,[2]Datos!$A$2:$D$14,3)/100</f>
        <v>1.1341000000000001</v>
      </c>
      <c r="AJ21" s="7">
        <f t="shared" ref="AJ21:AJ23" si="21">SQRT((PI()*AI21)^2+AA21^2)</f>
        <v>3.5637782650133385</v>
      </c>
      <c r="AK21" s="1">
        <v>0.12</v>
      </c>
      <c r="AL21" s="16">
        <f t="shared" ref="AL21:AL23" si="22">MAX(0.45*(H21/AH21-1),AK21)*(W21/4220)</f>
        <v>8.2969745294259878E-3</v>
      </c>
      <c r="AM21" s="7">
        <f t="shared" ref="AM21:AM23" si="23">AG21*(AJ21/AA21)</f>
        <v>115.82279361293351</v>
      </c>
      <c r="AN21" s="17">
        <f t="shared" ref="AN21:AN23" si="24">AM21*Z21/X21/10000</f>
        <v>2.3048735928973767E-2</v>
      </c>
      <c r="AO21" s="17">
        <f t="shared" ref="AO21:AO23" si="25">AH21*AG21</f>
        <v>2.7005915848421265</v>
      </c>
      <c r="AP21" s="16">
        <f t="shared" ref="AP21:AP23" si="26">AN21/AO21</f>
        <v>8.5346988631460063E-3</v>
      </c>
      <c r="AQ21" s="6" t="str">
        <f t="shared" ref="AQ21:AQ23" si="27">+IF(AP21&gt;AL21,"Cumple","No Cumple")</f>
        <v>Cumple</v>
      </c>
    </row>
    <row r="22" spans="1:43" ht="15" customHeight="1" x14ac:dyDescent="0.3">
      <c r="A22" s="45"/>
      <c r="B22" s="44">
        <v>2</v>
      </c>
      <c r="C22" s="1" t="s">
        <v>32</v>
      </c>
      <c r="D22" s="1">
        <v>1</v>
      </c>
      <c r="E22" s="5">
        <v>1</v>
      </c>
      <c r="F22" s="3">
        <f>F21+E22</f>
        <v>2</v>
      </c>
      <c r="G22" s="5">
        <v>1.3</v>
      </c>
      <c r="H22" s="3">
        <f t="shared" ref="H22:H37" si="28">PI()*(G22^2)/4</f>
        <v>1.3273228961416876</v>
      </c>
      <c r="I22" s="21">
        <v>1.3273E-2</v>
      </c>
      <c r="J22" s="20">
        <v>124.27589999999999</v>
      </c>
      <c r="K22" s="3">
        <v>93.931481809668057</v>
      </c>
      <c r="L22" s="20">
        <v>299.19429000000002</v>
      </c>
      <c r="M22" s="43">
        <v>43.690930000000002</v>
      </c>
      <c r="N22" s="42">
        <f t="shared" si="0"/>
        <v>9.9998275013430862E-3</v>
      </c>
      <c r="O22" s="11">
        <f t="shared" si="1"/>
        <v>132.72999999999999</v>
      </c>
      <c r="P22" s="1">
        <v>10</v>
      </c>
      <c r="Q22" s="1">
        <v>1</v>
      </c>
      <c r="R22" s="3">
        <f>Q22*VLOOKUP(P22,[4]Datos!$A$2:$D$14,2)</f>
        <v>8.19</v>
      </c>
      <c r="S22" s="10">
        <f t="shared" ref="S22:S37" si="29">ROUNDUP(O22/R22,0)</f>
        <v>17</v>
      </c>
      <c r="T22" s="2">
        <v>17</v>
      </c>
      <c r="U22" s="3">
        <f t="shared" ref="U22:U37" si="30">ROUNDDOWN(PI()*(G22-0.185)/T22,2)</f>
        <v>0.2</v>
      </c>
      <c r="V22" s="41" t="str">
        <f t="shared" si="13"/>
        <v>Cumple</v>
      </c>
      <c r="W22" s="1">
        <v>280</v>
      </c>
      <c r="X22" s="9">
        <v>4</v>
      </c>
      <c r="Y22" s="1">
        <v>5</v>
      </c>
      <c r="Z22" s="3">
        <f>X22*VLOOKUP(Y22,[4]Datos!$A$2:$D$14,2)</f>
        <v>7.96</v>
      </c>
      <c r="AA22" s="5">
        <v>0.08</v>
      </c>
      <c r="AB22" s="7">
        <f t="shared" si="14"/>
        <v>0</v>
      </c>
      <c r="AC22" s="7">
        <f t="shared" ref="AC22:AC37" si="31">0.9*Z22*4220*MAX(0.72*G22,0.9*((G22/2)+((G22-0.11)/PI())))/AA22/1000</f>
        <v>353.71533599999998</v>
      </c>
      <c r="AD22" s="6" t="str">
        <f t="shared" si="16"/>
        <v>Cumple</v>
      </c>
      <c r="AE22" s="40">
        <f t="shared" si="17"/>
        <v>93.931481809668057</v>
      </c>
      <c r="AF22" s="5"/>
      <c r="AG22" s="7">
        <f t="shared" ref="AG22:AG23" si="32">ROUNDUP(MAX(0.45,2*G22,),1)</f>
        <v>2.6</v>
      </c>
      <c r="AH22" s="3">
        <f t="shared" ref="AH22:AH23" si="33">PI()*(G22-0.15)^2/4</f>
        <v>1.0386890710931256</v>
      </c>
      <c r="AI22" s="7">
        <f>G22-0.15-VLOOKUP(Y22,[2]Datos!$A$2:$D$14,3)/100</f>
        <v>1.1341000000000001</v>
      </c>
      <c r="AJ22" s="7">
        <f t="shared" si="21"/>
        <v>3.5637782650133385</v>
      </c>
      <c r="AK22" s="1">
        <v>0.12</v>
      </c>
      <c r="AL22" s="16">
        <f t="shared" si="22"/>
        <v>8.2969745294259878E-3</v>
      </c>
      <c r="AM22" s="7">
        <f t="shared" si="23"/>
        <v>115.82279361293351</v>
      </c>
      <c r="AN22" s="17">
        <f t="shared" si="24"/>
        <v>2.3048735928973767E-2</v>
      </c>
      <c r="AO22" s="17">
        <f t="shared" si="25"/>
        <v>2.7005915848421265</v>
      </c>
      <c r="AP22" s="16">
        <f t="shared" si="26"/>
        <v>8.5346988631460063E-3</v>
      </c>
      <c r="AQ22" s="6" t="str">
        <f t="shared" si="27"/>
        <v>Cumple</v>
      </c>
    </row>
    <row r="23" spans="1:43" ht="15" customHeight="1" x14ac:dyDescent="0.3">
      <c r="A23" s="45"/>
      <c r="B23" s="44">
        <v>3</v>
      </c>
      <c r="C23" s="1" t="s">
        <v>31</v>
      </c>
      <c r="D23" s="1">
        <v>1</v>
      </c>
      <c r="E23" s="5">
        <v>1</v>
      </c>
      <c r="F23" s="3">
        <f t="shared" ref="F23:F37" si="34">F22+E23</f>
        <v>3</v>
      </c>
      <c r="G23" s="5">
        <v>1.3</v>
      </c>
      <c r="H23" s="3">
        <f t="shared" si="28"/>
        <v>1.3273228961416876</v>
      </c>
      <c r="I23" s="21">
        <v>1.8568000000000001E-2</v>
      </c>
      <c r="J23" s="20">
        <v>124.27589999999999</v>
      </c>
      <c r="K23" s="3">
        <v>71.254612250786963</v>
      </c>
      <c r="L23" s="20">
        <v>370.30725999999999</v>
      </c>
      <c r="M23" s="43">
        <v>58.146270000000001</v>
      </c>
      <c r="N23" s="42">
        <f t="shared" si="0"/>
        <v>1.3989060276119824E-2</v>
      </c>
      <c r="O23" s="11">
        <f t="shared" si="1"/>
        <v>185.68</v>
      </c>
      <c r="P23" s="1">
        <v>10</v>
      </c>
      <c r="Q23" s="1">
        <v>1</v>
      </c>
      <c r="R23" s="3">
        <f>Q23*VLOOKUP(P23,[4]Datos!$A$2:$D$14,2)</f>
        <v>8.19</v>
      </c>
      <c r="S23" s="10">
        <f t="shared" si="29"/>
        <v>23</v>
      </c>
      <c r="T23" s="54">
        <v>23</v>
      </c>
      <c r="U23" s="3">
        <f t="shared" si="30"/>
        <v>0.15</v>
      </c>
      <c r="V23" s="41" t="str">
        <f t="shared" si="13"/>
        <v>Cumple</v>
      </c>
      <c r="W23" s="51">
        <v>280</v>
      </c>
      <c r="X23" s="52">
        <v>4</v>
      </c>
      <c r="Y23" s="51">
        <v>5</v>
      </c>
      <c r="Z23" s="50">
        <f>X23*VLOOKUP(Y23,[4]Datos!$A$2:$D$14,2)</f>
        <v>7.96</v>
      </c>
      <c r="AA23" s="49">
        <v>0.08</v>
      </c>
      <c r="AB23" s="48">
        <f t="shared" si="14"/>
        <v>0</v>
      </c>
      <c r="AC23" s="48">
        <f t="shared" si="31"/>
        <v>353.71533599999998</v>
      </c>
      <c r="AD23" s="47" t="str">
        <f t="shared" si="16"/>
        <v>Cumple</v>
      </c>
      <c r="AE23" s="46">
        <f t="shared" si="17"/>
        <v>71.254612250786963</v>
      </c>
      <c r="AF23" s="5"/>
      <c r="AG23" s="7">
        <f t="shared" si="32"/>
        <v>2.6</v>
      </c>
      <c r="AH23" s="3">
        <f t="shared" si="33"/>
        <v>1.0386890710931256</v>
      </c>
      <c r="AI23" s="7">
        <f>G23-0.15-VLOOKUP(Y23,[2]Datos!$A$2:$D$14,3)/100</f>
        <v>1.1341000000000001</v>
      </c>
      <c r="AJ23" s="7">
        <f t="shared" si="21"/>
        <v>3.5637782650133385</v>
      </c>
      <c r="AK23" s="1">
        <v>0.12</v>
      </c>
      <c r="AL23" s="16">
        <f t="shared" si="22"/>
        <v>8.2969745294259878E-3</v>
      </c>
      <c r="AM23" s="7">
        <f t="shared" si="23"/>
        <v>115.82279361293351</v>
      </c>
      <c r="AN23" s="17">
        <f t="shared" si="24"/>
        <v>2.3048735928973767E-2</v>
      </c>
      <c r="AO23" s="17">
        <f t="shared" si="25"/>
        <v>2.7005915848421265</v>
      </c>
      <c r="AP23" s="16">
        <f t="shared" si="26"/>
        <v>8.5346988631460063E-3</v>
      </c>
      <c r="AQ23" s="6" t="str">
        <f t="shared" si="27"/>
        <v>Cumple</v>
      </c>
    </row>
    <row r="24" spans="1:43" ht="15" customHeight="1" x14ac:dyDescent="0.3">
      <c r="A24" s="45"/>
      <c r="B24" s="44">
        <v>4</v>
      </c>
      <c r="C24" s="1" t="s">
        <v>30</v>
      </c>
      <c r="D24" s="1">
        <v>1</v>
      </c>
      <c r="E24" s="5">
        <v>1</v>
      </c>
      <c r="F24" s="3">
        <f t="shared" si="34"/>
        <v>4</v>
      </c>
      <c r="G24" s="5">
        <v>1.3</v>
      </c>
      <c r="H24" s="3">
        <f t="shared" si="28"/>
        <v>1.3273228961416876</v>
      </c>
      <c r="I24" s="21">
        <v>1.8568000000000001E-2</v>
      </c>
      <c r="J24" s="20">
        <v>124.27589999999999</v>
      </c>
      <c r="K24" s="3">
        <v>10.666616590559537</v>
      </c>
      <c r="L24" s="20">
        <v>370.30725999999999</v>
      </c>
      <c r="M24" s="43">
        <v>59.875140000000002</v>
      </c>
      <c r="N24" s="42">
        <f t="shared" si="0"/>
        <v>1.3989060276119824E-2</v>
      </c>
      <c r="O24" s="11">
        <f t="shared" si="1"/>
        <v>185.68</v>
      </c>
      <c r="P24" s="1">
        <v>10</v>
      </c>
      <c r="Q24" s="1">
        <v>1</v>
      </c>
      <c r="R24" s="3">
        <f>Q24*VLOOKUP(P24,[4]Datos!$A$2:$D$14,2)</f>
        <v>8.19</v>
      </c>
      <c r="S24" s="10">
        <f t="shared" si="29"/>
        <v>23</v>
      </c>
      <c r="T24" s="54">
        <v>23</v>
      </c>
      <c r="U24" s="3">
        <f t="shared" si="30"/>
        <v>0.15</v>
      </c>
      <c r="V24" s="41" t="str">
        <f t="shared" si="13"/>
        <v>Cumple</v>
      </c>
      <c r="W24" s="1">
        <v>280</v>
      </c>
      <c r="X24" s="9">
        <v>2</v>
      </c>
      <c r="Y24" s="1">
        <v>5</v>
      </c>
      <c r="Z24" s="3">
        <f>X24*VLOOKUP(Y24,[4]Datos!$A$2:$D$14,2)</f>
        <v>3.98</v>
      </c>
      <c r="AA24" s="5">
        <v>0.3</v>
      </c>
      <c r="AB24" s="7">
        <f t="shared" si="14"/>
        <v>0</v>
      </c>
      <c r="AC24" s="7">
        <f t="shared" si="31"/>
        <v>47.162044799999997</v>
      </c>
      <c r="AD24" s="6" t="str">
        <f t="shared" si="16"/>
        <v>Cumple</v>
      </c>
      <c r="AE24" s="40">
        <f t="shared" si="17"/>
        <v>10.666616590559537</v>
      </c>
      <c r="AF24" s="5"/>
      <c r="AG24" s="7"/>
      <c r="AH24" s="3"/>
      <c r="AI24" s="7"/>
      <c r="AJ24" s="7"/>
      <c r="AL24" s="16"/>
      <c r="AM24" s="7"/>
      <c r="AN24" s="17"/>
      <c r="AO24" s="17"/>
      <c r="AP24" s="16"/>
      <c r="AQ24" s="6"/>
    </row>
    <row r="25" spans="1:43" ht="15" customHeight="1" x14ac:dyDescent="0.3">
      <c r="A25" s="45"/>
      <c r="B25" s="44">
        <v>5</v>
      </c>
      <c r="C25" s="1" t="s">
        <v>29</v>
      </c>
      <c r="D25" s="1">
        <v>1</v>
      </c>
      <c r="E25" s="5">
        <v>1</v>
      </c>
      <c r="F25" s="3">
        <f t="shared" si="34"/>
        <v>5</v>
      </c>
      <c r="G25" s="5">
        <v>1.3</v>
      </c>
      <c r="H25" s="3">
        <f t="shared" si="28"/>
        <v>1.3273228961416876</v>
      </c>
      <c r="I25" s="21">
        <v>1.8495000000000001E-2</v>
      </c>
      <c r="J25" s="20">
        <v>124.27589999999999</v>
      </c>
      <c r="K25" s="3">
        <v>42.490465277871458</v>
      </c>
      <c r="L25" s="20">
        <v>369.26022999999998</v>
      </c>
      <c r="M25" s="43">
        <v>59.875140000000002</v>
      </c>
      <c r="N25" s="42">
        <f t="shared" si="0"/>
        <v>1.3934062354956707E-2</v>
      </c>
      <c r="O25" s="11">
        <f t="shared" si="1"/>
        <v>184.95000000000002</v>
      </c>
      <c r="P25" s="1">
        <v>10</v>
      </c>
      <c r="Q25" s="1">
        <v>1</v>
      </c>
      <c r="R25" s="3">
        <f>Q25*VLOOKUP(P25,[4]Datos!$A$2:$D$14,2)</f>
        <v>8.19</v>
      </c>
      <c r="S25" s="10">
        <f t="shared" si="29"/>
        <v>23</v>
      </c>
      <c r="T25" s="54">
        <v>23</v>
      </c>
      <c r="U25" s="3">
        <f t="shared" si="30"/>
        <v>0.15</v>
      </c>
      <c r="V25" s="41" t="str">
        <f t="shared" si="13"/>
        <v>Cumple</v>
      </c>
      <c r="W25" s="53">
        <v>280</v>
      </c>
      <c r="X25" s="52">
        <v>2</v>
      </c>
      <c r="Y25" s="51">
        <v>5</v>
      </c>
      <c r="Z25" s="50">
        <f>X25*VLOOKUP(Y25,[4]Datos!$A$2:$D$14,2)</f>
        <v>3.98</v>
      </c>
      <c r="AA25" s="49">
        <v>0.3</v>
      </c>
      <c r="AB25" s="48">
        <f t="shared" si="14"/>
        <v>0</v>
      </c>
      <c r="AC25" s="48">
        <f t="shared" si="31"/>
        <v>47.162044799999997</v>
      </c>
      <c r="AD25" s="47" t="str">
        <f t="shared" si="16"/>
        <v>Cumple</v>
      </c>
      <c r="AE25" s="46">
        <f t="shared" si="17"/>
        <v>42.490465277871458</v>
      </c>
      <c r="AF25" s="5"/>
      <c r="AG25" s="7"/>
      <c r="AH25" s="3"/>
      <c r="AI25" s="7"/>
      <c r="AJ25" s="7"/>
      <c r="AL25" s="16"/>
      <c r="AM25" s="7"/>
      <c r="AN25" s="17"/>
      <c r="AO25" s="17"/>
      <c r="AP25" s="16"/>
      <c r="AQ25" s="6"/>
    </row>
    <row r="26" spans="1:43" ht="15" customHeight="1" x14ac:dyDescent="0.3">
      <c r="A26" s="45"/>
      <c r="B26" s="44">
        <v>6</v>
      </c>
      <c r="C26" s="1" t="s">
        <v>28</v>
      </c>
      <c r="D26" s="1">
        <v>1</v>
      </c>
      <c r="E26" s="5">
        <v>1</v>
      </c>
      <c r="F26" s="3">
        <f t="shared" si="34"/>
        <v>6</v>
      </c>
      <c r="G26" s="5">
        <v>1.3</v>
      </c>
      <c r="H26" s="3">
        <f t="shared" si="28"/>
        <v>1.3273228961416876</v>
      </c>
      <c r="I26" s="21">
        <v>1.4834E-2</v>
      </c>
      <c r="J26" s="20">
        <v>124.27589999999999</v>
      </c>
      <c r="K26" s="3">
        <v>61.501423722788729</v>
      </c>
      <c r="L26" s="20">
        <v>326.80651</v>
      </c>
      <c r="M26" s="43">
        <v>54.093150000000001</v>
      </c>
      <c r="N26" s="42">
        <f t="shared" si="0"/>
        <v>1.1175878938817399E-2</v>
      </c>
      <c r="O26" s="11">
        <f t="shared" si="1"/>
        <v>148.34</v>
      </c>
      <c r="P26" s="1">
        <v>10</v>
      </c>
      <c r="Q26" s="1">
        <v>1</v>
      </c>
      <c r="R26" s="3">
        <f>Q26*VLOOKUP(P26,[4]Datos!$A$2:$D$14,2)</f>
        <v>8.19</v>
      </c>
      <c r="S26" s="10">
        <f t="shared" si="29"/>
        <v>19</v>
      </c>
      <c r="T26" s="54">
        <v>23</v>
      </c>
      <c r="U26" s="3">
        <f t="shared" si="30"/>
        <v>0.15</v>
      </c>
      <c r="V26" s="41" t="str">
        <f t="shared" si="13"/>
        <v>Cumple</v>
      </c>
      <c r="W26" s="1">
        <v>280</v>
      </c>
      <c r="X26" s="9">
        <v>2</v>
      </c>
      <c r="Y26" s="1">
        <v>5</v>
      </c>
      <c r="Z26" s="3">
        <f>X26*VLOOKUP(Y26,[4]Datos!$A$2:$D$14,2)</f>
        <v>3.98</v>
      </c>
      <c r="AA26" s="5">
        <v>0.2</v>
      </c>
      <c r="AB26" s="7">
        <f t="shared" si="14"/>
        <v>0</v>
      </c>
      <c r="AC26" s="7">
        <f t="shared" si="31"/>
        <v>70.74306719999997</v>
      </c>
      <c r="AD26" s="6" t="str">
        <f t="shared" si="16"/>
        <v>Cumple</v>
      </c>
      <c r="AE26" s="40">
        <f t="shared" si="17"/>
        <v>61.501423722788729</v>
      </c>
      <c r="AF26" s="5"/>
      <c r="AG26" s="7"/>
      <c r="AH26" s="3"/>
      <c r="AI26" s="7"/>
      <c r="AJ26" s="7"/>
      <c r="AL26" s="16"/>
      <c r="AM26" s="7"/>
      <c r="AN26" s="17"/>
      <c r="AO26" s="17"/>
      <c r="AP26" s="16"/>
      <c r="AQ26" s="6"/>
    </row>
    <row r="27" spans="1:43" ht="15" customHeight="1" x14ac:dyDescent="0.3">
      <c r="A27" s="45"/>
      <c r="B27" s="44">
        <v>7</v>
      </c>
      <c r="C27" s="1" t="s">
        <v>27</v>
      </c>
      <c r="D27" s="1">
        <v>1</v>
      </c>
      <c r="E27" s="5">
        <v>1</v>
      </c>
      <c r="F27" s="3">
        <f t="shared" si="34"/>
        <v>7</v>
      </c>
      <c r="G27" s="5">
        <v>1.3</v>
      </c>
      <c r="H27" s="3">
        <f t="shared" si="28"/>
        <v>1.3273228961416876</v>
      </c>
      <c r="I27" s="21">
        <v>1.3273E-2</v>
      </c>
      <c r="J27" s="20">
        <v>124.27589999999999</v>
      </c>
      <c r="K27" s="3">
        <v>65.392570656000359</v>
      </c>
      <c r="L27" s="20">
        <v>265.37135999999998</v>
      </c>
      <c r="M27" s="43">
        <v>44.709049999999998</v>
      </c>
      <c r="N27" s="42">
        <f t="shared" si="0"/>
        <v>9.9998275013430862E-3</v>
      </c>
      <c r="O27" s="11">
        <f t="shared" si="1"/>
        <v>132.72999999999999</v>
      </c>
      <c r="P27" s="1">
        <v>10</v>
      </c>
      <c r="Q27" s="1">
        <v>1</v>
      </c>
      <c r="R27" s="3">
        <f>Q27*VLOOKUP(P27,[4]Datos!$A$2:$D$14,2)</f>
        <v>8.19</v>
      </c>
      <c r="S27" s="10">
        <f t="shared" si="29"/>
        <v>17</v>
      </c>
      <c r="T27" s="2">
        <v>17</v>
      </c>
      <c r="U27" s="3">
        <f t="shared" si="30"/>
        <v>0.2</v>
      </c>
      <c r="V27" s="41" t="str">
        <f t="shared" si="13"/>
        <v>Cumple</v>
      </c>
      <c r="W27" s="1">
        <v>280</v>
      </c>
      <c r="X27" s="9">
        <v>2</v>
      </c>
      <c r="Y27" s="1">
        <v>5</v>
      </c>
      <c r="Z27" s="3">
        <f>X27*VLOOKUP(Y27,[4]Datos!$A$2:$D$14,2)</f>
        <v>3.98</v>
      </c>
      <c r="AA27" s="5">
        <v>0.2</v>
      </c>
      <c r="AB27" s="7">
        <f t="shared" si="14"/>
        <v>0</v>
      </c>
      <c r="AC27" s="7">
        <f t="shared" si="31"/>
        <v>70.74306719999997</v>
      </c>
      <c r="AD27" s="6" t="str">
        <f t="shared" si="16"/>
        <v>Cumple</v>
      </c>
      <c r="AE27" s="40">
        <f t="shared" si="17"/>
        <v>65.392570656000359</v>
      </c>
      <c r="AF27" s="5"/>
      <c r="AG27" s="7"/>
      <c r="AH27" s="3"/>
      <c r="AI27" s="7"/>
      <c r="AJ27" s="7"/>
      <c r="AL27" s="16"/>
      <c r="AM27" s="7"/>
      <c r="AN27" s="17"/>
      <c r="AO27" s="17"/>
      <c r="AP27" s="16"/>
      <c r="AQ27" s="6"/>
    </row>
    <row r="28" spans="1:43" ht="15" customHeight="1" x14ac:dyDescent="0.3">
      <c r="A28" s="45"/>
      <c r="B28" s="44">
        <v>8</v>
      </c>
      <c r="C28" s="1" t="s">
        <v>26</v>
      </c>
      <c r="D28" s="1">
        <v>1</v>
      </c>
      <c r="E28" s="5">
        <v>1</v>
      </c>
      <c r="F28" s="3">
        <f t="shared" si="34"/>
        <v>8</v>
      </c>
      <c r="G28" s="5">
        <v>1.3</v>
      </c>
      <c r="H28" s="3">
        <f t="shared" si="28"/>
        <v>1.3273228961416876</v>
      </c>
      <c r="I28" s="21">
        <v>1.3273E-2</v>
      </c>
      <c r="J28" s="20">
        <v>124.27589999999999</v>
      </c>
      <c r="K28" s="3">
        <v>60.089804113676387</v>
      </c>
      <c r="L28" s="20">
        <v>200.05473000000001</v>
      </c>
      <c r="M28" s="43">
        <v>34.259909999999998</v>
      </c>
      <c r="N28" s="42">
        <f t="shared" si="0"/>
        <v>9.9998275013430862E-3</v>
      </c>
      <c r="O28" s="11">
        <f t="shared" si="1"/>
        <v>132.72999999999999</v>
      </c>
      <c r="P28" s="1">
        <v>10</v>
      </c>
      <c r="Q28" s="1">
        <v>1</v>
      </c>
      <c r="R28" s="3">
        <f>Q28*VLOOKUP(P28,[4]Datos!$A$2:$D$14,2)</f>
        <v>8.19</v>
      </c>
      <c r="S28" s="10">
        <f t="shared" si="29"/>
        <v>17</v>
      </c>
      <c r="T28" s="2">
        <v>17</v>
      </c>
      <c r="U28" s="3">
        <f t="shared" si="30"/>
        <v>0.2</v>
      </c>
      <c r="V28" s="41" t="str">
        <f t="shared" si="13"/>
        <v>Cumple</v>
      </c>
      <c r="W28" s="1">
        <v>280</v>
      </c>
      <c r="X28" s="9">
        <v>2</v>
      </c>
      <c r="Y28" s="1">
        <v>5</v>
      </c>
      <c r="Z28" s="3">
        <f>X28*VLOOKUP(Y28,[4]Datos!$A$2:$D$14,2)</f>
        <v>3.98</v>
      </c>
      <c r="AA28" s="5">
        <v>0.2</v>
      </c>
      <c r="AB28" s="7">
        <f t="shared" si="14"/>
        <v>0</v>
      </c>
      <c r="AC28" s="7">
        <f t="shared" si="31"/>
        <v>70.74306719999997</v>
      </c>
      <c r="AD28" s="6" t="str">
        <f t="shared" si="16"/>
        <v>Cumple</v>
      </c>
      <c r="AE28" s="40">
        <f t="shared" si="17"/>
        <v>60.089804113676387</v>
      </c>
      <c r="AF28" s="5"/>
      <c r="AG28" s="7"/>
      <c r="AH28" s="3"/>
      <c r="AI28" s="7"/>
      <c r="AJ28" s="7"/>
      <c r="AL28" s="16"/>
      <c r="AM28" s="7"/>
      <c r="AN28" s="17"/>
      <c r="AO28" s="17"/>
      <c r="AP28" s="16"/>
      <c r="AQ28" s="6"/>
    </row>
    <row r="29" spans="1:43" ht="15" customHeight="1" x14ac:dyDescent="0.3">
      <c r="A29" s="45"/>
      <c r="B29" s="44">
        <v>9</v>
      </c>
      <c r="C29" s="1" t="s">
        <v>25</v>
      </c>
      <c r="D29" s="1">
        <v>1</v>
      </c>
      <c r="E29" s="5">
        <v>1</v>
      </c>
      <c r="F29" s="3">
        <f t="shared" si="34"/>
        <v>9</v>
      </c>
      <c r="G29" s="5">
        <v>1.3</v>
      </c>
      <c r="H29" s="3">
        <f t="shared" si="28"/>
        <v>1.3273228961416876</v>
      </c>
      <c r="I29" s="21">
        <v>1.3273E-2</v>
      </c>
      <c r="J29" s="20">
        <v>124.27589999999999</v>
      </c>
      <c r="K29" s="3">
        <v>50.039584818621343</v>
      </c>
      <c r="L29" s="20">
        <v>140.03782000000001</v>
      </c>
      <c r="M29" s="43">
        <v>24.403289999999998</v>
      </c>
      <c r="N29" s="42">
        <f t="shared" si="0"/>
        <v>9.9998275013430862E-3</v>
      </c>
      <c r="O29" s="11">
        <f t="shared" si="1"/>
        <v>132.72999999999999</v>
      </c>
      <c r="P29" s="1">
        <v>10</v>
      </c>
      <c r="Q29" s="1">
        <v>1</v>
      </c>
      <c r="R29" s="3">
        <f>Q29*VLOOKUP(P29,[4]Datos!$A$2:$D$14,2)</f>
        <v>8.19</v>
      </c>
      <c r="S29" s="10">
        <f t="shared" si="29"/>
        <v>17</v>
      </c>
      <c r="T29" s="2">
        <v>17</v>
      </c>
      <c r="U29" s="3">
        <f t="shared" si="30"/>
        <v>0.2</v>
      </c>
      <c r="V29" s="41" t="str">
        <f t="shared" si="13"/>
        <v>Cumple</v>
      </c>
      <c r="W29" s="53">
        <v>280</v>
      </c>
      <c r="X29" s="52">
        <v>2</v>
      </c>
      <c r="Y29" s="51">
        <v>5</v>
      </c>
      <c r="Z29" s="50">
        <f>X29*VLOOKUP(Y29,[4]Datos!$A$2:$D$14,2)</f>
        <v>3.98</v>
      </c>
      <c r="AA29" s="49">
        <v>0.2</v>
      </c>
      <c r="AB29" s="48">
        <f t="shared" si="14"/>
        <v>0</v>
      </c>
      <c r="AC29" s="48">
        <f t="shared" si="31"/>
        <v>70.74306719999997</v>
      </c>
      <c r="AD29" s="47" t="str">
        <f t="shared" si="16"/>
        <v>Cumple</v>
      </c>
      <c r="AE29" s="46">
        <f t="shared" si="17"/>
        <v>50.039584818621343</v>
      </c>
      <c r="AF29" s="5"/>
      <c r="AG29" s="7"/>
      <c r="AH29" s="3"/>
      <c r="AI29" s="7"/>
      <c r="AJ29" s="7"/>
      <c r="AL29" s="16"/>
      <c r="AM29" s="7"/>
      <c r="AN29" s="17"/>
      <c r="AO29" s="17"/>
      <c r="AP29" s="16"/>
      <c r="AQ29" s="6"/>
    </row>
    <row r="30" spans="1:43" ht="15" customHeight="1" x14ac:dyDescent="0.3">
      <c r="A30" s="45"/>
      <c r="B30" s="44">
        <v>10</v>
      </c>
      <c r="C30" s="1" t="s">
        <v>24</v>
      </c>
      <c r="D30" s="1">
        <v>1</v>
      </c>
      <c r="E30" s="5">
        <v>1</v>
      </c>
      <c r="F30" s="3">
        <f t="shared" si="34"/>
        <v>10</v>
      </c>
      <c r="G30" s="5">
        <v>1.3</v>
      </c>
      <c r="H30" s="3">
        <f t="shared" si="28"/>
        <v>1.3273228961416876</v>
      </c>
      <c r="I30" s="21">
        <v>1.3273E-2</v>
      </c>
      <c r="J30" s="20">
        <v>124.27589999999999</v>
      </c>
      <c r="K30" s="3">
        <v>38.338325060179663</v>
      </c>
      <c r="L30" s="20">
        <v>90.060959999999994</v>
      </c>
      <c r="M30" s="43">
        <v>16.035409999999999</v>
      </c>
      <c r="N30" s="42">
        <f t="shared" si="0"/>
        <v>9.9998275013430862E-3</v>
      </c>
      <c r="O30" s="11">
        <f t="shared" si="1"/>
        <v>132.72999999999999</v>
      </c>
      <c r="P30" s="1">
        <v>10</v>
      </c>
      <c r="Q30" s="1">
        <v>1</v>
      </c>
      <c r="R30" s="3">
        <f>Q30*VLOOKUP(P30,[4]Datos!$A$2:$D$14,2)</f>
        <v>8.19</v>
      </c>
      <c r="S30" s="10">
        <f t="shared" si="29"/>
        <v>17</v>
      </c>
      <c r="T30" s="2">
        <v>17</v>
      </c>
      <c r="U30" s="3">
        <f t="shared" si="30"/>
        <v>0.2</v>
      </c>
      <c r="V30" s="41" t="str">
        <f t="shared" si="13"/>
        <v>Cumple</v>
      </c>
      <c r="W30" s="1">
        <v>280</v>
      </c>
      <c r="X30" s="9">
        <v>2</v>
      </c>
      <c r="Y30" s="1">
        <v>5</v>
      </c>
      <c r="Z30" s="3">
        <f>X30*VLOOKUP(Y30,[4]Datos!$A$2:$D$14,2)</f>
        <v>3.98</v>
      </c>
      <c r="AA30" s="5">
        <v>0.3</v>
      </c>
      <c r="AB30" s="7">
        <f t="shared" si="14"/>
        <v>0</v>
      </c>
      <c r="AC30" s="7">
        <f t="shared" si="31"/>
        <v>47.162044799999997</v>
      </c>
      <c r="AD30" s="6" t="str">
        <f t="shared" si="16"/>
        <v>Cumple</v>
      </c>
      <c r="AE30" s="40">
        <f t="shared" si="17"/>
        <v>38.338325060179663</v>
      </c>
      <c r="AF30" s="5"/>
      <c r="AG30" s="7"/>
      <c r="AH30" s="3"/>
      <c r="AI30" s="7"/>
      <c r="AJ30" s="7"/>
      <c r="AL30" s="16"/>
      <c r="AM30" s="7"/>
      <c r="AN30" s="17"/>
      <c r="AO30" s="17"/>
      <c r="AP30" s="16"/>
      <c r="AQ30" s="6"/>
    </row>
    <row r="31" spans="1:43" ht="15" customHeight="1" x14ac:dyDescent="0.3">
      <c r="A31" s="45"/>
      <c r="B31" s="44">
        <v>11</v>
      </c>
      <c r="C31" s="1" t="s">
        <v>23</v>
      </c>
      <c r="D31" s="1">
        <v>1</v>
      </c>
      <c r="E31" s="5">
        <v>1</v>
      </c>
      <c r="F31" s="3">
        <f t="shared" si="34"/>
        <v>11</v>
      </c>
      <c r="G31" s="5">
        <v>1.3</v>
      </c>
      <c r="H31" s="3">
        <f t="shared" si="28"/>
        <v>1.3273228961416876</v>
      </c>
      <c r="I31" s="21">
        <v>1.3273E-2</v>
      </c>
      <c r="J31" s="20">
        <v>124.27589999999999</v>
      </c>
      <c r="K31" s="3">
        <v>26.964250899292566</v>
      </c>
      <c r="L31" s="20">
        <v>51.772089999999999</v>
      </c>
      <c r="M31" s="43">
        <v>9.5129599999999996</v>
      </c>
      <c r="N31" s="42">
        <f t="shared" si="0"/>
        <v>9.9998275013430862E-3</v>
      </c>
      <c r="O31" s="11">
        <f t="shared" si="1"/>
        <v>132.72999999999999</v>
      </c>
      <c r="P31" s="1">
        <v>10</v>
      </c>
      <c r="Q31" s="1">
        <v>1</v>
      </c>
      <c r="R31" s="3">
        <f>Q31*VLOOKUP(P31,[4]Datos!$A$2:$D$14,2)</f>
        <v>8.19</v>
      </c>
      <c r="S31" s="10">
        <f t="shared" si="29"/>
        <v>17</v>
      </c>
      <c r="T31" s="2">
        <v>17</v>
      </c>
      <c r="U31" s="3">
        <f t="shared" si="30"/>
        <v>0.2</v>
      </c>
      <c r="V31" s="41" t="str">
        <f t="shared" si="13"/>
        <v>Cumple</v>
      </c>
      <c r="W31" s="1">
        <v>280</v>
      </c>
      <c r="X31" s="9">
        <v>2</v>
      </c>
      <c r="Y31" s="1">
        <v>5</v>
      </c>
      <c r="Z31" s="3">
        <f>X31*VLOOKUP(Y31,[4]Datos!$A$2:$D$14,2)</f>
        <v>3.98</v>
      </c>
      <c r="AA31" s="5">
        <v>0.3</v>
      </c>
      <c r="AB31" s="7">
        <f t="shared" si="14"/>
        <v>0</v>
      </c>
      <c r="AC31" s="7">
        <f t="shared" si="31"/>
        <v>47.162044799999997</v>
      </c>
      <c r="AD31" s="6" t="str">
        <f t="shared" si="16"/>
        <v>Cumple</v>
      </c>
      <c r="AE31" s="40">
        <f t="shared" si="17"/>
        <v>26.964250899292566</v>
      </c>
      <c r="AF31" s="5"/>
      <c r="AG31" s="7"/>
      <c r="AH31" s="3"/>
      <c r="AI31" s="7"/>
      <c r="AJ31" s="7"/>
      <c r="AL31" s="3"/>
      <c r="AM31" s="3"/>
      <c r="AN31" s="3"/>
      <c r="AO31" s="3"/>
      <c r="AP31" s="9"/>
      <c r="AQ31" s="6"/>
    </row>
    <row r="32" spans="1:43" ht="15" customHeight="1" x14ac:dyDescent="0.3">
      <c r="A32" s="45"/>
      <c r="B32" s="44">
        <v>12</v>
      </c>
      <c r="C32" s="1" t="s">
        <v>22</v>
      </c>
      <c r="D32" s="1">
        <v>1</v>
      </c>
      <c r="E32" s="5">
        <v>1</v>
      </c>
      <c r="F32" s="3">
        <f t="shared" si="34"/>
        <v>12</v>
      </c>
      <c r="G32" s="5">
        <v>1.3</v>
      </c>
      <c r="H32" s="3">
        <f t="shared" si="28"/>
        <v>1.3273228961416876</v>
      </c>
      <c r="I32" s="21">
        <v>1.3273E-2</v>
      </c>
      <c r="J32" s="20">
        <v>124.27589999999999</v>
      </c>
      <c r="K32" s="3">
        <v>17.042595848344227</v>
      </c>
      <c r="L32" s="20">
        <v>24.843730000000001</v>
      </c>
      <c r="M32" s="43">
        <v>4.8402900000000004</v>
      </c>
      <c r="N32" s="42">
        <f t="shared" si="0"/>
        <v>9.9998275013430862E-3</v>
      </c>
      <c r="O32" s="11">
        <f t="shared" si="1"/>
        <v>132.72999999999999</v>
      </c>
      <c r="P32" s="1">
        <v>10</v>
      </c>
      <c r="Q32" s="1">
        <v>1</v>
      </c>
      <c r="R32" s="3">
        <f>Q32*VLOOKUP(P32,[4]Datos!$A$2:$D$14,2)</f>
        <v>8.19</v>
      </c>
      <c r="S32" s="10">
        <f t="shared" si="29"/>
        <v>17</v>
      </c>
      <c r="T32" s="2">
        <v>17</v>
      </c>
      <c r="U32" s="3">
        <f t="shared" si="30"/>
        <v>0.2</v>
      </c>
      <c r="V32" s="41" t="str">
        <f t="shared" si="13"/>
        <v>Cumple</v>
      </c>
      <c r="W32" s="1">
        <v>280</v>
      </c>
      <c r="X32" s="9">
        <v>2</v>
      </c>
      <c r="Y32" s="1">
        <v>5</v>
      </c>
      <c r="Z32" s="3">
        <f>X32*VLOOKUP(Y32,[4]Datos!$A$2:$D$14,2)</f>
        <v>3.98</v>
      </c>
      <c r="AA32" s="5">
        <v>0.3</v>
      </c>
      <c r="AB32" s="7">
        <f t="shared" si="14"/>
        <v>0</v>
      </c>
      <c r="AC32" s="7">
        <f t="shared" si="31"/>
        <v>47.162044799999997</v>
      </c>
      <c r="AD32" s="6" t="str">
        <f t="shared" si="16"/>
        <v>Cumple</v>
      </c>
      <c r="AE32" s="40">
        <f t="shared" si="17"/>
        <v>17.042595848344227</v>
      </c>
      <c r="AF32" s="5"/>
      <c r="AG32" s="7"/>
      <c r="AH32" s="3"/>
      <c r="AI32" s="7"/>
      <c r="AJ32" s="7"/>
      <c r="AL32" s="3"/>
      <c r="AM32" s="3"/>
      <c r="AN32" s="3"/>
      <c r="AO32" s="3"/>
      <c r="AP32" s="9"/>
      <c r="AQ32" s="6"/>
    </row>
    <row r="33" spans="1:43" ht="15" customHeight="1" x14ac:dyDescent="0.3">
      <c r="A33" s="45"/>
      <c r="B33" s="44">
        <v>13</v>
      </c>
      <c r="C33" s="1" t="s">
        <v>21</v>
      </c>
      <c r="D33" s="1">
        <v>1</v>
      </c>
      <c r="E33" s="5">
        <v>1</v>
      </c>
      <c r="F33" s="3">
        <f t="shared" si="34"/>
        <v>13</v>
      </c>
      <c r="G33" s="5">
        <v>1.3</v>
      </c>
      <c r="H33" s="3">
        <f t="shared" si="28"/>
        <v>1.3273228961416876</v>
      </c>
      <c r="I33" s="21">
        <v>1.3273E-2</v>
      </c>
      <c r="J33" s="20">
        <v>124.27589999999999</v>
      </c>
      <c r="K33" s="3">
        <v>9.1020244039444318</v>
      </c>
      <c r="L33" s="20">
        <v>7.8279699999999997</v>
      </c>
      <c r="M33" s="43">
        <v>1.81467</v>
      </c>
      <c r="N33" s="42">
        <f t="shared" si="0"/>
        <v>9.9998275013430862E-3</v>
      </c>
      <c r="O33" s="11">
        <f t="shared" si="1"/>
        <v>132.72999999999999</v>
      </c>
      <c r="P33" s="1">
        <v>10</v>
      </c>
      <c r="Q33" s="1">
        <v>1</v>
      </c>
      <c r="R33" s="3">
        <f>Q33*VLOOKUP(P33,[4]Datos!$A$2:$D$14,2)</f>
        <v>8.19</v>
      </c>
      <c r="S33" s="10">
        <f t="shared" si="29"/>
        <v>17</v>
      </c>
      <c r="T33" s="2">
        <v>17</v>
      </c>
      <c r="U33" s="3">
        <f t="shared" si="30"/>
        <v>0.2</v>
      </c>
      <c r="V33" s="41" t="str">
        <f t="shared" si="13"/>
        <v>Cumple</v>
      </c>
      <c r="W33" s="1">
        <v>280</v>
      </c>
      <c r="X33" s="9">
        <v>2</v>
      </c>
      <c r="Y33" s="1">
        <v>5</v>
      </c>
      <c r="Z33" s="3">
        <f>X33*VLOOKUP(Y33,[4]Datos!$A$2:$D$14,2)</f>
        <v>3.98</v>
      </c>
      <c r="AA33" s="5">
        <v>0.3</v>
      </c>
      <c r="AB33" s="7">
        <f t="shared" si="14"/>
        <v>0</v>
      </c>
      <c r="AC33" s="7">
        <f t="shared" si="31"/>
        <v>47.162044799999997</v>
      </c>
      <c r="AD33" s="6" t="str">
        <f t="shared" si="16"/>
        <v>Cumple</v>
      </c>
      <c r="AE33" s="40">
        <f t="shared" si="17"/>
        <v>9.1020244039444318</v>
      </c>
      <c r="AF33" s="5"/>
      <c r="AG33" s="7"/>
      <c r="AH33" s="3"/>
      <c r="AI33" s="7"/>
      <c r="AJ33" s="7"/>
      <c r="AL33" s="3"/>
      <c r="AM33" s="3"/>
      <c r="AN33" s="3"/>
      <c r="AO33" s="3"/>
      <c r="AP33" s="9"/>
      <c r="AQ33" s="6"/>
    </row>
    <row r="34" spans="1:43" ht="15" customHeight="1" x14ac:dyDescent="0.3">
      <c r="A34" s="45"/>
      <c r="B34" s="44">
        <v>14</v>
      </c>
      <c r="C34" s="1" t="s">
        <v>20</v>
      </c>
      <c r="D34" s="1">
        <v>1</v>
      </c>
      <c r="E34" s="5">
        <v>1</v>
      </c>
      <c r="F34" s="3">
        <f t="shared" si="34"/>
        <v>14</v>
      </c>
      <c r="G34" s="5">
        <v>1.3</v>
      </c>
      <c r="H34" s="3">
        <f t="shared" si="28"/>
        <v>1.3273228961416876</v>
      </c>
      <c r="I34" s="21">
        <v>1.3273E-2</v>
      </c>
      <c r="J34" s="20">
        <v>124.27589999999999</v>
      </c>
      <c r="K34" s="3">
        <v>3.2976614820202514</v>
      </c>
      <c r="L34" s="20">
        <v>4.5545900000000001</v>
      </c>
      <c r="M34" s="43">
        <v>0.57593000000000005</v>
      </c>
      <c r="N34" s="42">
        <f t="shared" si="0"/>
        <v>9.9998275013430862E-3</v>
      </c>
      <c r="O34" s="11">
        <f t="shared" si="1"/>
        <v>132.72999999999999</v>
      </c>
      <c r="P34" s="1">
        <v>10</v>
      </c>
      <c r="Q34" s="1">
        <v>1</v>
      </c>
      <c r="R34" s="3">
        <f>Q34*VLOOKUP(P34,[4]Datos!$A$2:$D$14,2)</f>
        <v>8.19</v>
      </c>
      <c r="S34" s="10">
        <f t="shared" si="29"/>
        <v>17</v>
      </c>
      <c r="T34" s="2">
        <v>17</v>
      </c>
      <c r="U34" s="3">
        <f t="shared" si="30"/>
        <v>0.2</v>
      </c>
      <c r="V34" s="41" t="str">
        <f t="shared" si="13"/>
        <v>Cumple</v>
      </c>
      <c r="W34" s="1">
        <v>280</v>
      </c>
      <c r="X34" s="9">
        <v>2</v>
      </c>
      <c r="Y34" s="1">
        <v>5</v>
      </c>
      <c r="Z34" s="3">
        <f>X34*VLOOKUP(Y34,[4]Datos!$A$2:$D$14,2)</f>
        <v>3.98</v>
      </c>
      <c r="AA34" s="5">
        <v>0.3</v>
      </c>
      <c r="AB34" s="7">
        <f t="shared" si="14"/>
        <v>0</v>
      </c>
      <c r="AC34" s="7">
        <f t="shared" si="31"/>
        <v>47.162044799999997</v>
      </c>
      <c r="AD34" s="6" t="str">
        <f t="shared" si="16"/>
        <v>Cumple</v>
      </c>
      <c r="AE34" s="40">
        <f t="shared" si="17"/>
        <v>3.2976614820202514</v>
      </c>
      <c r="AF34" s="5"/>
      <c r="AG34" s="7"/>
      <c r="AH34" s="3"/>
      <c r="AI34" s="7"/>
      <c r="AJ34" s="7"/>
      <c r="AL34" s="3"/>
      <c r="AM34" s="3"/>
      <c r="AN34" s="3"/>
      <c r="AO34" s="3"/>
      <c r="AP34" s="9"/>
      <c r="AQ34" s="6"/>
    </row>
    <row r="35" spans="1:43" ht="15" customHeight="1" x14ac:dyDescent="0.3">
      <c r="A35" s="45"/>
      <c r="B35" s="44">
        <v>15</v>
      </c>
      <c r="C35" s="1" t="s">
        <v>19</v>
      </c>
      <c r="D35" s="1">
        <v>1</v>
      </c>
      <c r="E35" s="5">
        <v>1</v>
      </c>
      <c r="F35" s="3">
        <f t="shared" si="34"/>
        <v>15</v>
      </c>
      <c r="G35" s="5">
        <v>1.3</v>
      </c>
      <c r="H35" s="3">
        <f t="shared" si="28"/>
        <v>1.3273228961416876</v>
      </c>
      <c r="I35" s="21">
        <v>1.3273E-2</v>
      </c>
      <c r="J35" s="20">
        <v>124.27589999999999</v>
      </c>
      <c r="K35" s="3">
        <v>0.61286756318147562</v>
      </c>
      <c r="L35" s="20">
        <v>4.5545900000000001</v>
      </c>
      <c r="M35" s="43">
        <v>0.59967999999999999</v>
      </c>
      <c r="N35" s="42">
        <f t="shared" si="0"/>
        <v>9.9998275013430862E-3</v>
      </c>
      <c r="O35" s="11">
        <f t="shared" si="1"/>
        <v>132.72999999999999</v>
      </c>
      <c r="P35" s="1">
        <v>10</v>
      </c>
      <c r="Q35" s="1">
        <v>1</v>
      </c>
      <c r="R35" s="3">
        <f>Q35*VLOOKUP(P35,[4]Datos!$A$2:$D$14,2)</f>
        <v>8.19</v>
      </c>
      <c r="S35" s="10">
        <f t="shared" si="29"/>
        <v>17</v>
      </c>
      <c r="T35" s="2">
        <v>17</v>
      </c>
      <c r="U35" s="3">
        <f t="shared" si="30"/>
        <v>0.2</v>
      </c>
      <c r="V35" s="41" t="str">
        <f t="shared" si="13"/>
        <v>Cumple</v>
      </c>
      <c r="W35" s="51">
        <v>280</v>
      </c>
      <c r="X35" s="52">
        <v>2</v>
      </c>
      <c r="Y35" s="51">
        <v>5</v>
      </c>
      <c r="Z35" s="50">
        <f>X35*VLOOKUP(Y35,[4]Datos!$A$2:$D$14,2)</f>
        <v>3.98</v>
      </c>
      <c r="AA35" s="49">
        <v>0.3</v>
      </c>
      <c r="AB35" s="48">
        <f t="shared" si="14"/>
        <v>0</v>
      </c>
      <c r="AC35" s="48">
        <f t="shared" si="31"/>
        <v>47.162044799999997</v>
      </c>
      <c r="AD35" s="47" t="str">
        <f t="shared" si="16"/>
        <v>Cumple</v>
      </c>
      <c r="AE35" s="46">
        <f t="shared" si="17"/>
        <v>0.61286756318147562</v>
      </c>
      <c r="AF35" s="5"/>
      <c r="AG35" s="7"/>
      <c r="AH35" s="3"/>
      <c r="AI35" s="7"/>
      <c r="AJ35" s="7"/>
      <c r="AL35" s="3"/>
      <c r="AM35" s="3"/>
      <c r="AN35" s="3"/>
      <c r="AO35" s="3"/>
      <c r="AP35" s="9"/>
      <c r="AQ35" s="6"/>
    </row>
    <row r="36" spans="1:43" ht="15" customHeight="1" x14ac:dyDescent="0.3">
      <c r="A36" s="45"/>
      <c r="B36" s="44">
        <v>16</v>
      </c>
      <c r="C36" s="1" t="s">
        <v>18</v>
      </c>
      <c r="D36" s="1">
        <v>1</v>
      </c>
      <c r="E36" s="5">
        <v>1</v>
      </c>
      <c r="F36" s="3">
        <f t="shared" si="34"/>
        <v>16</v>
      </c>
      <c r="G36" s="5">
        <v>1.3</v>
      </c>
      <c r="H36" s="3">
        <f t="shared" si="28"/>
        <v>1.3273228961416876</v>
      </c>
      <c r="I36" s="21">
        <v>1.3273E-2</v>
      </c>
      <c r="J36" s="20">
        <v>124.27589999999999</v>
      </c>
      <c r="K36" s="3">
        <v>2.1476076783248845</v>
      </c>
      <c r="L36" s="20">
        <v>4.1377199999999998</v>
      </c>
      <c r="M36" s="43">
        <v>0.59967999999999999</v>
      </c>
      <c r="N36" s="42">
        <f t="shared" si="0"/>
        <v>9.9998275013430862E-3</v>
      </c>
      <c r="O36" s="11">
        <f t="shared" si="1"/>
        <v>132.72999999999999</v>
      </c>
      <c r="P36" s="1">
        <v>10</v>
      </c>
      <c r="Q36" s="1">
        <v>1</v>
      </c>
      <c r="R36" s="3">
        <f>Q36*VLOOKUP(P36,[4]Datos!$A$2:$D$14,2)</f>
        <v>8.19</v>
      </c>
      <c r="S36" s="10">
        <f t="shared" si="29"/>
        <v>17</v>
      </c>
      <c r="T36" s="2">
        <v>17</v>
      </c>
      <c r="U36" s="3">
        <f t="shared" si="30"/>
        <v>0.2</v>
      </c>
      <c r="V36" s="41" t="str">
        <f t="shared" si="13"/>
        <v>Cumple</v>
      </c>
      <c r="W36" s="1">
        <v>280</v>
      </c>
      <c r="X36" s="9">
        <v>2</v>
      </c>
      <c r="Y36" s="1">
        <v>5</v>
      </c>
      <c r="Z36" s="3">
        <f>X36*VLOOKUP(Y36,[4]Datos!$A$2:$D$14,2)</f>
        <v>3.98</v>
      </c>
      <c r="AA36" s="5">
        <v>0.3</v>
      </c>
      <c r="AB36" s="7">
        <f t="shared" si="14"/>
        <v>0</v>
      </c>
      <c r="AC36" s="7">
        <f t="shared" si="31"/>
        <v>47.162044799999997</v>
      </c>
      <c r="AD36" s="6" t="str">
        <f t="shared" si="16"/>
        <v>Cumple</v>
      </c>
      <c r="AE36" s="40">
        <f t="shared" si="17"/>
        <v>2.1476076783248845</v>
      </c>
      <c r="AF36" s="5"/>
      <c r="AG36" s="7"/>
      <c r="AH36" s="3"/>
      <c r="AI36" s="7"/>
      <c r="AJ36" s="7"/>
      <c r="AL36" s="3"/>
      <c r="AM36" s="3"/>
      <c r="AN36" s="3"/>
      <c r="AO36" s="3"/>
      <c r="AP36" s="9"/>
      <c r="AQ36" s="6"/>
    </row>
    <row r="37" spans="1:43" ht="15" customHeight="1" thickBot="1" x14ac:dyDescent="0.35">
      <c r="A37" s="39"/>
      <c r="B37" s="38">
        <v>17</v>
      </c>
      <c r="C37" s="28" t="s">
        <v>17</v>
      </c>
      <c r="D37" s="28">
        <v>1</v>
      </c>
      <c r="E37" s="26">
        <v>1</v>
      </c>
      <c r="F37" s="27">
        <f t="shared" si="34"/>
        <v>17</v>
      </c>
      <c r="G37" s="26">
        <v>1.3</v>
      </c>
      <c r="H37" s="27">
        <f t="shared" si="28"/>
        <v>1.3273228961416876</v>
      </c>
      <c r="I37" s="37">
        <v>1.3273E-2</v>
      </c>
      <c r="J37" s="36">
        <v>124.27589999999999</v>
      </c>
      <c r="K37" s="27">
        <v>1.9941956699381331</v>
      </c>
      <c r="L37" s="36">
        <v>1.9920500000000001</v>
      </c>
      <c r="M37" s="35">
        <v>0.30266999999999999</v>
      </c>
      <c r="N37" s="34">
        <f t="shared" si="0"/>
        <v>9.9998275013430862E-3</v>
      </c>
      <c r="O37" s="33">
        <f t="shared" si="1"/>
        <v>132.72999999999999</v>
      </c>
      <c r="P37" s="28">
        <v>10</v>
      </c>
      <c r="Q37" s="28">
        <v>1</v>
      </c>
      <c r="R37" s="27">
        <f>Q37*VLOOKUP(P37,[4]Datos!$A$2:$D$14,2)</f>
        <v>8.19</v>
      </c>
      <c r="S37" s="32">
        <f t="shared" si="29"/>
        <v>17</v>
      </c>
      <c r="T37" s="31">
        <v>17</v>
      </c>
      <c r="U37" s="27">
        <f t="shared" si="30"/>
        <v>0.2</v>
      </c>
      <c r="V37" s="30" t="str">
        <f t="shared" si="13"/>
        <v>Cumple</v>
      </c>
      <c r="W37" s="28">
        <v>280</v>
      </c>
      <c r="X37" s="29">
        <v>2</v>
      </c>
      <c r="Y37" s="28">
        <v>5</v>
      </c>
      <c r="Z37" s="27">
        <f>X37*VLOOKUP(Y37,[4]Datos!$A$2:$D$14,2)</f>
        <v>3.98</v>
      </c>
      <c r="AA37" s="26">
        <v>0.3</v>
      </c>
      <c r="AB37" s="25">
        <f t="shared" si="14"/>
        <v>0</v>
      </c>
      <c r="AC37" s="25">
        <f t="shared" si="31"/>
        <v>47.162044799999997</v>
      </c>
      <c r="AD37" s="24" t="str">
        <f t="shared" si="16"/>
        <v>Cumple</v>
      </c>
      <c r="AE37" s="23">
        <f t="shared" si="17"/>
        <v>1.9941956699381331</v>
      </c>
      <c r="AF37" s="5"/>
      <c r="AG37" s="7"/>
      <c r="AH37" s="3"/>
      <c r="AI37" s="7"/>
      <c r="AJ37" s="7"/>
      <c r="AL37" s="3"/>
      <c r="AM37" s="3"/>
      <c r="AN37" s="3"/>
      <c r="AO37" s="3"/>
      <c r="AP37" s="9"/>
      <c r="AQ37" s="6"/>
    </row>
    <row r="38" spans="1:43" ht="15" customHeight="1" x14ac:dyDescent="0.3">
      <c r="A38" s="22"/>
      <c r="I38" s="21"/>
      <c r="J38" s="20"/>
      <c r="K38" s="3"/>
      <c r="L38" s="20"/>
      <c r="N38" s="12"/>
      <c r="O38" s="11"/>
      <c r="S38" s="10"/>
      <c r="U38" s="3"/>
      <c r="V38" s="3"/>
      <c r="X38" s="9"/>
      <c r="Z38" s="3"/>
      <c r="AA38" s="8"/>
      <c r="AB38" s="7"/>
      <c r="AC38" s="7"/>
      <c r="AD38" s="6"/>
      <c r="AE38" s="6"/>
      <c r="AF38" s="5"/>
      <c r="AG38" s="7"/>
      <c r="AH38" s="3"/>
      <c r="AI38" s="7"/>
      <c r="AJ38" s="7"/>
      <c r="AL38" s="3"/>
      <c r="AM38" s="3"/>
      <c r="AN38" s="3"/>
      <c r="AO38" s="3"/>
      <c r="AP38" s="9"/>
      <c r="AQ38" s="6"/>
    </row>
    <row r="39" spans="1:43" ht="15" customHeight="1" x14ac:dyDescent="0.3">
      <c r="A39" s="22"/>
      <c r="I39" s="21"/>
      <c r="J39" s="20"/>
      <c r="K39" s="3"/>
      <c r="L39" s="20"/>
      <c r="N39" s="12"/>
      <c r="O39" s="11"/>
      <c r="S39" s="10"/>
      <c r="U39" s="3"/>
      <c r="V39" s="3"/>
      <c r="X39" s="9"/>
      <c r="Z39" s="3"/>
      <c r="AA39" s="8"/>
      <c r="AB39" s="7"/>
      <c r="AC39" s="7"/>
      <c r="AD39" s="6"/>
      <c r="AE39" s="6"/>
      <c r="AF39" s="5"/>
      <c r="AG39" s="7"/>
      <c r="AH39" s="3"/>
      <c r="AI39" s="7"/>
      <c r="AJ39" s="7"/>
      <c r="AL39" s="3"/>
      <c r="AM39" s="3"/>
      <c r="AN39" s="3"/>
      <c r="AO39" s="3"/>
      <c r="AP39" s="9"/>
      <c r="AQ39" s="6"/>
    </row>
    <row r="40" spans="1:43" ht="15" customHeight="1" x14ac:dyDescent="0.3">
      <c r="A40" s="22"/>
      <c r="I40" s="21"/>
      <c r="J40" s="20"/>
      <c r="K40" s="3"/>
      <c r="L40" s="20"/>
      <c r="N40" s="12"/>
      <c r="O40" s="11"/>
      <c r="S40" s="10"/>
      <c r="U40" s="3"/>
      <c r="V40" s="3"/>
      <c r="X40" s="9"/>
      <c r="Z40" s="3"/>
      <c r="AA40" s="8"/>
      <c r="AB40" s="7"/>
      <c r="AC40" s="7"/>
      <c r="AD40" s="6"/>
      <c r="AE40" s="6"/>
      <c r="AF40" s="5"/>
      <c r="AG40" s="7"/>
      <c r="AH40" s="3"/>
      <c r="AI40" s="7"/>
      <c r="AJ40" s="7"/>
      <c r="AL40" s="3"/>
      <c r="AM40" s="3"/>
      <c r="AN40" s="3"/>
      <c r="AO40" s="3"/>
      <c r="AP40" s="9"/>
      <c r="AQ40" s="6"/>
    </row>
    <row r="41" spans="1:43" ht="15" customHeight="1" x14ac:dyDescent="0.3">
      <c r="A41" s="22"/>
      <c r="I41" s="21"/>
      <c r="J41" s="20"/>
      <c r="K41" s="3"/>
      <c r="L41" s="20"/>
      <c r="N41" s="12"/>
      <c r="O41" s="11"/>
      <c r="S41" s="10"/>
      <c r="U41" s="3"/>
      <c r="V41" s="3"/>
      <c r="X41" s="9"/>
      <c r="Z41" s="3"/>
      <c r="AA41" s="8"/>
      <c r="AB41" s="7"/>
      <c r="AC41" s="7"/>
      <c r="AD41" s="6"/>
      <c r="AE41" s="6"/>
      <c r="AF41" s="5"/>
      <c r="AG41" s="7"/>
      <c r="AH41" s="3"/>
      <c r="AI41" s="7"/>
      <c r="AJ41" s="7"/>
      <c r="AL41" s="3"/>
      <c r="AM41" s="3"/>
      <c r="AN41" s="3"/>
      <c r="AO41" s="3"/>
      <c r="AP41" s="9"/>
      <c r="AQ41" s="6"/>
    </row>
    <row r="42" spans="1:43" ht="15" customHeight="1" x14ac:dyDescent="0.3">
      <c r="A42" s="22"/>
      <c r="I42" s="21"/>
      <c r="J42" s="20"/>
      <c r="K42" s="3"/>
      <c r="L42" s="20"/>
      <c r="N42" s="12"/>
      <c r="O42" s="11"/>
      <c r="S42" s="10"/>
      <c r="U42" s="3"/>
      <c r="V42" s="3"/>
      <c r="X42" s="9"/>
      <c r="Z42" s="3"/>
      <c r="AA42" s="8"/>
      <c r="AB42" s="7"/>
      <c r="AC42" s="7"/>
      <c r="AD42" s="6"/>
      <c r="AE42" s="6"/>
      <c r="AF42" s="5"/>
      <c r="AG42" s="7"/>
      <c r="AH42" s="3"/>
      <c r="AI42" s="7"/>
      <c r="AJ42" s="7"/>
      <c r="AL42" s="3"/>
      <c r="AM42" s="3"/>
      <c r="AN42" s="3"/>
      <c r="AO42" s="3"/>
      <c r="AP42" s="9"/>
      <c r="AQ42" s="6"/>
    </row>
    <row r="43" spans="1:43" ht="15" customHeight="1" x14ac:dyDescent="0.3">
      <c r="A43" s="22"/>
      <c r="I43" s="21"/>
      <c r="J43" s="20"/>
      <c r="K43" s="3"/>
      <c r="L43" s="20"/>
      <c r="N43" s="12"/>
      <c r="O43" s="11"/>
      <c r="S43" s="10"/>
      <c r="U43" s="3"/>
      <c r="V43" s="3"/>
      <c r="X43" s="9"/>
      <c r="Z43" s="3"/>
      <c r="AA43" s="8"/>
      <c r="AB43" s="7"/>
      <c r="AC43" s="7"/>
      <c r="AD43" s="6"/>
      <c r="AE43" s="6"/>
      <c r="AF43" s="5"/>
      <c r="AG43" s="7"/>
      <c r="AH43" s="3"/>
      <c r="AI43" s="7"/>
      <c r="AJ43" s="7"/>
      <c r="AL43" s="3"/>
      <c r="AM43" s="3"/>
      <c r="AN43" s="3"/>
      <c r="AO43" s="3"/>
      <c r="AP43" s="9"/>
      <c r="AQ43" s="6"/>
    </row>
    <row r="44" spans="1:43" ht="15" customHeight="1" x14ac:dyDescent="0.3">
      <c r="A44" s="22"/>
      <c r="I44" s="21"/>
      <c r="J44" s="20"/>
      <c r="K44" s="3"/>
      <c r="L44" s="20"/>
      <c r="N44" s="12"/>
      <c r="O44" s="11"/>
      <c r="S44" s="10"/>
      <c r="U44" s="3"/>
      <c r="V44" s="3"/>
      <c r="X44" s="9"/>
      <c r="Z44" s="3"/>
      <c r="AA44" s="8"/>
      <c r="AB44" s="7"/>
      <c r="AC44" s="7"/>
      <c r="AD44" s="6"/>
      <c r="AE44" s="6"/>
      <c r="AF44" s="5"/>
      <c r="AG44" s="7"/>
      <c r="AH44" s="3"/>
      <c r="AI44" s="7"/>
      <c r="AJ44" s="7"/>
      <c r="AL44" s="3"/>
      <c r="AM44" s="3"/>
      <c r="AN44" s="3"/>
      <c r="AO44" s="3"/>
      <c r="AP44" s="9"/>
      <c r="AQ44" s="6"/>
    </row>
    <row r="45" spans="1:43" ht="15" customHeight="1" x14ac:dyDescent="0.3">
      <c r="A45" s="22"/>
      <c r="I45" s="21"/>
      <c r="J45" s="20"/>
      <c r="K45" s="3"/>
      <c r="L45" s="20"/>
      <c r="N45" s="12"/>
      <c r="O45" s="11"/>
      <c r="S45" s="10"/>
      <c r="U45" s="3"/>
      <c r="V45" s="3"/>
      <c r="X45" s="9"/>
      <c r="Z45" s="3"/>
      <c r="AA45" s="8"/>
      <c r="AB45" s="7"/>
      <c r="AC45" s="7"/>
      <c r="AD45" s="6"/>
      <c r="AE45" s="6"/>
      <c r="AF45" s="5"/>
      <c r="AG45" s="7"/>
      <c r="AH45" s="3"/>
      <c r="AI45" s="7"/>
      <c r="AJ45" s="7"/>
      <c r="AL45" s="3"/>
      <c r="AM45" s="3"/>
      <c r="AN45" s="3"/>
      <c r="AO45" s="3"/>
      <c r="AP45" s="9"/>
      <c r="AQ45" s="6"/>
    </row>
    <row r="46" spans="1:43" ht="15" customHeight="1" x14ac:dyDescent="0.3">
      <c r="A46" s="22"/>
      <c r="I46" s="21"/>
      <c r="J46" s="20"/>
      <c r="K46" s="3"/>
      <c r="L46" s="20"/>
      <c r="N46" s="12"/>
      <c r="O46" s="11"/>
      <c r="S46" s="10"/>
      <c r="U46" s="3"/>
      <c r="V46" s="3"/>
      <c r="X46" s="9"/>
      <c r="Z46" s="3"/>
      <c r="AA46" s="8"/>
      <c r="AB46" s="7"/>
      <c r="AC46" s="7"/>
      <c r="AD46" s="6"/>
      <c r="AE46" s="6"/>
      <c r="AF46" s="5"/>
      <c r="AG46" s="7"/>
      <c r="AH46" s="3"/>
      <c r="AI46" s="7"/>
      <c r="AJ46" s="7"/>
      <c r="AL46" s="3"/>
      <c r="AM46" s="3"/>
      <c r="AN46" s="3"/>
      <c r="AO46" s="3"/>
      <c r="AP46" s="9"/>
      <c r="AQ46" s="6"/>
    </row>
    <row r="47" spans="1:43" ht="15" customHeight="1" x14ac:dyDescent="0.3">
      <c r="A47" s="22"/>
      <c r="I47" s="21"/>
      <c r="J47" s="20"/>
      <c r="K47" s="3"/>
      <c r="L47" s="20"/>
      <c r="N47" s="12"/>
      <c r="O47" s="11"/>
      <c r="S47" s="10"/>
      <c r="U47" s="3"/>
      <c r="V47" s="3"/>
      <c r="X47" s="9"/>
      <c r="Z47" s="3"/>
      <c r="AA47" s="8"/>
      <c r="AB47" s="7"/>
      <c r="AC47" s="7"/>
      <c r="AD47" s="6"/>
      <c r="AE47" s="6"/>
      <c r="AF47" s="5"/>
      <c r="AG47" s="7"/>
      <c r="AH47" s="3"/>
      <c r="AI47" s="7"/>
      <c r="AJ47" s="7"/>
      <c r="AL47" s="3"/>
      <c r="AM47" s="3"/>
      <c r="AN47" s="3"/>
      <c r="AO47" s="3"/>
      <c r="AP47" s="9"/>
      <c r="AQ47" s="6"/>
    </row>
    <row r="48" spans="1:43" ht="15" customHeight="1" x14ac:dyDescent="0.3">
      <c r="A48" s="22"/>
      <c r="I48" s="21"/>
      <c r="J48" s="20"/>
      <c r="K48" s="3"/>
      <c r="L48" s="20"/>
      <c r="N48" s="12"/>
      <c r="O48" s="11"/>
      <c r="S48" s="10"/>
      <c r="U48" s="3"/>
      <c r="V48" s="3"/>
      <c r="X48" s="9"/>
      <c r="Z48" s="3"/>
      <c r="AA48" s="8"/>
      <c r="AB48" s="7"/>
      <c r="AC48" s="7"/>
      <c r="AD48" s="6"/>
      <c r="AE48" s="6"/>
      <c r="AF48" s="5"/>
      <c r="AG48" s="7"/>
      <c r="AH48" s="3"/>
      <c r="AI48" s="7"/>
      <c r="AJ48" s="7"/>
      <c r="AL48" s="3"/>
      <c r="AM48" s="3"/>
      <c r="AN48" s="3"/>
      <c r="AO48" s="3"/>
      <c r="AP48" s="9"/>
      <c r="AQ48" s="6"/>
    </row>
    <row r="49" spans="1:43" ht="15" customHeight="1" x14ac:dyDescent="0.3">
      <c r="A49" s="22"/>
      <c r="I49" s="21"/>
      <c r="J49" s="20"/>
      <c r="K49" s="3"/>
      <c r="L49" s="20"/>
      <c r="N49" s="12"/>
      <c r="O49" s="11"/>
      <c r="S49" s="10"/>
      <c r="U49" s="3"/>
      <c r="V49" s="3"/>
      <c r="X49" s="9"/>
      <c r="Z49" s="3"/>
      <c r="AA49" s="8"/>
      <c r="AB49" s="7"/>
      <c r="AC49" s="7"/>
      <c r="AD49" s="6"/>
      <c r="AE49" s="6"/>
      <c r="AF49" s="5"/>
      <c r="AG49" s="7"/>
      <c r="AH49" s="3"/>
      <c r="AI49" s="7"/>
      <c r="AJ49" s="7"/>
      <c r="AL49" s="3"/>
      <c r="AM49" s="3"/>
      <c r="AN49" s="3"/>
      <c r="AO49" s="3"/>
      <c r="AP49" s="9"/>
      <c r="AQ49" s="6"/>
    </row>
    <row r="50" spans="1:43" ht="15" customHeight="1" x14ac:dyDescent="0.3">
      <c r="A50" s="22"/>
      <c r="I50" s="21"/>
      <c r="J50" s="20"/>
      <c r="K50" s="3"/>
      <c r="L50" s="20"/>
      <c r="N50" s="12"/>
      <c r="O50" s="11"/>
      <c r="S50" s="10"/>
      <c r="U50" s="3"/>
      <c r="V50" s="3"/>
      <c r="X50" s="9"/>
      <c r="Z50" s="3"/>
      <c r="AA50" s="8"/>
      <c r="AB50" s="7"/>
      <c r="AC50" s="7"/>
      <c r="AD50" s="6"/>
      <c r="AE50" s="6"/>
      <c r="AF50" s="5"/>
      <c r="AG50" s="7"/>
      <c r="AH50" s="3"/>
      <c r="AI50" s="7"/>
      <c r="AJ50" s="7"/>
      <c r="AL50" s="3"/>
      <c r="AM50" s="3"/>
      <c r="AN50" s="3"/>
      <c r="AO50" s="3"/>
      <c r="AP50" s="9"/>
      <c r="AQ50" s="6"/>
    </row>
    <row r="51" spans="1:43" ht="15" customHeight="1" x14ac:dyDescent="0.3">
      <c r="A51" s="22"/>
      <c r="I51" s="21"/>
      <c r="J51" s="20"/>
      <c r="K51" s="3"/>
      <c r="L51" s="20"/>
      <c r="N51" s="12"/>
      <c r="O51" s="11"/>
      <c r="S51" s="10"/>
      <c r="U51" s="3"/>
      <c r="V51" s="3"/>
      <c r="X51" s="9"/>
      <c r="Z51" s="3"/>
      <c r="AA51" s="8"/>
      <c r="AB51" s="7"/>
      <c r="AC51" s="7"/>
      <c r="AD51" s="6"/>
      <c r="AE51" s="6"/>
      <c r="AF51" s="5"/>
      <c r="AG51" s="7"/>
      <c r="AH51" s="3"/>
      <c r="AI51" s="7"/>
      <c r="AJ51" s="7"/>
      <c r="AL51" s="3"/>
      <c r="AM51" s="3"/>
      <c r="AN51" s="3"/>
      <c r="AO51" s="3"/>
      <c r="AP51" s="9"/>
      <c r="AQ51" s="6"/>
    </row>
    <row r="52" spans="1:43" ht="15" customHeight="1" x14ac:dyDescent="0.3">
      <c r="A52" s="22"/>
      <c r="I52" s="21"/>
      <c r="J52" s="20"/>
      <c r="K52" s="3"/>
      <c r="L52" s="20"/>
      <c r="N52" s="12"/>
      <c r="O52" s="11"/>
      <c r="S52" s="10"/>
      <c r="U52" s="3"/>
      <c r="V52" s="3"/>
      <c r="X52" s="9"/>
      <c r="Z52" s="3"/>
      <c r="AA52" s="8"/>
      <c r="AB52" s="7"/>
      <c r="AC52" s="7"/>
      <c r="AD52" s="6"/>
      <c r="AE52" s="6"/>
      <c r="AF52" s="5"/>
      <c r="AG52" s="7"/>
      <c r="AH52" s="3"/>
      <c r="AI52" s="7"/>
      <c r="AJ52" s="7"/>
      <c r="AL52" s="3"/>
      <c r="AM52" s="3"/>
      <c r="AN52" s="3"/>
      <c r="AO52" s="3"/>
      <c r="AP52" s="9"/>
      <c r="AQ52" s="6"/>
    </row>
    <row r="53" spans="1:43" ht="15" customHeight="1" x14ac:dyDescent="0.3">
      <c r="A53" s="22"/>
      <c r="I53" s="21"/>
      <c r="J53" s="20"/>
      <c r="K53" s="3"/>
      <c r="L53" s="20"/>
      <c r="N53" s="12"/>
      <c r="O53" s="11"/>
      <c r="S53" s="10"/>
      <c r="U53" s="3"/>
      <c r="V53" s="3"/>
      <c r="X53" s="9"/>
      <c r="Z53" s="3"/>
      <c r="AA53" s="8"/>
      <c r="AB53" s="7"/>
      <c r="AC53" s="7"/>
      <c r="AD53" s="6"/>
      <c r="AE53" s="6"/>
      <c r="AF53" s="5"/>
      <c r="AG53" s="7"/>
      <c r="AH53" s="3"/>
      <c r="AI53" s="7"/>
      <c r="AJ53" s="7"/>
      <c r="AL53" s="3"/>
      <c r="AM53" s="3"/>
      <c r="AN53" s="3"/>
      <c r="AO53" s="3"/>
      <c r="AP53" s="9"/>
      <c r="AQ53" s="6"/>
    </row>
    <row r="54" spans="1:43" ht="15" customHeight="1" x14ac:dyDescent="0.3">
      <c r="A54" s="22"/>
      <c r="I54" s="21"/>
      <c r="J54" s="20"/>
      <c r="K54" s="3"/>
      <c r="L54" s="20"/>
      <c r="N54" s="12"/>
      <c r="O54" s="11"/>
      <c r="S54" s="10"/>
      <c r="U54" s="3"/>
      <c r="V54" s="3"/>
      <c r="X54" s="9"/>
      <c r="Z54" s="3"/>
      <c r="AA54" s="8"/>
      <c r="AB54" s="7"/>
      <c r="AC54" s="7"/>
      <c r="AD54" s="6"/>
      <c r="AE54" s="6"/>
      <c r="AF54" s="5"/>
      <c r="AG54" s="7"/>
      <c r="AH54" s="3"/>
      <c r="AI54" s="7"/>
      <c r="AJ54" s="7"/>
      <c r="AL54" s="3"/>
      <c r="AM54" s="3"/>
      <c r="AN54" s="3"/>
      <c r="AO54" s="3"/>
      <c r="AP54" s="9"/>
      <c r="AQ54" s="6"/>
    </row>
    <row r="55" spans="1:43" ht="15" customHeight="1" x14ac:dyDescent="0.3">
      <c r="A55" s="22"/>
      <c r="I55" s="21"/>
      <c r="J55" s="20"/>
      <c r="K55" s="3"/>
      <c r="L55" s="20"/>
      <c r="N55" s="12"/>
      <c r="O55" s="11"/>
      <c r="S55" s="10"/>
      <c r="U55" s="3"/>
      <c r="V55" s="3"/>
      <c r="X55" s="9"/>
      <c r="Z55" s="3"/>
      <c r="AA55" s="8"/>
      <c r="AB55" s="7"/>
      <c r="AC55" s="7"/>
      <c r="AD55" s="6"/>
      <c r="AE55" s="6"/>
      <c r="AF55" s="5"/>
      <c r="AG55" s="7"/>
      <c r="AH55" s="3"/>
      <c r="AI55" s="7"/>
      <c r="AJ55" s="7"/>
      <c r="AL55" s="3"/>
      <c r="AM55" s="3"/>
      <c r="AN55" s="3"/>
      <c r="AO55" s="3"/>
      <c r="AP55" s="9"/>
      <c r="AQ55" s="6"/>
    </row>
    <row r="56" spans="1:43" ht="15" customHeight="1" x14ac:dyDescent="0.3">
      <c r="A56" s="22"/>
      <c r="I56" s="21"/>
      <c r="J56" s="20"/>
      <c r="K56" s="3"/>
      <c r="L56" s="20"/>
      <c r="N56" s="12"/>
      <c r="O56" s="11"/>
      <c r="S56" s="10"/>
      <c r="U56" s="3"/>
      <c r="V56" s="3"/>
      <c r="X56" s="9"/>
      <c r="Z56" s="3"/>
      <c r="AA56" s="8"/>
      <c r="AB56" s="7"/>
      <c r="AC56" s="7"/>
      <c r="AD56" s="6"/>
      <c r="AE56" s="6"/>
      <c r="AF56" s="5"/>
      <c r="AG56" s="7"/>
      <c r="AH56" s="3"/>
      <c r="AI56" s="7"/>
      <c r="AJ56" s="7"/>
      <c r="AL56" s="3"/>
      <c r="AM56" s="3"/>
      <c r="AN56" s="3"/>
      <c r="AO56" s="3"/>
      <c r="AP56" s="9"/>
      <c r="AQ56" s="6"/>
    </row>
    <row r="57" spans="1:43" ht="15" customHeight="1" x14ac:dyDescent="0.3">
      <c r="A57" s="22"/>
      <c r="I57" s="21"/>
      <c r="J57" s="20"/>
      <c r="K57" s="3"/>
      <c r="L57" s="20"/>
      <c r="N57" s="12"/>
      <c r="O57" s="11"/>
      <c r="S57" s="10"/>
      <c r="U57" s="3"/>
      <c r="V57" s="3"/>
      <c r="X57" s="9"/>
      <c r="Z57" s="3"/>
      <c r="AA57" s="8"/>
      <c r="AB57" s="7"/>
      <c r="AC57" s="7"/>
      <c r="AD57" s="6"/>
      <c r="AE57" s="6"/>
      <c r="AF57" s="5"/>
      <c r="AG57" s="7"/>
      <c r="AH57" s="3"/>
      <c r="AI57" s="7"/>
      <c r="AJ57" s="7"/>
      <c r="AL57" s="3"/>
      <c r="AM57" s="3"/>
      <c r="AN57" s="3"/>
      <c r="AO57" s="3"/>
      <c r="AP57" s="9"/>
      <c r="AQ57" s="6"/>
    </row>
    <row r="58" spans="1:43" ht="15" customHeight="1" x14ac:dyDescent="0.3">
      <c r="A58" s="22"/>
      <c r="I58" s="21"/>
      <c r="J58" s="20"/>
      <c r="K58" s="3"/>
      <c r="L58" s="20"/>
      <c r="N58" s="12"/>
      <c r="O58" s="11"/>
      <c r="S58" s="10"/>
      <c r="U58" s="3"/>
      <c r="V58" s="3"/>
      <c r="X58" s="9"/>
      <c r="Z58" s="3"/>
      <c r="AA58" s="8"/>
      <c r="AB58" s="7"/>
      <c r="AC58" s="7"/>
      <c r="AD58" s="6"/>
      <c r="AE58" s="6"/>
      <c r="AF58" s="5"/>
      <c r="AG58" s="7"/>
      <c r="AH58" s="3"/>
      <c r="AI58" s="7"/>
      <c r="AJ58" s="7"/>
      <c r="AL58" s="3"/>
      <c r="AM58" s="3"/>
      <c r="AN58" s="3"/>
      <c r="AO58" s="3"/>
      <c r="AP58" s="9"/>
      <c r="AQ58" s="6"/>
    </row>
    <row r="59" spans="1:43" ht="15" customHeight="1" x14ac:dyDescent="0.3">
      <c r="A59" s="22"/>
      <c r="I59" s="21"/>
      <c r="J59" s="20"/>
      <c r="K59" s="3"/>
      <c r="L59" s="20"/>
      <c r="N59" s="12"/>
      <c r="O59" s="11"/>
      <c r="S59" s="10"/>
      <c r="U59" s="3"/>
      <c r="V59" s="3"/>
      <c r="X59" s="9"/>
      <c r="Z59" s="3"/>
      <c r="AA59" s="8"/>
      <c r="AB59" s="7"/>
      <c r="AC59" s="7"/>
      <c r="AD59" s="6"/>
      <c r="AE59" s="6"/>
      <c r="AF59" s="5"/>
      <c r="AG59" s="7"/>
      <c r="AH59" s="3"/>
      <c r="AI59" s="7"/>
      <c r="AJ59" s="7"/>
      <c r="AL59" s="3"/>
      <c r="AM59" s="3"/>
      <c r="AN59" s="3"/>
      <c r="AO59" s="3"/>
      <c r="AP59" s="9"/>
      <c r="AQ59" s="6"/>
    </row>
    <row r="60" spans="1:43" ht="15" customHeight="1" x14ac:dyDescent="0.3">
      <c r="A60" s="22"/>
      <c r="I60" s="21"/>
      <c r="J60" s="20"/>
      <c r="K60" s="3"/>
      <c r="L60" s="20"/>
      <c r="N60" s="12"/>
      <c r="O60" s="11"/>
      <c r="S60" s="10"/>
      <c r="U60" s="3"/>
      <c r="V60" s="3"/>
      <c r="X60" s="9"/>
      <c r="Z60" s="3"/>
      <c r="AA60" s="8"/>
      <c r="AB60" s="7"/>
      <c r="AC60" s="7"/>
      <c r="AD60" s="6"/>
      <c r="AE60" s="6"/>
      <c r="AF60" s="5"/>
      <c r="AG60" s="7"/>
      <c r="AH60" s="3"/>
      <c r="AI60" s="7"/>
      <c r="AJ60" s="7"/>
      <c r="AL60" s="3"/>
      <c r="AM60" s="3"/>
      <c r="AN60" s="3"/>
      <c r="AO60" s="3"/>
      <c r="AP60" s="9"/>
      <c r="AQ60" s="6"/>
    </row>
    <row r="61" spans="1:43" ht="15" customHeight="1" x14ac:dyDescent="0.3">
      <c r="A61" s="22"/>
      <c r="I61" s="21"/>
      <c r="J61" s="20"/>
      <c r="K61" s="3"/>
      <c r="L61" s="20"/>
      <c r="N61" s="12"/>
      <c r="O61" s="11"/>
      <c r="S61" s="10"/>
      <c r="U61" s="3"/>
      <c r="V61" s="3"/>
      <c r="X61" s="9"/>
      <c r="Z61" s="3"/>
      <c r="AA61" s="8"/>
      <c r="AB61" s="7"/>
      <c r="AC61" s="7"/>
      <c r="AD61" s="6"/>
      <c r="AE61" s="6"/>
      <c r="AF61" s="5"/>
      <c r="AG61" s="7"/>
      <c r="AH61" s="3"/>
      <c r="AI61" s="7"/>
      <c r="AJ61" s="7"/>
      <c r="AL61" s="3"/>
      <c r="AM61" s="3"/>
      <c r="AN61" s="3"/>
      <c r="AO61" s="3"/>
      <c r="AP61" s="9"/>
      <c r="AQ61" s="6"/>
    </row>
    <row r="62" spans="1:43" ht="15" customHeight="1" x14ac:dyDescent="0.3">
      <c r="A62" s="22"/>
      <c r="I62" s="21"/>
      <c r="J62" s="20"/>
      <c r="K62" s="3"/>
      <c r="L62" s="20"/>
      <c r="N62" s="12"/>
      <c r="O62" s="11"/>
      <c r="S62" s="10"/>
      <c r="U62" s="3"/>
      <c r="V62" s="3"/>
      <c r="X62" s="9"/>
      <c r="Z62" s="3"/>
      <c r="AA62" s="8"/>
      <c r="AB62" s="7"/>
      <c r="AC62" s="7"/>
      <c r="AD62" s="6"/>
      <c r="AE62" s="6"/>
      <c r="AF62" s="5"/>
      <c r="AG62" s="7"/>
      <c r="AH62" s="3"/>
      <c r="AI62" s="7"/>
      <c r="AJ62" s="7"/>
      <c r="AL62" s="3"/>
      <c r="AM62" s="3"/>
      <c r="AN62" s="3"/>
      <c r="AO62" s="3"/>
      <c r="AP62" s="9"/>
      <c r="AQ62" s="6"/>
    </row>
    <row r="63" spans="1:43" ht="15" customHeight="1" x14ac:dyDescent="0.3">
      <c r="A63" s="22"/>
      <c r="I63" s="21"/>
      <c r="J63" s="20"/>
      <c r="K63" s="3"/>
      <c r="L63" s="20"/>
      <c r="N63" s="12"/>
      <c r="O63" s="11"/>
      <c r="S63" s="10"/>
      <c r="U63" s="3"/>
      <c r="V63" s="3"/>
      <c r="X63" s="9"/>
      <c r="Z63" s="3"/>
      <c r="AA63" s="8"/>
      <c r="AB63" s="7"/>
      <c r="AC63" s="7"/>
      <c r="AD63" s="6"/>
      <c r="AE63" s="6"/>
      <c r="AF63" s="5"/>
      <c r="AG63" s="7"/>
      <c r="AH63" s="3"/>
      <c r="AI63" s="7"/>
      <c r="AJ63" s="7"/>
      <c r="AL63" s="3"/>
      <c r="AM63" s="3"/>
      <c r="AN63" s="3"/>
      <c r="AO63" s="3"/>
      <c r="AP63" s="9"/>
      <c r="AQ63" s="6"/>
    </row>
    <row r="64" spans="1:43" ht="15" customHeight="1" x14ac:dyDescent="0.3">
      <c r="A64" s="22"/>
      <c r="I64" s="21"/>
      <c r="J64" s="20"/>
      <c r="K64" s="3"/>
      <c r="L64" s="20"/>
      <c r="N64" s="12"/>
      <c r="O64" s="11"/>
      <c r="S64" s="10"/>
      <c r="U64" s="3"/>
      <c r="V64" s="3"/>
      <c r="X64" s="9"/>
      <c r="Z64" s="3"/>
      <c r="AA64" s="8"/>
      <c r="AB64" s="7"/>
      <c r="AC64" s="7"/>
      <c r="AD64" s="6"/>
      <c r="AE64" s="6"/>
      <c r="AF64" s="5"/>
      <c r="AG64" s="7"/>
      <c r="AH64" s="3"/>
      <c r="AI64" s="7"/>
      <c r="AJ64" s="7"/>
      <c r="AL64" s="3"/>
      <c r="AM64" s="3"/>
      <c r="AN64" s="3"/>
      <c r="AO64" s="3"/>
      <c r="AP64" s="9"/>
      <c r="AQ64" s="6"/>
    </row>
    <row r="65" spans="1:43" ht="15" customHeight="1" x14ac:dyDescent="0.3">
      <c r="A65" s="22"/>
      <c r="I65" s="21"/>
      <c r="J65" s="20"/>
      <c r="K65" s="3"/>
      <c r="L65" s="20"/>
      <c r="N65" s="12"/>
      <c r="O65" s="11"/>
      <c r="S65" s="10"/>
      <c r="U65" s="3"/>
      <c r="V65" s="3"/>
      <c r="X65" s="9"/>
      <c r="Z65" s="3"/>
      <c r="AA65" s="8"/>
      <c r="AB65" s="7"/>
      <c r="AC65" s="7"/>
      <c r="AD65" s="6"/>
      <c r="AE65" s="6"/>
      <c r="AF65" s="5"/>
      <c r="AG65" s="7"/>
      <c r="AH65" s="3"/>
      <c r="AI65" s="7"/>
      <c r="AJ65" s="7"/>
      <c r="AL65" s="3"/>
      <c r="AM65" s="3"/>
      <c r="AN65" s="3"/>
      <c r="AO65" s="3"/>
      <c r="AP65" s="9"/>
      <c r="AQ65" s="6"/>
    </row>
    <row r="66" spans="1:43" ht="15" customHeight="1" x14ac:dyDescent="0.3">
      <c r="A66" s="22"/>
      <c r="I66" s="21"/>
      <c r="J66" s="20"/>
      <c r="K66" s="3"/>
      <c r="L66" s="20"/>
      <c r="N66" s="12"/>
      <c r="O66" s="11"/>
      <c r="S66" s="10"/>
      <c r="U66" s="3"/>
      <c r="V66" s="3"/>
      <c r="X66" s="9"/>
      <c r="Z66" s="3"/>
      <c r="AA66" s="8"/>
      <c r="AB66" s="7"/>
      <c r="AC66" s="7"/>
      <c r="AD66" s="6"/>
      <c r="AE66" s="6"/>
      <c r="AF66" s="5"/>
      <c r="AG66" s="7"/>
      <c r="AH66" s="3"/>
      <c r="AI66" s="7"/>
      <c r="AJ66" s="7"/>
      <c r="AL66" s="3"/>
      <c r="AM66" s="3"/>
      <c r="AN66" s="3"/>
      <c r="AO66" s="3"/>
      <c r="AP66" s="9"/>
      <c r="AQ66" s="6"/>
    </row>
    <row r="67" spans="1:43" ht="15" customHeight="1" x14ac:dyDescent="0.3">
      <c r="A67" s="22"/>
      <c r="I67" s="21"/>
      <c r="J67" s="20"/>
      <c r="K67" s="3"/>
      <c r="L67" s="20"/>
      <c r="N67" s="12"/>
      <c r="O67" s="11"/>
      <c r="S67" s="10"/>
      <c r="U67" s="3"/>
      <c r="V67" s="3"/>
      <c r="X67" s="9"/>
      <c r="Z67" s="3"/>
      <c r="AA67" s="8"/>
      <c r="AB67" s="7"/>
      <c r="AC67" s="7"/>
      <c r="AD67" s="6"/>
      <c r="AE67" s="6"/>
      <c r="AF67" s="5"/>
      <c r="AG67" s="7"/>
      <c r="AH67" s="3"/>
      <c r="AI67" s="7"/>
      <c r="AJ67" s="7"/>
      <c r="AL67" s="3"/>
      <c r="AM67" s="3"/>
      <c r="AN67" s="3"/>
      <c r="AO67" s="3"/>
      <c r="AP67" s="9"/>
      <c r="AQ67" s="6"/>
    </row>
    <row r="68" spans="1:43" ht="15" customHeight="1" x14ac:dyDescent="0.3">
      <c r="A68" s="22"/>
      <c r="I68" s="21"/>
      <c r="J68" s="20"/>
      <c r="K68" s="3"/>
      <c r="L68" s="20"/>
      <c r="N68" s="12"/>
      <c r="O68" s="11"/>
      <c r="S68" s="10"/>
      <c r="U68" s="3"/>
      <c r="V68" s="3"/>
      <c r="X68" s="9"/>
      <c r="Z68" s="3"/>
      <c r="AA68" s="8"/>
      <c r="AB68" s="7"/>
      <c r="AC68" s="7"/>
      <c r="AD68" s="6"/>
      <c r="AE68" s="6"/>
      <c r="AF68" s="5"/>
      <c r="AG68" s="7"/>
      <c r="AH68" s="3"/>
      <c r="AI68" s="7"/>
      <c r="AJ68" s="7"/>
      <c r="AL68" s="3"/>
      <c r="AM68" s="3"/>
      <c r="AN68" s="3"/>
      <c r="AO68" s="3"/>
      <c r="AP68" s="9"/>
      <c r="AQ68" s="6"/>
    </row>
    <row r="69" spans="1:43" ht="15" customHeight="1" x14ac:dyDescent="0.3">
      <c r="A69" s="22"/>
      <c r="I69" s="21"/>
      <c r="J69" s="20"/>
      <c r="K69" s="3"/>
      <c r="L69" s="20"/>
      <c r="N69" s="12"/>
      <c r="O69" s="11"/>
      <c r="S69" s="10"/>
      <c r="U69" s="3"/>
      <c r="V69" s="3"/>
      <c r="X69" s="9"/>
      <c r="Z69" s="3"/>
      <c r="AA69" s="8"/>
      <c r="AB69" s="7"/>
      <c r="AC69" s="7"/>
      <c r="AD69" s="6"/>
      <c r="AE69" s="6"/>
      <c r="AF69" s="5"/>
      <c r="AG69" s="7"/>
      <c r="AH69" s="3"/>
      <c r="AI69" s="7"/>
      <c r="AJ69" s="7"/>
      <c r="AL69" s="3"/>
      <c r="AM69" s="3"/>
      <c r="AN69" s="3"/>
      <c r="AO69" s="3"/>
      <c r="AP69" s="9"/>
      <c r="AQ69" s="6"/>
    </row>
    <row r="70" spans="1:43" ht="15" customHeight="1" x14ac:dyDescent="0.3">
      <c r="A70" s="22"/>
      <c r="I70" s="21"/>
      <c r="J70" s="20"/>
      <c r="K70" s="3"/>
      <c r="L70" s="20"/>
      <c r="N70" s="12"/>
      <c r="O70" s="11"/>
      <c r="S70" s="10"/>
      <c r="U70" s="3"/>
      <c r="V70" s="3"/>
      <c r="X70" s="9"/>
      <c r="Z70" s="3"/>
      <c r="AA70" s="8"/>
      <c r="AB70" s="7"/>
      <c r="AC70" s="7"/>
      <c r="AD70" s="6"/>
      <c r="AE70" s="6"/>
      <c r="AF70" s="5"/>
      <c r="AG70" s="7"/>
      <c r="AH70" s="3"/>
      <c r="AI70" s="7"/>
      <c r="AJ70" s="7"/>
      <c r="AL70" s="3"/>
      <c r="AM70" s="3"/>
      <c r="AN70" s="3"/>
      <c r="AO70" s="3"/>
      <c r="AP70" s="9"/>
      <c r="AQ70" s="6"/>
    </row>
    <row r="71" spans="1:43" ht="15" customHeight="1" x14ac:dyDescent="0.3">
      <c r="A71" s="22"/>
      <c r="I71" s="21"/>
      <c r="J71" s="20"/>
      <c r="K71" s="3"/>
      <c r="L71" s="20"/>
      <c r="N71" s="12"/>
      <c r="O71" s="11"/>
      <c r="S71" s="10"/>
      <c r="U71" s="3"/>
      <c r="V71" s="3"/>
      <c r="X71" s="9"/>
      <c r="Z71" s="3"/>
      <c r="AA71" s="8"/>
      <c r="AB71" s="7"/>
      <c r="AC71" s="7"/>
      <c r="AD71" s="6"/>
      <c r="AE71" s="6"/>
      <c r="AF71" s="5"/>
      <c r="AG71" s="7"/>
      <c r="AH71" s="3"/>
      <c r="AI71" s="7"/>
      <c r="AJ71" s="7"/>
      <c r="AL71" s="3"/>
      <c r="AM71" s="3"/>
      <c r="AN71" s="3"/>
      <c r="AO71" s="3"/>
      <c r="AP71" s="9"/>
      <c r="AQ71" s="6"/>
    </row>
    <row r="72" spans="1:43" ht="15" customHeight="1" x14ac:dyDescent="0.3">
      <c r="A72" s="22"/>
      <c r="I72" s="21"/>
      <c r="J72" s="20"/>
      <c r="K72" s="3"/>
      <c r="L72" s="20"/>
      <c r="N72" s="12"/>
      <c r="O72" s="11"/>
      <c r="S72" s="10"/>
      <c r="U72" s="3"/>
      <c r="V72" s="3"/>
      <c r="X72" s="9"/>
      <c r="Z72" s="3"/>
      <c r="AA72" s="8"/>
      <c r="AB72" s="7"/>
      <c r="AC72" s="7"/>
      <c r="AD72" s="6"/>
      <c r="AE72" s="6"/>
      <c r="AF72" s="5"/>
      <c r="AG72" s="7"/>
      <c r="AH72" s="3"/>
      <c r="AI72" s="7"/>
      <c r="AJ72" s="7"/>
      <c r="AL72" s="3"/>
      <c r="AM72" s="3"/>
      <c r="AN72" s="3"/>
      <c r="AO72" s="3"/>
      <c r="AP72" s="9"/>
      <c r="AQ72" s="6"/>
    </row>
    <row r="73" spans="1:43" ht="15" customHeight="1" x14ac:dyDescent="0.3">
      <c r="A73" s="22"/>
      <c r="I73" s="21"/>
      <c r="J73" s="20"/>
      <c r="K73" s="3"/>
      <c r="L73" s="20"/>
      <c r="N73" s="12"/>
      <c r="O73" s="11"/>
      <c r="S73" s="10"/>
      <c r="U73" s="3"/>
      <c r="V73" s="3"/>
      <c r="X73" s="9"/>
      <c r="Z73" s="3"/>
      <c r="AA73" s="8"/>
      <c r="AB73" s="7"/>
      <c r="AC73" s="7"/>
      <c r="AD73" s="6"/>
      <c r="AE73" s="6"/>
      <c r="AF73" s="5"/>
      <c r="AG73" s="7"/>
      <c r="AH73" s="3"/>
      <c r="AI73" s="7"/>
      <c r="AJ73" s="7"/>
      <c r="AL73" s="3"/>
      <c r="AM73" s="3"/>
      <c r="AN73" s="3"/>
      <c r="AO73" s="3"/>
      <c r="AP73" s="9"/>
      <c r="AQ73" s="6"/>
    </row>
    <row r="74" spans="1:43" ht="15" customHeight="1" x14ac:dyDescent="0.3">
      <c r="A74" s="22"/>
      <c r="I74" s="21"/>
      <c r="J74" s="20"/>
      <c r="K74" s="3"/>
      <c r="L74" s="20"/>
      <c r="N74" s="12"/>
      <c r="O74" s="11"/>
      <c r="S74" s="10"/>
      <c r="U74" s="3"/>
      <c r="V74" s="3"/>
      <c r="X74" s="9"/>
      <c r="Z74" s="3"/>
      <c r="AA74" s="8"/>
      <c r="AB74" s="7"/>
      <c r="AC74" s="7"/>
      <c r="AD74" s="6"/>
      <c r="AE74" s="6"/>
      <c r="AF74" s="5"/>
      <c r="AG74" s="7"/>
      <c r="AH74" s="3"/>
      <c r="AI74" s="7"/>
      <c r="AJ74" s="7"/>
      <c r="AL74" s="3"/>
      <c r="AM74" s="3"/>
      <c r="AN74" s="3"/>
      <c r="AO74" s="3"/>
      <c r="AP74" s="9"/>
      <c r="AQ74" s="6"/>
    </row>
    <row r="75" spans="1:43" ht="15" customHeight="1" x14ac:dyDescent="0.3">
      <c r="A75" s="22"/>
      <c r="I75" s="21"/>
      <c r="J75" s="20"/>
      <c r="K75" s="3"/>
      <c r="L75" s="20"/>
      <c r="N75" s="12"/>
      <c r="O75" s="11"/>
      <c r="S75" s="10"/>
      <c r="U75" s="3"/>
      <c r="V75" s="3"/>
      <c r="X75" s="9"/>
      <c r="Z75" s="3"/>
      <c r="AA75" s="8"/>
      <c r="AB75" s="7"/>
      <c r="AC75" s="7"/>
      <c r="AD75" s="6"/>
      <c r="AE75" s="6"/>
      <c r="AF75" s="5"/>
      <c r="AG75" s="7"/>
      <c r="AH75" s="3"/>
      <c r="AI75" s="7"/>
      <c r="AJ75" s="7"/>
      <c r="AL75" s="3"/>
      <c r="AM75" s="3"/>
      <c r="AN75" s="3"/>
      <c r="AO75" s="3"/>
      <c r="AP75" s="9"/>
      <c r="AQ75" s="6"/>
    </row>
    <row r="76" spans="1:43" ht="15" customHeight="1" x14ac:dyDescent="0.3">
      <c r="A76" s="22"/>
      <c r="I76" s="21"/>
      <c r="J76" s="20"/>
      <c r="K76" s="3"/>
      <c r="L76" s="20"/>
      <c r="N76" s="12"/>
      <c r="O76" s="11"/>
      <c r="S76" s="10"/>
      <c r="U76" s="3"/>
      <c r="V76" s="3"/>
      <c r="X76" s="9"/>
      <c r="Z76" s="3"/>
      <c r="AA76" s="8"/>
      <c r="AB76" s="7"/>
      <c r="AC76" s="7"/>
      <c r="AD76" s="6"/>
      <c r="AE76" s="6"/>
      <c r="AF76" s="5"/>
      <c r="AG76" s="7"/>
      <c r="AH76" s="3"/>
      <c r="AI76" s="7"/>
      <c r="AJ76" s="7"/>
      <c r="AL76" s="3"/>
      <c r="AM76" s="3"/>
      <c r="AN76" s="3"/>
      <c r="AO76" s="3"/>
      <c r="AP76" s="9"/>
      <c r="AQ76" s="6"/>
    </row>
    <row r="77" spans="1:43" ht="15" customHeight="1" x14ac:dyDescent="0.3">
      <c r="A77" s="22"/>
      <c r="I77" s="21"/>
      <c r="J77" s="20"/>
      <c r="K77" s="3"/>
      <c r="L77" s="20"/>
      <c r="N77" s="12"/>
      <c r="O77" s="11"/>
      <c r="S77" s="10"/>
      <c r="U77" s="3"/>
      <c r="V77" s="3"/>
      <c r="X77" s="9"/>
      <c r="Z77" s="3"/>
      <c r="AA77" s="8"/>
      <c r="AB77" s="7"/>
      <c r="AC77" s="7"/>
      <c r="AD77" s="6"/>
      <c r="AE77" s="6"/>
      <c r="AF77" s="5"/>
      <c r="AG77" s="7"/>
      <c r="AH77" s="3"/>
      <c r="AI77" s="7"/>
      <c r="AJ77" s="7"/>
      <c r="AL77" s="3"/>
      <c r="AM77" s="3"/>
      <c r="AN77" s="3"/>
      <c r="AO77" s="3"/>
      <c r="AP77" s="9"/>
      <c r="AQ77" s="6"/>
    </row>
    <row r="78" spans="1:43" ht="15" customHeight="1" x14ac:dyDescent="0.3">
      <c r="A78" s="22"/>
      <c r="I78" s="21"/>
      <c r="J78" s="20"/>
      <c r="K78" s="3"/>
      <c r="L78" s="20"/>
      <c r="N78" s="12"/>
      <c r="O78" s="11"/>
      <c r="S78" s="10"/>
      <c r="U78" s="3"/>
      <c r="V78" s="3"/>
      <c r="X78" s="9"/>
      <c r="Z78" s="3"/>
      <c r="AA78" s="8"/>
      <c r="AB78" s="7"/>
      <c r="AC78" s="7"/>
      <c r="AD78" s="6"/>
      <c r="AE78" s="6"/>
      <c r="AF78" s="5"/>
      <c r="AG78" s="7"/>
      <c r="AH78" s="3"/>
      <c r="AI78" s="7"/>
      <c r="AJ78" s="7"/>
      <c r="AL78" s="3"/>
      <c r="AM78" s="3"/>
      <c r="AN78" s="3"/>
      <c r="AO78" s="3"/>
      <c r="AP78" s="9"/>
      <c r="AQ78" s="6"/>
    </row>
    <row r="79" spans="1:43" ht="15" customHeight="1" x14ac:dyDescent="0.3">
      <c r="A79" s="22"/>
      <c r="I79" s="21"/>
      <c r="J79" s="20"/>
      <c r="K79" s="3"/>
      <c r="L79" s="20"/>
      <c r="N79" s="12"/>
      <c r="O79" s="11"/>
      <c r="S79" s="10"/>
      <c r="U79" s="3"/>
      <c r="V79" s="3"/>
      <c r="X79" s="9"/>
      <c r="Z79" s="3"/>
      <c r="AA79" s="8"/>
      <c r="AB79" s="7"/>
      <c r="AC79" s="7"/>
      <c r="AD79" s="6"/>
      <c r="AE79" s="6"/>
      <c r="AF79" s="5"/>
      <c r="AG79" s="7"/>
      <c r="AH79" s="3"/>
      <c r="AI79" s="7"/>
      <c r="AJ79" s="7"/>
      <c r="AL79" s="3"/>
      <c r="AM79" s="3"/>
      <c r="AN79" s="3"/>
      <c r="AO79" s="3"/>
      <c r="AP79" s="9"/>
      <c r="AQ79" s="6"/>
    </row>
    <row r="80" spans="1:43" ht="15" customHeight="1" x14ac:dyDescent="0.3">
      <c r="A80" s="22"/>
      <c r="I80" s="21"/>
      <c r="J80" s="20"/>
      <c r="K80" s="3"/>
      <c r="L80" s="20"/>
      <c r="N80" s="12"/>
      <c r="O80" s="11"/>
      <c r="S80" s="10"/>
      <c r="U80" s="3"/>
      <c r="V80" s="3"/>
      <c r="X80" s="9"/>
      <c r="Z80" s="3"/>
      <c r="AA80" s="8"/>
      <c r="AB80" s="7"/>
      <c r="AC80" s="7"/>
      <c r="AD80" s="6"/>
      <c r="AE80" s="6"/>
      <c r="AF80" s="5"/>
      <c r="AG80" s="7"/>
      <c r="AH80" s="3"/>
      <c r="AI80" s="7"/>
      <c r="AJ80" s="7"/>
      <c r="AL80" s="3"/>
      <c r="AM80" s="3"/>
      <c r="AN80" s="3"/>
      <c r="AO80" s="3"/>
      <c r="AP80" s="9"/>
      <c r="AQ80" s="6"/>
    </row>
    <row r="81" spans="1:43" ht="15" customHeight="1" x14ac:dyDescent="0.3">
      <c r="A81" s="22"/>
      <c r="I81" s="21"/>
      <c r="J81" s="20"/>
      <c r="K81" s="3"/>
      <c r="L81" s="20"/>
      <c r="N81" s="12"/>
      <c r="O81" s="11"/>
      <c r="S81" s="10"/>
      <c r="U81" s="3"/>
      <c r="V81" s="3"/>
      <c r="X81" s="9"/>
      <c r="Z81" s="3"/>
      <c r="AA81" s="8"/>
      <c r="AB81" s="7"/>
      <c r="AC81" s="7"/>
      <c r="AD81" s="6"/>
      <c r="AE81" s="6"/>
      <c r="AF81" s="5"/>
      <c r="AG81" s="7"/>
      <c r="AH81" s="3"/>
      <c r="AI81" s="7"/>
      <c r="AJ81" s="7"/>
      <c r="AL81" s="3"/>
      <c r="AM81" s="3"/>
      <c r="AN81" s="3"/>
      <c r="AO81" s="3"/>
      <c r="AP81" s="9"/>
      <c r="AQ81" s="6"/>
    </row>
    <row r="82" spans="1:43" ht="15" customHeight="1" x14ac:dyDescent="0.3">
      <c r="A82" s="22"/>
      <c r="I82" s="21"/>
      <c r="J82" s="20"/>
      <c r="K82" s="3"/>
      <c r="L82" s="20"/>
      <c r="N82" s="12"/>
      <c r="O82" s="11"/>
      <c r="S82" s="10"/>
      <c r="U82" s="3"/>
      <c r="V82" s="3"/>
      <c r="X82" s="9"/>
      <c r="Z82" s="3"/>
      <c r="AA82" s="8"/>
      <c r="AB82" s="7"/>
      <c r="AC82" s="7"/>
      <c r="AD82" s="6"/>
      <c r="AE82" s="6"/>
      <c r="AF82" s="5"/>
      <c r="AG82" s="7"/>
      <c r="AH82" s="3"/>
      <c r="AI82" s="7"/>
      <c r="AJ82" s="7"/>
      <c r="AL82" s="3"/>
      <c r="AM82" s="3"/>
      <c r="AN82" s="3"/>
      <c r="AO82" s="3"/>
      <c r="AP82" s="9"/>
      <c r="AQ82" s="6"/>
    </row>
    <row r="83" spans="1:43" ht="15" customHeight="1" x14ac:dyDescent="0.3">
      <c r="A83" s="22"/>
      <c r="I83" s="21"/>
      <c r="J83" s="20"/>
      <c r="K83" s="3"/>
      <c r="L83" s="20"/>
      <c r="N83" s="12"/>
      <c r="O83" s="11"/>
      <c r="S83" s="10"/>
      <c r="U83" s="3"/>
      <c r="V83" s="3"/>
      <c r="X83" s="9"/>
      <c r="Z83" s="3"/>
      <c r="AA83" s="8"/>
      <c r="AB83" s="7"/>
      <c r="AC83" s="7"/>
      <c r="AD83" s="6"/>
      <c r="AE83" s="6"/>
      <c r="AF83" s="5"/>
      <c r="AG83" s="7"/>
      <c r="AH83" s="3"/>
      <c r="AI83" s="7"/>
      <c r="AJ83" s="7"/>
      <c r="AL83" s="3"/>
      <c r="AM83" s="3"/>
      <c r="AN83" s="3"/>
      <c r="AO83" s="3"/>
      <c r="AP83" s="9"/>
      <c r="AQ83" s="6"/>
    </row>
    <row r="84" spans="1:43" ht="15" customHeight="1" x14ac:dyDescent="0.3">
      <c r="A84" s="22"/>
      <c r="I84" s="21"/>
      <c r="J84" s="20"/>
      <c r="K84" s="3"/>
      <c r="L84" s="20"/>
      <c r="N84" s="12"/>
      <c r="O84" s="11"/>
      <c r="S84" s="10"/>
      <c r="U84" s="3"/>
      <c r="V84" s="3"/>
      <c r="X84" s="9"/>
      <c r="Z84" s="3"/>
      <c r="AA84" s="8"/>
      <c r="AB84" s="7"/>
      <c r="AC84" s="7"/>
      <c r="AD84" s="6"/>
      <c r="AE84" s="6"/>
      <c r="AF84" s="5"/>
      <c r="AG84" s="7"/>
      <c r="AH84" s="3"/>
      <c r="AI84" s="7"/>
      <c r="AJ84" s="7"/>
      <c r="AL84" s="3"/>
      <c r="AM84" s="3"/>
      <c r="AN84" s="3"/>
      <c r="AO84" s="3"/>
      <c r="AP84" s="9"/>
      <c r="AQ84" s="6"/>
    </row>
    <row r="85" spans="1:43" ht="15" customHeight="1" x14ac:dyDescent="0.3">
      <c r="A85" s="22"/>
      <c r="I85" s="21"/>
      <c r="J85" s="20"/>
      <c r="K85" s="3"/>
      <c r="L85" s="20"/>
      <c r="N85" s="12"/>
      <c r="O85" s="11"/>
      <c r="S85" s="10"/>
      <c r="U85" s="3"/>
      <c r="V85" s="3"/>
      <c r="X85" s="9"/>
      <c r="Z85" s="3"/>
      <c r="AA85" s="8"/>
      <c r="AB85" s="7"/>
      <c r="AC85" s="7"/>
      <c r="AD85" s="6"/>
      <c r="AE85" s="6"/>
      <c r="AF85" s="5"/>
      <c r="AG85" s="7"/>
      <c r="AH85" s="3"/>
      <c r="AI85" s="7"/>
      <c r="AJ85" s="7"/>
      <c r="AL85" s="3"/>
      <c r="AM85" s="3"/>
      <c r="AN85" s="3"/>
      <c r="AO85" s="3"/>
      <c r="AP85" s="9"/>
      <c r="AQ85" s="6"/>
    </row>
    <row r="86" spans="1:43" ht="15" customHeight="1" x14ac:dyDescent="0.3">
      <c r="A86" s="22"/>
      <c r="I86" s="21"/>
      <c r="J86" s="20"/>
      <c r="K86" s="3"/>
      <c r="L86" s="20"/>
      <c r="N86" s="12"/>
      <c r="O86" s="11"/>
      <c r="S86" s="10"/>
      <c r="U86" s="3"/>
      <c r="V86" s="3"/>
      <c r="X86" s="9"/>
      <c r="Z86" s="3"/>
      <c r="AA86" s="8"/>
      <c r="AB86" s="7"/>
      <c r="AC86" s="7"/>
      <c r="AD86" s="6"/>
      <c r="AE86" s="6"/>
      <c r="AF86" s="5"/>
      <c r="AG86" s="7"/>
      <c r="AH86" s="3"/>
      <c r="AI86" s="7"/>
      <c r="AJ86" s="7"/>
      <c r="AL86" s="3"/>
      <c r="AM86" s="3"/>
      <c r="AN86" s="3"/>
      <c r="AO86" s="3"/>
      <c r="AP86" s="9"/>
      <c r="AQ86" s="6"/>
    </row>
    <row r="87" spans="1:43" ht="15" customHeight="1" x14ac:dyDescent="0.3">
      <c r="A87" s="22"/>
      <c r="I87" s="21"/>
      <c r="J87" s="20"/>
      <c r="K87" s="3"/>
      <c r="L87" s="20"/>
      <c r="N87" s="12"/>
      <c r="O87" s="11"/>
      <c r="S87" s="10"/>
      <c r="U87" s="3"/>
      <c r="V87" s="3"/>
      <c r="X87" s="9"/>
      <c r="Z87" s="3"/>
      <c r="AA87" s="8"/>
      <c r="AB87" s="7"/>
      <c r="AC87" s="7"/>
      <c r="AD87" s="6"/>
      <c r="AE87" s="6"/>
      <c r="AF87" s="5"/>
      <c r="AG87" s="7"/>
      <c r="AH87" s="3"/>
      <c r="AI87" s="7"/>
      <c r="AJ87" s="7"/>
      <c r="AL87" s="3"/>
      <c r="AM87" s="3"/>
      <c r="AN87" s="3"/>
      <c r="AO87" s="3"/>
      <c r="AP87" s="9"/>
      <c r="AQ87" s="6"/>
    </row>
    <row r="88" spans="1:43" ht="15" customHeight="1" x14ac:dyDescent="0.3">
      <c r="A88" s="22"/>
      <c r="I88" s="21"/>
      <c r="J88" s="20"/>
      <c r="K88" s="3"/>
      <c r="L88" s="20"/>
      <c r="N88" s="12"/>
      <c r="O88" s="11"/>
      <c r="S88" s="10"/>
      <c r="U88" s="3"/>
      <c r="V88" s="3"/>
      <c r="X88" s="9"/>
      <c r="Z88" s="3"/>
      <c r="AA88" s="8"/>
      <c r="AB88" s="7"/>
      <c r="AC88" s="7"/>
      <c r="AD88" s="6"/>
      <c r="AE88" s="6"/>
      <c r="AF88" s="5"/>
      <c r="AG88" s="7"/>
      <c r="AH88" s="3"/>
      <c r="AI88" s="7"/>
      <c r="AJ88" s="7"/>
      <c r="AL88" s="3"/>
      <c r="AM88" s="3"/>
      <c r="AN88" s="3"/>
      <c r="AO88" s="3"/>
      <c r="AP88" s="9"/>
      <c r="AQ88" s="6"/>
    </row>
    <row r="89" spans="1:43" ht="15" customHeight="1" x14ac:dyDescent="0.3">
      <c r="A89" s="22"/>
      <c r="I89" s="21"/>
      <c r="J89" s="20"/>
      <c r="K89" s="3"/>
      <c r="L89" s="20"/>
      <c r="N89" s="12"/>
      <c r="O89" s="11"/>
      <c r="S89" s="10"/>
      <c r="U89" s="3"/>
      <c r="V89" s="3"/>
      <c r="X89" s="9"/>
      <c r="Z89" s="3"/>
      <c r="AA89" s="8"/>
      <c r="AB89" s="7"/>
      <c r="AC89" s="7"/>
      <c r="AD89" s="6"/>
      <c r="AE89" s="6"/>
      <c r="AF89" s="5"/>
      <c r="AG89" s="7"/>
      <c r="AH89" s="3"/>
      <c r="AI89" s="7"/>
      <c r="AJ89" s="7"/>
      <c r="AL89" s="3"/>
      <c r="AM89" s="3"/>
      <c r="AN89" s="3"/>
      <c r="AO89" s="3"/>
      <c r="AP89" s="9"/>
      <c r="AQ89" s="6"/>
    </row>
    <row r="90" spans="1:43" ht="15" customHeight="1" x14ac:dyDescent="0.3">
      <c r="A90" s="22"/>
      <c r="I90" s="21"/>
      <c r="J90" s="20"/>
      <c r="K90" s="3"/>
      <c r="L90" s="20"/>
      <c r="N90" s="12"/>
      <c r="O90" s="11"/>
      <c r="S90" s="10"/>
      <c r="U90" s="3"/>
      <c r="V90" s="3"/>
      <c r="X90" s="9"/>
      <c r="Z90" s="3"/>
      <c r="AA90" s="8"/>
      <c r="AB90" s="7"/>
      <c r="AC90" s="7"/>
      <c r="AD90" s="6"/>
      <c r="AE90" s="6"/>
      <c r="AF90" s="5"/>
      <c r="AG90" s="7"/>
      <c r="AH90" s="3"/>
      <c r="AI90" s="7"/>
      <c r="AJ90" s="7"/>
      <c r="AL90" s="3"/>
      <c r="AM90" s="3"/>
      <c r="AN90" s="3"/>
      <c r="AO90" s="3"/>
      <c r="AP90" s="9"/>
      <c r="AQ90" s="6"/>
    </row>
    <row r="91" spans="1:43" ht="15" customHeight="1" x14ac:dyDescent="0.3">
      <c r="A91" s="22"/>
      <c r="I91" s="21"/>
      <c r="J91" s="20"/>
      <c r="K91" s="3"/>
      <c r="L91" s="20"/>
      <c r="N91" s="12"/>
      <c r="O91" s="11"/>
      <c r="S91" s="10"/>
      <c r="U91" s="3"/>
      <c r="V91" s="3"/>
      <c r="X91" s="9"/>
      <c r="Z91" s="3"/>
      <c r="AA91" s="8"/>
      <c r="AB91" s="7"/>
      <c r="AC91" s="7"/>
      <c r="AD91" s="6"/>
      <c r="AE91" s="6"/>
      <c r="AF91" s="5"/>
      <c r="AG91" s="7"/>
      <c r="AH91" s="3"/>
      <c r="AI91" s="7"/>
      <c r="AJ91" s="7"/>
      <c r="AL91" s="3"/>
      <c r="AM91" s="3"/>
      <c r="AN91" s="3"/>
      <c r="AO91" s="3"/>
      <c r="AP91" s="9"/>
      <c r="AQ91" s="6"/>
    </row>
    <row r="92" spans="1:43" ht="15" customHeight="1" x14ac:dyDescent="0.3">
      <c r="A92" s="22"/>
      <c r="I92" s="21"/>
      <c r="J92" s="20"/>
      <c r="K92" s="3"/>
      <c r="L92" s="20"/>
      <c r="N92" s="12"/>
      <c r="O92" s="11"/>
      <c r="S92" s="10"/>
      <c r="U92" s="3"/>
      <c r="V92" s="3"/>
      <c r="X92" s="9"/>
      <c r="Z92" s="3"/>
      <c r="AA92" s="8"/>
      <c r="AB92" s="7"/>
      <c r="AC92" s="7"/>
      <c r="AD92" s="6"/>
      <c r="AE92" s="6"/>
      <c r="AF92" s="5"/>
      <c r="AG92" s="7"/>
      <c r="AH92" s="3"/>
      <c r="AI92" s="7"/>
      <c r="AJ92" s="7"/>
      <c r="AL92" s="3"/>
      <c r="AM92" s="3"/>
      <c r="AN92" s="3"/>
      <c r="AO92" s="3"/>
      <c r="AP92" s="9"/>
      <c r="AQ92" s="6"/>
    </row>
    <row r="93" spans="1:43" ht="15" customHeight="1" x14ac:dyDescent="0.3">
      <c r="A93" s="22"/>
      <c r="I93" s="21"/>
      <c r="J93" s="20"/>
      <c r="K93" s="3"/>
      <c r="L93" s="20"/>
      <c r="N93" s="12"/>
      <c r="O93" s="11"/>
      <c r="S93" s="10"/>
      <c r="U93" s="3"/>
      <c r="V93" s="3"/>
      <c r="X93" s="9"/>
      <c r="Z93" s="3"/>
      <c r="AA93" s="8"/>
      <c r="AB93" s="7"/>
      <c r="AC93" s="7"/>
      <c r="AD93" s="6"/>
      <c r="AE93" s="6"/>
      <c r="AF93" s="5"/>
      <c r="AG93" s="7"/>
      <c r="AH93" s="3"/>
      <c r="AI93" s="7"/>
      <c r="AJ93" s="7"/>
      <c r="AL93" s="3"/>
      <c r="AM93" s="3"/>
      <c r="AN93" s="3"/>
      <c r="AO93" s="3"/>
      <c r="AP93" s="9"/>
      <c r="AQ93" s="6"/>
    </row>
    <row r="94" spans="1:43" ht="15" customHeight="1" x14ac:dyDescent="0.3">
      <c r="A94" s="22"/>
      <c r="I94" s="21"/>
      <c r="J94" s="20"/>
      <c r="K94" s="3"/>
      <c r="L94" s="20"/>
      <c r="N94" s="12"/>
      <c r="O94" s="11"/>
      <c r="S94" s="10"/>
      <c r="U94" s="3"/>
      <c r="V94" s="3"/>
      <c r="X94" s="9"/>
      <c r="Z94" s="3"/>
      <c r="AA94" s="8"/>
      <c r="AB94" s="7"/>
      <c r="AC94" s="7"/>
      <c r="AD94" s="6"/>
      <c r="AE94" s="6"/>
      <c r="AF94" s="5"/>
      <c r="AG94" s="7"/>
      <c r="AH94" s="3"/>
      <c r="AI94" s="7"/>
      <c r="AJ94" s="7"/>
      <c r="AL94" s="3"/>
      <c r="AM94" s="3"/>
      <c r="AN94" s="3"/>
      <c r="AO94" s="3"/>
      <c r="AP94" s="9"/>
      <c r="AQ94" s="6"/>
    </row>
    <row r="95" spans="1:43" ht="15" customHeight="1" x14ac:dyDescent="0.3">
      <c r="A95" s="22"/>
      <c r="I95" s="21"/>
      <c r="J95" s="20"/>
      <c r="K95" s="3"/>
      <c r="L95" s="20"/>
      <c r="N95" s="12"/>
      <c r="O95" s="11"/>
      <c r="S95" s="10"/>
      <c r="U95" s="3"/>
      <c r="V95" s="3"/>
      <c r="X95" s="9"/>
      <c r="Z95" s="3"/>
      <c r="AA95" s="8"/>
      <c r="AB95" s="7"/>
      <c r="AC95" s="7"/>
      <c r="AD95" s="6"/>
      <c r="AE95" s="6"/>
      <c r="AF95" s="5"/>
      <c r="AG95" s="7"/>
      <c r="AH95" s="3"/>
      <c r="AI95" s="7"/>
      <c r="AJ95" s="7"/>
      <c r="AL95" s="3"/>
      <c r="AM95" s="3"/>
      <c r="AN95" s="3"/>
      <c r="AO95" s="3"/>
      <c r="AP95" s="9"/>
      <c r="AQ95" s="6"/>
    </row>
    <row r="96" spans="1:43" ht="15" customHeight="1" x14ac:dyDescent="0.3">
      <c r="A96" s="22"/>
      <c r="I96" s="21"/>
      <c r="J96" s="20"/>
      <c r="K96" s="3"/>
      <c r="L96" s="20"/>
      <c r="N96" s="12"/>
      <c r="O96" s="11"/>
      <c r="S96" s="10"/>
      <c r="U96" s="3"/>
      <c r="V96" s="3"/>
      <c r="X96" s="9"/>
      <c r="Z96" s="3"/>
      <c r="AA96" s="8"/>
      <c r="AB96" s="7"/>
      <c r="AC96" s="7"/>
      <c r="AD96" s="6"/>
      <c r="AE96" s="6"/>
      <c r="AF96" s="5"/>
      <c r="AG96" s="7"/>
      <c r="AH96" s="3"/>
      <c r="AI96" s="7"/>
      <c r="AJ96" s="7"/>
      <c r="AL96" s="3"/>
      <c r="AM96" s="3"/>
      <c r="AN96" s="3"/>
      <c r="AO96" s="3"/>
      <c r="AP96" s="9"/>
      <c r="AQ96" s="6"/>
    </row>
    <row r="97" spans="1:43" ht="15" customHeight="1" x14ac:dyDescent="0.3">
      <c r="A97" s="22"/>
      <c r="I97" s="21"/>
      <c r="J97" s="20"/>
      <c r="K97" s="3"/>
      <c r="L97" s="20"/>
      <c r="N97" s="12"/>
      <c r="O97" s="11"/>
      <c r="S97" s="10"/>
      <c r="U97" s="3"/>
      <c r="V97" s="3"/>
      <c r="X97" s="9"/>
      <c r="Z97" s="3"/>
      <c r="AA97" s="8"/>
      <c r="AB97" s="7"/>
      <c r="AC97" s="7"/>
      <c r="AD97" s="6"/>
      <c r="AE97" s="6"/>
      <c r="AF97" s="5"/>
      <c r="AG97" s="7"/>
      <c r="AH97" s="3"/>
      <c r="AI97" s="7"/>
      <c r="AJ97" s="7"/>
      <c r="AL97" s="3"/>
      <c r="AM97" s="3"/>
      <c r="AN97" s="3"/>
      <c r="AO97" s="3"/>
      <c r="AP97" s="9"/>
      <c r="AQ97" s="6"/>
    </row>
    <row r="98" spans="1:43" ht="15" customHeight="1" x14ac:dyDescent="0.3">
      <c r="A98" s="22"/>
      <c r="I98" s="21"/>
      <c r="J98" s="20"/>
      <c r="K98" s="3"/>
      <c r="L98" s="20"/>
      <c r="N98" s="12"/>
      <c r="O98" s="11"/>
      <c r="S98" s="10"/>
      <c r="U98" s="3"/>
      <c r="V98" s="3"/>
      <c r="X98" s="9"/>
      <c r="Z98" s="3"/>
      <c r="AA98" s="8"/>
      <c r="AB98" s="7"/>
      <c r="AC98" s="7"/>
      <c r="AD98" s="6"/>
      <c r="AE98" s="6"/>
      <c r="AF98" s="5"/>
      <c r="AG98" s="7"/>
      <c r="AH98" s="3"/>
      <c r="AI98" s="7"/>
      <c r="AJ98" s="7"/>
      <c r="AL98" s="3"/>
      <c r="AM98" s="3"/>
      <c r="AN98" s="3"/>
      <c r="AO98" s="3"/>
      <c r="AP98" s="9"/>
      <c r="AQ98" s="6"/>
    </row>
    <row r="99" spans="1:43" ht="15" customHeight="1" x14ac:dyDescent="0.3">
      <c r="A99" s="22"/>
      <c r="I99" s="21"/>
      <c r="J99" s="20"/>
      <c r="K99" s="3"/>
      <c r="L99" s="20"/>
      <c r="N99" s="12"/>
      <c r="O99" s="11"/>
      <c r="S99" s="10"/>
      <c r="U99" s="3"/>
      <c r="V99" s="3"/>
      <c r="X99" s="9"/>
      <c r="Z99" s="3"/>
      <c r="AA99" s="8"/>
      <c r="AB99" s="7"/>
      <c r="AC99" s="7"/>
      <c r="AD99" s="6"/>
      <c r="AE99" s="6"/>
      <c r="AF99" s="5"/>
      <c r="AG99" s="7"/>
      <c r="AH99" s="3"/>
      <c r="AI99" s="7"/>
      <c r="AJ99" s="7"/>
      <c r="AL99" s="3"/>
      <c r="AM99" s="3"/>
      <c r="AN99" s="3"/>
      <c r="AO99" s="3"/>
      <c r="AP99" s="9"/>
      <c r="AQ99" s="6"/>
    </row>
    <row r="100" spans="1:43" ht="15" customHeight="1" x14ac:dyDescent="0.3">
      <c r="A100" s="22"/>
      <c r="I100" s="21"/>
      <c r="J100" s="20"/>
      <c r="K100" s="3"/>
      <c r="L100" s="20"/>
      <c r="N100" s="12"/>
      <c r="O100" s="11"/>
      <c r="S100" s="10"/>
      <c r="U100" s="3"/>
      <c r="V100" s="3"/>
      <c r="X100" s="9"/>
      <c r="Z100" s="3"/>
      <c r="AA100" s="8"/>
      <c r="AB100" s="7"/>
      <c r="AC100" s="7"/>
      <c r="AD100" s="6"/>
      <c r="AE100" s="6"/>
      <c r="AF100" s="5"/>
      <c r="AG100" s="7"/>
      <c r="AH100" s="3"/>
      <c r="AI100" s="7"/>
      <c r="AJ100" s="7"/>
      <c r="AL100" s="3"/>
      <c r="AM100" s="3"/>
      <c r="AN100" s="3"/>
      <c r="AO100" s="3"/>
      <c r="AP100" s="9"/>
      <c r="AQ100" s="6"/>
    </row>
    <row r="101" spans="1:43" ht="15" customHeight="1" x14ac:dyDescent="0.3">
      <c r="A101" s="22"/>
      <c r="I101" s="21"/>
      <c r="J101" s="20"/>
      <c r="K101" s="3"/>
      <c r="L101" s="20"/>
      <c r="N101" s="12"/>
      <c r="O101" s="11"/>
      <c r="S101" s="10"/>
      <c r="U101" s="3"/>
      <c r="V101" s="3"/>
      <c r="X101" s="9"/>
      <c r="Z101" s="3"/>
      <c r="AA101" s="8"/>
      <c r="AB101" s="7"/>
      <c r="AC101" s="7"/>
      <c r="AD101" s="6"/>
      <c r="AE101" s="6"/>
      <c r="AF101" s="5"/>
      <c r="AG101" s="7"/>
      <c r="AH101" s="3"/>
      <c r="AI101" s="7"/>
      <c r="AJ101" s="7"/>
      <c r="AL101" s="3"/>
      <c r="AM101" s="3"/>
      <c r="AN101" s="3"/>
      <c r="AO101" s="3"/>
      <c r="AP101" s="9"/>
      <c r="AQ101" s="6"/>
    </row>
    <row r="102" spans="1:43" ht="15" customHeight="1" x14ac:dyDescent="0.3">
      <c r="A102" s="22"/>
      <c r="I102" s="21"/>
      <c r="J102" s="20"/>
      <c r="K102" s="3"/>
      <c r="L102" s="20"/>
      <c r="N102" s="12"/>
      <c r="O102" s="11"/>
      <c r="S102" s="10"/>
      <c r="U102" s="3"/>
      <c r="V102" s="3"/>
      <c r="X102" s="9"/>
      <c r="Z102" s="3"/>
      <c r="AA102" s="8"/>
      <c r="AB102" s="7"/>
      <c r="AC102" s="7"/>
      <c r="AD102" s="6"/>
      <c r="AE102" s="6"/>
      <c r="AF102" s="5"/>
      <c r="AG102" s="7"/>
      <c r="AH102" s="3"/>
      <c r="AI102" s="7"/>
      <c r="AJ102" s="7"/>
      <c r="AL102" s="3"/>
      <c r="AM102" s="3"/>
      <c r="AN102" s="3"/>
      <c r="AO102" s="3"/>
      <c r="AP102" s="9"/>
      <c r="AQ102" s="6"/>
    </row>
    <row r="103" spans="1:43" ht="15" customHeight="1" x14ac:dyDescent="0.3">
      <c r="A103" s="22"/>
      <c r="I103" s="21"/>
      <c r="J103" s="20"/>
      <c r="K103" s="3"/>
      <c r="L103" s="20"/>
      <c r="N103" s="12"/>
      <c r="O103" s="11"/>
      <c r="S103" s="10"/>
      <c r="U103" s="3"/>
      <c r="V103" s="3"/>
      <c r="X103" s="9"/>
      <c r="Z103" s="3"/>
      <c r="AA103" s="8"/>
      <c r="AB103" s="7"/>
      <c r="AC103" s="7"/>
      <c r="AD103" s="6"/>
      <c r="AE103" s="6"/>
      <c r="AF103" s="5"/>
      <c r="AG103" s="7"/>
      <c r="AH103" s="3"/>
      <c r="AI103" s="7"/>
      <c r="AJ103" s="7"/>
      <c r="AL103" s="3"/>
      <c r="AM103" s="3"/>
      <c r="AN103" s="3"/>
      <c r="AO103" s="3"/>
      <c r="AP103" s="9"/>
      <c r="AQ103" s="6"/>
    </row>
    <row r="104" spans="1:43" ht="15" customHeight="1" x14ac:dyDescent="0.3">
      <c r="A104" s="22"/>
      <c r="I104" s="21"/>
      <c r="J104" s="20"/>
      <c r="K104" s="3"/>
      <c r="L104" s="20"/>
      <c r="N104" s="12"/>
      <c r="O104" s="11"/>
      <c r="S104" s="10"/>
      <c r="U104" s="3"/>
      <c r="V104" s="3"/>
      <c r="X104" s="9"/>
      <c r="Z104" s="3"/>
      <c r="AA104" s="8"/>
      <c r="AB104" s="7"/>
      <c r="AC104" s="7"/>
      <c r="AD104" s="6"/>
      <c r="AE104" s="6"/>
      <c r="AF104" s="5"/>
      <c r="AG104" s="7"/>
      <c r="AH104" s="3"/>
      <c r="AI104" s="7"/>
      <c r="AJ104" s="7"/>
      <c r="AL104" s="3"/>
      <c r="AM104" s="3"/>
      <c r="AN104" s="3"/>
      <c r="AO104" s="3"/>
      <c r="AP104" s="9"/>
      <c r="AQ104" s="6"/>
    </row>
    <row r="105" spans="1:43" ht="15" customHeight="1" x14ac:dyDescent="0.3">
      <c r="A105" s="22"/>
      <c r="I105" s="21"/>
      <c r="J105" s="20"/>
      <c r="K105" s="3"/>
      <c r="L105" s="20"/>
      <c r="N105" s="12"/>
      <c r="O105" s="11"/>
      <c r="S105" s="10"/>
      <c r="U105" s="3"/>
      <c r="V105" s="3"/>
      <c r="X105" s="9"/>
      <c r="Z105" s="3"/>
      <c r="AA105" s="8"/>
      <c r="AB105" s="7"/>
      <c r="AC105" s="7"/>
      <c r="AD105" s="6"/>
      <c r="AE105" s="6"/>
      <c r="AF105" s="5"/>
      <c r="AG105" s="7"/>
      <c r="AH105" s="3"/>
      <c r="AI105" s="7"/>
      <c r="AJ105" s="7"/>
      <c r="AL105" s="3"/>
      <c r="AM105" s="3"/>
      <c r="AN105" s="3"/>
      <c r="AO105" s="3"/>
      <c r="AP105" s="9"/>
      <c r="AQ105" s="6"/>
    </row>
    <row r="106" spans="1:43" ht="15" customHeight="1" x14ac:dyDescent="0.3">
      <c r="A106" s="22"/>
      <c r="I106" s="21"/>
      <c r="J106" s="20"/>
      <c r="K106" s="3"/>
      <c r="L106" s="20"/>
      <c r="N106" s="12"/>
      <c r="O106" s="11"/>
      <c r="S106" s="10"/>
      <c r="U106" s="3"/>
      <c r="V106" s="3"/>
      <c r="X106" s="9"/>
      <c r="Z106" s="3"/>
      <c r="AA106" s="8"/>
      <c r="AB106" s="7"/>
      <c r="AC106" s="7"/>
      <c r="AD106" s="6"/>
      <c r="AE106" s="6"/>
      <c r="AF106" s="5"/>
      <c r="AG106" s="7"/>
      <c r="AH106" s="3"/>
      <c r="AI106" s="7"/>
      <c r="AJ106" s="7"/>
      <c r="AL106" s="3"/>
      <c r="AM106" s="3"/>
      <c r="AN106" s="3"/>
      <c r="AO106" s="3"/>
      <c r="AP106" s="9"/>
      <c r="AQ106" s="6"/>
    </row>
    <row r="107" spans="1:43" ht="15" customHeight="1" x14ac:dyDescent="0.3">
      <c r="A107" s="22"/>
      <c r="I107" s="21"/>
      <c r="J107" s="20"/>
      <c r="K107" s="3"/>
      <c r="L107" s="20"/>
      <c r="N107" s="12"/>
      <c r="O107" s="11"/>
      <c r="S107" s="10"/>
      <c r="U107" s="3"/>
      <c r="V107" s="3"/>
      <c r="X107" s="9"/>
      <c r="Z107" s="3"/>
      <c r="AA107" s="8"/>
      <c r="AB107" s="7"/>
      <c r="AC107" s="7"/>
      <c r="AD107" s="6"/>
      <c r="AE107" s="6"/>
      <c r="AF107" s="5"/>
      <c r="AG107" s="7"/>
      <c r="AH107" s="3"/>
      <c r="AI107" s="7"/>
      <c r="AJ107" s="7"/>
      <c r="AL107" s="3"/>
      <c r="AM107" s="3"/>
      <c r="AN107" s="3"/>
      <c r="AO107" s="3"/>
      <c r="AP107" s="9"/>
      <c r="AQ107" s="6"/>
    </row>
    <row r="108" spans="1:43" ht="15" customHeight="1" x14ac:dyDescent="0.3">
      <c r="A108" s="22"/>
      <c r="I108" s="21"/>
      <c r="J108" s="20"/>
      <c r="K108" s="3"/>
      <c r="L108" s="20"/>
      <c r="N108" s="12"/>
      <c r="O108" s="11"/>
      <c r="S108" s="10"/>
      <c r="U108" s="3"/>
      <c r="V108" s="3"/>
      <c r="X108" s="9"/>
      <c r="Z108" s="3"/>
      <c r="AA108" s="8"/>
      <c r="AB108" s="7"/>
      <c r="AC108" s="7"/>
      <c r="AD108" s="6"/>
      <c r="AE108" s="6"/>
      <c r="AF108" s="5"/>
      <c r="AG108" s="7"/>
      <c r="AH108" s="3"/>
      <c r="AI108" s="7"/>
      <c r="AJ108" s="7"/>
      <c r="AL108" s="3"/>
      <c r="AM108" s="3"/>
      <c r="AN108" s="3"/>
      <c r="AO108" s="3"/>
      <c r="AP108" s="9"/>
      <c r="AQ108" s="6"/>
    </row>
    <row r="109" spans="1:43" ht="15" customHeight="1" x14ac:dyDescent="0.3">
      <c r="A109" s="22"/>
      <c r="I109" s="21"/>
      <c r="J109" s="20"/>
      <c r="K109" s="3"/>
      <c r="L109" s="20"/>
      <c r="N109" s="12"/>
      <c r="O109" s="11"/>
      <c r="S109" s="10"/>
      <c r="U109" s="3"/>
      <c r="V109" s="3"/>
      <c r="X109" s="9"/>
      <c r="Z109" s="3"/>
      <c r="AA109" s="8"/>
      <c r="AB109" s="7"/>
      <c r="AC109" s="7"/>
      <c r="AD109" s="6"/>
      <c r="AE109" s="6"/>
      <c r="AF109" s="5"/>
      <c r="AG109" s="7"/>
      <c r="AH109" s="3"/>
      <c r="AI109" s="7"/>
      <c r="AJ109" s="7"/>
      <c r="AL109" s="3"/>
      <c r="AM109" s="3"/>
      <c r="AN109" s="3"/>
      <c r="AO109" s="3"/>
      <c r="AP109" s="9"/>
      <c r="AQ109" s="6"/>
    </row>
    <row r="110" spans="1:43" ht="15" customHeight="1" x14ac:dyDescent="0.3">
      <c r="A110" s="22"/>
      <c r="I110" s="21"/>
      <c r="J110" s="20"/>
      <c r="K110" s="3"/>
      <c r="L110" s="20"/>
      <c r="N110" s="12"/>
      <c r="O110" s="11"/>
      <c r="S110" s="10"/>
      <c r="U110" s="3"/>
      <c r="V110" s="3"/>
      <c r="X110" s="9"/>
      <c r="Z110" s="3"/>
      <c r="AA110" s="8"/>
      <c r="AB110" s="7"/>
      <c r="AC110" s="7"/>
      <c r="AD110" s="6"/>
      <c r="AE110" s="6"/>
      <c r="AF110" s="5"/>
      <c r="AG110" s="7"/>
      <c r="AH110" s="3"/>
      <c r="AI110" s="7"/>
      <c r="AJ110" s="7"/>
      <c r="AL110" s="3"/>
      <c r="AM110" s="3"/>
      <c r="AN110" s="3"/>
      <c r="AO110" s="3"/>
      <c r="AP110" s="9"/>
      <c r="AQ110" s="6"/>
    </row>
    <row r="111" spans="1:43" ht="15" customHeight="1" x14ac:dyDescent="0.3">
      <c r="A111" s="22"/>
      <c r="I111" s="21"/>
      <c r="J111" s="20"/>
      <c r="K111" s="3"/>
      <c r="L111" s="20"/>
      <c r="N111" s="12"/>
      <c r="O111" s="11"/>
      <c r="S111" s="10"/>
      <c r="U111" s="3"/>
      <c r="V111" s="3"/>
      <c r="X111" s="9"/>
      <c r="Z111" s="3"/>
      <c r="AA111" s="8"/>
      <c r="AB111" s="7"/>
      <c r="AC111" s="7"/>
      <c r="AD111" s="6"/>
      <c r="AE111" s="6"/>
      <c r="AF111" s="5"/>
      <c r="AG111" s="7"/>
      <c r="AH111" s="3"/>
      <c r="AI111" s="7"/>
      <c r="AJ111" s="7"/>
      <c r="AL111" s="3"/>
      <c r="AM111" s="3"/>
      <c r="AN111" s="3"/>
      <c r="AO111" s="3"/>
      <c r="AP111" s="9"/>
      <c r="AQ111" s="6"/>
    </row>
    <row r="112" spans="1:43" ht="15" customHeight="1" x14ac:dyDescent="0.3">
      <c r="A112" s="22"/>
      <c r="I112" s="21"/>
      <c r="J112" s="20"/>
      <c r="K112" s="3"/>
      <c r="L112" s="20"/>
      <c r="N112" s="12"/>
      <c r="O112" s="11"/>
      <c r="S112" s="10"/>
      <c r="U112" s="3"/>
      <c r="V112" s="3"/>
      <c r="X112" s="9"/>
      <c r="Z112" s="3"/>
      <c r="AA112" s="8"/>
      <c r="AB112" s="7"/>
      <c r="AC112" s="7"/>
      <c r="AD112" s="6"/>
      <c r="AE112" s="6"/>
      <c r="AF112" s="5"/>
      <c r="AG112" s="7"/>
      <c r="AH112" s="3"/>
      <c r="AI112" s="7"/>
      <c r="AJ112" s="7"/>
      <c r="AL112" s="3"/>
      <c r="AM112" s="3"/>
      <c r="AN112" s="3"/>
      <c r="AO112" s="3"/>
      <c r="AP112" s="9"/>
      <c r="AQ112" s="6"/>
    </row>
    <row r="113" spans="1:43" ht="15" customHeight="1" x14ac:dyDescent="0.3">
      <c r="A113" s="22"/>
      <c r="I113" s="21"/>
      <c r="J113" s="20"/>
      <c r="K113" s="3"/>
      <c r="L113" s="20"/>
      <c r="N113" s="12"/>
      <c r="O113" s="11"/>
      <c r="S113" s="10"/>
      <c r="U113" s="3"/>
      <c r="V113" s="3"/>
      <c r="X113" s="9"/>
      <c r="Z113" s="3"/>
      <c r="AA113" s="8"/>
      <c r="AB113" s="7"/>
      <c r="AC113" s="7"/>
      <c r="AD113" s="6"/>
      <c r="AE113" s="6"/>
      <c r="AF113" s="5"/>
      <c r="AG113" s="7"/>
      <c r="AH113" s="3"/>
      <c r="AI113" s="7"/>
      <c r="AJ113" s="7"/>
      <c r="AL113" s="3"/>
      <c r="AM113" s="3"/>
      <c r="AN113" s="3"/>
      <c r="AO113" s="3"/>
      <c r="AP113" s="9"/>
      <c r="AQ113" s="6"/>
    </row>
    <row r="114" spans="1:43" ht="15" customHeight="1" x14ac:dyDescent="0.3">
      <c r="A114" s="22"/>
      <c r="I114" s="21"/>
      <c r="J114" s="20"/>
      <c r="K114" s="3"/>
      <c r="L114" s="20"/>
      <c r="N114" s="12"/>
      <c r="O114" s="11"/>
      <c r="S114" s="10"/>
      <c r="U114" s="3"/>
      <c r="V114" s="3"/>
      <c r="X114" s="9"/>
      <c r="Z114" s="3"/>
      <c r="AA114" s="8"/>
      <c r="AB114" s="7"/>
      <c r="AC114" s="7"/>
      <c r="AD114" s="6"/>
      <c r="AE114" s="6"/>
      <c r="AF114" s="5"/>
      <c r="AG114" s="7"/>
      <c r="AH114" s="3"/>
      <c r="AI114" s="7"/>
      <c r="AJ114" s="7"/>
      <c r="AL114" s="3"/>
      <c r="AM114" s="3"/>
      <c r="AN114" s="3"/>
      <c r="AO114" s="3"/>
      <c r="AP114" s="9"/>
      <c r="AQ114" s="6"/>
    </row>
    <row r="115" spans="1:43" ht="15" customHeight="1" x14ac:dyDescent="0.3">
      <c r="A115" s="22"/>
      <c r="I115" s="21"/>
      <c r="J115" s="20"/>
      <c r="K115" s="3"/>
      <c r="L115" s="20"/>
      <c r="N115" s="12"/>
      <c r="O115" s="11"/>
      <c r="S115" s="10"/>
      <c r="U115" s="3"/>
      <c r="V115" s="3"/>
      <c r="X115" s="9"/>
      <c r="Z115" s="3"/>
      <c r="AA115" s="8"/>
      <c r="AB115" s="7"/>
      <c r="AC115" s="7"/>
      <c r="AD115" s="6"/>
      <c r="AE115" s="6"/>
      <c r="AF115" s="5"/>
      <c r="AG115" s="7"/>
      <c r="AH115" s="3"/>
      <c r="AI115" s="7"/>
      <c r="AJ115" s="7"/>
      <c r="AL115" s="3"/>
      <c r="AM115" s="3"/>
      <c r="AN115" s="3"/>
      <c r="AO115" s="3"/>
      <c r="AP115" s="9"/>
      <c r="AQ115" s="6"/>
    </row>
    <row r="116" spans="1:43" ht="15" customHeight="1" x14ac:dyDescent="0.3">
      <c r="A116" s="22"/>
      <c r="I116" s="21"/>
      <c r="J116" s="20"/>
      <c r="K116" s="3"/>
      <c r="L116" s="20"/>
      <c r="N116" s="12"/>
      <c r="O116" s="11"/>
      <c r="S116" s="10"/>
      <c r="U116" s="3"/>
      <c r="V116" s="3"/>
      <c r="X116" s="9"/>
      <c r="Z116" s="3"/>
      <c r="AA116" s="8"/>
      <c r="AB116" s="7"/>
      <c r="AC116" s="7"/>
      <c r="AD116" s="6"/>
      <c r="AE116" s="6"/>
      <c r="AF116" s="5"/>
      <c r="AG116" s="7"/>
      <c r="AH116" s="3"/>
      <c r="AI116" s="7"/>
      <c r="AJ116" s="7"/>
      <c r="AL116" s="3"/>
      <c r="AM116" s="3"/>
      <c r="AN116" s="3"/>
      <c r="AO116" s="3"/>
      <c r="AP116" s="9"/>
      <c r="AQ116" s="6"/>
    </row>
    <row r="117" spans="1:43" ht="15" customHeight="1" x14ac:dyDescent="0.3">
      <c r="A117" s="22"/>
      <c r="I117" s="21"/>
      <c r="J117" s="20"/>
      <c r="K117" s="3"/>
      <c r="L117" s="20"/>
      <c r="N117" s="12"/>
      <c r="O117" s="11"/>
      <c r="S117" s="10"/>
      <c r="U117" s="3"/>
      <c r="V117" s="3"/>
      <c r="X117" s="9"/>
      <c r="Z117" s="3"/>
      <c r="AA117" s="8"/>
      <c r="AB117" s="7"/>
      <c r="AC117" s="7"/>
      <c r="AD117" s="6"/>
      <c r="AE117" s="6"/>
      <c r="AF117" s="5"/>
      <c r="AG117" s="7"/>
      <c r="AH117" s="3"/>
      <c r="AI117" s="7"/>
      <c r="AJ117" s="7"/>
      <c r="AL117" s="3"/>
      <c r="AM117" s="3"/>
      <c r="AN117" s="3"/>
      <c r="AO117" s="3"/>
      <c r="AP117" s="9"/>
      <c r="AQ117" s="6"/>
    </row>
    <row r="118" spans="1:43" ht="15" customHeight="1" x14ac:dyDescent="0.3">
      <c r="A118" s="22"/>
      <c r="I118" s="21"/>
      <c r="J118" s="20"/>
      <c r="K118" s="3"/>
      <c r="L118" s="20"/>
      <c r="N118" s="12"/>
      <c r="O118" s="11"/>
      <c r="S118" s="10"/>
      <c r="U118" s="3"/>
      <c r="V118" s="3"/>
      <c r="X118" s="9"/>
      <c r="Z118" s="3"/>
      <c r="AA118" s="8"/>
      <c r="AB118" s="7"/>
      <c r="AC118" s="7"/>
      <c r="AD118" s="6"/>
      <c r="AE118" s="6"/>
      <c r="AF118" s="5"/>
      <c r="AG118" s="7"/>
      <c r="AH118" s="3"/>
      <c r="AI118" s="7"/>
      <c r="AJ118" s="7"/>
      <c r="AL118" s="3"/>
      <c r="AM118" s="3"/>
      <c r="AN118" s="3"/>
      <c r="AO118" s="3"/>
      <c r="AP118" s="9"/>
      <c r="AQ118" s="6"/>
    </row>
    <row r="119" spans="1:43" ht="15" customHeight="1" x14ac:dyDescent="0.3">
      <c r="A119" s="22"/>
      <c r="I119" s="21"/>
      <c r="J119" s="20"/>
      <c r="K119" s="3"/>
      <c r="L119" s="20"/>
      <c r="N119" s="12"/>
      <c r="O119" s="11"/>
      <c r="S119" s="10"/>
      <c r="U119" s="3"/>
      <c r="V119" s="3"/>
      <c r="X119" s="9"/>
      <c r="Z119" s="3"/>
      <c r="AA119" s="8"/>
      <c r="AB119" s="7"/>
      <c r="AC119" s="7"/>
      <c r="AD119" s="6"/>
      <c r="AE119" s="6"/>
      <c r="AF119" s="5"/>
      <c r="AG119" s="7"/>
      <c r="AH119" s="3"/>
      <c r="AI119" s="7"/>
      <c r="AJ119" s="7"/>
      <c r="AL119" s="3"/>
      <c r="AM119" s="3"/>
      <c r="AN119" s="3"/>
      <c r="AO119" s="3"/>
      <c r="AP119" s="9"/>
      <c r="AQ119" s="6"/>
    </row>
    <row r="120" spans="1:43" ht="15" customHeight="1" x14ac:dyDescent="0.3">
      <c r="A120" s="22"/>
      <c r="I120" s="21"/>
      <c r="J120" s="20"/>
      <c r="K120" s="3"/>
      <c r="L120" s="20"/>
      <c r="N120" s="12"/>
      <c r="O120" s="11"/>
      <c r="S120" s="10"/>
      <c r="U120" s="3"/>
      <c r="V120" s="3"/>
      <c r="X120" s="9"/>
      <c r="Z120" s="3"/>
      <c r="AA120" s="8"/>
      <c r="AB120" s="7"/>
      <c r="AC120" s="7"/>
      <c r="AD120" s="6"/>
      <c r="AE120" s="6"/>
      <c r="AF120" s="5"/>
      <c r="AG120" s="7"/>
      <c r="AH120" s="3"/>
      <c r="AI120" s="7"/>
      <c r="AJ120" s="7"/>
      <c r="AL120" s="3"/>
      <c r="AM120" s="3"/>
      <c r="AN120" s="3"/>
      <c r="AO120" s="3"/>
      <c r="AP120" s="9"/>
      <c r="AQ120" s="6"/>
    </row>
    <row r="121" spans="1:43" ht="15" customHeight="1" x14ac:dyDescent="0.3">
      <c r="A121" s="22"/>
      <c r="I121" s="21"/>
      <c r="J121" s="20"/>
      <c r="K121" s="3"/>
      <c r="L121" s="20"/>
      <c r="N121" s="12"/>
      <c r="O121" s="11"/>
      <c r="S121" s="10"/>
      <c r="U121" s="3"/>
      <c r="V121" s="3"/>
      <c r="X121" s="9"/>
      <c r="Z121" s="3"/>
      <c r="AA121" s="8"/>
      <c r="AB121" s="7"/>
      <c r="AC121" s="7"/>
      <c r="AD121" s="6"/>
      <c r="AE121" s="6"/>
      <c r="AF121" s="5"/>
      <c r="AG121" s="7"/>
      <c r="AH121" s="3"/>
      <c r="AI121" s="7"/>
      <c r="AJ121" s="7"/>
      <c r="AL121" s="3"/>
      <c r="AM121" s="3"/>
      <c r="AN121" s="3"/>
      <c r="AO121" s="3"/>
      <c r="AP121" s="9"/>
      <c r="AQ121" s="6"/>
    </row>
    <row r="122" spans="1:43" ht="15" customHeight="1" x14ac:dyDescent="0.3">
      <c r="A122" s="22"/>
      <c r="I122" s="21"/>
      <c r="J122" s="20"/>
      <c r="K122" s="3"/>
      <c r="L122" s="20"/>
      <c r="N122" s="12"/>
      <c r="O122" s="11"/>
      <c r="S122" s="10"/>
      <c r="U122" s="3"/>
      <c r="V122" s="3"/>
      <c r="X122" s="9"/>
      <c r="Z122" s="3"/>
      <c r="AA122" s="8"/>
      <c r="AB122" s="7"/>
      <c r="AC122" s="7"/>
      <c r="AD122" s="6"/>
      <c r="AE122" s="6"/>
      <c r="AF122" s="5"/>
      <c r="AG122" s="7"/>
      <c r="AH122" s="3"/>
      <c r="AI122" s="7"/>
      <c r="AJ122" s="7"/>
      <c r="AL122" s="3"/>
      <c r="AM122" s="3"/>
      <c r="AN122" s="3"/>
      <c r="AO122" s="3"/>
      <c r="AP122" s="9"/>
      <c r="AQ122" s="6"/>
    </row>
    <row r="123" spans="1:43" ht="15" customHeight="1" x14ac:dyDescent="0.3">
      <c r="A123" s="22"/>
      <c r="I123" s="21"/>
      <c r="J123" s="20"/>
      <c r="K123" s="3"/>
      <c r="L123" s="20"/>
      <c r="N123" s="12"/>
      <c r="O123" s="11"/>
      <c r="S123" s="10"/>
      <c r="U123" s="3"/>
      <c r="V123" s="3"/>
      <c r="X123" s="9"/>
      <c r="Z123" s="3"/>
      <c r="AA123" s="8"/>
      <c r="AB123" s="7"/>
      <c r="AC123" s="7"/>
      <c r="AD123" s="6"/>
      <c r="AE123" s="6"/>
      <c r="AF123" s="5"/>
      <c r="AG123" s="7"/>
      <c r="AH123" s="3"/>
      <c r="AI123" s="7"/>
      <c r="AJ123" s="7"/>
      <c r="AL123" s="3"/>
      <c r="AM123" s="3"/>
      <c r="AN123" s="3"/>
      <c r="AO123" s="3"/>
      <c r="AP123" s="9"/>
      <c r="AQ123" s="6"/>
    </row>
    <row r="124" spans="1:43" ht="15" customHeight="1" x14ac:dyDescent="0.3">
      <c r="A124" s="22"/>
      <c r="I124" s="21"/>
      <c r="J124" s="20"/>
      <c r="K124" s="3"/>
      <c r="L124" s="20"/>
      <c r="N124" s="12"/>
      <c r="O124" s="11"/>
      <c r="S124" s="10"/>
      <c r="U124" s="3"/>
      <c r="V124" s="3"/>
      <c r="X124" s="9"/>
      <c r="Z124" s="3"/>
      <c r="AA124" s="8"/>
      <c r="AB124" s="7"/>
      <c r="AC124" s="7"/>
      <c r="AD124" s="6"/>
      <c r="AE124" s="6"/>
      <c r="AF124" s="5"/>
      <c r="AG124" s="7"/>
      <c r="AH124" s="3"/>
      <c r="AI124" s="7"/>
      <c r="AJ124" s="7"/>
      <c r="AL124" s="3"/>
      <c r="AM124" s="3"/>
      <c r="AN124" s="3"/>
      <c r="AO124" s="3"/>
      <c r="AP124" s="9"/>
      <c r="AQ124" s="6"/>
    </row>
    <row r="125" spans="1:43" ht="15" customHeight="1" x14ac:dyDescent="0.3">
      <c r="A125" s="22"/>
      <c r="I125" s="21"/>
      <c r="J125" s="20"/>
      <c r="K125" s="3"/>
      <c r="L125" s="20"/>
      <c r="N125" s="12"/>
      <c r="O125" s="11"/>
      <c r="S125" s="10"/>
      <c r="U125" s="3"/>
      <c r="V125" s="3"/>
      <c r="X125" s="9"/>
      <c r="Z125" s="3"/>
      <c r="AA125" s="8"/>
      <c r="AB125" s="7"/>
      <c r="AC125" s="7"/>
      <c r="AD125" s="6"/>
      <c r="AE125" s="6"/>
      <c r="AF125" s="5"/>
      <c r="AG125" s="7"/>
      <c r="AH125" s="3"/>
      <c r="AI125" s="7"/>
      <c r="AJ125" s="7"/>
      <c r="AL125" s="3"/>
      <c r="AM125" s="3"/>
      <c r="AN125" s="3"/>
      <c r="AO125" s="3"/>
      <c r="AP125" s="9"/>
      <c r="AQ125" s="6"/>
    </row>
    <row r="126" spans="1:43" ht="15" customHeight="1" x14ac:dyDescent="0.3">
      <c r="A126" s="22"/>
      <c r="I126" s="21"/>
      <c r="J126" s="20"/>
      <c r="K126" s="3"/>
      <c r="L126" s="20"/>
      <c r="N126" s="12"/>
      <c r="O126" s="11"/>
      <c r="S126" s="10"/>
      <c r="U126" s="3"/>
      <c r="V126" s="3"/>
      <c r="X126" s="9"/>
      <c r="Z126" s="3"/>
      <c r="AA126" s="8"/>
      <c r="AB126" s="7"/>
      <c r="AC126" s="7"/>
      <c r="AD126" s="6"/>
      <c r="AE126" s="6"/>
      <c r="AF126" s="5"/>
      <c r="AG126" s="7"/>
      <c r="AH126" s="3"/>
      <c r="AI126" s="7"/>
      <c r="AJ126" s="7"/>
      <c r="AL126" s="3"/>
      <c r="AM126" s="3"/>
      <c r="AN126" s="3"/>
      <c r="AO126" s="3"/>
      <c r="AP126" s="9"/>
      <c r="AQ126" s="6"/>
    </row>
    <row r="127" spans="1:43" ht="15" customHeight="1" x14ac:dyDescent="0.3">
      <c r="A127" s="22"/>
      <c r="I127" s="21"/>
      <c r="J127" s="20"/>
      <c r="K127" s="3"/>
      <c r="L127" s="20"/>
      <c r="N127" s="12"/>
      <c r="O127" s="11"/>
      <c r="S127" s="10"/>
      <c r="U127" s="3"/>
      <c r="V127" s="3"/>
      <c r="X127" s="9"/>
      <c r="Z127" s="3"/>
      <c r="AA127" s="8"/>
      <c r="AB127" s="7"/>
      <c r="AC127" s="7"/>
      <c r="AD127" s="6"/>
      <c r="AE127" s="6"/>
      <c r="AF127" s="5"/>
      <c r="AG127" s="7"/>
      <c r="AH127" s="3"/>
      <c r="AI127" s="7"/>
      <c r="AJ127" s="7"/>
      <c r="AL127" s="3"/>
      <c r="AM127" s="3"/>
      <c r="AN127" s="3"/>
      <c r="AO127" s="3"/>
      <c r="AP127" s="9"/>
      <c r="AQ127" s="6"/>
    </row>
    <row r="128" spans="1:43" ht="15" customHeight="1" x14ac:dyDescent="0.3">
      <c r="A128" s="22"/>
      <c r="I128" s="21"/>
      <c r="J128" s="20"/>
      <c r="K128" s="3"/>
      <c r="L128" s="20"/>
      <c r="N128" s="12"/>
      <c r="O128" s="11"/>
      <c r="S128" s="10"/>
      <c r="U128" s="3"/>
      <c r="V128" s="3"/>
      <c r="X128" s="9"/>
      <c r="Z128" s="3"/>
      <c r="AA128" s="8"/>
      <c r="AB128" s="7"/>
      <c r="AC128" s="7"/>
      <c r="AD128" s="6"/>
      <c r="AE128" s="6"/>
      <c r="AF128" s="5"/>
      <c r="AG128" s="7"/>
      <c r="AH128" s="3"/>
      <c r="AI128" s="7"/>
      <c r="AJ128" s="7"/>
      <c r="AL128" s="3"/>
      <c r="AM128" s="3"/>
      <c r="AN128" s="3"/>
      <c r="AO128" s="3"/>
      <c r="AP128" s="9"/>
      <c r="AQ128" s="6"/>
    </row>
    <row r="129" spans="1:43" ht="15" customHeight="1" x14ac:dyDescent="0.3">
      <c r="A129" s="22"/>
      <c r="I129" s="21"/>
      <c r="J129" s="20"/>
      <c r="K129" s="3"/>
      <c r="L129" s="20"/>
      <c r="N129" s="12"/>
      <c r="O129" s="11"/>
      <c r="S129" s="10"/>
      <c r="U129" s="3"/>
      <c r="V129" s="3"/>
      <c r="X129" s="9"/>
      <c r="Z129" s="3"/>
      <c r="AA129" s="8"/>
      <c r="AB129" s="7"/>
      <c r="AC129" s="7"/>
      <c r="AD129" s="6"/>
      <c r="AE129" s="6"/>
      <c r="AF129" s="5"/>
      <c r="AG129" s="7"/>
      <c r="AH129" s="3"/>
      <c r="AI129" s="7"/>
      <c r="AJ129" s="7"/>
      <c r="AL129" s="3"/>
      <c r="AM129" s="3"/>
      <c r="AN129" s="3"/>
      <c r="AO129" s="3"/>
      <c r="AP129" s="9"/>
      <c r="AQ129" s="6"/>
    </row>
    <row r="130" spans="1:43" ht="15" customHeight="1" x14ac:dyDescent="0.3">
      <c r="A130" s="22"/>
      <c r="I130" s="21"/>
      <c r="J130" s="20"/>
      <c r="K130" s="3"/>
      <c r="L130" s="20"/>
      <c r="N130" s="12"/>
      <c r="O130" s="11"/>
      <c r="S130" s="10"/>
      <c r="U130" s="3"/>
      <c r="V130" s="3"/>
      <c r="X130" s="9"/>
      <c r="Z130" s="3"/>
      <c r="AA130" s="8"/>
      <c r="AB130" s="7"/>
      <c r="AC130" s="7"/>
      <c r="AD130" s="6"/>
      <c r="AE130" s="6"/>
      <c r="AF130" s="5"/>
      <c r="AG130" s="7"/>
      <c r="AH130" s="3"/>
      <c r="AI130" s="7"/>
      <c r="AJ130" s="7"/>
      <c r="AL130" s="3"/>
      <c r="AM130" s="3"/>
      <c r="AN130" s="3"/>
      <c r="AO130" s="3"/>
      <c r="AP130" s="9"/>
      <c r="AQ130" s="6"/>
    </row>
    <row r="131" spans="1:43" ht="15" customHeight="1" x14ac:dyDescent="0.3">
      <c r="A131" s="22"/>
      <c r="I131" s="21"/>
      <c r="J131" s="20"/>
      <c r="K131" s="3"/>
      <c r="L131" s="20"/>
      <c r="N131" s="12"/>
      <c r="O131" s="11"/>
      <c r="S131" s="10"/>
      <c r="U131" s="3"/>
      <c r="V131" s="3"/>
      <c r="X131" s="9"/>
      <c r="Z131" s="3"/>
      <c r="AA131" s="8"/>
      <c r="AB131" s="7"/>
      <c r="AC131" s="7"/>
      <c r="AD131" s="6"/>
      <c r="AE131" s="6"/>
      <c r="AF131" s="5"/>
      <c r="AG131" s="7"/>
      <c r="AH131" s="3"/>
      <c r="AI131" s="7"/>
      <c r="AJ131" s="7"/>
      <c r="AL131" s="3"/>
      <c r="AM131" s="3"/>
      <c r="AN131" s="3"/>
      <c r="AO131" s="3"/>
      <c r="AP131" s="9"/>
      <c r="AQ131" s="6"/>
    </row>
    <row r="132" spans="1:43" ht="15" customHeight="1" x14ac:dyDescent="0.3">
      <c r="A132" s="22"/>
      <c r="I132" s="21"/>
      <c r="J132" s="20"/>
      <c r="K132" s="3"/>
      <c r="L132" s="20"/>
      <c r="N132" s="12"/>
      <c r="O132" s="11"/>
      <c r="S132" s="10"/>
      <c r="U132" s="3"/>
      <c r="V132" s="3"/>
      <c r="X132" s="9"/>
      <c r="Z132" s="3"/>
      <c r="AA132" s="8"/>
      <c r="AB132" s="7"/>
      <c r="AC132" s="7"/>
      <c r="AD132" s="6"/>
      <c r="AE132" s="6"/>
      <c r="AF132" s="5"/>
      <c r="AG132" s="7"/>
      <c r="AH132" s="3"/>
      <c r="AI132" s="7"/>
      <c r="AJ132" s="7"/>
      <c r="AL132" s="3"/>
      <c r="AM132" s="3"/>
      <c r="AN132" s="3"/>
      <c r="AO132" s="3"/>
      <c r="AP132" s="9"/>
      <c r="AQ132" s="6"/>
    </row>
    <row r="133" spans="1:43" ht="15" customHeight="1" x14ac:dyDescent="0.3">
      <c r="A133" s="22"/>
      <c r="I133" s="21"/>
      <c r="J133" s="20"/>
      <c r="K133" s="3"/>
      <c r="L133" s="20"/>
      <c r="N133" s="12"/>
      <c r="O133" s="11"/>
      <c r="S133" s="10"/>
      <c r="U133" s="3"/>
      <c r="V133" s="3"/>
      <c r="X133" s="9"/>
      <c r="Z133" s="3"/>
      <c r="AA133" s="8"/>
      <c r="AB133" s="7"/>
      <c r="AC133" s="7"/>
      <c r="AD133" s="6"/>
      <c r="AE133" s="6"/>
      <c r="AF133" s="5"/>
      <c r="AG133" s="7"/>
      <c r="AH133" s="3"/>
      <c r="AI133" s="7"/>
      <c r="AJ133" s="7"/>
      <c r="AL133" s="3"/>
      <c r="AM133" s="3"/>
      <c r="AN133" s="3"/>
      <c r="AO133" s="3"/>
      <c r="AP133" s="9"/>
      <c r="AQ133" s="6"/>
    </row>
    <row r="134" spans="1:43" ht="15" customHeight="1" x14ac:dyDescent="0.3">
      <c r="A134" s="22"/>
      <c r="I134" s="21"/>
      <c r="J134" s="20"/>
      <c r="K134" s="3"/>
      <c r="L134" s="20"/>
      <c r="N134" s="12"/>
      <c r="O134" s="11"/>
      <c r="S134" s="10"/>
      <c r="U134" s="3"/>
      <c r="V134" s="3"/>
      <c r="X134" s="9"/>
      <c r="Z134" s="3"/>
      <c r="AA134" s="8"/>
      <c r="AB134" s="7"/>
      <c r="AC134" s="7"/>
      <c r="AD134" s="6"/>
      <c r="AE134" s="6"/>
      <c r="AF134" s="5"/>
      <c r="AG134" s="7"/>
      <c r="AH134" s="3"/>
      <c r="AI134" s="7"/>
      <c r="AJ134" s="7"/>
      <c r="AL134" s="3"/>
      <c r="AM134" s="3"/>
      <c r="AN134" s="3"/>
      <c r="AO134" s="3"/>
      <c r="AP134" s="9"/>
      <c r="AQ134" s="6"/>
    </row>
    <row r="135" spans="1:43" ht="15" customHeight="1" x14ac:dyDescent="0.3">
      <c r="A135" s="22"/>
      <c r="I135" s="21"/>
      <c r="J135" s="20"/>
      <c r="K135" s="3"/>
      <c r="L135" s="20"/>
      <c r="N135" s="12"/>
      <c r="O135" s="11"/>
      <c r="S135" s="10"/>
      <c r="U135" s="3"/>
      <c r="V135" s="3"/>
      <c r="X135" s="9"/>
      <c r="Z135" s="3"/>
      <c r="AA135" s="8"/>
      <c r="AB135" s="7"/>
      <c r="AC135" s="7"/>
      <c r="AD135" s="6"/>
      <c r="AE135" s="6"/>
      <c r="AF135" s="5"/>
      <c r="AG135" s="7"/>
      <c r="AH135" s="3"/>
      <c r="AI135" s="7"/>
      <c r="AJ135" s="7"/>
      <c r="AL135" s="3"/>
      <c r="AM135" s="3"/>
      <c r="AN135" s="3"/>
      <c r="AO135" s="3"/>
      <c r="AP135" s="9"/>
      <c r="AQ135" s="6"/>
    </row>
    <row r="136" spans="1:43" ht="15" customHeight="1" x14ac:dyDescent="0.3">
      <c r="A136" s="22"/>
      <c r="I136" s="21"/>
      <c r="J136" s="20"/>
      <c r="K136" s="3"/>
      <c r="L136" s="20"/>
      <c r="N136" s="12"/>
      <c r="O136" s="11"/>
      <c r="S136" s="10"/>
      <c r="U136" s="3"/>
      <c r="V136" s="3"/>
      <c r="X136" s="9"/>
      <c r="Z136" s="3"/>
      <c r="AA136" s="8"/>
      <c r="AB136" s="7"/>
      <c r="AC136" s="7"/>
      <c r="AD136" s="6"/>
      <c r="AE136" s="6"/>
      <c r="AF136" s="5"/>
      <c r="AG136" s="7"/>
      <c r="AH136" s="3"/>
      <c r="AI136" s="7"/>
      <c r="AJ136" s="7"/>
      <c r="AL136" s="3"/>
      <c r="AM136" s="3"/>
      <c r="AN136" s="3"/>
      <c r="AO136" s="3"/>
      <c r="AP136" s="9"/>
      <c r="AQ136" s="6"/>
    </row>
    <row r="137" spans="1:43" ht="15" customHeight="1" x14ac:dyDescent="0.3">
      <c r="A137" s="22"/>
      <c r="I137" s="21"/>
      <c r="J137" s="20"/>
      <c r="K137" s="3"/>
      <c r="L137" s="20"/>
      <c r="N137" s="12"/>
      <c r="O137" s="11"/>
      <c r="S137" s="10"/>
      <c r="U137" s="3"/>
      <c r="V137" s="3"/>
      <c r="X137" s="9"/>
      <c r="Z137" s="3"/>
      <c r="AA137" s="8"/>
      <c r="AB137" s="7"/>
      <c r="AC137" s="7"/>
      <c r="AD137" s="6"/>
      <c r="AE137" s="6"/>
      <c r="AF137" s="5"/>
      <c r="AG137" s="7"/>
      <c r="AH137" s="3"/>
      <c r="AI137" s="7"/>
      <c r="AJ137" s="7"/>
      <c r="AL137" s="3"/>
      <c r="AM137" s="3"/>
      <c r="AN137" s="3"/>
      <c r="AO137" s="3"/>
      <c r="AP137" s="9"/>
      <c r="AQ137" s="6"/>
    </row>
    <row r="138" spans="1:43" ht="15" customHeight="1" x14ac:dyDescent="0.3">
      <c r="A138" s="22"/>
      <c r="I138" s="21"/>
      <c r="J138" s="20"/>
      <c r="K138" s="3"/>
      <c r="L138" s="20"/>
      <c r="N138" s="12"/>
      <c r="O138" s="11"/>
      <c r="S138" s="10"/>
      <c r="U138" s="3"/>
      <c r="V138" s="3"/>
      <c r="X138" s="9"/>
      <c r="Z138" s="3"/>
      <c r="AA138" s="8"/>
      <c r="AB138" s="7"/>
      <c r="AC138" s="7"/>
      <c r="AD138" s="6"/>
      <c r="AE138" s="6"/>
      <c r="AF138" s="5"/>
      <c r="AG138" s="7"/>
      <c r="AH138" s="3"/>
      <c r="AI138" s="7"/>
      <c r="AJ138" s="7"/>
      <c r="AL138" s="3"/>
      <c r="AM138" s="3"/>
      <c r="AN138" s="3"/>
      <c r="AO138" s="3"/>
      <c r="AP138" s="9"/>
      <c r="AQ138" s="6"/>
    </row>
    <row r="139" spans="1:43" ht="15" customHeight="1" x14ac:dyDescent="0.3">
      <c r="A139" s="22"/>
      <c r="I139" s="21"/>
      <c r="J139" s="20"/>
      <c r="K139" s="3"/>
      <c r="L139" s="20"/>
      <c r="N139" s="12"/>
      <c r="O139" s="11"/>
      <c r="S139" s="10"/>
      <c r="U139" s="3"/>
      <c r="V139" s="3"/>
      <c r="X139" s="9"/>
      <c r="Z139" s="3"/>
      <c r="AA139" s="8"/>
      <c r="AB139" s="7"/>
      <c r="AC139" s="7"/>
      <c r="AD139" s="6"/>
      <c r="AE139" s="6"/>
      <c r="AF139" s="5"/>
      <c r="AG139" s="7"/>
      <c r="AH139" s="3"/>
      <c r="AI139" s="7"/>
      <c r="AJ139" s="7"/>
      <c r="AL139" s="3"/>
      <c r="AM139" s="3"/>
      <c r="AN139" s="3"/>
      <c r="AO139" s="3"/>
      <c r="AP139" s="9"/>
      <c r="AQ139" s="6"/>
    </row>
    <row r="140" spans="1:43" ht="15" customHeight="1" x14ac:dyDescent="0.3">
      <c r="A140" s="22"/>
      <c r="I140" s="21"/>
      <c r="J140" s="20"/>
      <c r="K140" s="3"/>
      <c r="L140" s="20"/>
      <c r="N140" s="12"/>
      <c r="O140" s="11"/>
      <c r="S140" s="10"/>
      <c r="U140" s="3"/>
      <c r="V140" s="3"/>
      <c r="X140" s="9"/>
      <c r="Z140" s="3"/>
      <c r="AA140" s="8"/>
      <c r="AB140" s="7"/>
      <c r="AC140" s="7"/>
      <c r="AD140" s="6"/>
      <c r="AE140" s="6"/>
      <c r="AF140" s="5"/>
      <c r="AG140" s="7"/>
      <c r="AH140" s="3"/>
      <c r="AI140" s="7"/>
      <c r="AJ140" s="7"/>
      <c r="AL140" s="3"/>
      <c r="AM140" s="3"/>
      <c r="AN140" s="3"/>
      <c r="AO140" s="3"/>
      <c r="AP140" s="9"/>
      <c r="AQ140" s="6"/>
    </row>
    <row r="141" spans="1:43" ht="15" customHeight="1" x14ac:dyDescent="0.3">
      <c r="A141" s="22"/>
      <c r="I141" s="21"/>
      <c r="J141" s="20"/>
      <c r="K141" s="3"/>
      <c r="L141" s="20"/>
      <c r="N141" s="12"/>
      <c r="O141" s="11"/>
      <c r="S141" s="10"/>
      <c r="U141" s="3"/>
      <c r="V141" s="3"/>
      <c r="X141" s="9"/>
      <c r="Z141" s="3"/>
      <c r="AA141" s="8"/>
      <c r="AB141" s="7"/>
      <c r="AC141" s="7"/>
      <c r="AD141" s="6"/>
      <c r="AE141" s="6"/>
      <c r="AF141" s="5"/>
      <c r="AG141" s="7"/>
      <c r="AH141" s="3"/>
      <c r="AI141" s="7"/>
      <c r="AJ141" s="7"/>
      <c r="AL141" s="3"/>
      <c r="AM141" s="3"/>
      <c r="AN141" s="3"/>
      <c r="AO141" s="3"/>
      <c r="AP141" s="9"/>
      <c r="AQ141" s="6"/>
    </row>
    <row r="142" spans="1:43" ht="15" customHeight="1" x14ac:dyDescent="0.3">
      <c r="A142" s="22"/>
      <c r="I142" s="21"/>
      <c r="J142" s="20"/>
      <c r="K142" s="3"/>
      <c r="L142" s="20"/>
      <c r="N142" s="12"/>
      <c r="O142" s="11"/>
      <c r="S142" s="10"/>
      <c r="U142" s="3"/>
      <c r="V142" s="3"/>
      <c r="X142" s="9"/>
      <c r="Z142" s="3"/>
      <c r="AA142" s="8"/>
      <c r="AB142" s="7"/>
      <c r="AC142" s="7"/>
      <c r="AD142" s="6"/>
      <c r="AE142" s="6"/>
      <c r="AF142" s="5"/>
      <c r="AG142" s="7"/>
      <c r="AH142" s="3"/>
      <c r="AI142" s="7"/>
      <c r="AJ142" s="7"/>
      <c r="AL142" s="3"/>
      <c r="AM142" s="3"/>
      <c r="AN142" s="3"/>
      <c r="AO142" s="3"/>
      <c r="AP142" s="9"/>
      <c r="AQ142" s="6"/>
    </row>
    <row r="143" spans="1:43" ht="15" customHeight="1" x14ac:dyDescent="0.3">
      <c r="A143" s="22"/>
      <c r="I143" s="21"/>
      <c r="J143" s="20"/>
      <c r="K143" s="3"/>
      <c r="L143" s="20"/>
      <c r="N143" s="12"/>
      <c r="O143" s="11"/>
      <c r="S143" s="10"/>
      <c r="U143" s="3"/>
      <c r="V143" s="3"/>
      <c r="X143" s="9"/>
      <c r="Z143" s="3"/>
      <c r="AA143" s="8"/>
      <c r="AB143" s="7"/>
      <c r="AC143" s="7"/>
      <c r="AD143" s="6"/>
      <c r="AE143" s="6"/>
      <c r="AF143" s="5"/>
      <c r="AG143" s="7"/>
      <c r="AH143" s="3"/>
      <c r="AI143" s="7"/>
      <c r="AJ143" s="7"/>
      <c r="AL143" s="3"/>
      <c r="AM143" s="3"/>
      <c r="AN143" s="3"/>
      <c r="AO143" s="3"/>
      <c r="AP143" s="9"/>
      <c r="AQ143" s="6"/>
    </row>
    <row r="144" spans="1:43" ht="15" customHeight="1" x14ac:dyDescent="0.3">
      <c r="A144" s="22"/>
      <c r="I144" s="21"/>
      <c r="J144" s="20"/>
      <c r="K144" s="3"/>
      <c r="L144" s="20"/>
      <c r="N144" s="12"/>
      <c r="O144" s="11"/>
      <c r="S144" s="10"/>
      <c r="U144" s="3"/>
      <c r="V144" s="3"/>
      <c r="X144" s="9"/>
      <c r="Z144" s="3"/>
      <c r="AA144" s="8"/>
      <c r="AB144" s="7"/>
      <c r="AC144" s="7"/>
      <c r="AD144" s="6"/>
      <c r="AE144" s="6"/>
      <c r="AF144" s="5"/>
      <c r="AG144" s="7"/>
      <c r="AH144" s="3"/>
      <c r="AI144" s="7"/>
      <c r="AJ144" s="7"/>
      <c r="AL144" s="3"/>
      <c r="AM144" s="3"/>
      <c r="AN144" s="3"/>
      <c r="AO144" s="3"/>
      <c r="AP144" s="9"/>
      <c r="AQ144" s="6"/>
    </row>
    <row r="145" spans="1:43" ht="15" customHeight="1" x14ac:dyDescent="0.3">
      <c r="A145" s="22"/>
      <c r="I145" s="21"/>
      <c r="J145" s="20"/>
      <c r="K145" s="3"/>
      <c r="L145" s="20"/>
      <c r="N145" s="12"/>
      <c r="O145" s="11"/>
      <c r="S145" s="10"/>
      <c r="U145" s="3"/>
      <c r="V145" s="3"/>
      <c r="X145" s="9"/>
      <c r="Z145" s="3"/>
      <c r="AA145" s="8"/>
      <c r="AB145" s="7"/>
      <c r="AC145" s="7"/>
      <c r="AD145" s="6"/>
      <c r="AE145" s="6"/>
      <c r="AF145" s="5"/>
      <c r="AG145" s="7"/>
      <c r="AH145" s="3"/>
      <c r="AI145" s="7"/>
      <c r="AJ145" s="7"/>
      <c r="AL145" s="3"/>
      <c r="AM145" s="3"/>
      <c r="AN145" s="3"/>
      <c r="AO145" s="3"/>
      <c r="AP145" s="9"/>
      <c r="AQ145" s="6"/>
    </row>
    <row r="146" spans="1:43" ht="15" customHeight="1" x14ac:dyDescent="0.3">
      <c r="A146" s="22"/>
      <c r="I146" s="21"/>
      <c r="J146" s="20"/>
      <c r="K146" s="3"/>
      <c r="L146" s="20"/>
      <c r="N146" s="12"/>
      <c r="O146" s="11"/>
      <c r="S146" s="10"/>
      <c r="U146" s="3"/>
      <c r="V146" s="3"/>
      <c r="X146" s="9"/>
      <c r="Z146" s="3"/>
      <c r="AA146" s="8"/>
      <c r="AB146" s="7"/>
      <c r="AC146" s="7"/>
      <c r="AD146" s="6"/>
      <c r="AE146" s="6"/>
      <c r="AF146" s="5"/>
      <c r="AG146" s="7"/>
      <c r="AH146" s="3"/>
      <c r="AI146" s="7"/>
      <c r="AJ146" s="7"/>
      <c r="AL146" s="3"/>
      <c r="AM146" s="3"/>
      <c r="AN146" s="3"/>
      <c r="AO146" s="3"/>
      <c r="AP146" s="9"/>
      <c r="AQ146" s="6"/>
    </row>
    <row r="147" spans="1:43" ht="15" customHeight="1" x14ac:dyDescent="0.3">
      <c r="A147" s="22"/>
      <c r="I147" s="21"/>
      <c r="J147" s="20"/>
      <c r="K147" s="3"/>
      <c r="L147" s="20"/>
      <c r="N147" s="12"/>
      <c r="O147" s="11"/>
      <c r="S147" s="10"/>
      <c r="U147" s="3"/>
      <c r="V147" s="3"/>
      <c r="X147" s="9"/>
      <c r="Z147" s="3"/>
      <c r="AA147" s="8"/>
      <c r="AB147" s="7"/>
      <c r="AC147" s="7"/>
      <c r="AD147" s="6"/>
      <c r="AE147" s="6"/>
      <c r="AF147" s="5"/>
      <c r="AG147" s="7"/>
      <c r="AH147" s="3"/>
      <c r="AI147" s="7"/>
      <c r="AJ147" s="7"/>
      <c r="AL147" s="3"/>
      <c r="AM147" s="3"/>
      <c r="AN147" s="3"/>
      <c r="AO147" s="3"/>
      <c r="AP147" s="9"/>
      <c r="AQ147" s="6"/>
    </row>
    <row r="148" spans="1:43" ht="15" customHeight="1" x14ac:dyDescent="0.3">
      <c r="A148" s="22"/>
      <c r="I148" s="21"/>
      <c r="J148" s="20"/>
      <c r="K148" s="3"/>
      <c r="L148" s="20"/>
      <c r="N148" s="12"/>
      <c r="O148" s="11"/>
      <c r="S148" s="10"/>
      <c r="U148" s="3"/>
      <c r="V148" s="3"/>
      <c r="X148" s="9"/>
      <c r="Z148" s="3"/>
      <c r="AA148" s="8"/>
      <c r="AB148" s="7"/>
      <c r="AC148" s="7"/>
      <c r="AD148" s="6"/>
      <c r="AE148" s="6"/>
      <c r="AF148" s="5"/>
      <c r="AG148" s="7"/>
      <c r="AH148" s="3"/>
      <c r="AI148" s="7"/>
      <c r="AJ148" s="7"/>
      <c r="AL148" s="3"/>
      <c r="AM148" s="3"/>
      <c r="AN148" s="3"/>
      <c r="AO148" s="3"/>
      <c r="AP148" s="9"/>
      <c r="AQ148" s="6"/>
    </row>
    <row r="149" spans="1:43" ht="15" customHeight="1" x14ac:dyDescent="0.3">
      <c r="A149" s="22"/>
      <c r="I149" s="21"/>
      <c r="J149" s="20"/>
      <c r="K149" s="3"/>
      <c r="L149" s="20"/>
      <c r="N149" s="12"/>
      <c r="O149" s="11"/>
      <c r="S149" s="10"/>
      <c r="U149" s="3"/>
      <c r="V149" s="3"/>
      <c r="X149" s="9"/>
      <c r="Z149" s="3"/>
      <c r="AA149" s="8"/>
      <c r="AB149" s="7"/>
      <c r="AC149" s="7"/>
      <c r="AD149" s="6"/>
      <c r="AE149" s="6"/>
      <c r="AF149" s="5"/>
      <c r="AG149" s="7"/>
      <c r="AH149" s="3"/>
      <c r="AI149" s="7"/>
      <c r="AJ149" s="7"/>
      <c r="AL149" s="3"/>
      <c r="AM149" s="3"/>
      <c r="AN149" s="3"/>
      <c r="AO149" s="3"/>
      <c r="AP149" s="9"/>
      <c r="AQ149" s="6"/>
    </row>
    <row r="150" spans="1:43" ht="15" customHeight="1" x14ac:dyDescent="0.3">
      <c r="A150" s="22"/>
      <c r="I150" s="21"/>
      <c r="J150" s="20"/>
      <c r="K150" s="3"/>
      <c r="L150" s="20"/>
      <c r="N150" s="12"/>
      <c r="O150" s="11"/>
      <c r="S150" s="10"/>
      <c r="U150" s="3"/>
      <c r="V150" s="3"/>
      <c r="X150" s="9"/>
      <c r="Z150" s="3"/>
      <c r="AA150" s="8"/>
      <c r="AB150" s="7"/>
      <c r="AC150" s="7"/>
      <c r="AD150" s="6"/>
      <c r="AE150" s="6"/>
      <c r="AF150" s="5"/>
      <c r="AG150" s="7"/>
      <c r="AH150" s="3"/>
      <c r="AI150" s="7"/>
      <c r="AJ150" s="7"/>
      <c r="AL150" s="3"/>
      <c r="AM150" s="3"/>
      <c r="AN150" s="3"/>
      <c r="AO150" s="3"/>
      <c r="AP150" s="9"/>
      <c r="AQ150" s="6"/>
    </row>
    <row r="151" spans="1:43" ht="15" customHeight="1" x14ac:dyDescent="0.3">
      <c r="A151" s="22"/>
      <c r="I151" s="21"/>
      <c r="J151" s="20"/>
      <c r="K151" s="3"/>
      <c r="L151" s="20"/>
      <c r="N151" s="12"/>
      <c r="O151" s="11"/>
      <c r="S151" s="10"/>
      <c r="U151" s="3"/>
      <c r="V151" s="3"/>
      <c r="X151" s="9"/>
      <c r="Z151" s="3"/>
      <c r="AA151" s="8"/>
      <c r="AB151" s="7"/>
      <c r="AC151" s="7"/>
      <c r="AD151" s="6"/>
      <c r="AE151" s="6"/>
      <c r="AF151" s="5"/>
      <c r="AG151" s="7"/>
      <c r="AH151" s="3"/>
      <c r="AI151" s="7"/>
      <c r="AJ151" s="7"/>
      <c r="AL151" s="3"/>
      <c r="AM151" s="3"/>
      <c r="AN151" s="3"/>
      <c r="AO151" s="3"/>
      <c r="AP151" s="9"/>
      <c r="AQ151" s="6"/>
    </row>
    <row r="152" spans="1:43" ht="15" customHeight="1" x14ac:dyDescent="0.3">
      <c r="A152" s="22"/>
      <c r="I152" s="21"/>
      <c r="J152" s="20"/>
      <c r="K152" s="3"/>
      <c r="L152" s="20"/>
      <c r="N152" s="12"/>
      <c r="O152" s="11"/>
      <c r="S152" s="10"/>
      <c r="U152" s="3"/>
      <c r="V152" s="3"/>
      <c r="X152" s="9"/>
      <c r="Z152" s="3"/>
      <c r="AA152" s="8"/>
      <c r="AB152" s="7"/>
      <c r="AC152" s="7"/>
      <c r="AD152" s="6"/>
      <c r="AE152" s="6"/>
      <c r="AF152" s="5"/>
      <c r="AG152" s="7"/>
      <c r="AH152" s="3"/>
      <c r="AI152" s="7"/>
      <c r="AJ152" s="7"/>
      <c r="AL152" s="3"/>
      <c r="AM152" s="3"/>
      <c r="AN152" s="3"/>
      <c r="AO152" s="3"/>
      <c r="AP152" s="9"/>
      <c r="AQ152" s="6"/>
    </row>
    <row r="153" spans="1:43" ht="15" customHeight="1" x14ac:dyDescent="0.3">
      <c r="A153" s="22"/>
      <c r="I153" s="21"/>
      <c r="J153" s="20"/>
      <c r="K153" s="3"/>
      <c r="L153" s="20"/>
      <c r="N153" s="12"/>
      <c r="O153" s="11"/>
      <c r="S153" s="10"/>
      <c r="U153" s="3"/>
      <c r="V153" s="3"/>
      <c r="X153" s="9"/>
      <c r="Z153" s="3"/>
      <c r="AA153" s="8"/>
      <c r="AB153" s="7"/>
      <c r="AC153" s="7"/>
      <c r="AD153" s="6"/>
      <c r="AE153" s="6"/>
      <c r="AF153" s="5"/>
      <c r="AG153" s="7"/>
      <c r="AH153" s="3"/>
      <c r="AI153" s="7"/>
      <c r="AJ153" s="7"/>
      <c r="AL153" s="3"/>
      <c r="AM153" s="3"/>
      <c r="AN153" s="3"/>
      <c r="AO153" s="3"/>
      <c r="AP153" s="9"/>
      <c r="AQ153" s="6"/>
    </row>
    <row r="154" spans="1:43" ht="15" customHeight="1" x14ac:dyDescent="0.3">
      <c r="A154" s="22"/>
      <c r="I154" s="21"/>
      <c r="J154" s="20"/>
      <c r="K154" s="3"/>
      <c r="L154" s="20"/>
      <c r="N154" s="12"/>
      <c r="O154" s="11"/>
      <c r="S154" s="10"/>
      <c r="U154" s="3"/>
      <c r="V154" s="3"/>
      <c r="X154" s="9"/>
      <c r="Z154" s="3"/>
      <c r="AA154" s="8"/>
      <c r="AB154" s="7"/>
      <c r="AC154" s="7"/>
      <c r="AD154" s="6"/>
      <c r="AE154" s="6"/>
      <c r="AF154" s="5"/>
      <c r="AG154" s="7"/>
      <c r="AH154" s="3"/>
      <c r="AI154" s="7"/>
      <c r="AJ154" s="7"/>
      <c r="AL154" s="3"/>
      <c r="AM154" s="3"/>
      <c r="AN154" s="3"/>
      <c r="AO154" s="3"/>
      <c r="AP154" s="9"/>
      <c r="AQ154" s="6"/>
    </row>
    <row r="155" spans="1:43" ht="15" customHeight="1" x14ac:dyDescent="0.3">
      <c r="A155" s="22"/>
      <c r="I155" s="21"/>
      <c r="J155" s="20"/>
      <c r="K155" s="3"/>
      <c r="L155" s="20"/>
      <c r="N155" s="12"/>
      <c r="O155" s="11"/>
      <c r="S155" s="10"/>
      <c r="U155" s="3"/>
      <c r="V155" s="3"/>
      <c r="X155" s="9"/>
      <c r="Z155" s="3"/>
      <c r="AA155" s="8"/>
      <c r="AB155" s="7"/>
      <c r="AC155" s="7"/>
      <c r="AD155" s="6"/>
      <c r="AE155" s="6"/>
      <c r="AF155" s="5"/>
      <c r="AG155" s="7"/>
      <c r="AH155" s="3"/>
      <c r="AI155" s="7"/>
      <c r="AJ155" s="7"/>
      <c r="AL155" s="3"/>
      <c r="AM155" s="3"/>
      <c r="AN155" s="3"/>
      <c r="AO155" s="3"/>
      <c r="AP155" s="9"/>
      <c r="AQ155" s="6"/>
    </row>
    <row r="156" spans="1:43" ht="15" customHeight="1" x14ac:dyDescent="0.3">
      <c r="A156" s="22"/>
      <c r="I156" s="21"/>
      <c r="J156" s="20"/>
      <c r="K156" s="3"/>
      <c r="L156" s="20"/>
      <c r="N156" s="12"/>
      <c r="O156" s="11"/>
      <c r="S156" s="10"/>
      <c r="U156" s="3"/>
      <c r="V156" s="3"/>
      <c r="X156" s="9"/>
      <c r="Z156" s="3"/>
      <c r="AA156" s="8"/>
      <c r="AB156" s="7"/>
      <c r="AC156" s="7"/>
      <c r="AD156" s="6"/>
      <c r="AE156" s="6"/>
      <c r="AF156" s="5"/>
      <c r="AG156" s="7"/>
      <c r="AH156" s="3"/>
      <c r="AI156" s="7"/>
      <c r="AJ156" s="7"/>
      <c r="AL156" s="3"/>
      <c r="AM156" s="3"/>
      <c r="AN156" s="3"/>
      <c r="AO156" s="3"/>
      <c r="AP156" s="9"/>
      <c r="AQ156" s="6"/>
    </row>
    <row r="157" spans="1:43" ht="15" customHeight="1" x14ac:dyDescent="0.3">
      <c r="A157" s="22"/>
      <c r="I157" s="21"/>
      <c r="J157" s="20"/>
      <c r="K157" s="3"/>
      <c r="L157" s="20"/>
      <c r="N157" s="12"/>
      <c r="O157" s="11"/>
      <c r="S157" s="10"/>
      <c r="U157" s="3"/>
      <c r="V157" s="3"/>
      <c r="X157" s="9"/>
      <c r="Z157" s="3"/>
      <c r="AA157" s="8"/>
      <c r="AB157" s="7"/>
      <c r="AC157" s="7"/>
      <c r="AD157" s="6"/>
      <c r="AE157" s="6"/>
      <c r="AF157" s="5"/>
      <c r="AG157" s="7"/>
      <c r="AH157" s="3"/>
      <c r="AI157" s="7"/>
      <c r="AJ157" s="7"/>
      <c r="AL157" s="3"/>
      <c r="AM157" s="3"/>
      <c r="AN157" s="3"/>
      <c r="AO157" s="3"/>
      <c r="AP157" s="9"/>
      <c r="AQ157" s="6"/>
    </row>
    <row r="158" spans="1:43" ht="15" customHeight="1" x14ac:dyDescent="0.3">
      <c r="A158" s="22"/>
      <c r="I158" s="21"/>
      <c r="J158" s="20"/>
      <c r="K158" s="3"/>
      <c r="L158" s="20"/>
      <c r="N158" s="12"/>
      <c r="O158" s="11"/>
      <c r="S158" s="10"/>
      <c r="U158" s="3"/>
      <c r="V158" s="3"/>
      <c r="X158" s="9"/>
      <c r="Z158" s="3"/>
      <c r="AA158" s="8"/>
      <c r="AB158" s="7"/>
      <c r="AC158" s="7"/>
      <c r="AD158" s="6"/>
      <c r="AE158" s="6"/>
      <c r="AF158" s="5"/>
      <c r="AG158" s="7"/>
      <c r="AH158" s="3"/>
      <c r="AI158" s="7"/>
      <c r="AJ158" s="7"/>
      <c r="AL158" s="3"/>
      <c r="AM158" s="3"/>
      <c r="AN158" s="3"/>
      <c r="AO158" s="3"/>
      <c r="AP158" s="9"/>
      <c r="AQ158" s="6"/>
    </row>
    <row r="159" spans="1:43" ht="15" customHeight="1" x14ac:dyDescent="0.3">
      <c r="A159" s="22"/>
      <c r="I159" s="21"/>
      <c r="J159" s="20"/>
      <c r="K159" s="3"/>
      <c r="L159" s="20"/>
      <c r="N159" s="12"/>
      <c r="O159" s="11"/>
      <c r="S159" s="10"/>
      <c r="U159" s="3"/>
      <c r="V159" s="3"/>
      <c r="X159" s="9"/>
      <c r="Z159" s="3"/>
      <c r="AA159" s="8"/>
      <c r="AB159" s="7"/>
      <c r="AC159" s="7"/>
      <c r="AD159" s="6"/>
      <c r="AE159" s="6"/>
      <c r="AF159" s="5"/>
      <c r="AG159" s="7"/>
      <c r="AH159" s="3"/>
      <c r="AI159" s="7"/>
      <c r="AJ159" s="7"/>
      <c r="AL159" s="3"/>
      <c r="AM159" s="3"/>
      <c r="AN159" s="3"/>
      <c r="AO159" s="3"/>
      <c r="AP159" s="9"/>
      <c r="AQ159" s="6"/>
    </row>
    <row r="160" spans="1:43" ht="15" customHeight="1" x14ac:dyDescent="0.3">
      <c r="A160" s="22"/>
      <c r="I160" s="21"/>
      <c r="J160" s="20"/>
      <c r="K160" s="3"/>
      <c r="L160" s="20"/>
      <c r="N160" s="12"/>
      <c r="O160" s="11"/>
      <c r="S160" s="10"/>
      <c r="U160" s="3"/>
      <c r="V160" s="3"/>
      <c r="X160" s="9"/>
      <c r="Z160" s="3"/>
      <c r="AA160" s="8"/>
      <c r="AB160" s="7"/>
      <c r="AC160" s="7"/>
      <c r="AD160" s="6"/>
      <c r="AE160" s="6"/>
      <c r="AF160" s="5"/>
      <c r="AG160" s="7"/>
      <c r="AH160" s="3"/>
      <c r="AI160" s="7"/>
      <c r="AJ160" s="7"/>
      <c r="AL160" s="3"/>
      <c r="AM160" s="3"/>
      <c r="AN160" s="3"/>
      <c r="AO160" s="3"/>
      <c r="AP160" s="9"/>
      <c r="AQ160" s="6"/>
    </row>
    <row r="161" spans="1:43" ht="15" customHeight="1" x14ac:dyDescent="0.3">
      <c r="A161" s="22"/>
      <c r="I161" s="21"/>
      <c r="J161" s="20"/>
      <c r="K161" s="3"/>
      <c r="L161" s="20"/>
      <c r="N161" s="12"/>
      <c r="O161" s="11"/>
      <c r="S161" s="10"/>
      <c r="U161" s="3"/>
      <c r="V161" s="3"/>
      <c r="X161" s="9"/>
      <c r="Z161" s="3"/>
      <c r="AA161" s="8"/>
      <c r="AB161" s="7"/>
      <c r="AC161" s="7"/>
      <c r="AD161" s="6"/>
      <c r="AE161" s="6"/>
      <c r="AF161" s="5"/>
      <c r="AG161" s="7"/>
      <c r="AH161" s="3"/>
      <c r="AI161" s="7"/>
      <c r="AJ161" s="7"/>
      <c r="AL161" s="3"/>
      <c r="AM161" s="3"/>
      <c r="AN161" s="3"/>
      <c r="AO161" s="3"/>
      <c r="AP161" s="9"/>
      <c r="AQ161" s="6"/>
    </row>
    <row r="162" spans="1:43" ht="15" customHeight="1" x14ac:dyDescent="0.3">
      <c r="A162" s="22"/>
      <c r="I162" s="21"/>
      <c r="J162" s="20"/>
      <c r="K162" s="3"/>
      <c r="L162" s="20"/>
      <c r="N162" s="12"/>
      <c r="O162" s="11"/>
      <c r="S162" s="10"/>
      <c r="U162" s="3"/>
      <c r="V162" s="3"/>
      <c r="X162" s="9"/>
      <c r="Z162" s="3"/>
      <c r="AA162" s="8"/>
      <c r="AB162" s="7"/>
      <c r="AC162" s="7"/>
      <c r="AD162" s="6"/>
      <c r="AE162" s="6"/>
      <c r="AF162" s="5"/>
      <c r="AG162" s="7"/>
      <c r="AH162" s="3"/>
      <c r="AI162" s="7"/>
      <c r="AJ162" s="7"/>
      <c r="AL162" s="3"/>
      <c r="AM162" s="3"/>
      <c r="AN162" s="3"/>
      <c r="AO162" s="3"/>
      <c r="AP162" s="9"/>
      <c r="AQ162" s="6"/>
    </row>
    <row r="163" spans="1:43" ht="15" customHeight="1" x14ac:dyDescent="0.3">
      <c r="A163" s="22"/>
      <c r="I163" s="21"/>
      <c r="J163" s="20"/>
      <c r="K163" s="3"/>
      <c r="L163" s="20"/>
      <c r="N163" s="12"/>
      <c r="O163" s="11"/>
      <c r="S163" s="10"/>
      <c r="U163" s="3"/>
      <c r="V163" s="3"/>
      <c r="X163" s="9"/>
      <c r="Z163" s="3"/>
      <c r="AA163" s="8"/>
      <c r="AB163" s="7"/>
      <c r="AC163" s="7"/>
      <c r="AD163" s="6"/>
      <c r="AE163" s="6"/>
      <c r="AF163" s="5"/>
      <c r="AG163" s="7"/>
      <c r="AH163" s="3"/>
      <c r="AI163" s="7"/>
      <c r="AJ163" s="7"/>
      <c r="AL163" s="3"/>
      <c r="AM163" s="3"/>
      <c r="AN163" s="3"/>
      <c r="AO163" s="3"/>
      <c r="AP163" s="9"/>
      <c r="AQ163" s="6"/>
    </row>
    <row r="164" spans="1:43" ht="15" customHeight="1" x14ac:dyDescent="0.3">
      <c r="A164" s="22"/>
      <c r="I164" s="21"/>
      <c r="J164" s="20"/>
      <c r="K164" s="3"/>
      <c r="L164" s="20"/>
      <c r="N164" s="12"/>
      <c r="O164" s="11"/>
      <c r="S164" s="10"/>
      <c r="U164" s="3"/>
      <c r="V164" s="3"/>
      <c r="X164" s="9"/>
      <c r="Z164" s="3"/>
      <c r="AA164" s="8"/>
      <c r="AB164" s="7"/>
      <c r="AC164" s="7"/>
      <c r="AD164" s="6"/>
      <c r="AE164" s="6"/>
      <c r="AF164" s="5"/>
      <c r="AG164" s="7"/>
      <c r="AH164" s="3"/>
      <c r="AI164" s="7"/>
      <c r="AJ164" s="7"/>
      <c r="AL164" s="3"/>
      <c r="AM164" s="3"/>
      <c r="AN164" s="3"/>
      <c r="AO164" s="3"/>
      <c r="AP164" s="9"/>
      <c r="AQ164" s="6"/>
    </row>
    <row r="165" spans="1:43" ht="15" customHeight="1" x14ac:dyDescent="0.3">
      <c r="A165" s="22"/>
      <c r="I165" s="21"/>
      <c r="J165" s="20"/>
      <c r="K165" s="3"/>
      <c r="L165" s="20"/>
      <c r="N165" s="12"/>
      <c r="O165" s="11"/>
      <c r="S165" s="10"/>
      <c r="U165" s="3"/>
      <c r="V165" s="3"/>
      <c r="X165" s="9"/>
      <c r="Z165" s="3"/>
      <c r="AA165" s="8"/>
      <c r="AB165" s="7"/>
      <c r="AC165" s="7"/>
      <c r="AD165" s="6"/>
      <c r="AE165" s="6"/>
      <c r="AF165" s="5"/>
      <c r="AG165" s="7"/>
      <c r="AH165" s="3"/>
      <c r="AI165" s="7"/>
      <c r="AJ165" s="7"/>
      <c r="AL165" s="3"/>
      <c r="AM165" s="3"/>
      <c r="AN165" s="3"/>
      <c r="AO165" s="3"/>
      <c r="AP165" s="9"/>
      <c r="AQ165" s="6"/>
    </row>
    <row r="166" spans="1:43" ht="15" customHeight="1" x14ac:dyDescent="0.3">
      <c r="A166" s="22"/>
      <c r="I166" s="21"/>
      <c r="J166" s="20"/>
      <c r="K166" s="3"/>
      <c r="L166" s="20"/>
      <c r="N166" s="12"/>
      <c r="O166" s="11"/>
      <c r="S166" s="10"/>
      <c r="U166" s="3"/>
      <c r="V166" s="3"/>
      <c r="X166" s="9"/>
      <c r="Z166" s="3"/>
      <c r="AA166" s="8"/>
      <c r="AB166" s="7"/>
      <c r="AC166" s="7"/>
      <c r="AD166" s="6"/>
      <c r="AE166" s="6"/>
      <c r="AF166" s="5"/>
      <c r="AG166" s="7"/>
      <c r="AH166" s="3"/>
      <c r="AI166" s="7"/>
      <c r="AJ166" s="7"/>
      <c r="AL166" s="3"/>
      <c r="AM166" s="3"/>
      <c r="AN166" s="3"/>
      <c r="AO166" s="3"/>
      <c r="AP166" s="9"/>
      <c r="AQ166" s="6"/>
    </row>
    <row r="167" spans="1:43" ht="15" customHeight="1" x14ac:dyDescent="0.3">
      <c r="A167" s="22"/>
      <c r="I167" s="21"/>
      <c r="J167" s="20"/>
      <c r="K167" s="3"/>
      <c r="L167" s="20"/>
      <c r="N167" s="12"/>
      <c r="O167" s="11"/>
      <c r="S167" s="10"/>
      <c r="U167" s="3"/>
      <c r="V167" s="3"/>
      <c r="X167" s="9"/>
      <c r="Z167" s="3"/>
      <c r="AA167" s="8"/>
      <c r="AB167" s="7"/>
      <c r="AC167" s="7"/>
      <c r="AD167" s="6"/>
      <c r="AE167" s="6"/>
      <c r="AF167" s="5"/>
      <c r="AG167" s="7"/>
      <c r="AH167" s="3"/>
      <c r="AI167" s="7"/>
      <c r="AJ167" s="7"/>
      <c r="AL167" s="3"/>
      <c r="AM167" s="3"/>
      <c r="AN167" s="3"/>
      <c r="AO167" s="3"/>
      <c r="AP167" s="9"/>
      <c r="AQ167" s="6"/>
    </row>
    <row r="168" spans="1:43" ht="15" customHeight="1" x14ac:dyDescent="0.3">
      <c r="A168" s="22"/>
      <c r="I168" s="21"/>
      <c r="J168" s="20"/>
      <c r="K168" s="3"/>
      <c r="L168" s="20"/>
      <c r="N168" s="12"/>
      <c r="O168" s="11"/>
      <c r="S168" s="10"/>
      <c r="U168" s="3"/>
      <c r="V168" s="3"/>
      <c r="X168" s="9"/>
      <c r="Z168" s="3"/>
      <c r="AA168" s="8"/>
      <c r="AB168" s="7"/>
      <c r="AC168" s="7"/>
      <c r="AD168" s="6"/>
      <c r="AE168" s="6"/>
      <c r="AF168" s="5"/>
      <c r="AG168" s="7"/>
      <c r="AH168" s="3"/>
      <c r="AI168" s="7"/>
      <c r="AJ168" s="7"/>
      <c r="AL168" s="3"/>
      <c r="AM168" s="3"/>
      <c r="AN168" s="3"/>
      <c r="AO168" s="3"/>
      <c r="AP168" s="9"/>
      <c r="AQ168" s="6"/>
    </row>
    <row r="169" spans="1:43" ht="15" customHeight="1" x14ac:dyDescent="0.3">
      <c r="A169" s="22"/>
      <c r="I169" s="21"/>
      <c r="J169" s="20"/>
      <c r="K169" s="3"/>
      <c r="L169" s="20"/>
      <c r="N169" s="12"/>
      <c r="O169" s="11"/>
      <c r="S169" s="10"/>
      <c r="U169" s="3"/>
      <c r="V169" s="3"/>
      <c r="X169" s="9"/>
      <c r="Z169" s="3"/>
      <c r="AA169" s="8"/>
      <c r="AB169" s="7"/>
      <c r="AC169" s="7"/>
      <c r="AD169" s="6"/>
      <c r="AE169" s="6"/>
      <c r="AF169" s="5"/>
      <c r="AG169" s="7"/>
      <c r="AH169" s="3"/>
      <c r="AI169" s="7"/>
      <c r="AJ169" s="7"/>
      <c r="AL169" s="3"/>
      <c r="AM169" s="3"/>
      <c r="AN169" s="3"/>
      <c r="AO169" s="3"/>
      <c r="AP169" s="9"/>
      <c r="AQ169" s="6"/>
    </row>
    <row r="170" spans="1:43" ht="15" customHeight="1" x14ac:dyDescent="0.3">
      <c r="A170" s="22"/>
      <c r="I170" s="21"/>
      <c r="J170" s="20"/>
      <c r="K170" s="3"/>
      <c r="L170" s="20"/>
      <c r="N170" s="12"/>
      <c r="O170" s="11"/>
      <c r="S170" s="10"/>
      <c r="U170" s="3"/>
      <c r="V170" s="3"/>
      <c r="X170" s="9"/>
      <c r="Z170" s="3"/>
      <c r="AA170" s="8"/>
      <c r="AB170" s="7"/>
      <c r="AC170" s="7"/>
      <c r="AD170" s="6"/>
      <c r="AE170" s="6"/>
      <c r="AF170" s="5"/>
      <c r="AG170" s="7"/>
      <c r="AH170" s="3"/>
      <c r="AI170" s="7"/>
      <c r="AJ170" s="7"/>
      <c r="AL170" s="3"/>
      <c r="AM170" s="3"/>
      <c r="AN170" s="3"/>
      <c r="AO170" s="3"/>
      <c r="AP170" s="9"/>
      <c r="AQ170" s="6"/>
    </row>
    <row r="171" spans="1:43" ht="15" customHeight="1" x14ac:dyDescent="0.3">
      <c r="A171" s="22"/>
      <c r="I171" s="21"/>
      <c r="J171" s="20"/>
      <c r="K171" s="3"/>
      <c r="L171" s="20"/>
      <c r="N171" s="12"/>
      <c r="O171" s="11"/>
      <c r="S171" s="10"/>
      <c r="U171" s="3"/>
      <c r="V171" s="3"/>
      <c r="X171" s="9"/>
      <c r="Z171" s="3"/>
      <c r="AA171" s="8"/>
      <c r="AB171" s="7"/>
      <c r="AC171" s="7"/>
      <c r="AD171" s="6"/>
      <c r="AE171" s="6"/>
      <c r="AF171" s="5"/>
      <c r="AG171" s="7"/>
      <c r="AH171" s="3"/>
      <c r="AI171" s="7"/>
      <c r="AJ171" s="7"/>
      <c r="AL171" s="3"/>
      <c r="AM171" s="3"/>
      <c r="AN171" s="3"/>
      <c r="AO171" s="3"/>
      <c r="AP171" s="9"/>
      <c r="AQ171" s="6"/>
    </row>
    <row r="172" spans="1:43" ht="15" customHeight="1" x14ac:dyDescent="0.3">
      <c r="A172" s="22"/>
      <c r="I172" s="21"/>
      <c r="J172" s="20"/>
      <c r="K172" s="3"/>
      <c r="L172" s="20"/>
      <c r="N172" s="12"/>
      <c r="O172" s="11"/>
      <c r="S172" s="10"/>
      <c r="U172" s="3"/>
      <c r="V172" s="3"/>
      <c r="X172" s="9"/>
      <c r="Z172" s="3"/>
      <c r="AA172" s="8"/>
      <c r="AB172" s="7"/>
      <c r="AC172" s="7"/>
      <c r="AD172" s="6"/>
      <c r="AE172" s="6"/>
      <c r="AF172" s="5"/>
      <c r="AG172" s="7"/>
      <c r="AH172" s="3"/>
      <c r="AI172" s="7"/>
      <c r="AJ172" s="7"/>
      <c r="AL172" s="3"/>
      <c r="AM172" s="3"/>
      <c r="AN172" s="3"/>
      <c r="AO172" s="3"/>
      <c r="AP172" s="9"/>
      <c r="AQ172" s="6"/>
    </row>
    <row r="173" spans="1:43" ht="15" customHeight="1" x14ac:dyDescent="0.3">
      <c r="A173" s="22"/>
      <c r="I173" s="21"/>
      <c r="J173" s="20"/>
      <c r="K173" s="3"/>
      <c r="L173" s="20"/>
      <c r="N173" s="12"/>
      <c r="O173" s="11"/>
      <c r="S173" s="10"/>
      <c r="U173" s="3"/>
      <c r="V173" s="3"/>
      <c r="X173" s="9"/>
      <c r="Z173" s="3"/>
      <c r="AA173" s="8"/>
      <c r="AB173" s="7"/>
      <c r="AC173" s="7"/>
      <c r="AD173" s="6"/>
      <c r="AE173" s="6"/>
      <c r="AF173" s="5"/>
      <c r="AG173" s="7"/>
      <c r="AH173" s="3"/>
      <c r="AI173" s="7"/>
      <c r="AJ173" s="7"/>
      <c r="AL173" s="3"/>
      <c r="AM173" s="3"/>
      <c r="AN173" s="3"/>
      <c r="AO173" s="3"/>
      <c r="AP173" s="9"/>
      <c r="AQ173" s="6"/>
    </row>
    <row r="174" spans="1:43" ht="15" customHeight="1" x14ac:dyDescent="0.3">
      <c r="A174" s="22"/>
      <c r="I174" s="21"/>
      <c r="J174" s="20"/>
      <c r="K174" s="3"/>
      <c r="L174" s="20"/>
      <c r="N174" s="12"/>
      <c r="O174" s="11"/>
      <c r="S174" s="10"/>
      <c r="U174" s="3"/>
      <c r="V174" s="3"/>
      <c r="X174" s="9"/>
      <c r="Z174" s="3"/>
      <c r="AA174" s="8"/>
      <c r="AB174" s="7"/>
      <c r="AC174" s="7"/>
      <c r="AD174" s="6"/>
      <c r="AE174" s="6"/>
      <c r="AF174" s="5"/>
      <c r="AG174" s="7"/>
      <c r="AH174" s="3"/>
      <c r="AI174" s="7"/>
      <c r="AJ174" s="7"/>
      <c r="AL174" s="3"/>
      <c r="AM174" s="3"/>
      <c r="AN174" s="3"/>
      <c r="AO174" s="3"/>
      <c r="AP174" s="9"/>
      <c r="AQ174" s="6"/>
    </row>
    <row r="175" spans="1:43" ht="15" customHeight="1" x14ac:dyDescent="0.3">
      <c r="A175" s="22"/>
      <c r="I175" s="21"/>
      <c r="J175" s="20"/>
      <c r="K175" s="3"/>
      <c r="L175" s="20"/>
      <c r="N175" s="12"/>
      <c r="O175" s="11"/>
      <c r="S175" s="10"/>
      <c r="U175" s="3"/>
      <c r="V175" s="3"/>
      <c r="X175" s="9"/>
      <c r="Z175" s="3"/>
      <c r="AA175" s="8"/>
      <c r="AB175" s="7"/>
      <c r="AC175" s="7"/>
      <c r="AD175" s="6"/>
      <c r="AE175" s="6"/>
      <c r="AF175" s="5"/>
      <c r="AG175" s="7"/>
      <c r="AH175" s="3"/>
      <c r="AI175" s="7"/>
      <c r="AJ175" s="7"/>
      <c r="AL175" s="3"/>
      <c r="AM175" s="3"/>
      <c r="AN175" s="3"/>
      <c r="AO175" s="3"/>
      <c r="AP175" s="9"/>
      <c r="AQ175" s="6"/>
    </row>
    <row r="176" spans="1:43" ht="15" customHeight="1" x14ac:dyDescent="0.3">
      <c r="A176" s="22"/>
      <c r="I176" s="21"/>
      <c r="J176" s="20"/>
      <c r="K176" s="3"/>
      <c r="L176" s="20"/>
      <c r="N176" s="12"/>
      <c r="O176" s="11"/>
      <c r="S176" s="10"/>
      <c r="U176" s="3"/>
      <c r="V176" s="3"/>
      <c r="X176" s="9"/>
      <c r="Z176" s="3"/>
      <c r="AA176" s="8"/>
      <c r="AB176" s="7"/>
      <c r="AC176" s="7"/>
      <c r="AD176" s="6"/>
      <c r="AE176" s="6"/>
      <c r="AF176" s="5"/>
      <c r="AG176" s="7"/>
      <c r="AH176" s="3"/>
      <c r="AI176" s="7"/>
      <c r="AJ176" s="7"/>
      <c r="AL176" s="3"/>
      <c r="AM176" s="3"/>
      <c r="AN176" s="3"/>
      <c r="AO176" s="3"/>
      <c r="AP176" s="9"/>
      <c r="AQ176" s="6"/>
    </row>
    <row r="177" spans="1:43" ht="15" customHeight="1" x14ac:dyDescent="0.3">
      <c r="A177" s="22"/>
      <c r="I177" s="21"/>
      <c r="J177" s="20"/>
      <c r="K177" s="3"/>
      <c r="L177" s="20"/>
      <c r="N177" s="12"/>
      <c r="O177" s="11"/>
      <c r="S177" s="10"/>
      <c r="U177" s="3"/>
      <c r="V177" s="3"/>
      <c r="X177" s="9"/>
      <c r="Z177" s="3"/>
      <c r="AA177" s="8"/>
      <c r="AB177" s="7"/>
      <c r="AC177" s="7"/>
      <c r="AD177" s="6"/>
      <c r="AE177" s="6"/>
      <c r="AF177" s="5"/>
      <c r="AG177" s="7"/>
      <c r="AH177" s="3"/>
      <c r="AI177" s="7"/>
      <c r="AJ177" s="7"/>
      <c r="AL177" s="3"/>
      <c r="AM177" s="3"/>
      <c r="AN177" s="3"/>
      <c r="AO177" s="3"/>
      <c r="AP177" s="9"/>
      <c r="AQ177" s="6"/>
    </row>
    <row r="178" spans="1:43" ht="15" customHeight="1" x14ac:dyDescent="0.3">
      <c r="A178" s="22"/>
      <c r="I178" s="21"/>
      <c r="J178" s="20"/>
      <c r="K178" s="3"/>
      <c r="L178" s="20"/>
      <c r="N178" s="12"/>
      <c r="O178" s="11"/>
      <c r="S178" s="10"/>
      <c r="U178" s="3"/>
      <c r="V178" s="3"/>
      <c r="X178" s="9"/>
      <c r="Z178" s="3"/>
      <c r="AA178" s="8"/>
      <c r="AB178" s="7"/>
      <c r="AC178" s="7"/>
      <c r="AD178" s="6"/>
      <c r="AE178" s="6"/>
      <c r="AF178" s="5"/>
      <c r="AG178" s="7"/>
      <c r="AH178" s="3"/>
      <c r="AI178" s="7"/>
      <c r="AJ178" s="7"/>
      <c r="AL178" s="3"/>
      <c r="AM178" s="3"/>
      <c r="AN178" s="3"/>
      <c r="AO178" s="3"/>
      <c r="AP178" s="9"/>
      <c r="AQ178" s="6"/>
    </row>
    <row r="179" spans="1:43" ht="15" customHeight="1" x14ac:dyDescent="0.3">
      <c r="A179" s="22"/>
      <c r="I179" s="21"/>
      <c r="J179" s="20"/>
      <c r="K179" s="3"/>
      <c r="L179" s="20"/>
      <c r="N179" s="12"/>
      <c r="O179" s="11"/>
      <c r="S179" s="10"/>
      <c r="U179" s="3"/>
      <c r="V179" s="3"/>
      <c r="X179" s="9"/>
      <c r="Z179" s="3"/>
      <c r="AA179" s="8"/>
      <c r="AB179" s="7"/>
      <c r="AC179" s="7"/>
      <c r="AD179" s="6"/>
      <c r="AE179" s="6"/>
      <c r="AF179" s="5"/>
      <c r="AG179" s="7"/>
      <c r="AH179" s="3"/>
      <c r="AI179" s="7"/>
      <c r="AJ179" s="7"/>
      <c r="AL179" s="3"/>
      <c r="AM179" s="3"/>
      <c r="AN179" s="3"/>
      <c r="AO179" s="3"/>
      <c r="AP179" s="9"/>
      <c r="AQ179" s="6"/>
    </row>
    <row r="180" spans="1:43" ht="15" customHeight="1" x14ac:dyDescent="0.3">
      <c r="A180" s="22"/>
      <c r="I180" s="21"/>
      <c r="J180" s="20"/>
      <c r="K180" s="3"/>
      <c r="L180" s="20"/>
      <c r="N180" s="12"/>
      <c r="O180" s="11"/>
      <c r="S180" s="10"/>
      <c r="U180" s="3"/>
      <c r="V180" s="3"/>
      <c r="X180" s="9"/>
      <c r="Z180" s="3"/>
      <c r="AA180" s="8"/>
      <c r="AB180" s="7"/>
      <c r="AC180" s="7"/>
      <c r="AD180" s="6"/>
      <c r="AE180" s="6"/>
      <c r="AF180" s="5"/>
      <c r="AG180" s="7"/>
      <c r="AH180" s="3"/>
      <c r="AI180" s="7"/>
      <c r="AJ180" s="7"/>
      <c r="AL180" s="3"/>
      <c r="AM180" s="3"/>
      <c r="AN180" s="3"/>
      <c r="AO180" s="3"/>
      <c r="AP180" s="9"/>
      <c r="AQ180" s="6"/>
    </row>
    <row r="181" spans="1:43" ht="15" customHeight="1" x14ac:dyDescent="0.3">
      <c r="A181" s="22"/>
      <c r="I181" s="21"/>
      <c r="J181" s="20"/>
      <c r="K181" s="3"/>
      <c r="L181" s="20"/>
      <c r="N181" s="12"/>
      <c r="O181" s="11"/>
      <c r="S181" s="10"/>
      <c r="U181" s="3"/>
      <c r="V181" s="3"/>
      <c r="X181" s="9"/>
      <c r="Z181" s="3"/>
      <c r="AA181" s="8"/>
      <c r="AB181" s="7"/>
      <c r="AC181" s="7"/>
      <c r="AD181" s="6"/>
      <c r="AE181" s="6"/>
      <c r="AF181" s="5"/>
      <c r="AG181" s="7"/>
      <c r="AH181" s="3"/>
      <c r="AI181" s="7"/>
      <c r="AJ181" s="7"/>
      <c r="AL181" s="3"/>
      <c r="AM181" s="3"/>
      <c r="AN181" s="3"/>
      <c r="AO181" s="3"/>
      <c r="AP181" s="9"/>
      <c r="AQ181" s="6"/>
    </row>
    <row r="182" spans="1:43" ht="15" customHeight="1" x14ac:dyDescent="0.3">
      <c r="A182" s="22"/>
      <c r="I182" s="21"/>
      <c r="J182" s="20"/>
      <c r="K182" s="3"/>
      <c r="L182" s="20"/>
      <c r="N182" s="12"/>
      <c r="O182" s="11"/>
      <c r="S182" s="10"/>
      <c r="U182" s="3"/>
      <c r="V182" s="3"/>
      <c r="X182" s="9"/>
      <c r="Z182" s="3"/>
      <c r="AA182" s="8"/>
      <c r="AB182" s="7"/>
      <c r="AC182" s="7"/>
      <c r="AD182" s="6"/>
      <c r="AE182" s="6"/>
      <c r="AF182" s="5"/>
      <c r="AG182" s="7"/>
      <c r="AH182" s="3"/>
      <c r="AI182" s="7"/>
      <c r="AJ182" s="7"/>
      <c r="AL182" s="3"/>
      <c r="AM182" s="3"/>
      <c r="AN182" s="3"/>
      <c r="AO182" s="3"/>
      <c r="AP182" s="9"/>
      <c r="AQ182" s="6"/>
    </row>
    <row r="183" spans="1:43" ht="15" customHeight="1" x14ac:dyDescent="0.3">
      <c r="A183" s="22"/>
      <c r="I183" s="21"/>
      <c r="J183" s="20"/>
      <c r="K183" s="3"/>
      <c r="L183" s="20"/>
      <c r="N183" s="12"/>
      <c r="O183" s="11"/>
      <c r="S183" s="10"/>
      <c r="U183" s="3"/>
      <c r="V183" s="3"/>
      <c r="X183" s="9"/>
      <c r="Z183" s="3"/>
      <c r="AA183" s="8"/>
      <c r="AB183" s="7"/>
      <c r="AC183" s="7"/>
      <c r="AD183" s="6"/>
      <c r="AE183" s="6"/>
      <c r="AF183" s="5"/>
      <c r="AG183" s="7"/>
      <c r="AH183" s="3"/>
      <c r="AI183" s="7"/>
      <c r="AJ183" s="7"/>
      <c r="AL183" s="3"/>
      <c r="AM183" s="3"/>
      <c r="AN183" s="3"/>
      <c r="AO183" s="3"/>
      <c r="AP183" s="9"/>
      <c r="AQ183" s="6"/>
    </row>
    <row r="184" spans="1:43" ht="15" customHeight="1" x14ac:dyDescent="0.3">
      <c r="A184" s="22"/>
      <c r="I184" s="21"/>
      <c r="J184" s="20"/>
      <c r="K184" s="3"/>
      <c r="L184" s="20"/>
      <c r="N184" s="12"/>
      <c r="O184" s="11"/>
      <c r="S184" s="10"/>
      <c r="U184" s="3"/>
      <c r="V184" s="3"/>
      <c r="X184" s="9"/>
      <c r="Z184" s="3"/>
      <c r="AA184" s="8"/>
      <c r="AB184" s="7"/>
      <c r="AC184" s="7"/>
      <c r="AD184" s="6"/>
      <c r="AE184" s="6"/>
      <c r="AF184" s="5"/>
      <c r="AG184" s="7"/>
      <c r="AH184" s="3"/>
      <c r="AI184" s="7"/>
      <c r="AJ184" s="7"/>
      <c r="AL184" s="3"/>
      <c r="AM184" s="3"/>
      <c r="AN184" s="3"/>
      <c r="AO184" s="3"/>
      <c r="AP184" s="9"/>
      <c r="AQ184" s="6"/>
    </row>
    <row r="185" spans="1:43" ht="15" customHeight="1" x14ac:dyDescent="0.3">
      <c r="A185" s="22"/>
      <c r="I185" s="21"/>
      <c r="J185" s="20"/>
      <c r="K185" s="3"/>
      <c r="L185" s="20"/>
      <c r="N185" s="12"/>
      <c r="O185" s="11"/>
      <c r="S185" s="10"/>
      <c r="U185" s="3"/>
      <c r="V185" s="3"/>
      <c r="X185" s="9"/>
      <c r="Z185" s="3"/>
      <c r="AA185" s="8"/>
      <c r="AB185" s="7"/>
      <c r="AC185" s="7"/>
      <c r="AD185" s="6"/>
      <c r="AE185" s="6"/>
      <c r="AF185" s="5"/>
      <c r="AG185" s="7"/>
      <c r="AH185" s="3"/>
      <c r="AI185" s="7"/>
      <c r="AJ185" s="7"/>
      <c r="AL185" s="3"/>
      <c r="AM185" s="3"/>
      <c r="AN185" s="3"/>
      <c r="AO185" s="3"/>
      <c r="AP185" s="9"/>
      <c r="AQ185" s="6"/>
    </row>
    <row r="186" spans="1:43" ht="15" customHeight="1" x14ac:dyDescent="0.3">
      <c r="A186" s="22"/>
      <c r="I186" s="21"/>
      <c r="J186" s="20"/>
      <c r="K186" s="3"/>
      <c r="L186" s="20"/>
      <c r="N186" s="12"/>
      <c r="O186" s="11"/>
      <c r="S186" s="10"/>
      <c r="U186" s="3"/>
      <c r="V186" s="3"/>
      <c r="X186" s="9"/>
      <c r="Z186" s="3"/>
      <c r="AA186" s="8"/>
      <c r="AB186" s="7"/>
      <c r="AC186" s="7"/>
      <c r="AD186" s="6"/>
      <c r="AE186" s="6"/>
      <c r="AF186" s="5"/>
      <c r="AG186" s="7"/>
      <c r="AH186" s="3"/>
      <c r="AI186" s="7"/>
      <c r="AJ186" s="7"/>
      <c r="AL186" s="3"/>
      <c r="AM186" s="3"/>
      <c r="AN186" s="3"/>
      <c r="AO186" s="3"/>
      <c r="AP186" s="9"/>
      <c r="AQ186" s="6"/>
    </row>
    <row r="187" spans="1:43" ht="15" customHeight="1" x14ac:dyDescent="0.3">
      <c r="A187" s="22"/>
      <c r="I187" s="21"/>
      <c r="J187" s="20"/>
      <c r="K187" s="3"/>
      <c r="L187" s="20"/>
      <c r="N187" s="12"/>
      <c r="O187" s="11"/>
      <c r="S187" s="10"/>
      <c r="U187" s="3"/>
      <c r="V187" s="3"/>
      <c r="X187" s="9"/>
      <c r="Z187" s="3"/>
      <c r="AA187" s="8"/>
      <c r="AB187" s="7"/>
      <c r="AC187" s="7"/>
      <c r="AD187" s="6"/>
      <c r="AE187" s="6"/>
      <c r="AF187" s="5"/>
      <c r="AG187" s="7"/>
      <c r="AH187" s="3"/>
      <c r="AI187" s="7"/>
      <c r="AJ187" s="7"/>
      <c r="AL187" s="3"/>
      <c r="AM187" s="3"/>
      <c r="AN187" s="3"/>
      <c r="AO187" s="3"/>
      <c r="AP187" s="9"/>
      <c r="AQ187" s="6"/>
    </row>
    <row r="188" spans="1:43" ht="15" customHeight="1" x14ac:dyDescent="0.3">
      <c r="A188" s="22"/>
      <c r="I188" s="21"/>
      <c r="J188" s="20"/>
      <c r="K188" s="3"/>
      <c r="L188" s="20"/>
      <c r="N188" s="12"/>
      <c r="O188" s="11"/>
      <c r="S188" s="10"/>
      <c r="U188" s="3"/>
      <c r="V188" s="3"/>
      <c r="X188" s="9"/>
      <c r="Z188" s="3"/>
      <c r="AA188" s="8"/>
      <c r="AB188" s="7"/>
      <c r="AC188" s="7"/>
      <c r="AD188" s="6"/>
      <c r="AE188" s="6"/>
      <c r="AF188" s="5"/>
      <c r="AG188" s="7"/>
      <c r="AH188" s="3"/>
      <c r="AI188" s="7"/>
      <c r="AJ188" s="7"/>
      <c r="AL188" s="3"/>
      <c r="AM188" s="3"/>
      <c r="AN188" s="3"/>
      <c r="AO188" s="3"/>
      <c r="AP188" s="9"/>
      <c r="AQ188" s="6"/>
    </row>
    <row r="189" spans="1:43" ht="15" customHeight="1" x14ac:dyDescent="0.3">
      <c r="A189" s="22"/>
      <c r="I189" s="21"/>
      <c r="J189" s="20"/>
      <c r="K189" s="3"/>
      <c r="L189" s="20"/>
      <c r="N189" s="12"/>
      <c r="O189" s="11"/>
      <c r="S189" s="10"/>
      <c r="U189" s="3"/>
      <c r="V189" s="3"/>
      <c r="X189" s="9"/>
      <c r="Z189" s="3"/>
      <c r="AA189" s="8"/>
      <c r="AB189" s="7"/>
      <c r="AC189" s="7"/>
      <c r="AD189" s="6"/>
      <c r="AE189" s="6"/>
      <c r="AF189" s="5"/>
      <c r="AG189" s="7"/>
      <c r="AH189" s="3"/>
      <c r="AI189" s="7"/>
      <c r="AJ189" s="7"/>
      <c r="AL189" s="3"/>
      <c r="AM189" s="3"/>
      <c r="AN189" s="3"/>
      <c r="AO189" s="3"/>
      <c r="AP189" s="9"/>
      <c r="AQ189" s="6"/>
    </row>
    <row r="190" spans="1:43" ht="15" customHeight="1" x14ac:dyDescent="0.3">
      <c r="A190" s="22"/>
      <c r="I190" s="21"/>
      <c r="J190" s="20"/>
      <c r="K190" s="3"/>
      <c r="L190" s="20"/>
      <c r="N190" s="12"/>
      <c r="O190" s="11"/>
      <c r="S190" s="10"/>
      <c r="U190" s="3"/>
      <c r="V190" s="3"/>
      <c r="X190" s="9"/>
      <c r="Z190" s="3"/>
      <c r="AA190" s="8"/>
      <c r="AB190" s="7"/>
      <c r="AC190" s="7"/>
      <c r="AD190" s="6"/>
      <c r="AE190" s="6"/>
      <c r="AF190" s="5"/>
      <c r="AG190" s="7"/>
      <c r="AH190" s="3"/>
      <c r="AI190" s="7"/>
      <c r="AJ190" s="7"/>
      <c r="AL190" s="3"/>
      <c r="AM190" s="3"/>
      <c r="AN190" s="3"/>
      <c r="AO190" s="3"/>
      <c r="AP190" s="9"/>
      <c r="AQ190" s="6"/>
    </row>
    <row r="191" spans="1:43" ht="15" customHeight="1" x14ac:dyDescent="0.3">
      <c r="A191" s="22"/>
      <c r="I191" s="21"/>
      <c r="J191" s="20"/>
      <c r="K191" s="3"/>
      <c r="L191" s="20"/>
      <c r="N191" s="12"/>
      <c r="O191" s="11"/>
      <c r="S191" s="10"/>
      <c r="U191" s="3"/>
      <c r="V191" s="3"/>
      <c r="X191" s="9"/>
      <c r="Z191" s="3"/>
      <c r="AA191" s="8"/>
      <c r="AB191" s="7"/>
      <c r="AC191" s="7"/>
      <c r="AD191" s="6"/>
      <c r="AE191" s="6"/>
      <c r="AF191" s="5"/>
      <c r="AG191" s="7"/>
      <c r="AH191" s="3"/>
      <c r="AI191" s="7"/>
      <c r="AJ191" s="7"/>
      <c r="AL191" s="3"/>
      <c r="AM191" s="3"/>
      <c r="AN191" s="3"/>
      <c r="AO191" s="3"/>
      <c r="AP191" s="9"/>
      <c r="AQ191" s="6"/>
    </row>
    <row r="192" spans="1:43" ht="15" customHeight="1" x14ac:dyDescent="0.3">
      <c r="A192" s="22"/>
      <c r="I192" s="21"/>
      <c r="J192" s="20"/>
      <c r="K192" s="3"/>
      <c r="L192" s="20"/>
      <c r="N192" s="12"/>
      <c r="O192" s="11"/>
      <c r="S192" s="10"/>
      <c r="U192" s="3"/>
      <c r="V192" s="3"/>
      <c r="X192" s="9"/>
      <c r="Z192" s="3"/>
      <c r="AA192" s="8"/>
      <c r="AB192" s="7"/>
      <c r="AC192" s="7"/>
      <c r="AD192" s="6"/>
      <c r="AE192" s="6"/>
      <c r="AF192" s="5"/>
      <c r="AG192" s="7"/>
      <c r="AH192" s="3"/>
      <c r="AI192" s="7"/>
      <c r="AJ192" s="7"/>
      <c r="AL192" s="3"/>
      <c r="AM192" s="3"/>
      <c r="AN192" s="3"/>
      <c r="AO192" s="3"/>
      <c r="AP192" s="9"/>
      <c r="AQ192" s="6"/>
    </row>
    <row r="193" spans="1:43" ht="15" customHeight="1" x14ac:dyDescent="0.3">
      <c r="A193" s="22"/>
      <c r="I193" s="21"/>
      <c r="J193" s="20"/>
      <c r="K193" s="3"/>
      <c r="L193" s="20"/>
      <c r="N193" s="12"/>
      <c r="O193" s="11"/>
      <c r="S193" s="10"/>
      <c r="U193" s="3"/>
      <c r="V193" s="3"/>
      <c r="X193" s="9"/>
      <c r="Z193" s="3"/>
      <c r="AA193" s="8"/>
      <c r="AB193" s="7"/>
      <c r="AC193" s="7"/>
      <c r="AD193" s="6"/>
      <c r="AE193" s="6"/>
      <c r="AF193" s="5"/>
      <c r="AG193" s="7"/>
      <c r="AH193" s="3"/>
      <c r="AI193" s="7"/>
      <c r="AJ193" s="7"/>
      <c r="AL193" s="3"/>
      <c r="AM193" s="3"/>
      <c r="AN193" s="3"/>
      <c r="AO193" s="3"/>
      <c r="AP193" s="9"/>
      <c r="AQ193" s="6"/>
    </row>
    <row r="194" spans="1:43" ht="15" customHeight="1" x14ac:dyDescent="0.3">
      <c r="A194" s="22"/>
      <c r="I194" s="21"/>
      <c r="J194" s="20"/>
      <c r="K194" s="3"/>
      <c r="L194" s="20"/>
      <c r="N194" s="12"/>
      <c r="O194" s="11"/>
      <c r="S194" s="10"/>
      <c r="U194" s="3"/>
      <c r="V194" s="3"/>
      <c r="X194" s="9"/>
      <c r="Z194" s="3"/>
      <c r="AA194" s="8"/>
      <c r="AB194" s="7"/>
      <c r="AC194" s="7"/>
      <c r="AD194" s="6"/>
      <c r="AE194" s="6"/>
      <c r="AF194" s="5"/>
      <c r="AG194" s="7"/>
      <c r="AH194" s="3"/>
      <c r="AI194" s="7"/>
      <c r="AJ194" s="7"/>
      <c r="AL194" s="3"/>
      <c r="AM194" s="3"/>
      <c r="AN194" s="3"/>
      <c r="AO194" s="3"/>
      <c r="AP194" s="9"/>
      <c r="AQ194" s="6"/>
    </row>
    <row r="195" spans="1:43" ht="15" customHeight="1" x14ac:dyDescent="0.3">
      <c r="A195" s="22"/>
      <c r="I195" s="21"/>
      <c r="J195" s="20"/>
      <c r="K195" s="3"/>
      <c r="L195" s="20"/>
      <c r="N195" s="12"/>
      <c r="O195" s="11"/>
      <c r="S195" s="10"/>
      <c r="U195" s="3"/>
      <c r="V195" s="3"/>
      <c r="X195" s="9"/>
      <c r="Z195" s="3"/>
      <c r="AA195" s="8"/>
      <c r="AB195" s="7"/>
      <c r="AC195" s="7"/>
      <c r="AD195" s="6"/>
      <c r="AE195" s="6"/>
      <c r="AF195" s="5"/>
      <c r="AG195" s="7"/>
      <c r="AH195" s="3"/>
      <c r="AI195" s="7"/>
      <c r="AJ195" s="7"/>
      <c r="AL195" s="3"/>
      <c r="AM195" s="3"/>
      <c r="AN195" s="3"/>
      <c r="AO195" s="3"/>
      <c r="AP195" s="9"/>
      <c r="AQ195" s="6"/>
    </row>
    <row r="196" spans="1:43" ht="15" customHeight="1" x14ac:dyDescent="0.3">
      <c r="A196" s="22"/>
      <c r="I196" s="21"/>
      <c r="J196" s="20"/>
      <c r="K196" s="3"/>
      <c r="L196" s="20"/>
      <c r="N196" s="12"/>
      <c r="O196" s="11"/>
      <c r="S196" s="10"/>
      <c r="U196" s="3"/>
      <c r="V196" s="3"/>
      <c r="X196" s="9"/>
      <c r="Z196" s="3"/>
      <c r="AA196" s="8"/>
      <c r="AB196" s="7"/>
      <c r="AC196" s="7"/>
      <c r="AD196" s="6"/>
      <c r="AE196" s="6"/>
      <c r="AF196" s="5"/>
      <c r="AG196" s="7"/>
      <c r="AH196" s="3"/>
      <c r="AI196" s="7"/>
      <c r="AJ196" s="7"/>
      <c r="AL196" s="3"/>
      <c r="AM196" s="3"/>
      <c r="AN196" s="3"/>
      <c r="AO196" s="3"/>
      <c r="AP196" s="9"/>
      <c r="AQ196" s="6"/>
    </row>
    <row r="197" spans="1:43" ht="15" customHeight="1" x14ac:dyDescent="0.3">
      <c r="A197" s="22"/>
      <c r="I197" s="21"/>
      <c r="J197" s="20"/>
      <c r="K197" s="3"/>
      <c r="L197" s="20"/>
      <c r="N197" s="12"/>
      <c r="O197" s="11"/>
      <c r="S197" s="10"/>
      <c r="U197" s="3"/>
      <c r="V197" s="3"/>
      <c r="X197" s="9"/>
      <c r="Z197" s="3"/>
      <c r="AA197" s="8"/>
      <c r="AB197" s="7"/>
      <c r="AC197" s="7"/>
      <c r="AD197" s="6"/>
      <c r="AE197" s="6"/>
      <c r="AF197" s="5"/>
      <c r="AG197" s="7"/>
      <c r="AH197" s="3"/>
      <c r="AI197" s="7"/>
      <c r="AJ197" s="7"/>
      <c r="AL197" s="3"/>
      <c r="AM197" s="3"/>
      <c r="AN197" s="3"/>
      <c r="AO197" s="3"/>
      <c r="AP197" s="9"/>
      <c r="AQ197" s="6"/>
    </row>
    <row r="198" spans="1:43" ht="15" customHeight="1" x14ac:dyDescent="0.3">
      <c r="A198" s="22"/>
      <c r="I198" s="21"/>
      <c r="J198" s="20"/>
      <c r="K198" s="3"/>
      <c r="L198" s="20"/>
      <c r="N198" s="12"/>
      <c r="O198" s="11"/>
      <c r="S198" s="10"/>
      <c r="U198" s="3"/>
      <c r="V198" s="3"/>
      <c r="X198" s="9"/>
      <c r="Z198" s="3"/>
      <c r="AA198" s="8"/>
      <c r="AB198" s="7"/>
      <c r="AC198" s="7"/>
      <c r="AD198" s="6"/>
      <c r="AE198" s="6"/>
      <c r="AF198" s="5"/>
      <c r="AG198" s="7"/>
      <c r="AH198" s="3"/>
      <c r="AI198" s="7"/>
      <c r="AJ198" s="7"/>
      <c r="AL198" s="3"/>
      <c r="AM198" s="3"/>
      <c r="AN198" s="3"/>
      <c r="AO198" s="3"/>
      <c r="AP198" s="9"/>
      <c r="AQ198" s="6"/>
    </row>
    <row r="199" spans="1:43" ht="15" customHeight="1" x14ac:dyDescent="0.3">
      <c r="A199" s="22"/>
      <c r="I199" s="21"/>
      <c r="J199" s="20"/>
      <c r="K199" s="3"/>
      <c r="L199" s="20"/>
      <c r="N199" s="12"/>
      <c r="O199" s="11"/>
      <c r="S199" s="10"/>
      <c r="U199" s="3"/>
      <c r="V199" s="3"/>
      <c r="X199" s="9"/>
      <c r="Z199" s="3"/>
      <c r="AA199" s="8"/>
      <c r="AB199" s="7"/>
      <c r="AC199" s="7"/>
      <c r="AD199" s="6"/>
      <c r="AE199" s="6"/>
      <c r="AF199" s="5"/>
      <c r="AG199" s="7"/>
      <c r="AH199" s="3"/>
      <c r="AI199" s="7"/>
      <c r="AJ199" s="7"/>
      <c r="AL199" s="3"/>
      <c r="AM199" s="3"/>
      <c r="AN199" s="3"/>
      <c r="AO199" s="3"/>
      <c r="AP199" s="9"/>
      <c r="AQ199" s="6"/>
    </row>
    <row r="200" spans="1:43" ht="15" customHeight="1" x14ac:dyDescent="0.3">
      <c r="A200" s="22"/>
      <c r="I200" s="21"/>
      <c r="J200" s="20"/>
      <c r="K200" s="3"/>
      <c r="L200" s="20"/>
      <c r="N200" s="12"/>
      <c r="O200" s="11"/>
      <c r="S200" s="10"/>
      <c r="U200" s="3"/>
      <c r="V200" s="3"/>
      <c r="X200" s="9"/>
      <c r="Z200" s="3"/>
      <c r="AA200" s="8"/>
      <c r="AB200" s="7"/>
      <c r="AC200" s="7"/>
      <c r="AD200" s="6"/>
      <c r="AE200" s="6"/>
      <c r="AF200" s="5"/>
      <c r="AG200" s="7"/>
      <c r="AH200" s="3"/>
      <c r="AI200" s="7"/>
      <c r="AJ200" s="7"/>
      <c r="AL200" s="3"/>
      <c r="AM200" s="3"/>
      <c r="AN200" s="3"/>
      <c r="AO200" s="3"/>
      <c r="AP200" s="9"/>
      <c r="AQ200" s="6"/>
    </row>
    <row r="201" spans="1:43" ht="15" customHeight="1" x14ac:dyDescent="0.3">
      <c r="A201" s="22"/>
      <c r="I201" s="21"/>
      <c r="J201" s="20"/>
      <c r="K201" s="3"/>
      <c r="L201" s="20"/>
      <c r="N201" s="12"/>
      <c r="O201" s="11"/>
      <c r="S201" s="10"/>
      <c r="U201" s="3"/>
      <c r="V201" s="3"/>
      <c r="X201" s="9"/>
      <c r="Z201" s="3"/>
      <c r="AA201" s="8"/>
      <c r="AB201" s="7"/>
      <c r="AC201" s="7"/>
      <c r="AD201" s="6"/>
      <c r="AE201" s="6"/>
      <c r="AF201" s="5"/>
      <c r="AG201" s="7"/>
      <c r="AH201" s="3"/>
      <c r="AI201" s="7"/>
      <c r="AJ201" s="7"/>
      <c r="AL201" s="3"/>
      <c r="AM201" s="3"/>
      <c r="AN201" s="3"/>
      <c r="AO201" s="3"/>
      <c r="AP201" s="9"/>
      <c r="AQ201" s="6"/>
    </row>
    <row r="202" spans="1:43" ht="15" customHeight="1" x14ac:dyDescent="0.3">
      <c r="A202" s="22"/>
      <c r="I202" s="21"/>
      <c r="J202" s="20"/>
      <c r="K202" s="3"/>
      <c r="L202" s="20"/>
      <c r="N202" s="12"/>
      <c r="O202" s="11"/>
      <c r="S202" s="10"/>
      <c r="U202" s="3"/>
      <c r="V202" s="3"/>
      <c r="X202" s="9"/>
      <c r="Z202" s="3"/>
      <c r="AA202" s="8"/>
      <c r="AB202" s="7"/>
      <c r="AC202" s="7"/>
      <c r="AD202" s="6"/>
      <c r="AE202" s="6"/>
      <c r="AF202" s="5"/>
      <c r="AG202" s="7"/>
      <c r="AH202" s="3"/>
      <c r="AI202" s="7"/>
      <c r="AJ202" s="7"/>
      <c r="AL202" s="3"/>
      <c r="AM202" s="3"/>
      <c r="AN202" s="3"/>
      <c r="AO202" s="3"/>
      <c r="AP202" s="9"/>
      <c r="AQ202" s="6"/>
    </row>
    <row r="203" spans="1:43" ht="15" customHeight="1" x14ac:dyDescent="0.3">
      <c r="A203" s="22"/>
      <c r="I203" s="21"/>
      <c r="J203" s="20"/>
      <c r="K203" s="3"/>
      <c r="L203" s="20"/>
      <c r="N203" s="12"/>
      <c r="O203" s="11"/>
      <c r="S203" s="10"/>
      <c r="U203" s="3"/>
      <c r="V203" s="3"/>
      <c r="X203" s="9"/>
      <c r="Z203" s="3"/>
      <c r="AA203" s="8"/>
      <c r="AB203" s="7"/>
      <c r="AC203" s="7"/>
      <c r="AD203" s="6"/>
      <c r="AE203" s="6"/>
      <c r="AF203" s="5"/>
      <c r="AG203" s="7"/>
      <c r="AH203" s="3"/>
      <c r="AI203" s="7"/>
      <c r="AJ203" s="7"/>
      <c r="AL203" s="3"/>
      <c r="AM203" s="3"/>
      <c r="AN203" s="3"/>
      <c r="AO203" s="3"/>
      <c r="AP203" s="9"/>
      <c r="AQ203" s="6"/>
    </row>
    <row r="204" spans="1:43" ht="15" customHeight="1" x14ac:dyDescent="0.3">
      <c r="A204" s="22"/>
      <c r="I204" s="21"/>
      <c r="J204" s="20"/>
      <c r="K204" s="3"/>
      <c r="L204" s="20"/>
      <c r="N204" s="12"/>
      <c r="O204" s="11"/>
      <c r="S204" s="10"/>
      <c r="U204" s="3"/>
      <c r="V204" s="3"/>
      <c r="X204" s="9"/>
      <c r="Z204" s="3"/>
      <c r="AA204" s="8"/>
      <c r="AB204" s="7"/>
      <c r="AC204" s="7"/>
      <c r="AD204" s="6"/>
      <c r="AE204" s="6"/>
      <c r="AF204" s="5"/>
      <c r="AG204" s="7"/>
      <c r="AH204" s="3"/>
      <c r="AI204" s="7"/>
      <c r="AJ204" s="7"/>
      <c r="AL204" s="3"/>
      <c r="AM204" s="3"/>
      <c r="AN204" s="3"/>
      <c r="AO204" s="3"/>
      <c r="AP204" s="9"/>
      <c r="AQ204" s="6"/>
    </row>
    <row r="205" spans="1:43" ht="15" customHeight="1" x14ac:dyDescent="0.3">
      <c r="A205" s="22"/>
      <c r="I205" s="21"/>
      <c r="J205" s="20"/>
      <c r="K205" s="3"/>
      <c r="L205" s="20"/>
      <c r="N205" s="12"/>
      <c r="O205" s="11"/>
      <c r="S205" s="10"/>
      <c r="U205" s="3"/>
      <c r="V205" s="3"/>
      <c r="X205" s="9"/>
      <c r="Z205" s="3"/>
      <c r="AA205" s="8"/>
      <c r="AB205" s="7"/>
      <c r="AC205" s="7"/>
      <c r="AD205" s="6"/>
      <c r="AE205" s="6"/>
      <c r="AF205" s="5"/>
      <c r="AG205" s="7"/>
      <c r="AH205" s="3"/>
      <c r="AI205" s="7"/>
      <c r="AJ205" s="7"/>
      <c r="AL205" s="3"/>
      <c r="AM205" s="3"/>
      <c r="AN205" s="3"/>
      <c r="AO205" s="3"/>
      <c r="AP205" s="9"/>
      <c r="AQ205" s="6"/>
    </row>
    <row r="206" spans="1:43" ht="15" customHeight="1" x14ac:dyDescent="0.3">
      <c r="A206" s="22"/>
      <c r="I206" s="21"/>
      <c r="J206" s="20"/>
      <c r="K206" s="3"/>
      <c r="L206" s="20"/>
      <c r="N206" s="12"/>
      <c r="O206" s="11"/>
      <c r="S206" s="10"/>
      <c r="U206" s="3"/>
      <c r="V206" s="3"/>
      <c r="X206" s="9"/>
      <c r="Z206" s="3"/>
      <c r="AA206" s="8"/>
      <c r="AB206" s="7"/>
      <c r="AC206" s="7"/>
      <c r="AD206" s="6"/>
      <c r="AE206" s="6"/>
      <c r="AF206" s="5"/>
      <c r="AG206" s="7"/>
      <c r="AH206" s="3"/>
      <c r="AI206" s="7"/>
      <c r="AJ206" s="7"/>
      <c r="AL206" s="3"/>
      <c r="AM206" s="3"/>
      <c r="AN206" s="3"/>
      <c r="AO206" s="3"/>
      <c r="AP206" s="9"/>
      <c r="AQ206" s="6"/>
    </row>
    <row r="207" spans="1:43" ht="15" customHeight="1" x14ac:dyDescent="0.3">
      <c r="A207" s="22"/>
      <c r="I207" s="21"/>
      <c r="J207" s="20"/>
      <c r="K207" s="3"/>
      <c r="L207" s="20"/>
      <c r="N207" s="12"/>
      <c r="O207" s="11"/>
      <c r="S207" s="10"/>
      <c r="U207" s="3"/>
      <c r="V207" s="3"/>
      <c r="X207" s="9"/>
      <c r="Z207" s="3"/>
      <c r="AA207" s="8"/>
      <c r="AB207" s="7"/>
      <c r="AC207" s="7"/>
      <c r="AD207" s="6"/>
      <c r="AE207" s="6"/>
      <c r="AF207" s="5"/>
      <c r="AG207" s="7"/>
      <c r="AH207" s="3"/>
      <c r="AI207" s="7"/>
      <c r="AJ207" s="7"/>
      <c r="AL207" s="3"/>
      <c r="AM207" s="3"/>
      <c r="AN207" s="3"/>
      <c r="AO207" s="3"/>
      <c r="AP207" s="9"/>
      <c r="AQ207" s="6"/>
    </row>
    <row r="208" spans="1:43" ht="15" customHeight="1" x14ac:dyDescent="0.3">
      <c r="A208" s="22"/>
      <c r="I208" s="21"/>
      <c r="J208" s="20"/>
      <c r="K208" s="3"/>
      <c r="L208" s="20"/>
      <c r="N208" s="12"/>
      <c r="O208" s="11"/>
      <c r="S208" s="10"/>
      <c r="U208" s="3"/>
      <c r="V208" s="3"/>
      <c r="X208" s="9"/>
      <c r="Z208" s="3"/>
      <c r="AA208" s="8"/>
      <c r="AB208" s="7"/>
      <c r="AC208" s="7"/>
      <c r="AD208" s="6"/>
      <c r="AE208" s="6"/>
      <c r="AF208" s="5"/>
      <c r="AG208" s="7"/>
      <c r="AH208" s="3"/>
      <c r="AI208" s="7"/>
      <c r="AJ208" s="7"/>
      <c r="AL208" s="3"/>
      <c r="AM208" s="3"/>
      <c r="AN208" s="3"/>
      <c r="AO208" s="3"/>
      <c r="AP208" s="9"/>
      <c r="AQ208" s="6"/>
    </row>
    <row r="209" spans="1:43" ht="15" customHeight="1" x14ac:dyDescent="0.3">
      <c r="A209" s="22"/>
      <c r="I209" s="21"/>
      <c r="J209" s="20"/>
      <c r="K209" s="3"/>
      <c r="L209" s="20"/>
      <c r="N209" s="12"/>
      <c r="O209" s="11"/>
      <c r="S209" s="10"/>
      <c r="U209" s="3"/>
      <c r="V209" s="3"/>
      <c r="X209" s="9"/>
      <c r="Z209" s="3"/>
      <c r="AA209" s="8"/>
      <c r="AB209" s="7"/>
      <c r="AC209" s="7"/>
      <c r="AD209" s="6"/>
      <c r="AE209" s="6"/>
      <c r="AF209" s="5"/>
      <c r="AG209" s="7"/>
      <c r="AH209" s="3"/>
      <c r="AI209" s="7"/>
      <c r="AJ209" s="7"/>
      <c r="AL209" s="3"/>
      <c r="AM209" s="3"/>
      <c r="AN209" s="3"/>
      <c r="AO209" s="3"/>
      <c r="AP209" s="9"/>
      <c r="AQ209" s="6"/>
    </row>
    <row r="210" spans="1:43" ht="15" customHeight="1" x14ac:dyDescent="0.3">
      <c r="A210" s="22"/>
      <c r="I210" s="21"/>
      <c r="J210" s="20"/>
      <c r="K210" s="3"/>
      <c r="L210" s="20"/>
      <c r="N210" s="12"/>
      <c r="O210" s="11"/>
      <c r="S210" s="10"/>
      <c r="U210" s="3"/>
      <c r="V210" s="3"/>
      <c r="X210" s="9"/>
      <c r="Z210" s="3"/>
      <c r="AA210" s="8"/>
      <c r="AB210" s="7"/>
      <c r="AC210" s="7"/>
      <c r="AD210" s="6"/>
      <c r="AE210" s="6"/>
      <c r="AF210" s="5"/>
      <c r="AG210" s="7"/>
      <c r="AH210" s="3"/>
      <c r="AI210" s="7"/>
      <c r="AJ210" s="7"/>
      <c r="AL210" s="3"/>
      <c r="AM210" s="3"/>
      <c r="AN210" s="3"/>
      <c r="AO210" s="3"/>
      <c r="AP210" s="9"/>
      <c r="AQ210" s="6"/>
    </row>
    <row r="211" spans="1:43" ht="15" customHeight="1" x14ac:dyDescent="0.3">
      <c r="A211" s="22"/>
      <c r="I211" s="21"/>
      <c r="J211" s="20"/>
      <c r="K211" s="3"/>
      <c r="L211" s="20"/>
      <c r="N211" s="12"/>
      <c r="O211" s="11"/>
      <c r="S211" s="10"/>
      <c r="U211" s="3"/>
      <c r="V211" s="3"/>
      <c r="X211" s="9"/>
      <c r="Z211" s="3"/>
      <c r="AA211" s="8"/>
      <c r="AB211" s="7"/>
      <c r="AC211" s="7"/>
      <c r="AD211" s="6"/>
      <c r="AE211" s="6"/>
      <c r="AF211" s="5"/>
      <c r="AG211" s="7"/>
      <c r="AH211" s="3"/>
      <c r="AI211" s="7"/>
      <c r="AJ211" s="7"/>
      <c r="AL211" s="3"/>
      <c r="AM211" s="3"/>
      <c r="AN211" s="3"/>
      <c r="AO211" s="3"/>
      <c r="AP211" s="9"/>
      <c r="AQ211" s="6"/>
    </row>
    <row r="212" spans="1:43" ht="15" customHeight="1" x14ac:dyDescent="0.3">
      <c r="A212" s="22"/>
      <c r="I212" s="21"/>
      <c r="J212" s="20"/>
      <c r="K212" s="3"/>
      <c r="L212" s="20"/>
      <c r="N212" s="12"/>
      <c r="O212" s="11"/>
      <c r="S212" s="10"/>
      <c r="U212" s="3"/>
      <c r="V212" s="3"/>
      <c r="X212" s="9"/>
      <c r="Z212" s="3"/>
      <c r="AA212" s="8"/>
      <c r="AB212" s="7"/>
      <c r="AC212" s="7"/>
      <c r="AD212" s="6"/>
      <c r="AE212" s="6"/>
      <c r="AF212" s="5"/>
      <c r="AG212" s="7"/>
      <c r="AH212" s="3"/>
      <c r="AI212" s="7"/>
      <c r="AJ212" s="7"/>
      <c r="AL212" s="3"/>
      <c r="AM212" s="3"/>
      <c r="AN212" s="3"/>
      <c r="AO212" s="3"/>
      <c r="AP212" s="9"/>
      <c r="AQ212" s="6"/>
    </row>
    <row r="213" spans="1:43" ht="15" customHeight="1" x14ac:dyDescent="0.3">
      <c r="A213" s="22"/>
      <c r="I213" s="21"/>
      <c r="J213" s="20"/>
      <c r="K213" s="3"/>
      <c r="L213" s="20"/>
      <c r="N213" s="12"/>
      <c r="O213" s="11"/>
      <c r="S213" s="10"/>
      <c r="U213" s="3"/>
      <c r="V213" s="3"/>
      <c r="X213" s="9"/>
      <c r="Z213" s="3"/>
      <c r="AA213" s="8"/>
      <c r="AB213" s="7"/>
      <c r="AC213" s="7"/>
      <c r="AD213" s="6"/>
      <c r="AE213" s="6"/>
      <c r="AF213" s="5"/>
      <c r="AG213" s="7"/>
      <c r="AH213" s="3"/>
      <c r="AI213" s="7"/>
      <c r="AJ213" s="7"/>
      <c r="AL213" s="3"/>
      <c r="AM213" s="3"/>
      <c r="AN213" s="3"/>
      <c r="AO213" s="3"/>
      <c r="AP213" s="9"/>
      <c r="AQ213" s="6"/>
    </row>
    <row r="214" spans="1:43" ht="15" customHeight="1" x14ac:dyDescent="0.3">
      <c r="A214" s="22"/>
      <c r="I214" s="21"/>
      <c r="J214" s="20"/>
      <c r="K214" s="3"/>
      <c r="L214" s="20"/>
      <c r="N214" s="12"/>
      <c r="O214" s="11"/>
      <c r="S214" s="10"/>
      <c r="U214" s="3"/>
      <c r="V214" s="3"/>
      <c r="X214" s="9"/>
      <c r="Z214" s="3"/>
      <c r="AA214" s="8"/>
      <c r="AB214" s="7"/>
      <c r="AC214" s="7"/>
      <c r="AD214" s="6"/>
      <c r="AE214" s="6"/>
      <c r="AF214" s="5"/>
      <c r="AG214" s="7"/>
      <c r="AH214" s="3"/>
      <c r="AI214" s="7"/>
      <c r="AJ214" s="7"/>
      <c r="AL214" s="3"/>
      <c r="AM214" s="3"/>
      <c r="AN214" s="3"/>
      <c r="AO214" s="3"/>
      <c r="AP214" s="9"/>
      <c r="AQ214" s="6"/>
    </row>
    <row r="215" spans="1:43" ht="15" customHeight="1" x14ac:dyDescent="0.3">
      <c r="A215" s="22"/>
      <c r="I215" s="21"/>
      <c r="J215" s="20"/>
      <c r="K215" s="3"/>
      <c r="L215" s="20"/>
      <c r="N215" s="12"/>
      <c r="O215" s="11"/>
      <c r="S215" s="10"/>
      <c r="U215" s="3"/>
      <c r="V215" s="3"/>
      <c r="X215" s="9"/>
      <c r="Z215" s="3"/>
      <c r="AA215" s="8"/>
      <c r="AB215" s="7"/>
      <c r="AC215" s="7"/>
      <c r="AD215" s="6"/>
      <c r="AE215" s="6"/>
      <c r="AF215" s="5"/>
      <c r="AG215" s="7"/>
      <c r="AH215" s="3"/>
      <c r="AI215" s="7"/>
      <c r="AJ215" s="7"/>
      <c r="AL215" s="3"/>
      <c r="AM215" s="3"/>
      <c r="AN215" s="3"/>
      <c r="AO215" s="3"/>
      <c r="AP215" s="9"/>
      <c r="AQ215" s="6"/>
    </row>
    <row r="216" spans="1:43" ht="15" customHeight="1" x14ac:dyDescent="0.3">
      <c r="A216" s="22"/>
      <c r="I216" s="21"/>
      <c r="J216" s="20"/>
      <c r="K216" s="3"/>
      <c r="L216" s="20"/>
      <c r="N216" s="12"/>
      <c r="O216" s="11"/>
      <c r="S216" s="10"/>
      <c r="U216" s="3"/>
      <c r="V216" s="3"/>
      <c r="X216" s="9"/>
      <c r="Z216" s="3"/>
      <c r="AA216" s="8"/>
      <c r="AB216" s="7"/>
      <c r="AC216" s="7"/>
      <c r="AD216" s="6"/>
      <c r="AE216" s="6"/>
      <c r="AF216" s="5"/>
      <c r="AG216" s="7"/>
      <c r="AH216" s="3"/>
      <c r="AI216" s="7"/>
      <c r="AJ216" s="7"/>
      <c r="AL216" s="3"/>
      <c r="AM216" s="3"/>
      <c r="AN216" s="3"/>
      <c r="AO216" s="3"/>
      <c r="AP216" s="9"/>
      <c r="AQ216" s="6"/>
    </row>
    <row r="217" spans="1:43" ht="15" customHeight="1" x14ac:dyDescent="0.3">
      <c r="A217" s="22"/>
      <c r="I217" s="21"/>
      <c r="J217" s="20"/>
      <c r="K217" s="3"/>
      <c r="L217" s="20"/>
      <c r="N217" s="12"/>
      <c r="O217" s="11"/>
      <c r="S217" s="10"/>
      <c r="U217" s="3"/>
      <c r="V217" s="3"/>
      <c r="X217" s="9"/>
      <c r="Z217" s="3"/>
      <c r="AA217" s="8"/>
      <c r="AB217" s="7"/>
      <c r="AC217" s="7"/>
      <c r="AD217" s="6"/>
      <c r="AE217" s="6"/>
      <c r="AF217" s="5"/>
      <c r="AG217" s="7"/>
      <c r="AH217" s="3"/>
      <c r="AI217" s="7"/>
      <c r="AJ217" s="7"/>
      <c r="AL217" s="3"/>
      <c r="AM217" s="3"/>
      <c r="AN217" s="3"/>
      <c r="AO217" s="3"/>
      <c r="AP217" s="9"/>
      <c r="AQ217" s="6"/>
    </row>
    <row r="218" spans="1:43" ht="15" customHeight="1" x14ac:dyDescent="0.3">
      <c r="A218" s="22"/>
      <c r="I218" s="21"/>
      <c r="J218" s="20"/>
      <c r="K218" s="3"/>
      <c r="L218" s="20"/>
      <c r="N218" s="12"/>
      <c r="O218" s="11"/>
      <c r="S218" s="10"/>
      <c r="U218" s="3"/>
      <c r="V218" s="3"/>
      <c r="X218" s="9"/>
      <c r="Z218" s="3"/>
      <c r="AA218" s="8"/>
      <c r="AB218" s="7"/>
      <c r="AC218" s="7"/>
      <c r="AD218" s="6"/>
      <c r="AE218" s="6"/>
      <c r="AF218" s="5"/>
      <c r="AG218" s="7"/>
      <c r="AH218" s="3"/>
      <c r="AI218" s="7"/>
      <c r="AJ218" s="7"/>
      <c r="AL218" s="3"/>
      <c r="AM218" s="3"/>
      <c r="AN218" s="3"/>
      <c r="AO218" s="3"/>
      <c r="AP218" s="9"/>
      <c r="AQ218" s="6"/>
    </row>
    <row r="219" spans="1:43" ht="15" customHeight="1" x14ac:dyDescent="0.3">
      <c r="A219" s="22"/>
      <c r="I219" s="21"/>
      <c r="J219" s="20"/>
      <c r="K219" s="3"/>
      <c r="L219" s="20"/>
      <c r="N219" s="12"/>
      <c r="O219" s="11"/>
      <c r="S219" s="10"/>
      <c r="U219" s="3"/>
      <c r="V219" s="3"/>
      <c r="X219" s="9"/>
      <c r="Z219" s="3"/>
      <c r="AA219" s="8"/>
      <c r="AB219" s="7"/>
      <c r="AC219" s="7"/>
      <c r="AD219" s="6"/>
      <c r="AE219" s="6"/>
      <c r="AF219" s="5"/>
      <c r="AG219" s="7"/>
      <c r="AH219" s="3"/>
      <c r="AI219" s="7"/>
      <c r="AJ219" s="7"/>
      <c r="AL219" s="3"/>
      <c r="AM219" s="3"/>
      <c r="AN219" s="3"/>
      <c r="AO219" s="3"/>
      <c r="AP219" s="9"/>
      <c r="AQ219" s="6"/>
    </row>
    <row r="220" spans="1:43" ht="15" customHeight="1" x14ac:dyDescent="0.3">
      <c r="A220" s="22"/>
      <c r="I220" s="21"/>
      <c r="J220" s="20"/>
      <c r="K220" s="3"/>
      <c r="L220" s="20"/>
      <c r="N220" s="12"/>
      <c r="O220" s="11"/>
      <c r="S220" s="10"/>
      <c r="U220" s="3"/>
      <c r="V220" s="3"/>
      <c r="X220" s="9"/>
      <c r="Z220" s="3"/>
      <c r="AA220" s="8"/>
      <c r="AB220" s="7"/>
      <c r="AC220" s="7"/>
      <c r="AD220" s="6"/>
      <c r="AE220" s="6"/>
      <c r="AF220" s="5"/>
      <c r="AG220" s="7"/>
      <c r="AH220" s="3"/>
      <c r="AI220" s="7"/>
      <c r="AJ220" s="7"/>
      <c r="AL220" s="3"/>
      <c r="AM220" s="3"/>
      <c r="AN220" s="3"/>
      <c r="AO220" s="3"/>
      <c r="AP220" s="9"/>
      <c r="AQ220" s="6"/>
    </row>
    <row r="221" spans="1:43" ht="15" customHeight="1" x14ac:dyDescent="0.3">
      <c r="A221" s="22"/>
      <c r="I221" s="21"/>
      <c r="J221" s="20"/>
      <c r="K221" s="3"/>
      <c r="L221" s="20"/>
      <c r="N221" s="12"/>
      <c r="O221" s="11"/>
      <c r="S221" s="10"/>
      <c r="U221" s="3"/>
      <c r="V221" s="3"/>
      <c r="X221" s="9"/>
      <c r="Z221" s="3"/>
      <c r="AA221" s="8"/>
      <c r="AB221" s="7"/>
      <c r="AC221" s="7"/>
      <c r="AD221" s="6"/>
      <c r="AE221" s="6"/>
      <c r="AF221" s="5"/>
      <c r="AG221" s="7"/>
      <c r="AH221" s="3"/>
      <c r="AI221" s="7"/>
      <c r="AJ221" s="7"/>
      <c r="AL221" s="3"/>
      <c r="AM221" s="3"/>
      <c r="AN221" s="3"/>
      <c r="AO221" s="3"/>
      <c r="AP221" s="9"/>
      <c r="AQ221" s="6"/>
    </row>
    <row r="222" spans="1:43" ht="15" customHeight="1" x14ac:dyDescent="0.3">
      <c r="A222" s="22"/>
      <c r="I222" s="21"/>
      <c r="J222" s="20"/>
      <c r="K222" s="3"/>
      <c r="L222" s="20"/>
      <c r="N222" s="12"/>
      <c r="O222" s="11"/>
      <c r="S222" s="10"/>
      <c r="U222" s="3"/>
      <c r="V222" s="3"/>
      <c r="X222" s="9"/>
      <c r="Z222" s="3"/>
      <c r="AA222" s="8"/>
      <c r="AB222" s="7"/>
      <c r="AC222" s="7"/>
      <c r="AD222" s="6"/>
      <c r="AE222" s="6"/>
      <c r="AF222" s="5"/>
      <c r="AG222" s="7"/>
      <c r="AH222" s="3"/>
      <c r="AI222" s="7"/>
      <c r="AJ222" s="7"/>
      <c r="AL222" s="3"/>
      <c r="AM222" s="3"/>
      <c r="AN222" s="3"/>
      <c r="AO222" s="3"/>
      <c r="AP222" s="9"/>
      <c r="AQ222" s="6"/>
    </row>
    <row r="223" spans="1:43" ht="15" customHeight="1" x14ac:dyDescent="0.3">
      <c r="A223" s="22"/>
      <c r="I223" s="21"/>
      <c r="J223" s="20"/>
      <c r="K223" s="3"/>
      <c r="L223" s="20"/>
      <c r="N223" s="12"/>
      <c r="O223" s="11"/>
      <c r="S223" s="10"/>
      <c r="U223" s="3"/>
      <c r="V223" s="3"/>
      <c r="X223" s="9"/>
      <c r="Z223" s="3"/>
      <c r="AA223" s="8"/>
      <c r="AB223" s="7"/>
      <c r="AC223" s="7"/>
      <c r="AD223" s="6"/>
      <c r="AE223" s="6"/>
      <c r="AF223" s="5"/>
      <c r="AG223" s="7"/>
      <c r="AH223" s="3"/>
      <c r="AI223" s="7"/>
      <c r="AJ223" s="7"/>
      <c r="AL223" s="3"/>
      <c r="AM223" s="3"/>
      <c r="AN223" s="3"/>
      <c r="AO223" s="3"/>
      <c r="AP223" s="9"/>
      <c r="AQ223" s="6"/>
    </row>
    <row r="224" spans="1:43" ht="15" customHeight="1" x14ac:dyDescent="0.3">
      <c r="A224" s="22"/>
      <c r="I224" s="21"/>
      <c r="J224" s="20"/>
      <c r="K224" s="3"/>
      <c r="L224" s="20"/>
      <c r="N224" s="12"/>
      <c r="O224" s="11"/>
      <c r="S224" s="10"/>
      <c r="U224" s="3"/>
      <c r="V224" s="3"/>
      <c r="X224" s="9"/>
      <c r="Z224" s="3"/>
      <c r="AA224" s="8"/>
      <c r="AB224" s="7"/>
      <c r="AC224" s="7"/>
      <c r="AD224" s="6"/>
      <c r="AE224" s="6"/>
      <c r="AF224" s="5"/>
      <c r="AG224" s="7"/>
      <c r="AH224" s="3"/>
      <c r="AI224" s="7"/>
      <c r="AJ224" s="7"/>
      <c r="AL224" s="3"/>
      <c r="AM224" s="3"/>
      <c r="AN224" s="3"/>
      <c r="AO224" s="3"/>
      <c r="AP224" s="9"/>
      <c r="AQ224" s="6"/>
    </row>
    <row r="225" spans="1:43" ht="15" customHeight="1" x14ac:dyDescent="0.3">
      <c r="A225" s="22"/>
      <c r="I225" s="21"/>
      <c r="J225" s="20"/>
      <c r="K225" s="3"/>
      <c r="L225" s="20"/>
      <c r="N225" s="12"/>
      <c r="O225" s="11"/>
      <c r="S225" s="10"/>
      <c r="U225" s="3"/>
      <c r="V225" s="3"/>
      <c r="X225" s="9"/>
      <c r="Z225" s="3"/>
      <c r="AA225" s="8"/>
      <c r="AB225" s="7"/>
      <c r="AC225" s="7"/>
      <c r="AD225" s="6"/>
      <c r="AE225" s="6"/>
      <c r="AF225" s="5"/>
      <c r="AG225" s="7"/>
      <c r="AH225" s="3"/>
      <c r="AI225" s="7"/>
      <c r="AJ225" s="7"/>
      <c r="AL225" s="3"/>
      <c r="AM225" s="3"/>
      <c r="AN225" s="3"/>
      <c r="AO225" s="3"/>
      <c r="AP225" s="9"/>
      <c r="AQ225" s="6"/>
    </row>
    <row r="226" spans="1:43" ht="15" customHeight="1" x14ac:dyDescent="0.3">
      <c r="A226" s="22"/>
      <c r="I226" s="21"/>
      <c r="J226" s="20"/>
      <c r="K226" s="3"/>
      <c r="L226" s="20"/>
      <c r="N226" s="12"/>
      <c r="O226" s="11"/>
      <c r="S226" s="10"/>
      <c r="U226" s="3"/>
      <c r="V226" s="3"/>
      <c r="X226" s="9"/>
      <c r="Z226" s="3"/>
      <c r="AA226" s="8"/>
      <c r="AB226" s="7"/>
      <c r="AC226" s="7"/>
      <c r="AD226" s="6"/>
      <c r="AE226" s="6"/>
      <c r="AF226" s="5"/>
      <c r="AG226" s="7"/>
      <c r="AH226" s="3"/>
      <c r="AI226" s="7"/>
      <c r="AJ226" s="7"/>
      <c r="AL226" s="3"/>
      <c r="AM226" s="3"/>
      <c r="AN226" s="3"/>
      <c r="AO226" s="3"/>
      <c r="AP226" s="9"/>
      <c r="AQ226" s="6"/>
    </row>
    <row r="227" spans="1:43" ht="15" customHeight="1" x14ac:dyDescent="0.3">
      <c r="A227" s="22"/>
      <c r="I227" s="21"/>
      <c r="J227" s="20"/>
      <c r="K227" s="3"/>
      <c r="L227" s="20"/>
      <c r="N227" s="12"/>
      <c r="O227" s="11"/>
      <c r="S227" s="10"/>
      <c r="U227" s="3"/>
      <c r="V227" s="3"/>
      <c r="X227" s="9"/>
      <c r="Z227" s="3"/>
      <c r="AA227" s="8"/>
      <c r="AB227" s="7"/>
      <c r="AC227" s="7"/>
      <c r="AD227" s="6"/>
      <c r="AE227" s="6"/>
      <c r="AF227" s="5"/>
      <c r="AG227" s="7"/>
      <c r="AH227" s="3"/>
      <c r="AI227" s="7"/>
      <c r="AJ227" s="7"/>
      <c r="AL227" s="3"/>
      <c r="AM227" s="3"/>
      <c r="AN227" s="3"/>
      <c r="AO227" s="3"/>
      <c r="AP227" s="9"/>
      <c r="AQ227" s="6"/>
    </row>
    <row r="228" spans="1:43" ht="15" customHeight="1" x14ac:dyDescent="0.3">
      <c r="A228" s="22"/>
      <c r="I228" s="21"/>
      <c r="J228" s="20"/>
      <c r="K228" s="3"/>
      <c r="L228" s="20"/>
      <c r="N228" s="12"/>
      <c r="O228" s="11"/>
      <c r="S228" s="10"/>
      <c r="U228" s="3"/>
      <c r="V228" s="3"/>
      <c r="X228" s="9"/>
      <c r="Z228" s="3"/>
      <c r="AA228" s="8"/>
      <c r="AB228" s="7"/>
      <c r="AC228" s="7"/>
      <c r="AD228" s="6"/>
      <c r="AE228" s="6"/>
      <c r="AF228" s="5"/>
      <c r="AG228" s="7"/>
      <c r="AH228" s="3"/>
      <c r="AI228" s="7"/>
      <c r="AJ228" s="7"/>
      <c r="AL228" s="3"/>
      <c r="AM228" s="3"/>
      <c r="AN228" s="3"/>
      <c r="AO228" s="3"/>
      <c r="AP228" s="9"/>
      <c r="AQ228" s="6"/>
    </row>
    <row r="229" spans="1:43" ht="15" customHeight="1" x14ac:dyDescent="0.3">
      <c r="A229" s="22"/>
      <c r="I229" s="21"/>
      <c r="J229" s="20"/>
      <c r="K229" s="3"/>
      <c r="L229" s="20"/>
      <c r="N229" s="12"/>
      <c r="O229" s="11"/>
      <c r="S229" s="10"/>
      <c r="U229" s="3"/>
      <c r="V229" s="3"/>
      <c r="X229" s="9"/>
      <c r="Z229" s="3"/>
      <c r="AA229" s="8"/>
      <c r="AB229" s="7"/>
      <c r="AC229" s="7"/>
      <c r="AD229" s="6"/>
      <c r="AE229" s="6"/>
      <c r="AF229" s="5"/>
      <c r="AG229" s="7"/>
      <c r="AH229" s="3"/>
      <c r="AI229" s="7"/>
      <c r="AJ229" s="7"/>
      <c r="AL229" s="3"/>
      <c r="AM229" s="3"/>
      <c r="AN229" s="3"/>
      <c r="AO229" s="3"/>
      <c r="AP229" s="9"/>
      <c r="AQ229" s="6"/>
    </row>
    <row r="230" spans="1:43" ht="15" customHeight="1" x14ac:dyDescent="0.3">
      <c r="A230" s="22"/>
      <c r="I230" s="21"/>
      <c r="J230" s="20"/>
      <c r="K230" s="3"/>
      <c r="L230" s="20"/>
      <c r="N230" s="12"/>
      <c r="O230" s="11"/>
      <c r="S230" s="10"/>
      <c r="U230" s="3"/>
      <c r="V230" s="3"/>
      <c r="X230" s="9"/>
      <c r="Z230" s="3"/>
      <c r="AA230" s="8"/>
      <c r="AB230" s="7"/>
      <c r="AC230" s="7"/>
      <c r="AD230" s="6"/>
      <c r="AE230" s="6"/>
      <c r="AF230" s="5"/>
      <c r="AG230" s="7"/>
      <c r="AH230" s="3"/>
      <c r="AI230" s="7"/>
      <c r="AJ230" s="7"/>
      <c r="AL230" s="3"/>
      <c r="AM230" s="3"/>
      <c r="AN230" s="3"/>
      <c r="AO230" s="3"/>
      <c r="AP230" s="9"/>
      <c r="AQ230" s="6"/>
    </row>
    <row r="231" spans="1:43" ht="15" customHeight="1" x14ac:dyDescent="0.3">
      <c r="A231" s="22"/>
      <c r="I231" s="21"/>
      <c r="J231" s="20"/>
      <c r="K231" s="3"/>
      <c r="L231" s="20"/>
      <c r="N231" s="12"/>
      <c r="O231" s="11"/>
      <c r="S231" s="10"/>
      <c r="U231" s="3"/>
      <c r="V231" s="3"/>
      <c r="X231" s="9"/>
      <c r="Z231" s="3"/>
      <c r="AA231" s="8"/>
      <c r="AB231" s="7"/>
      <c r="AC231" s="7"/>
      <c r="AD231" s="6"/>
      <c r="AE231" s="6"/>
      <c r="AF231" s="5"/>
      <c r="AG231" s="7"/>
      <c r="AH231" s="3"/>
      <c r="AI231" s="7"/>
      <c r="AJ231" s="7"/>
      <c r="AL231" s="3"/>
      <c r="AM231" s="3"/>
      <c r="AN231" s="3"/>
      <c r="AO231" s="3"/>
      <c r="AP231" s="9"/>
      <c r="AQ231" s="6"/>
    </row>
    <row r="232" spans="1:43" ht="15" customHeight="1" x14ac:dyDescent="0.3">
      <c r="A232" s="22"/>
      <c r="I232" s="21"/>
      <c r="J232" s="20"/>
      <c r="K232" s="3"/>
      <c r="L232" s="20"/>
      <c r="N232" s="12"/>
      <c r="O232" s="11"/>
      <c r="S232" s="10"/>
      <c r="U232" s="3"/>
      <c r="V232" s="3"/>
      <c r="X232" s="9"/>
      <c r="Z232" s="3"/>
      <c r="AA232" s="8"/>
      <c r="AB232" s="7"/>
      <c r="AC232" s="7"/>
      <c r="AD232" s="6"/>
      <c r="AE232" s="6"/>
      <c r="AF232" s="5"/>
      <c r="AG232" s="7"/>
      <c r="AH232" s="3"/>
      <c r="AI232" s="7"/>
      <c r="AJ232" s="7"/>
      <c r="AL232" s="3"/>
      <c r="AM232" s="3"/>
      <c r="AN232" s="3"/>
      <c r="AO232" s="3"/>
      <c r="AP232" s="9"/>
      <c r="AQ232" s="6"/>
    </row>
    <row r="233" spans="1:43" ht="15" customHeight="1" x14ac:dyDescent="0.3">
      <c r="A233" s="22"/>
      <c r="I233" s="21"/>
      <c r="J233" s="20"/>
      <c r="K233" s="3"/>
      <c r="L233" s="20"/>
      <c r="N233" s="12"/>
      <c r="O233" s="11"/>
      <c r="S233" s="10"/>
      <c r="U233" s="3"/>
      <c r="V233" s="3"/>
      <c r="X233" s="9"/>
      <c r="Z233" s="3"/>
      <c r="AA233" s="8"/>
      <c r="AB233" s="7"/>
      <c r="AC233" s="7"/>
      <c r="AD233" s="6"/>
      <c r="AE233" s="6"/>
      <c r="AF233" s="5"/>
      <c r="AG233" s="7"/>
      <c r="AH233" s="3"/>
      <c r="AI233" s="7"/>
      <c r="AJ233" s="7"/>
      <c r="AL233" s="3"/>
      <c r="AM233" s="3"/>
      <c r="AN233" s="3"/>
      <c r="AO233" s="3"/>
      <c r="AP233" s="9"/>
      <c r="AQ233" s="6"/>
    </row>
    <row r="234" spans="1:43" ht="15" customHeight="1" x14ac:dyDescent="0.3">
      <c r="A234" s="22"/>
      <c r="I234" s="21"/>
      <c r="J234" s="20"/>
      <c r="K234" s="3"/>
      <c r="L234" s="20"/>
      <c r="N234" s="12"/>
      <c r="O234" s="11"/>
      <c r="S234" s="10"/>
      <c r="U234" s="3"/>
      <c r="V234" s="3"/>
      <c r="X234" s="9"/>
      <c r="Z234" s="3"/>
      <c r="AA234" s="8"/>
      <c r="AB234" s="7"/>
      <c r="AC234" s="7"/>
      <c r="AD234" s="6"/>
      <c r="AE234" s="6"/>
      <c r="AF234" s="5"/>
      <c r="AG234" s="7"/>
      <c r="AH234" s="3"/>
      <c r="AI234" s="7"/>
      <c r="AJ234" s="7"/>
      <c r="AL234" s="3"/>
      <c r="AM234" s="3"/>
      <c r="AN234" s="3"/>
      <c r="AO234" s="3"/>
      <c r="AP234" s="9"/>
      <c r="AQ234" s="6"/>
    </row>
    <row r="235" spans="1:43" ht="15" customHeight="1" x14ac:dyDescent="0.3">
      <c r="A235" s="22"/>
      <c r="I235" s="21"/>
      <c r="J235" s="20"/>
      <c r="K235" s="3"/>
      <c r="L235" s="20"/>
      <c r="N235" s="12"/>
      <c r="O235" s="11"/>
      <c r="S235" s="10"/>
      <c r="U235" s="3"/>
      <c r="V235" s="3"/>
      <c r="X235" s="9"/>
      <c r="Z235" s="3"/>
      <c r="AA235" s="8"/>
      <c r="AB235" s="7"/>
      <c r="AC235" s="7"/>
      <c r="AD235" s="6"/>
      <c r="AE235" s="6"/>
      <c r="AF235" s="5"/>
      <c r="AG235" s="7"/>
      <c r="AH235" s="3"/>
      <c r="AI235" s="7"/>
      <c r="AJ235" s="7"/>
      <c r="AL235" s="3"/>
      <c r="AM235" s="3"/>
      <c r="AN235" s="3"/>
      <c r="AO235" s="3"/>
      <c r="AP235" s="9"/>
      <c r="AQ235" s="6"/>
    </row>
    <row r="236" spans="1:43" ht="15" customHeight="1" x14ac:dyDescent="0.3">
      <c r="A236" s="22"/>
      <c r="I236" s="21"/>
      <c r="J236" s="20"/>
      <c r="K236" s="3"/>
      <c r="L236" s="20"/>
      <c r="N236" s="12"/>
      <c r="O236" s="11"/>
      <c r="S236" s="10"/>
      <c r="U236" s="3"/>
      <c r="V236" s="3"/>
      <c r="X236" s="9"/>
      <c r="Z236" s="3"/>
      <c r="AA236" s="8"/>
      <c r="AB236" s="7"/>
      <c r="AC236" s="7"/>
      <c r="AD236" s="6"/>
      <c r="AE236" s="6"/>
      <c r="AF236" s="5"/>
      <c r="AG236" s="7"/>
      <c r="AH236" s="3"/>
      <c r="AI236" s="7"/>
      <c r="AJ236" s="7"/>
      <c r="AL236" s="3"/>
      <c r="AM236" s="3"/>
      <c r="AN236" s="3"/>
      <c r="AO236" s="3"/>
      <c r="AP236" s="9"/>
      <c r="AQ236" s="6"/>
    </row>
    <row r="237" spans="1:43" ht="15" customHeight="1" x14ac:dyDescent="0.3">
      <c r="A237" s="22"/>
      <c r="I237" s="21"/>
      <c r="J237" s="20"/>
      <c r="K237" s="3"/>
      <c r="L237" s="20"/>
      <c r="N237" s="12"/>
      <c r="O237" s="11"/>
      <c r="S237" s="10"/>
      <c r="U237" s="3"/>
      <c r="V237" s="3"/>
      <c r="X237" s="9"/>
      <c r="Z237" s="3"/>
      <c r="AA237" s="8"/>
      <c r="AB237" s="7"/>
      <c r="AC237" s="7"/>
      <c r="AD237" s="6"/>
      <c r="AE237" s="6"/>
      <c r="AF237" s="5"/>
      <c r="AG237" s="7"/>
      <c r="AH237" s="3"/>
      <c r="AI237" s="7"/>
      <c r="AJ237" s="7"/>
      <c r="AL237" s="3"/>
      <c r="AM237" s="3"/>
      <c r="AN237" s="3"/>
      <c r="AO237" s="3"/>
      <c r="AP237" s="9"/>
      <c r="AQ237" s="6"/>
    </row>
    <row r="238" spans="1:43" ht="15" customHeight="1" x14ac:dyDescent="0.3">
      <c r="A238" s="22"/>
      <c r="I238" s="21"/>
      <c r="J238" s="20"/>
      <c r="K238" s="3"/>
      <c r="L238" s="20"/>
      <c r="N238" s="12"/>
      <c r="O238" s="11"/>
      <c r="S238" s="10"/>
      <c r="U238" s="3"/>
      <c r="V238" s="3"/>
      <c r="X238" s="9"/>
      <c r="Z238" s="3"/>
      <c r="AA238" s="8"/>
      <c r="AB238" s="7"/>
      <c r="AC238" s="7"/>
      <c r="AD238" s="6"/>
      <c r="AE238" s="6"/>
      <c r="AF238" s="5"/>
      <c r="AG238" s="7"/>
      <c r="AH238" s="3"/>
      <c r="AI238" s="7"/>
      <c r="AJ238" s="7"/>
      <c r="AL238" s="3"/>
      <c r="AM238" s="3"/>
      <c r="AN238" s="3"/>
      <c r="AO238" s="3"/>
      <c r="AP238" s="9"/>
      <c r="AQ238" s="6"/>
    </row>
    <row r="239" spans="1:43" ht="15" customHeight="1" x14ac:dyDescent="0.3">
      <c r="A239" s="22"/>
      <c r="I239" s="21"/>
      <c r="J239" s="20"/>
      <c r="K239" s="3"/>
      <c r="L239" s="20"/>
      <c r="N239" s="12"/>
      <c r="O239" s="11"/>
      <c r="S239" s="10"/>
      <c r="U239" s="3"/>
      <c r="V239" s="3"/>
      <c r="X239" s="9"/>
      <c r="Z239" s="3"/>
      <c r="AA239" s="8"/>
      <c r="AB239" s="7"/>
      <c r="AC239" s="7"/>
      <c r="AD239" s="6"/>
      <c r="AE239" s="6"/>
      <c r="AF239" s="5"/>
      <c r="AG239" s="7"/>
      <c r="AH239" s="3"/>
      <c r="AI239" s="7"/>
      <c r="AJ239" s="7"/>
      <c r="AL239" s="3"/>
      <c r="AM239" s="3"/>
      <c r="AN239" s="3"/>
      <c r="AO239" s="3"/>
      <c r="AP239" s="9"/>
      <c r="AQ239" s="6"/>
    </row>
    <row r="240" spans="1:43" ht="15" customHeight="1" x14ac:dyDescent="0.3">
      <c r="A240" s="22"/>
      <c r="I240" s="21"/>
      <c r="J240" s="20"/>
      <c r="K240" s="3"/>
      <c r="L240" s="20"/>
      <c r="N240" s="12"/>
      <c r="O240" s="11"/>
      <c r="S240" s="10"/>
      <c r="U240" s="3"/>
      <c r="V240" s="3"/>
      <c r="X240" s="9"/>
      <c r="Z240" s="3"/>
      <c r="AA240" s="8"/>
      <c r="AB240" s="7"/>
      <c r="AC240" s="7"/>
      <c r="AD240" s="6"/>
      <c r="AE240" s="6"/>
      <c r="AF240" s="5"/>
      <c r="AG240" s="7"/>
      <c r="AH240" s="3"/>
      <c r="AI240" s="7"/>
      <c r="AJ240" s="7"/>
      <c r="AL240" s="3"/>
      <c r="AM240" s="3"/>
      <c r="AN240" s="3"/>
      <c r="AO240" s="3"/>
      <c r="AP240" s="9"/>
      <c r="AQ240" s="6"/>
    </row>
    <row r="241" spans="1:43" ht="15" customHeight="1" x14ac:dyDescent="0.3">
      <c r="A241" s="22"/>
      <c r="I241" s="21"/>
      <c r="J241" s="20"/>
      <c r="K241" s="3"/>
      <c r="L241" s="20"/>
      <c r="N241" s="12"/>
      <c r="O241" s="11"/>
      <c r="S241" s="10"/>
      <c r="U241" s="3"/>
      <c r="V241" s="3"/>
      <c r="X241" s="9"/>
      <c r="Z241" s="3"/>
      <c r="AA241" s="8"/>
      <c r="AB241" s="7"/>
      <c r="AC241" s="7"/>
      <c r="AD241" s="6"/>
      <c r="AE241" s="6"/>
      <c r="AF241" s="5"/>
      <c r="AG241" s="7"/>
      <c r="AH241" s="3"/>
      <c r="AI241" s="7"/>
      <c r="AJ241" s="7"/>
      <c r="AL241" s="3"/>
      <c r="AM241" s="3"/>
      <c r="AN241" s="3"/>
      <c r="AO241" s="3"/>
      <c r="AP241" s="9"/>
      <c r="AQ241" s="6"/>
    </row>
    <row r="242" spans="1:43" ht="15" customHeight="1" x14ac:dyDescent="0.3">
      <c r="A242" s="22"/>
      <c r="I242" s="21"/>
      <c r="J242" s="20"/>
      <c r="K242" s="3"/>
      <c r="L242" s="20"/>
      <c r="N242" s="12"/>
      <c r="O242" s="11"/>
      <c r="S242" s="10"/>
      <c r="U242" s="3"/>
      <c r="V242" s="3"/>
      <c r="X242" s="9"/>
      <c r="Z242" s="3"/>
      <c r="AA242" s="8"/>
      <c r="AB242" s="7"/>
      <c r="AC242" s="7"/>
      <c r="AD242" s="6"/>
      <c r="AE242" s="6"/>
      <c r="AF242" s="5"/>
      <c r="AG242" s="7"/>
      <c r="AH242" s="3"/>
      <c r="AI242" s="7"/>
      <c r="AJ242" s="7"/>
      <c r="AL242" s="3"/>
      <c r="AM242" s="3"/>
      <c r="AN242" s="3"/>
      <c r="AO242" s="3"/>
      <c r="AP242" s="9"/>
      <c r="AQ242" s="6"/>
    </row>
    <row r="243" spans="1:43" ht="15" customHeight="1" x14ac:dyDescent="0.3">
      <c r="A243" s="22"/>
      <c r="I243" s="21"/>
      <c r="J243" s="20"/>
      <c r="K243" s="3"/>
      <c r="L243" s="20"/>
      <c r="N243" s="12"/>
      <c r="O243" s="11"/>
      <c r="S243" s="10"/>
      <c r="U243" s="3"/>
      <c r="V243" s="3"/>
      <c r="X243" s="9"/>
      <c r="Z243" s="3"/>
      <c r="AA243" s="8"/>
      <c r="AB243" s="7"/>
      <c r="AC243" s="7"/>
      <c r="AD243" s="6"/>
      <c r="AE243" s="6"/>
      <c r="AF243" s="5"/>
      <c r="AG243" s="7"/>
      <c r="AH243" s="3"/>
      <c r="AI243" s="7"/>
      <c r="AJ243" s="7"/>
      <c r="AL243" s="3"/>
      <c r="AM243" s="3"/>
      <c r="AN243" s="3"/>
      <c r="AO243" s="3"/>
      <c r="AP243" s="9"/>
      <c r="AQ243" s="6"/>
    </row>
    <row r="244" spans="1:43" ht="15" customHeight="1" x14ac:dyDescent="0.3">
      <c r="A244" s="22"/>
      <c r="I244" s="21"/>
      <c r="J244" s="20"/>
      <c r="K244" s="3"/>
      <c r="L244" s="20"/>
      <c r="N244" s="12"/>
      <c r="O244" s="11"/>
      <c r="S244" s="10"/>
      <c r="U244" s="3"/>
      <c r="V244" s="3"/>
      <c r="X244" s="9"/>
      <c r="Z244" s="3"/>
      <c r="AA244" s="8"/>
      <c r="AB244" s="7"/>
      <c r="AC244" s="7"/>
      <c r="AD244" s="6"/>
      <c r="AE244" s="6"/>
      <c r="AF244" s="5"/>
      <c r="AG244" s="7"/>
      <c r="AH244" s="3"/>
      <c r="AI244" s="7"/>
      <c r="AJ244" s="7"/>
      <c r="AL244" s="3"/>
      <c r="AM244" s="3"/>
      <c r="AN244" s="3"/>
      <c r="AO244" s="3"/>
      <c r="AP244" s="9"/>
      <c r="AQ244" s="6"/>
    </row>
    <row r="245" spans="1:43" ht="15" customHeight="1" x14ac:dyDescent="0.3">
      <c r="A245" s="22"/>
      <c r="I245" s="21"/>
      <c r="J245" s="20"/>
      <c r="K245" s="3"/>
      <c r="L245" s="20"/>
      <c r="N245" s="12"/>
      <c r="O245" s="11"/>
      <c r="S245" s="10"/>
      <c r="U245" s="3"/>
      <c r="V245" s="3"/>
      <c r="X245" s="9"/>
      <c r="Z245" s="3"/>
      <c r="AA245" s="8"/>
      <c r="AB245" s="7"/>
      <c r="AC245" s="7"/>
      <c r="AD245" s="6"/>
      <c r="AE245" s="6"/>
      <c r="AF245" s="5"/>
      <c r="AG245" s="7"/>
      <c r="AH245" s="3"/>
      <c r="AI245" s="7"/>
      <c r="AJ245" s="7"/>
      <c r="AL245" s="3"/>
      <c r="AM245" s="3"/>
      <c r="AN245" s="3"/>
      <c r="AO245" s="3"/>
      <c r="AP245" s="9"/>
      <c r="AQ245" s="6"/>
    </row>
    <row r="246" spans="1:43" ht="15" customHeight="1" x14ac:dyDescent="0.3">
      <c r="A246" s="22"/>
      <c r="I246" s="21"/>
      <c r="J246" s="20"/>
      <c r="K246" s="3"/>
      <c r="L246" s="20"/>
      <c r="N246" s="12"/>
      <c r="O246" s="11"/>
      <c r="S246" s="10"/>
      <c r="U246" s="3"/>
      <c r="V246" s="3"/>
      <c r="X246" s="9"/>
      <c r="Z246" s="3"/>
      <c r="AA246" s="8"/>
      <c r="AB246" s="7"/>
      <c r="AC246" s="7"/>
      <c r="AD246" s="6"/>
      <c r="AE246" s="6"/>
      <c r="AF246" s="5"/>
      <c r="AG246" s="7"/>
      <c r="AH246" s="3"/>
      <c r="AI246" s="7"/>
      <c r="AJ246" s="7"/>
      <c r="AL246" s="3"/>
      <c r="AM246" s="3"/>
      <c r="AN246" s="3"/>
      <c r="AO246" s="3"/>
      <c r="AP246" s="9"/>
      <c r="AQ246" s="6"/>
    </row>
    <row r="247" spans="1:43" ht="15" customHeight="1" x14ac:dyDescent="0.3">
      <c r="A247" s="22"/>
      <c r="I247" s="21"/>
      <c r="J247" s="20"/>
      <c r="K247" s="3"/>
      <c r="L247" s="20"/>
      <c r="N247" s="12"/>
      <c r="O247" s="11"/>
      <c r="S247" s="10"/>
      <c r="U247" s="3"/>
      <c r="V247" s="3"/>
      <c r="X247" s="9"/>
      <c r="Z247" s="3"/>
      <c r="AA247" s="8"/>
      <c r="AB247" s="7"/>
      <c r="AC247" s="7"/>
      <c r="AD247" s="6"/>
      <c r="AE247" s="6"/>
      <c r="AF247" s="5"/>
      <c r="AG247" s="7"/>
      <c r="AH247" s="3"/>
      <c r="AI247" s="7"/>
      <c r="AJ247" s="7"/>
      <c r="AL247" s="3"/>
      <c r="AM247" s="3"/>
      <c r="AN247" s="3"/>
      <c r="AO247" s="3"/>
      <c r="AP247" s="9"/>
      <c r="AQ247" s="6"/>
    </row>
    <row r="248" spans="1:43" ht="15" customHeight="1" x14ac:dyDescent="0.3">
      <c r="A248" s="22"/>
      <c r="I248" s="21"/>
      <c r="J248" s="20"/>
      <c r="K248" s="3"/>
      <c r="L248" s="20"/>
      <c r="N248" s="12"/>
      <c r="O248" s="11"/>
      <c r="S248" s="10"/>
      <c r="U248" s="3"/>
      <c r="V248" s="3"/>
      <c r="X248" s="9"/>
      <c r="Z248" s="3"/>
      <c r="AA248" s="8"/>
      <c r="AB248" s="7"/>
      <c r="AC248" s="7"/>
      <c r="AD248" s="6"/>
      <c r="AE248" s="6"/>
      <c r="AF248" s="5"/>
      <c r="AG248" s="7"/>
      <c r="AH248" s="3"/>
      <c r="AI248" s="7"/>
      <c r="AJ248" s="7"/>
      <c r="AL248" s="3"/>
      <c r="AM248" s="3"/>
      <c r="AN248" s="3"/>
      <c r="AO248" s="3"/>
      <c r="AP248" s="9"/>
      <c r="AQ248" s="6"/>
    </row>
    <row r="249" spans="1:43" ht="15" customHeight="1" x14ac:dyDescent="0.3">
      <c r="A249" s="22"/>
      <c r="I249" s="21"/>
      <c r="J249" s="20"/>
      <c r="K249" s="3"/>
      <c r="L249" s="20"/>
      <c r="N249" s="12"/>
      <c r="O249" s="11"/>
      <c r="S249" s="10"/>
      <c r="U249" s="3"/>
      <c r="V249" s="3"/>
      <c r="X249" s="9"/>
      <c r="Z249" s="3"/>
      <c r="AA249" s="8"/>
      <c r="AB249" s="7"/>
      <c r="AC249" s="7"/>
      <c r="AD249" s="6"/>
      <c r="AE249" s="6"/>
      <c r="AF249" s="5"/>
      <c r="AG249" s="7"/>
      <c r="AH249" s="3"/>
      <c r="AI249" s="7"/>
      <c r="AJ249" s="7"/>
      <c r="AL249" s="3"/>
      <c r="AM249" s="3"/>
      <c r="AN249" s="3"/>
      <c r="AO249" s="3"/>
      <c r="AP249" s="9"/>
      <c r="AQ249" s="6"/>
    </row>
    <row r="250" spans="1:43" ht="15" customHeight="1" x14ac:dyDescent="0.3">
      <c r="A250" s="22"/>
      <c r="I250" s="21"/>
      <c r="J250" s="20"/>
      <c r="K250" s="3"/>
      <c r="L250" s="20"/>
      <c r="N250" s="12"/>
      <c r="O250" s="11"/>
      <c r="S250" s="10"/>
      <c r="U250" s="3"/>
      <c r="V250" s="3"/>
      <c r="X250" s="9"/>
      <c r="Z250" s="3"/>
      <c r="AA250" s="8"/>
      <c r="AB250" s="7"/>
      <c r="AC250" s="7"/>
      <c r="AD250" s="6"/>
      <c r="AE250" s="6"/>
      <c r="AF250" s="5"/>
      <c r="AG250" s="7"/>
      <c r="AH250" s="3"/>
      <c r="AI250" s="7"/>
      <c r="AJ250" s="7"/>
      <c r="AL250" s="3"/>
      <c r="AM250" s="3"/>
      <c r="AN250" s="3"/>
      <c r="AO250" s="3"/>
      <c r="AP250" s="9"/>
      <c r="AQ250" s="6"/>
    </row>
    <row r="251" spans="1:43" ht="15" customHeight="1" x14ac:dyDescent="0.3">
      <c r="A251" s="22"/>
      <c r="I251" s="21"/>
      <c r="J251" s="20"/>
      <c r="K251" s="3"/>
      <c r="L251" s="20"/>
      <c r="N251" s="12"/>
      <c r="O251" s="11"/>
      <c r="S251" s="10"/>
      <c r="U251" s="3"/>
      <c r="V251" s="3"/>
      <c r="X251" s="9"/>
      <c r="Z251" s="3"/>
      <c r="AA251" s="8"/>
      <c r="AB251" s="7"/>
      <c r="AC251" s="7"/>
      <c r="AD251" s="6"/>
      <c r="AE251" s="6"/>
      <c r="AF251" s="5"/>
      <c r="AG251" s="7"/>
      <c r="AH251" s="3"/>
      <c r="AI251" s="7"/>
      <c r="AJ251" s="7"/>
      <c r="AL251" s="3"/>
      <c r="AM251" s="3"/>
      <c r="AN251" s="3"/>
      <c r="AO251" s="3"/>
      <c r="AP251" s="9"/>
      <c r="AQ251" s="6"/>
    </row>
    <row r="252" spans="1:43" ht="15" customHeight="1" x14ac:dyDescent="0.3">
      <c r="A252" s="22"/>
      <c r="I252" s="21"/>
      <c r="J252" s="20"/>
      <c r="K252" s="3"/>
      <c r="L252" s="20"/>
      <c r="N252" s="12"/>
      <c r="O252" s="11"/>
      <c r="S252" s="10"/>
      <c r="U252" s="3"/>
      <c r="V252" s="3"/>
      <c r="X252" s="9"/>
      <c r="Z252" s="3"/>
      <c r="AA252" s="8"/>
      <c r="AB252" s="7"/>
      <c r="AC252" s="7"/>
      <c r="AD252" s="6"/>
      <c r="AE252" s="6"/>
      <c r="AF252" s="5"/>
      <c r="AG252" s="7"/>
      <c r="AH252" s="3"/>
      <c r="AI252" s="7"/>
      <c r="AJ252" s="7"/>
      <c r="AL252" s="3"/>
      <c r="AM252" s="3"/>
      <c r="AN252" s="3"/>
      <c r="AO252" s="3"/>
      <c r="AP252" s="9"/>
      <c r="AQ252" s="6"/>
    </row>
    <row r="253" spans="1:43" ht="15" customHeight="1" x14ac:dyDescent="0.3">
      <c r="A253" s="22"/>
      <c r="I253" s="21"/>
      <c r="J253" s="20"/>
      <c r="K253" s="3"/>
      <c r="L253" s="20"/>
      <c r="N253" s="12"/>
      <c r="O253" s="11"/>
      <c r="S253" s="10"/>
      <c r="U253" s="3"/>
      <c r="V253" s="3"/>
      <c r="X253" s="9"/>
      <c r="Z253" s="3"/>
      <c r="AA253" s="8"/>
      <c r="AB253" s="7"/>
      <c r="AC253" s="7"/>
      <c r="AD253" s="6"/>
      <c r="AE253" s="6"/>
      <c r="AF253" s="5"/>
      <c r="AG253" s="7"/>
      <c r="AH253" s="3"/>
      <c r="AI253" s="7"/>
      <c r="AJ253" s="7"/>
      <c r="AL253" s="3"/>
      <c r="AM253" s="3"/>
      <c r="AN253" s="3"/>
      <c r="AO253" s="3"/>
      <c r="AP253" s="9"/>
      <c r="AQ253" s="6"/>
    </row>
    <row r="254" spans="1:43" ht="15" customHeight="1" x14ac:dyDescent="0.3">
      <c r="A254" s="22"/>
      <c r="I254" s="21"/>
      <c r="J254" s="20"/>
      <c r="K254" s="3"/>
      <c r="L254" s="20"/>
      <c r="N254" s="12"/>
      <c r="O254" s="11"/>
      <c r="S254" s="10"/>
      <c r="U254" s="3"/>
      <c r="V254" s="3"/>
      <c r="X254" s="9"/>
      <c r="Z254" s="3"/>
      <c r="AA254" s="8"/>
      <c r="AB254" s="7"/>
      <c r="AC254" s="7"/>
      <c r="AD254" s="6"/>
      <c r="AE254" s="6"/>
      <c r="AF254" s="5"/>
      <c r="AG254" s="7"/>
      <c r="AH254" s="3"/>
      <c r="AI254" s="7"/>
      <c r="AJ254" s="7"/>
      <c r="AL254" s="3"/>
      <c r="AM254" s="3"/>
      <c r="AN254" s="3"/>
      <c r="AO254" s="3"/>
      <c r="AP254" s="9"/>
      <c r="AQ254" s="6"/>
    </row>
    <row r="255" spans="1:43" ht="15" customHeight="1" x14ac:dyDescent="0.3">
      <c r="A255" s="22"/>
      <c r="I255" s="21"/>
      <c r="J255" s="20"/>
      <c r="K255" s="3"/>
      <c r="L255" s="20"/>
      <c r="N255" s="12"/>
      <c r="O255" s="11"/>
      <c r="S255" s="10"/>
      <c r="U255" s="3"/>
      <c r="V255" s="3"/>
      <c r="X255" s="9"/>
      <c r="Z255" s="3"/>
      <c r="AA255" s="8"/>
      <c r="AB255" s="7"/>
      <c r="AC255" s="7"/>
      <c r="AD255" s="6"/>
      <c r="AE255" s="6"/>
      <c r="AF255" s="5"/>
      <c r="AG255" s="7"/>
      <c r="AH255" s="3"/>
      <c r="AI255" s="7"/>
      <c r="AJ255" s="7"/>
      <c r="AL255" s="3"/>
      <c r="AM255" s="3"/>
      <c r="AN255" s="3"/>
      <c r="AO255" s="3"/>
      <c r="AP255" s="9"/>
      <c r="AQ255" s="6"/>
    </row>
    <row r="256" spans="1:43" ht="15" customHeight="1" x14ac:dyDescent="0.3">
      <c r="A256" s="22"/>
      <c r="I256" s="21"/>
      <c r="J256" s="20"/>
      <c r="K256" s="3"/>
      <c r="L256" s="20"/>
      <c r="N256" s="12"/>
      <c r="O256" s="11"/>
      <c r="S256" s="10"/>
      <c r="U256" s="3"/>
      <c r="V256" s="3"/>
      <c r="X256" s="9"/>
      <c r="Z256" s="3"/>
      <c r="AA256" s="8"/>
      <c r="AB256" s="7"/>
      <c r="AC256" s="7"/>
      <c r="AD256" s="6"/>
      <c r="AE256" s="6"/>
      <c r="AF256" s="5"/>
      <c r="AG256" s="7"/>
      <c r="AH256" s="3"/>
      <c r="AI256" s="7"/>
      <c r="AJ256" s="7"/>
      <c r="AL256" s="3"/>
      <c r="AM256" s="3"/>
      <c r="AN256" s="3"/>
      <c r="AO256" s="3"/>
      <c r="AP256" s="9"/>
      <c r="AQ256" s="6"/>
    </row>
    <row r="257" spans="1:43" ht="15" customHeight="1" x14ac:dyDescent="0.3">
      <c r="A257" s="22"/>
      <c r="I257" s="21"/>
      <c r="J257" s="20"/>
      <c r="K257" s="3"/>
      <c r="L257" s="20"/>
      <c r="N257" s="12"/>
      <c r="O257" s="11"/>
      <c r="S257" s="10"/>
      <c r="U257" s="3"/>
      <c r="V257" s="3"/>
      <c r="X257" s="9"/>
      <c r="Z257" s="3"/>
      <c r="AA257" s="8"/>
      <c r="AB257" s="7"/>
      <c r="AC257" s="7"/>
      <c r="AD257" s="6"/>
      <c r="AE257" s="6"/>
      <c r="AF257" s="5"/>
      <c r="AG257" s="7"/>
      <c r="AH257" s="3"/>
      <c r="AI257" s="7"/>
      <c r="AJ257" s="7"/>
      <c r="AL257" s="3"/>
      <c r="AM257" s="3"/>
      <c r="AN257" s="3"/>
      <c r="AO257" s="3"/>
      <c r="AP257" s="9"/>
      <c r="AQ257" s="6"/>
    </row>
    <row r="258" spans="1:43" ht="15" customHeight="1" x14ac:dyDescent="0.3">
      <c r="A258" s="22"/>
      <c r="I258" s="21"/>
      <c r="J258" s="20"/>
      <c r="K258" s="3"/>
      <c r="L258" s="20"/>
      <c r="N258" s="12"/>
      <c r="O258" s="11"/>
      <c r="S258" s="10"/>
      <c r="U258" s="3"/>
      <c r="V258" s="3"/>
      <c r="X258" s="9"/>
      <c r="Z258" s="3"/>
      <c r="AA258" s="8"/>
      <c r="AB258" s="7"/>
      <c r="AC258" s="7"/>
      <c r="AD258" s="6"/>
      <c r="AE258" s="6"/>
      <c r="AF258" s="5"/>
      <c r="AG258" s="7"/>
      <c r="AH258" s="3"/>
      <c r="AI258" s="7"/>
      <c r="AJ258" s="7"/>
      <c r="AL258" s="3"/>
      <c r="AM258" s="3"/>
      <c r="AN258" s="3"/>
      <c r="AO258" s="3"/>
      <c r="AP258" s="9"/>
      <c r="AQ258" s="6"/>
    </row>
    <row r="259" spans="1:43" ht="15" customHeight="1" x14ac:dyDescent="0.3">
      <c r="A259" s="22"/>
      <c r="I259" s="21"/>
      <c r="J259" s="20"/>
      <c r="K259" s="3"/>
      <c r="L259" s="20"/>
      <c r="N259" s="12"/>
      <c r="O259" s="11"/>
      <c r="S259" s="10"/>
      <c r="U259" s="3"/>
      <c r="V259" s="3"/>
      <c r="X259" s="9"/>
      <c r="Z259" s="3"/>
      <c r="AA259" s="8"/>
      <c r="AB259" s="7"/>
      <c r="AC259" s="7"/>
      <c r="AD259" s="6"/>
      <c r="AE259" s="6"/>
      <c r="AF259" s="5"/>
      <c r="AG259" s="7"/>
      <c r="AH259" s="3"/>
      <c r="AI259" s="7"/>
      <c r="AJ259" s="7"/>
      <c r="AL259" s="3"/>
      <c r="AM259" s="3"/>
      <c r="AN259" s="3"/>
      <c r="AO259" s="3"/>
      <c r="AP259" s="9"/>
      <c r="AQ259" s="6"/>
    </row>
    <row r="260" spans="1:43" ht="15" customHeight="1" x14ac:dyDescent="0.3">
      <c r="A260" s="22"/>
      <c r="I260" s="21"/>
      <c r="J260" s="20"/>
      <c r="K260" s="3"/>
      <c r="L260" s="20"/>
      <c r="N260" s="12"/>
      <c r="O260" s="11"/>
      <c r="S260" s="10"/>
      <c r="U260" s="3"/>
      <c r="V260" s="3"/>
      <c r="X260" s="9"/>
      <c r="Z260" s="3"/>
      <c r="AA260" s="8"/>
      <c r="AB260" s="7"/>
      <c r="AC260" s="7"/>
      <c r="AD260" s="6"/>
      <c r="AE260" s="6"/>
      <c r="AF260" s="5"/>
      <c r="AG260" s="7"/>
      <c r="AH260" s="3"/>
      <c r="AI260" s="7"/>
      <c r="AJ260" s="7"/>
      <c r="AL260" s="3"/>
      <c r="AM260" s="3"/>
      <c r="AN260" s="3"/>
      <c r="AO260" s="3"/>
      <c r="AP260" s="9"/>
      <c r="AQ260" s="6"/>
    </row>
    <row r="261" spans="1:43" ht="15" customHeight="1" x14ac:dyDescent="0.3">
      <c r="A261" s="22"/>
      <c r="I261" s="21"/>
      <c r="J261" s="20"/>
      <c r="K261" s="3"/>
      <c r="L261" s="20"/>
      <c r="N261" s="12"/>
      <c r="O261" s="11"/>
      <c r="S261" s="10"/>
      <c r="U261" s="3"/>
      <c r="V261" s="3"/>
      <c r="X261" s="9"/>
      <c r="Z261" s="3"/>
      <c r="AA261" s="8"/>
      <c r="AB261" s="7"/>
      <c r="AC261" s="7"/>
      <c r="AD261" s="6"/>
      <c r="AE261" s="6"/>
      <c r="AF261" s="5"/>
      <c r="AG261" s="7"/>
      <c r="AH261" s="3"/>
      <c r="AI261" s="7"/>
      <c r="AJ261" s="7"/>
      <c r="AL261" s="3"/>
      <c r="AM261" s="3"/>
      <c r="AN261" s="3"/>
      <c r="AO261" s="3"/>
      <c r="AP261" s="9"/>
      <c r="AQ261" s="6"/>
    </row>
    <row r="262" spans="1:43" ht="15" customHeight="1" x14ac:dyDescent="0.3">
      <c r="A262" s="22"/>
      <c r="I262" s="21"/>
      <c r="J262" s="20"/>
      <c r="K262" s="3"/>
      <c r="L262" s="20"/>
      <c r="N262" s="12"/>
      <c r="O262" s="11"/>
      <c r="S262" s="10"/>
      <c r="U262" s="3"/>
      <c r="V262" s="3"/>
      <c r="X262" s="9"/>
      <c r="Z262" s="3"/>
      <c r="AA262" s="8"/>
      <c r="AB262" s="7"/>
      <c r="AC262" s="7"/>
      <c r="AD262" s="6"/>
      <c r="AE262" s="6"/>
      <c r="AF262" s="5"/>
      <c r="AG262" s="7"/>
      <c r="AH262" s="3"/>
      <c r="AI262" s="7"/>
      <c r="AJ262" s="7"/>
      <c r="AL262" s="3"/>
      <c r="AM262" s="3"/>
      <c r="AN262" s="3"/>
      <c r="AO262" s="3"/>
      <c r="AP262" s="9"/>
      <c r="AQ262" s="6"/>
    </row>
    <row r="263" spans="1:43" ht="15" customHeight="1" x14ac:dyDescent="0.3">
      <c r="A263" s="22"/>
      <c r="I263" s="21"/>
      <c r="J263" s="20"/>
      <c r="K263" s="3"/>
      <c r="L263" s="20"/>
      <c r="N263" s="12"/>
      <c r="O263" s="11"/>
      <c r="S263" s="10"/>
      <c r="U263" s="3"/>
      <c r="V263" s="3"/>
      <c r="X263" s="9"/>
      <c r="Z263" s="3"/>
      <c r="AA263" s="8"/>
      <c r="AB263" s="7"/>
      <c r="AC263" s="7"/>
      <c r="AD263" s="6"/>
      <c r="AE263" s="6"/>
      <c r="AF263" s="5"/>
      <c r="AG263" s="7"/>
      <c r="AH263" s="3"/>
      <c r="AI263" s="7"/>
      <c r="AJ263" s="7"/>
      <c r="AL263" s="3"/>
      <c r="AM263" s="3"/>
      <c r="AN263" s="3"/>
      <c r="AO263" s="3"/>
      <c r="AP263" s="9"/>
      <c r="AQ263" s="6"/>
    </row>
    <row r="264" spans="1:43" ht="15" customHeight="1" x14ac:dyDescent="0.3">
      <c r="A264" s="22"/>
      <c r="I264" s="21"/>
      <c r="J264" s="20"/>
      <c r="K264" s="3"/>
      <c r="L264" s="20"/>
      <c r="N264" s="12"/>
      <c r="O264" s="11"/>
      <c r="S264" s="10"/>
      <c r="U264" s="3"/>
      <c r="V264" s="3"/>
      <c r="X264" s="9"/>
      <c r="Z264" s="3"/>
      <c r="AA264" s="8"/>
      <c r="AB264" s="7"/>
      <c r="AC264" s="7"/>
      <c r="AD264" s="6"/>
      <c r="AE264" s="6"/>
      <c r="AF264" s="5"/>
      <c r="AG264" s="7"/>
      <c r="AH264" s="3"/>
      <c r="AI264" s="7"/>
      <c r="AJ264" s="7"/>
      <c r="AL264" s="3"/>
      <c r="AM264" s="3"/>
      <c r="AN264" s="3"/>
      <c r="AO264" s="3"/>
      <c r="AP264" s="9"/>
      <c r="AQ264" s="6"/>
    </row>
    <row r="265" spans="1:43" ht="15" customHeight="1" x14ac:dyDescent="0.3">
      <c r="A265" s="22"/>
      <c r="I265" s="21"/>
      <c r="J265" s="20"/>
      <c r="K265" s="3"/>
      <c r="L265" s="20"/>
      <c r="N265" s="12"/>
      <c r="O265" s="11"/>
      <c r="S265" s="10"/>
      <c r="U265" s="3"/>
      <c r="V265" s="3"/>
      <c r="X265" s="9"/>
      <c r="Z265" s="3"/>
      <c r="AA265" s="8"/>
      <c r="AB265" s="7"/>
      <c r="AC265" s="7"/>
      <c r="AD265" s="6"/>
      <c r="AE265" s="6"/>
      <c r="AF265" s="5"/>
      <c r="AG265" s="7"/>
      <c r="AH265" s="3"/>
      <c r="AI265" s="7"/>
      <c r="AJ265" s="7"/>
      <c r="AL265" s="3"/>
      <c r="AM265" s="3"/>
      <c r="AN265" s="3"/>
      <c r="AO265" s="3"/>
      <c r="AP265" s="9"/>
      <c r="AQ265" s="6"/>
    </row>
    <row r="266" spans="1:43" ht="15" customHeight="1" x14ac:dyDescent="0.3">
      <c r="A266" s="22"/>
      <c r="I266" s="21"/>
      <c r="J266" s="20"/>
      <c r="K266" s="3"/>
      <c r="L266" s="20"/>
      <c r="N266" s="12"/>
      <c r="O266" s="11"/>
      <c r="S266" s="10"/>
      <c r="U266" s="3"/>
      <c r="V266" s="3"/>
      <c r="X266" s="9"/>
      <c r="Z266" s="3"/>
      <c r="AA266" s="8"/>
      <c r="AB266" s="7"/>
      <c r="AC266" s="7"/>
      <c r="AD266" s="6"/>
      <c r="AE266" s="6"/>
      <c r="AF266" s="5"/>
      <c r="AG266" s="7"/>
      <c r="AH266" s="3"/>
      <c r="AI266" s="7"/>
      <c r="AJ266" s="7"/>
      <c r="AL266" s="3"/>
      <c r="AM266" s="3"/>
      <c r="AN266" s="3"/>
      <c r="AO266" s="3"/>
      <c r="AP266" s="9"/>
      <c r="AQ266" s="6"/>
    </row>
    <row r="267" spans="1:43" ht="15" customHeight="1" x14ac:dyDescent="0.3">
      <c r="A267" s="22"/>
      <c r="I267" s="21"/>
      <c r="J267" s="20"/>
      <c r="K267" s="3"/>
      <c r="L267" s="20"/>
      <c r="N267" s="12"/>
      <c r="O267" s="11"/>
      <c r="S267" s="10"/>
      <c r="U267" s="3"/>
      <c r="V267" s="3"/>
      <c r="X267" s="9"/>
      <c r="Z267" s="3"/>
      <c r="AA267" s="8"/>
      <c r="AB267" s="7"/>
      <c r="AC267" s="7"/>
      <c r="AD267" s="6"/>
      <c r="AE267" s="6"/>
      <c r="AF267" s="5"/>
      <c r="AG267" s="7"/>
      <c r="AH267" s="3"/>
      <c r="AI267" s="7"/>
      <c r="AJ267" s="7"/>
      <c r="AL267" s="3"/>
      <c r="AM267" s="3"/>
      <c r="AN267" s="3"/>
      <c r="AO267" s="3"/>
      <c r="AP267" s="9"/>
      <c r="AQ267" s="6"/>
    </row>
    <row r="268" spans="1:43" ht="15" customHeight="1" x14ac:dyDescent="0.3">
      <c r="A268" s="22"/>
      <c r="I268" s="21"/>
      <c r="J268" s="20"/>
      <c r="K268" s="3"/>
      <c r="L268" s="20"/>
      <c r="N268" s="12"/>
      <c r="O268" s="11"/>
      <c r="S268" s="10"/>
      <c r="U268" s="3"/>
      <c r="V268" s="3"/>
      <c r="X268" s="9"/>
      <c r="Z268" s="3"/>
      <c r="AA268" s="8"/>
      <c r="AB268" s="7"/>
      <c r="AC268" s="7"/>
      <c r="AD268" s="6"/>
      <c r="AE268" s="6"/>
      <c r="AF268" s="5"/>
      <c r="AG268" s="7"/>
      <c r="AH268" s="3"/>
      <c r="AI268" s="7"/>
      <c r="AJ268" s="7"/>
      <c r="AL268" s="3"/>
      <c r="AM268" s="3"/>
      <c r="AN268" s="3"/>
      <c r="AO268" s="3"/>
      <c r="AP268" s="9"/>
      <c r="AQ268" s="6"/>
    </row>
    <row r="269" spans="1:43" ht="15" customHeight="1" x14ac:dyDescent="0.3">
      <c r="A269" s="22"/>
      <c r="I269" s="21"/>
      <c r="J269" s="20"/>
      <c r="K269" s="3"/>
      <c r="L269" s="20"/>
      <c r="N269" s="12"/>
      <c r="O269" s="11"/>
      <c r="S269" s="10"/>
      <c r="U269" s="3"/>
      <c r="V269" s="3"/>
      <c r="X269" s="9"/>
      <c r="Z269" s="3"/>
      <c r="AA269" s="8"/>
      <c r="AB269" s="7"/>
      <c r="AC269" s="7"/>
      <c r="AD269" s="6"/>
      <c r="AE269" s="6"/>
      <c r="AF269" s="5"/>
      <c r="AG269" s="7"/>
      <c r="AH269" s="3"/>
      <c r="AI269" s="7"/>
      <c r="AJ269" s="7"/>
      <c r="AL269" s="3"/>
      <c r="AM269" s="3"/>
      <c r="AN269" s="3"/>
      <c r="AO269" s="3"/>
      <c r="AP269" s="9"/>
      <c r="AQ269" s="6"/>
    </row>
    <row r="270" spans="1:43" ht="15" customHeight="1" x14ac:dyDescent="0.3">
      <c r="A270" s="22"/>
      <c r="I270" s="21"/>
      <c r="J270" s="20"/>
      <c r="K270" s="3"/>
      <c r="L270" s="20"/>
      <c r="N270" s="12"/>
      <c r="O270" s="11"/>
      <c r="S270" s="10"/>
      <c r="U270" s="3"/>
      <c r="V270" s="3"/>
      <c r="X270" s="9"/>
      <c r="Z270" s="3"/>
      <c r="AA270" s="8"/>
      <c r="AB270" s="7"/>
      <c r="AC270" s="7"/>
      <c r="AD270" s="6"/>
      <c r="AE270" s="6"/>
      <c r="AF270" s="5"/>
      <c r="AG270" s="7"/>
      <c r="AH270" s="3"/>
      <c r="AI270" s="7"/>
      <c r="AJ270" s="7"/>
      <c r="AL270" s="3"/>
      <c r="AM270" s="3"/>
      <c r="AN270" s="3"/>
      <c r="AO270" s="3"/>
      <c r="AP270" s="9"/>
      <c r="AQ270" s="6"/>
    </row>
    <row r="271" spans="1:43" ht="15" customHeight="1" x14ac:dyDescent="0.3">
      <c r="A271" s="22"/>
      <c r="I271" s="21"/>
      <c r="J271" s="20"/>
      <c r="K271" s="3"/>
      <c r="L271" s="20"/>
      <c r="N271" s="12"/>
      <c r="O271" s="11"/>
      <c r="S271" s="10"/>
      <c r="U271" s="3"/>
      <c r="V271" s="3"/>
      <c r="X271" s="9"/>
      <c r="Z271" s="3"/>
      <c r="AA271" s="8"/>
      <c r="AB271" s="7"/>
      <c r="AC271" s="7"/>
      <c r="AD271" s="6"/>
      <c r="AE271" s="6"/>
      <c r="AF271" s="5"/>
      <c r="AG271" s="7"/>
      <c r="AH271" s="3"/>
      <c r="AI271" s="7"/>
      <c r="AJ271" s="7"/>
      <c r="AL271" s="3"/>
      <c r="AM271" s="3"/>
      <c r="AN271" s="3"/>
      <c r="AO271" s="3"/>
      <c r="AP271" s="9"/>
      <c r="AQ271" s="6"/>
    </row>
    <row r="272" spans="1:43" ht="15" customHeight="1" x14ac:dyDescent="0.3">
      <c r="A272" s="22"/>
      <c r="I272" s="21"/>
      <c r="J272" s="20"/>
      <c r="K272" s="3"/>
      <c r="L272" s="20"/>
      <c r="N272" s="12"/>
      <c r="O272" s="11"/>
      <c r="S272" s="10"/>
      <c r="U272" s="3"/>
      <c r="V272" s="3"/>
      <c r="X272" s="9"/>
      <c r="Z272" s="3"/>
      <c r="AA272" s="8"/>
      <c r="AB272" s="7"/>
      <c r="AC272" s="7"/>
      <c r="AD272" s="6"/>
      <c r="AE272" s="6"/>
      <c r="AF272" s="5"/>
      <c r="AG272" s="7"/>
      <c r="AH272" s="3"/>
      <c r="AI272" s="7"/>
      <c r="AJ272" s="7"/>
      <c r="AL272" s="3"/>
      <c r="AM272" s="3"/>
      <c r="AN272" s="3"/>
      <c r="AO272" s="3"/>
      <c r="AP272" s="9"/>
      <c r="AQ272" s="6"/>
    </row>
    <row r="273" spans="1:43" ht="15" customHeight="1" x14ac:dyDescent="0.3">
      <c r="A273" s="22"/>
      <c r="I273" s="21"/>
      <c r="J273" s="20"/>
      <c r="K273" s="3"/>
      <c r="L273" s="20"/>
      <c r="N273" s="12"/>
      <c r="O273" s="11"/>
      <c r="S273" s="10"/>
      <c r="U273" s="3"/>
      <c r="V273" s="3"/>
      <c r="X273" s="9"/>
      <c r="Z273" s="3"/>
      <c r="AA273" s="8"/>
      <c r="AB273" s="7"/>
      <c r="AC273" s="7"/>
      <c r="AD273" s="6"/>
      <c r="AE273" s="6"/>
      <c r="AF273" s="5"/>
      <c r="AG273" s="7"/>
      <c r="AH273" s="3"/>
      <c r="AI273" s="7"/>
      <c r="AJ273" s="7"/>
      <c r="AL273" s="3"/>
      <c r="AM273" s="3"/>
      <c r="AN273" s="3"/>
      <c r="AO273" s="3"/>
      <c r="AP273" s="9"/>
      <c r="AQ273" s="6"/>
    </row>
    <row r="274" spans="1:43" ht="15" customHeight="1" x14ac:dyDescent="0.3">
      <c r="A274" s="22"/>
      <c r="I274" s="21"/>
      <c r="J274" s="20"/>
      <c r="K274" s="3"/>
      <c r="L274" s="20"/>
      <c r="N274" s="12"/>
      <c r="O274" s="11"/>
      <c r="S274" s="10"/>
      <c r="U274" s="3"/>
      <c r="V274" s="3"/>
      <c r="X274" s="9"/>
      <c r="Z274" s="3"/>
      <c r="AA274" s="8"/>
      <c r="AB274" s="7"/>
      <c r="AC274" s="7"/>
      <c r="AD274" s="6"/>
      <c r="AE274" s="6"/>
      <c r="AF274" s="5"/>
      <c r="AG274" s="7"/>
      <c r="AH274" s="3"/>
      <c r="AI274" s="7"/>
      <c r="AJ274" s="7"/>
      <c r="AL274" s="3"/>
      <c r="AM274" s="3"/>
      <c r="AN274" s="3"/>
      <c r="AO274" s="3"/>
      <c r="AP274" s="9"/>
      <c r="AQ274" s="6"/>
    </row>
    <row r="275" spans="1:43" ht="15" customHeight="1" x14ac:dyDescent="0.3">
      <c r="A275" s="22"/>
      <c r="I275" s="21"/>
      <c r="J275" s="20"/>
      <c r="K275" s="3"/>
      <c r="L275" s="20"/>
      <c r="N275" s="12"/>
      <c r="O275" s="11"/>
      <c r="S275" s="10"/>
      <c r="U275" s="3"/>
      <c r="V275" s="3"/>
      <c r="X275" s="9"/>
      <c r="Z275" s="3"/>
      <c r="AA275" s="8"/>
      <c r="AB275" s="7"/>
      <c r="AC275" s="7"/>
      <c r="AD275" s="6"/>
      <c r="AE275" s="6"/>
      <c r="AF275" s="5"/>
      <c r="AG275" s="7"/>
      <c r="AH275" s="3"/>
      <c r="AI275" s="7"/>
      <c r="AJ275" s="7"/>
      <c r="AL275" s="3"/>
      <c r="AM275" s="3"/>
      <c r="AN275" s="3"/>
      <c r="AO275" s="3"/>
      <c r="AP275" s="9"/>
      <c r="AQ275" s="6"/>
    </row>
    <row r="276" spans="1:43" ht="15" customHeight="1" x14ac:dyDescent="0.3">
      <c r="A276" s="22"/>
      <c r="I276" s="21"/>
      <c r="J276" s="20"/>
      <c r="K276" s="3"/>
      <c r="L276" s="20"/>
      <c r="N276" s="12"/>
      <c r="O276" s="11"/>
      <c r="S276" s="10"/>
      <c r="U276" s="3"/>
      <c r="V276" s="3"/>
      <c r="X276" s="9"/>
      <c r="Z276" s="3"/>
      <c r="AA276" s="8"/>
      <c r="AB276" s="7"/>
      <c r="AC276" s="7"/>
      <c r="AD276" s="6"/>
      <c r="AE276" s="6"/>
      <c r="AF276" s="5"/>
      <c r="AG276" s="7"/>
      <c r="AH276" s="3"/>
      <c r="AI276" s="7"/>
      <c r="AJ276" s="7"/>
      <c r="AL276" s="3"/>
      <c r="AM276" s="3"/>
      <c r="AN276" s="3"/>
      <c r="AO276" s="3"/>
      <c r="AP276" s="9"/>
      <c r="AQ276" s="6"/>
    </row>
    <row r="277" spans="1:43" ht="15" customHeight="1" x14ac:dyDescent="0.3">
      <c r="A277" s="22"/>
      <c r="I277" s="21"/>
      <c r="J277" s="20"/>
      <c r="K277" s="3"/>
      <c r="L277" s="20"/>
      <c r="N277" s="12"/>
      <c r="O277" s="11"/>
      <c r="S277" s="10"/>
      <c r="U277" s="3"/>
      <c r="V277" s="3"/>
      <c r="X277" s="9"/>
      <c r="Z277" s="3"/>
      <c r="AA277" s="8"/>
      <c r="AB277" s="7"/>
      <c r="AC277" s="7"/>
      <c r="AD277" s="6"/>
      <c r="AE277" s="6"/>
      <c r="AF277" s="5"/>
      <c r="AG277" s="7"/>
      <c r="AH277" s="3"/>
      <c r="AI277" s="7"/>
      <c r="AJ277" s="7"/>
      <c r="AL277" s="3"/>
      <c r="AM277" s="3"/>
      <c r="AN277" s="3"/>
      <c r="AO277" s="3"/>
      <c r="AP277" s="9"/>
      <c r="AQ277" s="6"/>
    </row>
    <row r="278" spans="1:43" ht="15" customHeight="1" x14ac:dyDescent="0.3">
      <c r="A278" s="22"/>
      <c r="I278" s="21"/>
      <c r="J278" s="20"/>
      <c r="K278" s="3"/>
      <c r="L278" s="20"/>
      <c r="N278" s="12"/>
      <c r="O278" s="11"/>
      <c r="S278" s="10"/>
      <c r="U278" s="3"/>
      <c r="V278" s="3"/>
      <c r="X278" s="9"/>
      <c r="Z278" s="3"/>
      <c r="AA278" s="8"/>
      <c r="AB278" s="7"/>
      <c r="AC278" s="7"/>
      <c r="AD278" s="6"/>
      <c r="AE278" s="6"/>
      <c r="AF278" s="5"/>
      <c r="AG278" s="7"/>
      <c r="AH278" s="3"/>
      <c r="AI278" s="7"/>
      <c r="AJ278" s="7"/>
      <c r="AL278" s="3"/>
      <c r="AM278" s="3"/>
      <c r="AN278" s="3"/>
      <c r="AO278" s="3"/>
      <c r="AP278" s="9"/>
      <c r="AQ278" s="6"/>
    </row>
    <row r="279" spans="1:43" ht="15" customHeight="1" x14ac:dyDescent="0.3">
      <c r="A279" s="22"/>
      <c r="I279" s="21"/>
      <c r="J279" s="20"/>
      <c r="K279" s="3"/>
      <c r="L279" s="20"/>
      <c r="N279" s="12"/>
      <c r="O279" s="11"/>
      <c r="S279" s="10"/>
      <c r="U279" s="3"/>
      <c r="V279" s="3"/>
      <c r="X279" s="9"/>
      <c r="Z279" s="3"/>
      <c r="AA279" s="8"/>
      <c r="AB279" s="7"/>
      <c r="AC279" s="7"/>
      <c r="AD279" s="6"/>
      <c r="AE279" s="6"/>
      <c r="AF279" s="5"/>
      <c r="AG279" s="7"/>
      <c r="AH279" s="3"/>
      <c r="AI279" s="7"/>
      <c r="AJ279" s="7"/>
      <c r="AL279" s="3"/>
      <c r="AM279" s="3"/>
      <c r="AN279" s="3"/>
      <c r="AO279" s="3"/>
      <c r="AP279" s="9"/>
      <c r="AQ279" s="6"/>
    </row>
    <row r="280" spans="1:43" ht="15" customHeight="1" x14ac:dyDescent="0.3">
      <c r="A280" s="22"/>
      <c r="I280" s="21"/>
      <c r="J280" s="20"/>
      <c r="K280" s="3"/>
      <c r="L280" s="20"/>
      <c r="N280" s="12"/>
      <c r="O280" s="11"/>
      <c r="S280" s="10"/>
      <c r="U280" s="3"/>
      <c r="V280" s="3"/>
      <c r="X280" s="9"/>
      <c r="Z280" s="3"/>
      <c r="AA280" s="8"/>
      <c r="AB280" s="7"/>
      <c r="AC280" s="7"/>
      <c r="AD280" s="6"/>
      <c r="AE280" s="6"/>
      <c r="AF280" s="5"/>
      <c r="AG280" s="7"/>
      <c r="AH280" s="3"/>
      <c r="AI280" s="7"/>
      <c r="AJ280" s="7"/>
      <c r="AL280" s="3"/>
      <c r="AM280" s="3"/>
      <c r="AN280" s="3"/>
      <c r="AO280" s="3"/>
      <c r="AP280" s="9"/>
      <c r="AQ280" s="6"/>
    </row>
    <row r="281" spans="1:43" ht="15" customHeight="1" x14ac:dyDescent="0.3">
      <c r="A281" s="22"/>
      <c r="I281" s="21"/>
      <c r="J281" s="20"/>
      <c r="K281" s="3"/>
      <c r="L281" s="20"/>
      <c r="N281" s="12"/>
      <c r="O281" s="11"/>
      <c r="S281" s="10"/>
      <c r="U281" s="3"/>
      <c r="V281" s="3"/>
      <c r="X281" s="9"/>
      <c r="Z281" s="3"/>
      <c r="AA281" s="8"/>
      <c r="AB281" s="7"/>
      <c r="AC281" s="7"/>
      <c r="AD281" s="6"/>
      <c r="AE281" s="6"/>
      <c r="AF281" s="5"/>
      <c r="AG281" s="7"/>
      <c r="AH281" s="3"/>
      <c r="AI281" s="7"/>
      <c r="AJ281" s="7"/>
      <c r="AL281" s="3"/>
      <c r="AM281" s="3"/>
      <c r="AN281" s="3"/>
      <c r="AO281" s="3"/>
      <c r="AP281" s="9"/>
      <c r="AQ281" s="6"/>
    </row>
    <row r="282" spans="1:43" ht="15" customHeight="1" x14ac:dyDescent="0.3">
      <c r="A282" s="22"/>
      <c r="I282" s="21"/>
      <c r="J282" s="20"/>
      <c r="K282" s="3"/>
      <c r="L282" s="20"/>
      <c r="N282" s="12"/>
      <c r="O282" s="11"/>
      <c r="S282" s="10"/>
      <c r="U282" s="3"/>
      <c r="V282" s="3"/>
      <c r="X282" s="9"/>
      <c r="Z282" s="3"/>
      <c r="AA282" s="8"/>
      <c r="AB282" s="7"/>
      <c r="AC282" s="7"/>
      <c r="AD282" s="6"/>
      <c r="AE282" s="6"/>
      <c r="AF282" s="5"/>
      <c r="AG282" s="7"/>
      <c r="AH282" s="3"/>
      <c r="AI282" s="7"/>
      <c r="AJ282" s="7"/>
      <c r="AL282" s="3"/>
      <c r="AM282" s="3"/>
      <c r="AN282" s="3"/>
      <c r="AO282" s="3"/>
      <c r="AP282" s="9"/>
      <c r="AQ282" s="6"/>
    </row>
    <row r="283" spans="1:43" ht="15" customHeight="1" x14ac:dyDescent="0.3">
      <c r="A283" s="22"/>
      <c r="I283" s="21"/>
      <c r="J283" s="20"/>
      <c r="K283" s="3"/>
      <c r="L283" s="20"/>
      <c r="N283" s="12"/>
      <c r="O283" s="11"/>
      <c r="S283" s="10"/>
      <c r="U283" s="3"/>
      <c r="V283" s="3"/>
      <c r="X283" s="9"/>
      <c r="Z283" s="3"/>
      <c r="AA283" s="8"/>
      <c r="AB283" s="7"/>
      <c r="AC283" s="7"/>
      <c r="AD283" s="6"/>
      <c r="AE283" s="6"/>
      <c r="AF283" s="5"/>
      <c r="AG283" s="7"/>
      <c r="AH283" s="3"/>
      <c r="AI283" s="7"/>
      <c r="AJ283" s="7"/>
      <c r="AL283" s="3"/>
      <c r="AM283" s="3"/>
      <c r="AN283" s="3"/>
      <c r="AO283" s="3"/>
      <c r="AP283" s="9"/>
      <c r="AQ283" s="6"/>
    </row>
    <row r="284" spans="1:43" ht="15" customHeight="1" x14ac:dyDescent="0.3">
      <c r="A284" s="22"/>
      <c r="I284" s="21"/>
      <c r="J284" s="20"/>
      <c r="K284" s="3"/>
      <c r="L284" s="20"/>
      <c r="N284" s="12"/>
      <c r="O284" s="11"/>
      <c r="S284" s="10"/>
      <c r="U284" s="3"/>
      <c r="V284" s="3"/>
      <c r="X284" s="9"/>
      <c r="Z284" s="3"/>
      <c r="AA284" s="8"/>
      <c r="AB284" s="7"/>
      <c r="AC284" s="7"/>
      <c r="AD284" s="6"/>
      <c r="AE284" s="6"/>
      <c r="AF284" s="5"/>
      <c r="AG284" s="7"/>
      <c r="AH284" s="3"/>
      <c r="AI284" s="7"/>
      <c r="AJ284" s="7"/>
      <c r="AL284" s="3"/>
      <c r="AM284" s="3"/>
      <c r="AN284" s="3"/>
      <c r="AO284" s="3"/>
      <c r="AP284" s="9"/>
      <c r="AQ284" s="6"/>
    </row>
    <row r="285" spans="1:43" ht="15" customHeight="1" x14ac:dyDescent="0.3">
      <c r="A285" s="22"/>
      <c r="I285" s="21"/>
      <c r="J285" s="20"/>
      <c r="K285" s="3"/>
      <c r="L285" s="20"/>
      <c r="N285" s="12"/>
      <c r="O285" s="11"/>
      <c r="S285" s="10"/>
      <c r="U285" s="3"/>
      <c r="V285" s="3"/>
      <c r="X285" s="9"/>
      <c r="Z285" s="3"/>
      <c r="AA285" s="8"/>
      <c r="AB285" s="7"/>
      <c r="AC285" s="7"/>
      <c r="AD285" s="6"/>
      <c r="AE285" s="6"/>
      <c r="AF285" s="5"/>
      <c r="AG285" s="7"/>
      <c r="AH285" s="3"/>
      <c r="AI285" s="7"/>
      <c r="AJ285" s="7"/>
      <c r="AL285" s="3"/>
      <c r="AM285" s="3"/>
      <c r="AN285" s="3"/>
      <c r="AO285" s="3"/>
      <c r="AP285" s="9"/>
      <c r="AQ285" s="6"/>
    </row>
    <row r="286" spans="1:43" ht="15" customHeight="1" x14ac:dyDescent="0.3">
      <c r="A286" s="22"/>
      <c r="I286" s="21"/>
      <c r="J286" s="20"/>
      <c r="K286" s="3"/>
      <c r="L286" s="20"/>
      <c r="N286" s="12"/>
      <c r="O286" s="11"/>
      <c r="S286" s="10"/>
      <c r="U286" s="3"/>
      <c r="V286" s="3"/>
      <c r="X286" s="9"/>
      <c r="Z286" s="3"/>
      <c r="AA286" s="8"/>
      <c r="AB286" s="7"/>
      <c r="AC286" s="7"/>
      <c r="AD286" s="6"/>
      <c r="AE286" s="6"/>
      <c r="AF286" s="5"/>
      <c r="AG286" s="7"/>
      <c r="AH286" s="3"/>
      <c r="AI286" s="7"/>
      <c r="AJ286" s="7"/>
      <c r="AL286" s="3"/>
      <c r="AM286" s="3"/>
      <c r="AN286" s="3"/>
      <c r="AO286" s="3"/>
      <c r="AP286" s="9"/>
      <c r="AQ286" s="6"/>
    </row>
    <row r="287" spans="1:43" ht="15" customHeight="1" x14ac:dyDescent="0.3">
      <c r="A287" s="22"/>
      <c r="I287" s="21"/>
      <c r="J287" s="20"/>
      <c r="K287" s="3"/>
      <c r="L287" s="20"/>
      <c r="N287" s="12"/>
      <c r="O287" s="11"/>
      <c r="S287" s="10"/>
      <c r="U287" s="3"/>
      <c r="V287" s="3"/>
      <c r="X287" s="9"/>
      <c r="Z287" s="3"/>
      <c r="AA287" s="8"/>
      <c r="AB287" s="7"/>
      <c r="AC287" s="7"/>
      <c r="AD287" s="6"/>
      <c r="AE287" s="6"/>
      <c r="AF287" s="5"/>
      <c r="AG287" s="7"/>
      <c r="AH287" s="3"/>
      <c r="AI287" s="7"/>
      <c r="AJ287" s="7"/>
      <c r="AL287" s="3"/>
      <c r="AM287" s="3"/>
      <c r="AN287" s="3"/>
      <c r="AO287" s="3"/>
      <c r="AP287" s="9"/>
      <c r="AQ287" s="6"/>
    </row>
    <row r="288" spans="1:43" ht="15" customHeight="1" x14ac:dyDescent="0.3">
      <c r="A288" s="22"/>
      <c r="I288" s="21"/>
      <c r="J288" s="20"/>
      <c r="K288" s="3"/>
      <c r="L288" s="20"/>
      <c r="N288" s="12"/>
      <c r="O288" s="11"/>
      <c r="S288" s="10"/>
      <c r="U288" s="3"/>
      <c r="V288" s="3"/>
      <c r="X288" s="9"/>
      <c r="Z288" s="3"/>
      <c r="AA288" s="8"/>
      <c r="AB288" s="7"/>
      <c r="AC288" s="7"/>
      <c r="AD288" s="6"/>
      <c r="AE288" s="6"/>
      <c r="AF288" s="5"/>
      <c r="AG288" s="7"/>
      <c r="AH288" s="3"/>
      <c r="AI288" s="7"/>
      <c r="AJ288" s="7"/>
      <c r="AL288" s="3"/>
      <c r="AM288" s="3"/>
      <c r="AN288" s="3"/>
      <c r="AO288" s="3"/>
      <c r="AP288" s="9"/>
      <c r="AQ288" s="6"/>
    </row>
    <row r="289" spans="1:43" ht="15" customHeight="1" x14ac:dyDescent="0.3">
      <c r="A289" s="22"/>
      <c r="I289" s="21"/>
      <c r="J289" s="20"/>
      <c r="K289" s="3"/>
      <c r="L289" s="20"/>
      <c r="N289" s="12"/>
      <c r="O289" s="11"/>
      <c r="S289" s="10"/>
      <c r="U289" s="3"/>
      <c r="V289" s="3"/>
      <c r="X289" s="9"/>
      <c r="Z289" s="3"/>
      <c r="AA289" s="8"/>
      <c r="AB289" s="7"/>
      <c r="AC289" s="7"/>
      <c r="AD289" s="6"/>
      <c r="AE289" s="6"/>
      <c r="AF289" s="5"/>
      <c r="AG289" s="7"/>
      <c r="AH289" s="3"/>
      <c r="AI289" s="7"/>
      <c r="AJ289" s="7"/>
      <c r="AL289" s="3"/>
      <c r="AM289" s="3"/>
      <c r="AN289" s="3"/>
      <c r="AO289" s="3"/>
      <c r="AP289" s="9"/>
      <c r="AQ289" s="6"/>
    </row>
    <row r="290" spans="1:43" ht="15" customHeight="1" x14ac:dyDescent="0.3">
      <c r="A290" s="22"/>
      <c r="I290" s="21"/>
      <c r="J290" s="20"/>
      <c r="K290" s="3"/>
      <c r="L290" s="20"/>
      <c r="N290" s="12"/>
      <c r="O290" s="11"/>
      <c r="S290" s="10"/>
      <c r="U290" s="3"/>
      <c r="V290" s="3"/>
      <c r="X290" s="9"/>
      <c r="Z290" s="3"/>
      <c r="AA290" s="8"/>
      <c r="AB290" s="7"/>
      <c r="AC290" s="7"/>
      <c r="AD290" s="6"/>
      <c r="AE290" s="6"/>
      <c r="AF290" s="5"/>
      <c r="AG290" s="7"/>
      <c r="AH290" s="3"/>
      <c r="AI290" s="7"/>
      <c r="AJ290" s="7"/>
      <c r="AL290" s="3"/>
      <c r="AM290" s="3"/>
      <c r="AN290" s="3"/>
      <c r="AO290" s="3"/>
      <c r="AP290" s="9"/>
      <c r="AQ290" s="6"/>
    </row>
    <row r="291" spans="1:43" ht="15" customHeight="1" x14ac:dyDescent="0.3">
      <c r="A291" s="22"/>
      <c r="I291" s="21"/>
      <c r="J291" s="20"/>
      <c r="K291" s="3"/>
      <c r="L291" s="20"/>
      <c r="N291" s="12"/>
      <c r="O291" s="11"/>
      <c r="S291" s="10"/>
      <c r="U291" s="3"/>
      <c r="V291" s="3"/>
      <c r="X291" s="9"/>
      <c r="Z291" s="3"/>
      <c r="AA291" s="8"/>
      <c r="AB291" s="7"/>
      <c r="AC291" s="7"/>
      <c r="AD291" s="6"/>
      <c r="AE291" s="6"/>
      <c r="AF291" s="5"/>
      <c r="AG291" s="7"/>
      <c r="AH291" s="3"/>
      <c r="AI291" s="7"/>
      <c r="AJ291" s="7"/>
      <c r="AL291" s="3"/>
      <c r="AM291" s="3"/>
      <c r="AN291" s="3"/>
      <c r="AO291" s="3"/>
      <c r="AP291" s="9"/>
      <c r="AQ291" s="6"/>
    </row>
    <row r="292" spans="1:43" ht="15" customHeight="1" x14ac:dyDescent="0.3">
      <c r="A292" s="22"/>
      <c r="I292" s="21"/>
      <c r="J292" s="20"/>
      <c r="K292" s="3"/>
      <c r="L292" s="20"/>
      <c r="N292" s="12"/>
      <c r="O292" s="11"/>
      <c r="S292" s="10"/>
      <c r="U292" s="3"/>
      <c r="V292" s="3"/>
      <c r="X292" s="9"/>
      <c r="Z292" s="3"/>
      <c r="AA292" s="8"/>
      <c r="AB292" s="7"/>
      <c r="AC292" s="7"/>
      <c r="AD292" s="6"/>
      <c r="AE292" s="6"/>
      <c r="AF292" s="5"/>
      <c r="AG292" s="7"/>
      <c r="AH292" s="3"/>
      <c r="AI292" s="7"/>
      <c r="AJ292" s="7"/>
      <c r="AL292" s="3"/>
      <c r="AM292" s="3"/>
      <c r="AN292" s="3"/>
      <c r="AO292" s="3"/>
      <c r="AP292" s="9"/>
      <c r="AQ292" s="6"/>
    </row>
    <row r="293" spans="1:43" ht="15" customHeight="1" x14ac:dyDescent="0.3">
      <c r="A293" s="22"/>
      <c r="I293" s="21"/>
      <c r="J293" s="20"/>
      <c r="K293" s="3"/>
      <c r="L293" s="20"/>
      <c r="N293" s="12"/>
      <c r="O293" s="11"/>
      <c r="S293" s="10"/>
      <c r="U293" s="3"/>
      <c r="V293" s="3"/>
      <c r="X293" s="9"/>
      <c r="Z293" s="3"/>
      <c r="AA293" s="8"/>
      <c r="AB293" s="7"/>
      <c r="AC293" s="7"/>
      <c r="AD293" s="6"/>
      <c r="AE293" s="6"/>
      <c r="AF293" s="5"/>
      <c r="AG293" s="7"/>
      <c r="AH293" s="3"/>
      <c r="AI293" s="7"/>
      <c r="AJ293" s="7"/>
      <c r="AL293" s="3"/>
      <c r="AM293" s="3"/>
      <c r="AN293" s="3"/>
      <c r="AO293" s="3"/>
      <c r="AP293" s="9"/>
      <c r="AQ293" s="6"/>
    </row>
    <row r="294" spans="1:43" ht="15" customHeight="1" x14ac:dyDescent="0.3">
      <c r="A294" s="22"/>
      <c r="I294" s="21"/>
      <c r="J294" s="20"/>
      <c r="K294" s="3"/>
      <c r="L294" s="20"/>
      <c r="N294" s="12"/>
      <c r="O294" s="11"/>
      <c r="S294" s="10"/>
      <c r="U294" s="3"/>
      <c r="V294" s="3"/>
      <c r="X294" s="9"/>
      <c r="Z294" s="3"/>
      <c r="AA294" s="8"/>
      <c r="AB294" s="7"/>
      <c r="AC294" s="7"/>
      <c r="AD294" s="6"/>
      <c r="AE294" s="6"/>
      <c r="AF294" s="5"/>
      <c r="AG294" s="7"/>
      <c r="AH294" s="3"/>
      <c r="AI294" s="7"/>
      <c r="AJ294" s="7"/>
      <c r="AL294" s="3"/>
      <c r="AM294" s="3"/>
      <c r="AN294" s="3"/>
      <c r="AO294" s="3"/>
      <c r="AP294" s="9"/>
      <c r="AQ294" s="6"/>
    </row>
    <row r="295" spans="1:43" ht="15" customHeight="1" x14ac:dyDescent="0.3">
      <c r="A295" s="22"/>
      <c r="I295" s="21"/>
      <c r="J295" s="20"/>
      <c r="K295" s="3"/>
      <c r="L295" s="20"/>
      <c r="N295" s="12"/>
      <c r="O295" s="11"/>
      <c r="S295" s="10"/>
      <c r="U295" s="3"/>
      <c r="V295" s="3"/>
      <c r="X295" s="9"/>
      <c r="Z295" s="3"/>
      <c r="AA295" s="8"/>
      <c r="AB295" s="7"/>
      <c r="AC295" s="7"/>
      <c r="AD295" s="6"/>
      <c r="AE295" s="6"/>
      <c r="AF295" s="5"/>
      <c r="AG295" s="7"/>
      <c r="AH295" s="3"/>
      <c r="AI295" s="7"/>
      <c r="AJ295" s="7"/>
      <c r="AL295" s="3"/>
      <c r="AM295" s="3"/>
      <c r="AN295" s="3"/>
      <c r="AO295" s="3"/>
      <c r="AP295" s="9"/>
      <c r="AQ295" s="6"/>
    </row>
    <row r="296" spans="1:43" ht="15" customHeight="1" x14ac:dyDescent="0.3">
      <c r="A296" s="22"/>
      <c r="I296" s="21"/>
      <c r="J296" s="20"/>
      <c r="K296" s="3"/>
      <c r="L296" s="20"/>
      <c r="N296" s="12"/>
      <c r="O296" s="11"/>
      <c r="S296" s="10"/>
      <c r="U296" s="3"/>
      <c r="V296" s="3"/>
      <c r="X296" s="9"/>
      <c r="Z296" s="3"/>
      <c r="AA296" s="8"/>
      <c r="AB296" s="7"/>
      <c r="AC296" s="7"/>
      <c r="AD296" s="6"/>
      <c r="AE296" s="6"/>
      <c r="AF296" s="5"/>
      <c r="AG296" s="7"/>
      <c r="AH296" s="3"/>
      <c r="AI296" s="7"/>
      <c r="AJ296" s="7"/>
      <c r="AL296" s="3"/>
      <c r="AM296" s="3"/>
      <c r="AN296" s="3"/>
      <c r="AO296" s="3"/>
      <c r="AP296" s="9"/>
      <c r="AQ296" s="6"/>
    </row>
    <row r="297" spans="1:43" ht="15" customHeight="1" x14ac:dyDescent="0.3">
      <c r="A297" s="22"/>
      <c r="I297" s="21"/>
      <c r="J297" s="20"/>
      <c r="K297" s="3"/>
      <c r="L297" s="20"/>
      <c r="N297" s="12"/>
      <c r="O297" s="11"/>
      <c r="S297" s="10"/>
      <c r="U297" s="3"/>
      <c r="V297" s="3"/>
      <c r="X297" s="9"/>
      <c r="Z297" s="3"/>
      <c r="AA297" s="8"/>
      <c r="AB297" s="7"/>
      <c r="AC297" s="7"/>
      <c r="AD297" s="6"/>
      <c r="AE297" s="6"/>
      <c r="AF297" s="5"/>
      <c r="AG297" s="7"/>
      <c r="AH297" s="3"/>
      <c r="AI297" s="7"/>
      <c r="AJ297" s="7"/>
      <c r="AL297" s="3"/>
      <c r="AM297" s="3"/>
      <c r="AN297" s="3"/>
      <c r="AO297" s="3"/>
      <c r="AP297" s="9"/>
      <c r="AQ297" s="6"/>
    </row>
    <row r="298" spans="1:43" ht="15" customHeight="1" x14ac:dyDescent="0.3">
      <c r="A298" s="22"/>
      <c r="I298" s="21"/>
      <c r="J298" s="20"/>
      <c r="K298" s="3"/>
      <c r="L298" s="20"/>
      <c r="N298" s="12"/>
      <c r="O298" s="11"/>
      <c r="S298" s="10"/>
      <c r="U298" s="3"/>
      <c r="V298" s="3"/>
      <c r="X298" s="9"/>
      <c r="Z298" s="3"/>
      <c r="AA298" s="8"/>
      <c r="AB298" s="7"/>
      <c r="AC298" s="7"/>
      <c r="AD298" s="6"/>
      <c r="AE298" s="6"/>
      <c r="AF298" s="5"/>
      <c r="AG298" s="7"/>
      <c r="AH298" s="3"/>
      <c r="AI298" s="7"/>
      <c r="AJ298" s="7"/>
      <c r="AL298" s="3"/>
      <c r="AM298" s="3"/>
      <c r="AN298" s="3"/>
      <c r="AO298" s="3"/>
      <c r="AP298" s="9"/>
      <c r="AQ298" s="6"/>
    </row>
    <row r="299" spans="1:43" ht="15" customHeight="1" x14ac:dyDescent="0.3">
      <c r="A299" s="22"/>
      <c r="I299" s="21"/>
      <c r="J299" s="20"/>
      <c r="K299" s="3"/>
      <c r="L299" s="20"/>
      <c r="N299" s="12"/>
      <c r="O299" s="11"/>
      <c r="S299" s="10"/>
      <c r="U299" s="3"/>
      <c r="V299" s="3"/>
      <c r="X299" s="9"/>
      <c r="Z299" s="3"/>
      <c r="AA299" s="8"/>
      <c r="AB299" s="7"/>
      <c r="AC299" s="7"/>
      <c r="AD299" s="6"/>
      <c r="AE299" s="6"/>
      <c r="AF299" s="5"/>
      <c r="AG299" s="7"/>
      <c r="AH299" s="3"/>
      <c r="AI299" s="7"/>
      <c r="AJ299" s="7"/>
      <c r="AL299" s="3"/>
      <c r="AM299" s="3"/>
      <c r="AN299" s="3"/>
      <c r="AO299" s="3"/>
      <c r="AP299" s="9"/>
      <c r="AQ299" s="6"/>
    </row>
    <row r="300" spans="1:43" ht="15" customHeight="1" x14ac:dyDescent="0.3">
      <c r="A300" s="22"/>
      <c r="I300" s="21"/>
      <c r="J300" s="20"/>
      <c r="K300" s="3"/>
      <c r="L300" s="20"/>
      <c r="N300" s="12"/>
      <c r="O300" s="11"/>
      <c r="S300" s="10"/>
      <c r="U300" s="3"/>
      <c r="V300" s="3"/>
      <c r="X300" s="9"/>
      <c r="Z300" s="3"/>
      <c r="AA300" s="8"/>
      <c r="AB300" s="7"/>
      <c r="AC300" s="7"/>
      <c r="AD300" s="6"/>
      <c r="AE300" s="6"/>
      <c r="AF300" s="5"/>
      <c r="AG300" s="7"/>
      <c r="AH300" s="3"/>
      <c r="AI300" s="7"/>
      <c r="AJ300" s="7"/>
      <c r="AL300" s="3"/>
      <c r="AM300" s="3"/>
      <c r="AN300" s="3"/>
      <c r="AO300" s="3"/>
      <c r="AP300" s="9"/>
      <c r="AQ300" s="6"/>
    </row>
    <row r="301" spans="1:43" ht="15" customHeight="1" x14ac:dyDescent="0.3">
      <c r="A301" s="22"/>
      <c r="I301" s="21"/>
      <c r="J301" s="20"/>
      <c r="K301" s="3"/>
      <c r="L301" s="20"/>
      <c r="N301" s="12"/>
      <c r="O301" s="11"/>
      <c r="S301" s="10"/>
      <c r="U301" s="3"/>
      <c r="V301" s="3"/>
      <c r="X301" s="9"/>
      <c r="Z301" s="3"/>
      <c r="AA301" s="8"/>
      <c r="AB301" s="7"/>
      <c r="AC301" s="7"/>
      <c r="AD301" s="6"/>
      <c r="AE301" s="6"/>
      <c r="AF301" s="5"/>
      <c r="AG301" s="7"/>
      <c r="AH301" s="3"/>
      <c r="AI301" s="7"/>
      <c r="AJ301" s="7"/>
      <c r="AL301" s="3"/>
      <c r="AM301" s="3"/>
      <c r="AN301" s="3"/>
      <c r="AO301" s="3"/>
      <c r="AP301" s="9"/>
      <c r="AQ301" s="6"/>
    </row>
    <row r="302" spans="1:43" ht="15" customHeight="1" x14ac:dyDescent="0.3">
      <c r="A302" s="22"/>
      <c r="I302" s="21"/>
      <c r="J302" s="20"/>
      <c r="K302" s="3"/>
      <c r="L302" s="20"/>
      <c r="N302" s="12"/>
      <c r="O302" s="11"/>
      <c r="S302" s="10"/>
      <c r="U302" s="3"/>
      <c r="V302" s="3"/>
      <c r="X302" s="9"/>
      <c r="Z302" s="3"/>
      <c r="AA302" s="8"/>
      <c r="AB302" s="7"/>
      <c r="AC302" s="7"/>
      <c r="AD302" s="6"/>
      <c r="AE302" s="6"/>
      <c r="AF302" s="5"/>
      <c r="AG302" s="7"/>
      <c r="AH302" s="3"/>
      <c r="AI302" s="7"/>
      <c r="AJ302" s="7"/>
      <c r="AL302" s="3"/>
      <c r="AM302" s="3"/>
      <c r="AN302" s="3"/>
      <c r="AO302" s="3"/>
      <c r="AP302" s="9"/>
      <c r="AQ302" s="6"/>
    </row>
    <row r="303" spans="1:43" ht="15" customHeight="1" x14ac:dyDescent="0.3">
      <c r="A303" s="22"/>
      <c r="I303" s="21"/>
      <c r="J303" s="20"/>
      <c r="K303" s="3"/>
      <c r="L303" s="20"/>
      <c r="N303" s="12"/>
      <c r="O303" s="11"/>
      <c r="S303" s="10"/>
      <c r="U303" s="3"/>
      <c r="V303" s="3"/>
      <c r="X303" s="9"/>
      <c r="Z303" s="3"/>
      <c r="AA303" s="8"/>
      <c r="AB303" s="7"/>
      <c r="AC303" s="7"/>
      <c r="AD303" s="6"/>
      <c r="AE303" s="6"/>
      <c r="AF303" s="5"/>
      <c r="AG303" s="7"/>
      <c r="AH303" s="3"/>
      <c r="AI303" s="7"/>
      <c r="AJ303" s="7"/>
      <c r="AL303" s="3"/>
      <c r="AM303" s="3"/>
      <c r="AN303" s="3"/>
      <c r="AO303" s="3"/>
      <c r="AP303" s="9"/>
      <c r="AQ303" s="6"/>
    </row>
    <row r="304" spans="1:43" ht="15" customHeight="1" x14ac:dyDescent="0.3">
      <c r="A304" s="22"/>
      <c r="I304" s="21"/>
      <c r="J304" s="20"/>
      <c r="K304" s="3"/>
      <c r="L304" s="20"/>
      <c r="N304" s="12"/>
      <c r="O304" s="11"/>
      <c r="S304" s="10"/>
      <c r="U304" s="3"/>
      <c r="V304" s="3"/>
      <c r="X304" s="9"/>
      <c r="Z304" s="3"/>
      <c r="AA304" s="8"/>
      <c r="AB304" s="7"/>
      <c r="AC304" s="7"/>
      <c r="AD304" s="6"/>
      <c r="AE304" s="6"/>
      <c r="AF304" s="5"/>
      <c r="AG304" s="7"/>
      <c r="AH304" s="3"/>
      <c r="AI304" s="7"/>
      <c r="AJ304" s="7"/>
      <c r="AL304" s="3"/>
      <c r="AM304" s="3"/>
      <c r="AN304" s="3"/>
      <c r="AO304" s="3"/>
      <c r="AP304" s="9"/>
      <c r="AQ304" s="6"/>
    </row>
    <row r="305" spans="1:43" ht="15" customHeight="1" x14ac:dyDescent="0.3">
      <c r="A305" s="22"/>
      <c r="I305" s="21"/>
      <c r="J305" s="20"/>
      <c r="K305" s="3"/>
      <c r="L305" s="20"/>
      <c r="N305" s="12"/>
      <c r="O305" s="11"/>
      <c r="S305" s="10"/>
      <c r="U305" s="3"/>
      <c r="V305" s="3"/>
      <c r="X305" s="9"/>
      <c r="Z305" s="3"/>
      <c r="AA305" s="8"/>
      <c r="AB305" s="7"/>
      <c r="AC305" s="7"/>
      <c r="AD305" s="6"/>
      <c r="AE305" s="6"/>
      <c r="AF305" s="5"/>
      <c r="AG305" s="7"/>
      <c r="AH305" s="3"/>
      <c r="AI305" s="7"/>
      <c r="AJ305" s="7"/>
      <c r="AL305" s="3"/>
      <c r="AM305" s="3"/>
      <c r="AN305" s="3"/>
      <c r="AO305" s="3"/>
      <c r="AP305" s="9"/>
      <c r="AQ305" s="6"/>
    </row>
    <row r="306" spans="1:43" ht="15" customHeight="1" x14ac:dyDescent="0.3">
      <c r="A306" s="22"/>
      <c r="I306" s="21"/>
      <c r="J306" s="20"/>
      <c r="K306" s="3"/>
      <c r="L306" s="20"/>
      <c r="N306" s="12"/>
      <c r="O306" s="11"/>
      <c r="S306" s="10"/>
      <c r="U306" s="3"/>
      <c r="V306" s="3"/>
      <c r="X306" s="9"/>
      <c r="Z306" s="3"/>
      <c r="AA306" s="8"/>
      <c r="AB306" s="7"/>
      <c r="AC306" s="7"/>
      <c r="AD306" s="6"/>
      <c r="AE306" s="6"/>
      <c r="AF306" s="5"/>
      <c r="AG306" s="7"/>
      <c r="AH306" s="3"/>
      <c r="AI306" s="7"/>
      <c r="AJ306" s="7"/>
      <c r="AL306" s="3"/>
      <c r="AM306" s="3"/>
      <c r="AN306" s="3"/>
      <c r="AO306" s="3"/>
      <c r="AP306" s="9"/>
      <c r="AQ306" s="6"/>
    </row>
    <row r="307" spans="1:43" ht="15" customHeight="1" x14ac:dyDescent="0.3">
      <c r="A307" s="22"/>
      <c r="I307" s="21"/>
      <c r="J307" s="20"/>
      <c r="K307" s="3"/>
      <c r="L307" s="20"/>
      <c r="N307" s="12"/>
      <c r="O307" s="11"/>
      <c r="S307" s="10"/>
      <c r="U307" s="3"/>
      <c r="V307" s="3"/>
      <c r="X307" s="9"/>
      <c r="Z307" s="3"/>
      <c r="AA307" s="8"/>
      <c r="AB307" s="7"/>
      <c r="AC307" s="7"/>
      <c r="AD307" s="6"/>
      <c r="AE307" s="6"/>
      <c r="AF307" s="5"/>
      <c r="AG307" s="7"/>
      <c r="AH307" s="3"/>
      <c r="AI307" s="7"/>
      <c r="AJ307" s="7"/>
      <c r="AL307" s="3"/>
      <c r="AM307" s="3"/>
      <c r="AN307" s="3"/>
      <c r="AO307" s="3"/>
      <c r="AP307" s="9"/>
      <c r="AQ307" s="6"/>
    </row>
    <row r="308" spans="1:43" ht="15" customHeight="1" x14ac:dyDescent="0.3">
      <c r="A308" s="22"/>
      <c r="I308" s="21"/>
      <c r="J308" s="20"/>
      <c r="K308" s="3"/>
      <c r="L308" s="20"/>
      <c r="N308" s="12"/>
      <c r="O308" s="11"/>
      <c r="S308" s="10"/>
      <c r="U308" s="3"/>
      <c r="V308" s="3"/>
      <c r="X308" s="9"/>
      <c r="Z308" s="3"/>
      <c r="AA308" s="8"/>
      <c r="AB308" s="7"/>
      <c r="AC308" s="7"/>
      <c r="AD308" s="6"/>
      <c r="AE308" s="6"/>
      <c r="AF308" s="5"/>
      <c r="AG308" s="7"/>
      <c r="AH308" s="3"/>
      <c r="AI308" s="7"/>
      <c r="AJ308" s="7"/>
      <c r="AL308" s="3"/>
      <c r="AM308" s="3"/>
      <c r="AN308" s="3"/>
      <c r="AO308" s="3"/>
      <c r="AP308" s="9"/>
      <c r="AQ308" s="6"/>
    </row>
    <row r="309" spans="1:43" ht="15" customHeight="1" x14ac:dyDescent="0.3">
      <c r="A309" s="22"/>
      <c r="I309" s="21"/>
      <c r="J309" s="20"/>
      <c r="K309" s="3"/>
      <c r="L309" s="20"/>
      <c r="N309" s="12"/>
      <c r="O309" s="11"/>
      <c r="S309" s="10"/>
      <c r="U309" s="3"/>
      <c r="V309" s="3"/>
      <c r="X309" s="9"/>
      <c r="Z309" s="3"/>
      <c r="AA309" s="8"/>
      <c r="AB309" s="7"/>
      <c r="AC309" s="7"/>
      <c r="AD309" s="6"/>
      <c r="AE309" s="6"/>
      <c r="AF309" s="5"/>
      <c r="AG309" s="7"/>
      <c r="AH309" s="3"/>
      <c r="AI309" s="7"/>
      <c r="AJ309" s="7"/>
      <c r="AL309" s="3"/>
      <c r="AM309" s="3"/>
      <c r="AN309" s="3"/>
      <c r="AO309" s="3"/>
      <c r="AP309" s="9"/>
      <c r="AQ309" s="6"/>
    </row>
    <row r="310" spans="1:43" ht="15" customHeight="1" x14ac:dyDescent="0.3">
      <c r="A310" s="22"/>
      <c r="I310" s="21"/>
      <c r="J310" s="20"/>
      <c r="K310" s="3"/>
      <c r="L310" s="20"/>
      <c r="N310" s="12"/>
      <c r="O310" s="11"/>
      <c r="S310" s="10"/>
      <c r="U310" s="3"/>
      <c r="V310" s="3"/>
      <c r="X310" s="9"/>
      <c r="Z310" s="3"/>
      <c r="AA310" s="8"/>
      <c r="AB310" s="7"/>
      <c r="AC310" s="7"/>
      <c r="AD310" s="6"/>
      <c r="AE310" s="6"/>
      <c r="AF310" s="5"/>
      <c r="AG310" s="7"/>
      <c r="AH310" s="3"/>
      <c r="AI310" s="7"/>
      <c r="AJ310" s="7"/>
      <c r="AL310" s="3"/>
      <c r="AM310" s="3"/>
      <c r="AN310" s="3"/>
      <c r="AO310" s="3"/>
      <c r="AP310" s="9"/>
      <c r="AQ310" s="6"/>
    </row>
    <row r="311" spans="1:43" ht="15" customHeight="1" x14ac:dyDescent="0.3">
      <c r="A311" s="22"/>
      <c r="I311" s="21"/>
      <c r="J311" s="20"/>
      <c r="K311" s="3"/>
      <c r="L311" s="20"/>
      <c r="N311" s="12"/>
      <c r="O311" s="11"/>
      <c r="S311" s="10"/>
      <c r="U311" s="3"/>
      <c r="V311" s="3"/>
      <c r="X311" s="9"/>
      <c r="Z311" s="3"/>
      <c r="AA311" s="8"/>
      <c r="AB311" s="7"/>
      <c r="AC311" s="7"/>
      <c r="AD311" s="6"/>
      <c r="AE311" s="6"/>
      <c r="AF311" s="5"/>
      <c r="AG311" s="7"/>
      <c r="AH311" s="3"/>
      <c r="AI311" s="7"/>
      <c r="AJ311" s="7"/>
      <c r="AL311" s="3"/>
      <c r="AM311" s="3"/>
      <c r="AN311" s="3"/>
      <c r="AO311" s="3"/>
      <c r="AP311" s="9"/>
      <c r="AQ311" s="6"/>
    </row>
    <row r="312" spans="1:43" ht="15" customHeight="1" x14ac:dyDescent="0.3">
      <c r="A312" s="22"/>
      <c r="I312" s="21"/>
      <c r="J312" s="20"/>
      <c r="K312" s="3"/>
      <c r="L312" s="20"/>
      <c r="N312" s="12"/>
      <c r="O312" s="11"/>
      <c r="S312" s="10"/>
      <c r="U312" s="3"/>
      <c r="V312" s="3"/>
      <c r="X312" s="9"/>
      <c r="Z312" s="3"/>
      <c r="AA312" s="8"/>
      <c r="AB312" s="7"/>
      <c r="AC312" s="7"/>
      <c r="AD312" s="6"/>
      <c r="AE312" s="6"/>
      <c r="AF312" s="5"/>
      <c r="AG312" s="7"/>
      <c r="AH312" s="3"/>
      <c r="AI312" s="7"/>
      <c r="AJ312" s="7"/>
      <c r="AL312" s="3"/>
      <c r="AM312" s="3"/>
      <c r="AN312" s="3"/>
      <c r="AO312" s="3"/>
      <c r="AP312" s="9"/>
      <c r="AQ312" s="6"/>
    </row>
    <row r="313" spans="1:43" ht="15" customHeight="1" x14ac:dyDescent="0.3">
      <c r="A313" s="22"/>
      <c r="I313" s="21"/>
      <c r="J313" s="20"/>
      <c r="K313" s="3"/>
      <c r="L313" s="20"/>
      <c r="N313" s="12"/>
      <c r="O313" s="11"/>
      <c r="S313" s="10"/>
      <c r="U313" s="3"/>
      <c r="V313" s="3"/>
      <c r="X313" s="9"/>
      <c r="Z313" s="3"/>
      <c r="AA313" s="8"/>
      <c r="AB313" s="7"/>
      <c r="AC313" s="7"/>
      <c r="AD313" s="6"/>
      <c r="AE313" s="6"/>
      <c r="AF313" s="5"/>
      <c r="AG313" s="7"/>
      <c r="AH313" s="3"/>
      <c r="AI313" s="7"/>
      <c r="AJ313" s="7"/>
      <c r="AL313" s="3"/>
      <c r="AM313" s="3"/>
      <c r="AN313" s="3"/>
      <c r="AO313" s="3"/>
      <c r="AP313" s="9"/>
      <c r="AQ313" s="6"/>
    </row>
    <row r="314" spans="1:43" ht="15" customHeight="1" x14ac:dyDescent="0.3">
      <c r="A314" s="22"/>
      <c r="I314" s="21"/>
      <c r="J314" s="20"/>
      <c r="K314" s="3"/>
      <c r="L314" s="20"/>
      <c r="N314" s="12"/>
      <c r="O314" s="11"/>
      <c r="S314" s="10"/>
      <c r="U314" s="3"/>
      <c r="V314" s="3"/>
      <c r="X314" s="9"/>
      <c r="Z314" s="3"/>
      <c r="AA314" s="8"/>
      <c r="AB314" s="7"/>
      <c r="AC314" s="7"/>
      <c r="AD314" s="6"/>
      <c r="AE314" s="6"/>
      <c r="AF314" s="5"/>
      <c r="AG314" s="7"/>
      <c r="AH314" s="3"/>
      <c r="AI314" s="7"/>
      <c r="AJ314" s="7"/>
      <c r="AL314" s="3"/>
      <c r="AM314" s="3"/>
      <c r="AN314" s="3"/>
      <c r="AO314" s="3"/>
      <c r="AP314" s="9"/>
      <c r="AQ314" s="6"/>
    </row>
    <row r="315" spans="1:43" ht="15" customHeight="1" x14ac:dyDescent="0.3">
      <c r="A315" s="22"/>
      <c r="I315" s="21"/>
      <c r="J315" s="20"/>
      <c r="K315" s="3"/>
      <c r="L315" s="20"/>
      <c r="N315" s="12"/>
      <c r="O315" s="11"/>
      <c r="S315" s="10"/>
      <c r="U315" s="3"/>
      <c r="V315" s="3"/>
      <c r="X315" s="9"/>
      <c r="Z315" s="3"/>
      <c r="AA315" s="8"/>
      <c r="AB315" s="7"/>
      <c r="AC315" s="7"/>
      <c r="AD315" s="6"/>
      <c r="AE315" s="6"/>
      <c r="AF315" s="5"/>
      <c r="AG315" s="7"/>
      <c r="AH315" s="3"/>
      <c r="AI315" s="7"/>
      <c r="AJ315" s="7"/>
      <c r="AL315" s="3"/>
      <c r="AM315" s="3"/>
      <c r="AN315" s="3"/>
      <c r="AO315" s="3"/>
      <c r="AP315" s="9"/>
      <c r="AQ315" s="6"/>
    </row>
    <row r="316" spans="1:43" ht="15" customHeight="1" x14ac:dyDescent="0.3">
      <c r="A316" s="22"/>
      <c r="I316" s="21"/>
      <c r="J316" s="20"/>
      <c r="K316" s="3"/>
      <c r="L316" s="20"/>
      <c r="N316" s="12"/>
      <c r="O316" s="11"/>
      <c r="S316" s="10"/>
      <c r="U316" s="3"/>
      <c r="V316" s="3"/>
      <c r="X316" s="9"/>
      <c r="Z316" s="3"/>
      <c r="AA316" s="8"/>
      <c r="AB316" s="7"/>
      <c r="AC316" s="7"/>
      <c r="AD316" s="6"/>
      <c r="AE316" s="6"/>
      <c r="AF316" s="5"/>
      <c r="AG316" s="7"/>
      <c r="AH316" s="3"/>
      <c r="AI316" s="7"/>
      <c r="AJ316" s="7"/>
      <c r="AL316" s="3"/>
      <c r="AM316" s="3"/>
      <c r="AN316" s="3"/>
      <c r="AO316" s="3"/>
      <c r="AP316" s="9"/>
      <c r="AQ316" s="6"/>
    </row>
    <row r="317" spans="1:43" ht="15" customHeight="1" x14ac:dyDescent="0.3">
      <c r="A317" s="22"/>
      <c r="I317" s="21"/>
      <c r="J317" s="20"/>
      <c r="K317" s="3"/>
      <c r="L317" s="20"/>
      <c r="N317" s="12"/>
      <c r="O317" s="11"/>
      <c r="S317" s="10"/>
      <c r="U317" s="3"/>
      <c r="V317" s="3"/>
      <c r="X317" s="9"/>
      <c r="Z317" s="3"/>
      <c r="AA317" s="8"/>
      <c r="AB317" s="7"/>
      <c r="AC317" s="7"/>
      <c r="AD317" s="6"/>
      <c r="AE317" s="6"/>
      <c r="AF317" s="5"/>
      <c r="AG317" s="7"/>
      <c r="AH317" s="3"/>
      <c r="AI317" s="7"/>
      <c r="AJ317" s="7"/>
      <c r="AL317" s="3"/>
      <c r="AM317" s="3"/>
      <c r="AN317" s="3"/>
      <c r="AO317" s="3"/>
      <c r="AP317" s="9"/>
      <c r="AQ317" s="6"/>
    </row>
    <row r="318" spans="1:43" ht="15" customHeight="1" x14ac:dyDescent="0.3">
      <c r="A318" s="22"/>
      <c r="I318" s="21"/>
      <c r="J318" s="20"/>
      <c r="K318" s="3"/>
      <c r="L318" s="20"/>
      <c r="N318" s="12"/>
      <c r="O318" s="11"/>
      <c r="S318" s="10"/>
      <c r="U318" s="3"/>
      <c r="V318" s="3"/>
      <c r="X318" s="9"/>
      <c r="Z318" s="3"/>
      <c r="AA318" s="8"/>
      <c r="AB318" s="7"/>
      <c r="AC318" s="7"/>
      <c r="AD318" s="6"/>
      <c r="AE318" s="6"/>
      <c r="AF318" s="5"/>
      <c r="AG318" s="7"/>
      <c r="AH318" s="3"/>
      <c r="AI318" s="7"/>
      <c r="AJ318" s="7"/>
      <c r="AL318" s="3"/>
      <c r="AM318" s="3"/>
      <c r="AN318" s="3"/>
      <c r="AO318" s="3"/>
      <c r="AP318" s="9"/>
      <c r="AQ318" s="6"/>
    </row>
    <row r="319" spans="1:43" ht="15" customHeight="1" x14ac:dyDescent="0.3">
      <c r="A319" s="22"/>
      <c r="I319" s="21"/>
      <c r="J319" s="20"/>
      <c r="K319" s="3"/>
      <c r="L319" s="20"/>
      <c r="N319" s="12"/>
      <c r="O319" s="11"/>
      <c r="S319" s="10"/>
      <c r="U319" s="3"/>
      <c r="V319" s="3"/>
      <c r="X319" s="9"/>
      <c r="Z319" s="3"/>
      <c r="AA319" s="8"/>
      <c r="AB319" s="7"/>
      <c r="AC319" s="7"/>
      <c r="AD319" s="6"/>
      <c r="AE319" s="6"/>
      <c r="AF319" s="5"/>
      <c r="AG319" s="7"/>
      <c r="AH319" s="3"/>
      <c r="AI319" s="7"/>
      <c r="AJ319" s="7"/>
      <c r="AL319" s="3"/>
      <c r="AM319" s="3"/>
      <c r="AN319" s="3"/>
      <c r="AO319" s="3"/>
      <c r="AP319" s="9"/>
      <c r="AQ319" s="6"/>
    </row>
    <row r="320" spans="1:43" ht="15" customHeight="1" x14ac:dyDescent="0.3">
      <c r="A320" s="22"/>
      <c r="I320" s="21"/>
      <c r="J320" s="20"/>
      <c r="K320" s="3"/>
      <c r="L320" s="20"/>
      <c r="N320" s="12"/>
      <c r="O320" s="11"/>
      <c r="S320" s="10"/>
      <c r="U320" s="3"/>
      <c r="V320" s="3"/>
      <c r="X320" s="9"/>
      <c r="Z320" s="3"/>
      <c r="AA320" s="8"/>
      <c r="AB320" s="7"/>
      <c r="AC320" s="7"/>
      <c r="AD320" s="6"/>
      <c r="AE320" s="6"/>
      <c r="AF320" s="5"/>
      <c r="AG320" s="7"/>
      <c r="AH320" s="3"/>
      <c r="AI320" s="7"/>
      <c r="AJ320" s="7"/>
      <c r="AL320" s="3"/>
      <c r="AM320" s="3"/>
      <c r="AN320" s="3"/>
      <c r="AO320" s="3"/>
      <c r="AP320" s="9"/>
      <c r="AQ320" s="6"/>
    </row>
    <row r="321" spans="1:43" ht="15" customHeight="1" x14ac:dyDescent="0.3">
      <c r="A321" s="22"/>
      <c r="I321" s="21"/>
      <c r="J321" s="20"/>
      <c r="K321" s="3"/>
      <c r="L321" s="20"/>
      <c r="N321" s="12"/>
      <c r="O321" s="11"/>
      <c r="S321" s="10"/>
      <c r="U321" s="3"/>
      <c r="V321" s="3"/>
      <c r="X321" s="9"/>
      <c r="Z321" s="3"/>
      <c r="AA321" s="8"/>
      <c r="AB321" s="7"/>
      <c r="AC321" s="7"/>
      <c r="AD321" s="6"/>
      <c r="AE321" s="6"/>
      <c r="AF321" s="5"/>
      <c r="AG321" s="7"/>
      <c r="AH321" s="3"/>
      <c r="AI321" s="7"/>
      <c r="AJ321" s="7"/>
      <c r="AL321" s="3"/>
      <c r="AM321" s="3"/>
      <c r="AN321" s="3"/>
      <c r="AO321" s="3"/>
      <c r="AP321" s="9"/>
      <c r="AQ321" s="6"/>
    </row>
    <row r="322" spans="1:43" ht="15" customHeight="1" x14ac:dyDescent="0.3">
      <c r="A322" s="22"/>
      <c r="I322" s="21"/>
      <c r="J322" s="20"/>
      <c r="K322" s="3"/>
      <c r="L322" s="20"/>
      <c r="N322" s="12"/>
      <c r="O322" s="11"/>
      <c r="S322" s="10"/>
      <c r="U322" s="3"/>
      <c r="V322" s="3"/>
      <c r="X322" s="9"/>
      <c r="Z322" s="3"/>
      <c r="AA322" s="8"/>
      <c r="AB322" s="7"/>
      <c r="AC322" s="7"/>
      <c r="AD322" s="6"/>
      <c r="AE322" s="6"/>
      <c r="AF322" s="5"/>
      <c r="AG322" s="7"/>
      <c r="AH322" s="3"/>
      <c r="AI322" s="7"/>
      <c r="AJ322" s="7"/>
      <c r="AL322" s="3"/>
      <c r="AM322" s="3"/>
      <c r="AN322" s="3"/>
      <c r="AO322" s="3"/>
      <c r="AP322" s="9"/>
      <c r="AQ322" s="6"/>
    </row>
    <row r="323" spans="1:43" ht="15" customHeight="1" x14ac:dyDescent="0.3">
      <c r="A323" s="22"/>
      <c r="I323" s="21"/>
      <c r="J323" s="20"/>
      <c r="K323" s="3"/>
      <c r="L323" s="20"/>
      <c r="N323" s="12"/>
      <c r="O323" s="11"/>
      <c r="S323" s="10"/>
      <c r="U323" s="3"/>
      <c r="V323" s="3"/>
      <c r="X323" s="9"/>
      <c r="Z323" s="3"/>
      <c r="AA323" s="8"/>
      <c r="AB323" s="7"/>
      <c r="AC323" s="7"/>
      <c r="AD323" s="6"/>
      <c r="AE323" s="6"/>
      <c r="AF323" s="5"/>
      <c r="AG323" s="7"/>
      <c r="AH323" s="3"/>
      <c r="AI323" s="7"/>
      <c r="AJ323" s="7"/>
      <c r="AL323" s="3"/>
      <c r="AM323" s="3"/>
      <c r="AN323" s="3"/>
      <c r="AO323" s="3"/>
      <c r="AP323" s="9"/>
      <c r="AQ323" s="6"/>
    </row>
    <row r="324" spans="1:43" ht="15" customHeight="1" x14ac:dyDescent="0.3">
      <c r="A324" s="22"/>
      <c r="I324" s="21"/>
      <c r="J324" s="20"/>
      <c r="K324" s="3"/>
      <c r="L324" s="20"/>
      <c r="N324" s="12"/>
      <c r="O324" s="11"/>
      <c r="S324" s="10"/>
      <c r="U324" s="3"/>
      <c r="V324" s="3"/>
      <c r="X324" s="9"/>
      <c r="Z324" s="3"/>
      <c r="AA324" s="8"/>
      <c r="AB324" s="7"/>
      <c r="AC324" s="7"/>
      <c r="AD324" s="6"/>
      <c r="AE324" s="6"/>
      <c r="AF324" s="5"/>
      <c r="AG324" s="7"/>
      <c r="AH324" s="3"/>
      <c r="AI324" s="7"/>
      <c r="AJ324" s="7"/>
      <c r="AL324" s="3"/>
      <c r="AM324" s="3"/>
      <c r="AN324" s="3"/>
      <c r="AO324" s="3"/>
      <c r="AP324" s="9"/>
      <c r="AQ324" s="6"/>
    </row>
    <row r="325" spans="1:43" ht="15" customHeight="1" x14ac:dyDescent="0.3">
      <c r="A325" s="22"/>
      <c r="I325" s="21"/>
      <c r="J325" s="20"/>
      <c r="K325" s="3"/>
      <c r="L325" s="20"/>
      <c r="N325" s="12"/>
      <c r="O325" s="11"/>
      <c r="S325" s="10"/>
      <c r="U325" s="3"/>
      <c r="V325" s="3"/>
      <c r="X325" s="9"/>
      <c r="Z325" s="3"/>
      <c r="AA325" s="8"/>
      <c r="AB325" s="7"/>
      <c r="AC325" s="7"/>
      <c r="AD325" s="6"/>
      <c r="AE325" s="6"/>
      <c r="AF325" s="5"/>
      <c r="AG325" s="7"/>
      <c r="AH325" s="3"/>
      <c r="AI325" s="7"/>
      <c r="AJ325" s="7"/>
      <c r="AL325" s="3"/>
      <c r="AM325" s="3"/>
      <c r="AN325" s="3"/>
      <c r="AO325" s="3"/>
      <c r="AP325" s="9"/>
      <c r="AQ325" s="6"/>
    </row>
    <row r="326" spans="1:43" ht="15" customHeight="1" x14ac:dyDescent="0.3">
      <c r="A326" s="22"/>
      <c r="I326" s="21"/>
      <c r="J326" s="20"/>
      <c r="K326" s="3"/>
      <c r="L326" s="20"/>
      <c r="N326" s="12"/>
      <c r="O326" s="11"/>
      <c r="S326" s="10"/>
      <c r="U326" s="3"/>
      <c r="V326" s="3"/>
      <c r="X326" s="9"/>
      <c r="Z326" s="3"/>
      <c r="AA326" s="8"/>
      <c r="AB326" s="7"/>
      <c r="AC326" s="7"/>
      <c r="AD326" s="6"/>
      <c r="AE326" s="6"/>
      <c r="AF326" s="5"/>
      <c r="AG326" s="7"/>
      <c r="AH326" s="3"/>
      <c r="AI326" s="7"/>
      <c r="AJ326" s="7"/>
      <c r="AL326" s="3"/>
      <c r="AM326" s="3"/>
      <c r="AN326" s="3"/>
      <c r="AO326" s="3"/>
      <c r="AP326" s="9"/>
      <c r="AQ326" s="6"/>
    </row>
    <row r="327" spans="1:43" ht="15" customHeight="1" x14ac:dyDescent="0.3">
      <c r="A327" s="22"/>
      <c r="I327" s="21"/>
      <c r="J327" s="20"/>
      <c r="K327" s="3"/>
      <c r="L327" s="20"/>
      <c r="N327" s="12"/>
      <c r="O327" s="11"/>
      <c r="S327" s="10"/>
      <c r="U327" s="3"/>
      <c r="V327" s="3"/>
      <c r="X327" s="9"/>
      <c r="Z327" s="3"/>
      <c r="AA327" s="8"/>
      <c r="AB327" s="7"/>
      <c r="AC327" s="7"/>
      <c r="AD327" s="6"/>
      <c r="AE327" s="6"/>
      <c r="AF327" s="5"/>
      <c r="AG327" s="7"/>
      <c r="AH327" s="3"/>
      <c r="AI327" s="7"/>
      <c r="AJ327" s="7"/>
      <c r="AL327" s="3"/>
      <c r="AM327" s="3"/>
      <c r="AN327" s="3"/>
      <c r="AO327" s="3"/>
      <c r="AP327" s="9"/>
      <c r="AQ327" s="6"/>
    </row>
    <row r="328" spans="1:43" ht="15" customHeight="1" x14ac:dyDescent="0.3">
      <c r="A328" s="22"/>
      <c r="I328" s="21"/>
      <c r="J328" s="20"/>
      <c r="K328" s="3"/>
      <c r="L328" s="20"/>
      <c r="N328" s="12"/>
      <c r="O328" s="11"/>
      <c r="S328" s="10"/>
      <c r="U328" s="3"/>
      <c r="V328" s="3"/>
      <c r="X328" s="9"/>
      <c r="Z328" s="3"/>
      <c r="AA328" s="8"/>
      <c r="AB328" s="7"/>
      <c r="AC328" s="7"/>
      <c r="AD328" s="6"/>
      <c r="AE328" s="6"/>
      <c r="AF328" s="5"/>
      <c r="AG328" s="7"/>
      <c r="AH328" s="3"/>
      <c r="AI328" s="7"/>
      <c r="AJ328" s="7"/>
      <c r="AL328" s="3"/>
      <c r="AM328" s="3"/>
      <c r="AN328" s="3"/>
      <c r="AO328" s="3"/>
      <c r="AP328" s="9"/>
      <c r="AQ328" s="6"/>
    </row>
    <row r="329" spans="1:43" ht="15" customHeight="1" x14ac:dyDescent="0.3">
      <c r="A329" s="22"/>
      <c r="I329" s="21"/>
      <c r="J329" s="20"/>
      <c r="K329" s="3"/>
      <c r="L329" s="20"/>
      <c r="N329" s="12"/>
      <c r="O329" s="11"/>
      <c r="S329" s="10"/>
      <c r="U329" s="3"/>
      <c r="V329" s="3"/>
      <c r="X329" s="9"/>
      <c r="Z329" s="3"/>
      <c r="AA329" s="8"/>
      <c r="AB329" s="7"/>
      <c r="AC329" s="7"/>
      <c r="AD329" s="6"/>
      <c r="AE329" s="6"/>
      <c r="AF329" s="5"/>
      <c r="AG329" s="7"/>
      <c r="AH329" s="3"/>
      <c r="AI329" s="7"/>
      <c r="AJ329" s="7"/>
      <c r="AL329" s="3"/>
      <c r="AM329" s="3"/>
      <c r="AN329" s="3"/>
      <c r="AO329" s="3"/>
      <c r="AP329" s="9"/>
      <c r="AQ329" s="6"/>
    </row>
    <row r="330" spans="1:43" ht="15" customHeight="1" x14ac:dyDescent="0.3">
      <c r="A330" s="22"/>
      <c r="I330" s="21"/>
      <c r="J330" s="20"/>
      <c r="K330" s="3"/>
      <c r="L330" s="20"/>
      <c r="N330" s="12"/>
      <c r="O330" s="11"/>
      <c r="S330" s="10"/>
      <c r="U330" s="3"/>
      <c r="V330" s="3"/>
      <c r="X330" s="9"/>
      <c r="Z330" s="3"/>
      <c r="AA330" s="8"/>
      <c r="AB330" s="7"/>
      <c r="AC330" s="7"/>
      <c r="AD330" s="6"/>
      <c r="AE330" s="6"/>
      <c r="AF330" s="5"/>
      <c r="AG330" s="7"/>
      <c r="AH330" s="3"/>
      <c r="AI330" s="7"/>
      <c r="AJ330" s="7"/>
      <c r="AL330" s="3"/>
      <c r="AM330" s="3"/>
      <c r="AN330" s="3"/>
      <c r="AO330" s="3"/>
      <c r="AP330" s="9"/>
      <c r="AQ330" s="6"/>
    </row>
    <row r="331" spans="1:43" ht="15" customHeight="1" x14ac:dyDescent="0.3">
      <c r="A331" s="22"/>
      <c r="I331" s="21"/>
      <c r="J331" s="20"/>
      <c r="K331" s="3"/>
      <c r="L331" s="20"/>
      <c r="N331" s="12"/>
      <c r="O331" s="11"/>
      <c r="S331" s="10"/>
      <c r="U331" s="3"/>
      <c r="V331" s="3"/>
      <c r="X331" s="9"/>
      <c r="Z331" s="3"/>
      <c r="AA331" s="8"/>
      <c r="AB331" s="7"/>
      <c r="AC331" s="7"/>
      <c r="AD331" s="6"/>
      <c r="AE331" s="6"/>
      <c r="AF331" s="5"/>
      <c r="AG331" s="7"/>
      <c r="AH331" s="3"/>
      <c r="AI331" s="7"/>
      <c r="AJ331" s="7"/>
      <c r="AL331" s="3"/>
      <c r="AM331" s="3"/>
      <c r="AN331" s="3"/>
      <c r="AO331" s="3"/>
      <c r="AP331" s="9"/>
      <c r="AQ331" s="6"/>
    </row>
    <row r="332" spans="1:43" ht="15" customHeight="1" x14ac:dyDescent="0.3">
      <c r="A332" s="22"/>
      <c r="I332" s="21"/>
      <c r="J332" s="20"/>
      <c r="K332" s="3"/>
      <c r="L332" s="20"/>
      <c r="N332" s="12"/>
      <c r="O332" s="11"/>
      <c r="S332" s="10"/>
      <c r="U332" s="3"/>
      <c r="V332" s="3"/>
      <c r="X332" s="9"/>
      <c r="Z332" s="3"/>
      <c r="AA332" s="8"/>
      <c r="AB332" s="7"/>
      <c r="AC332" s="7"/>
      <c r="AD332" s="6"/>
      <c r="AE332" s="6"/>
      <c r="AF332" s="5"/>
      <c r="AG332" s="7"/>
      <c r="AH332" s="3"/>
      <c r="AI332" s="7"/>
      <c r="AJ332" s="7"/>
      <c r="AL332" s="3"/>
      <c r="AM332" s="3"/>
      <c r="AN332" s="3"/>
      <c r="AO332" s="3"/>
      <c r="AP332" s="9"/>
      <c r="AQ332" s="6"/>
    </row>
    <row r="333" spans="1:43" ht="15" customHeight="1" x14ac:dyDescent="0.3">
      <c r="A333" s="22"/>
      <c r="I333" s="21"/>
      <c r="J333" s="20"/>
      <c r="K333" s="3"/>
      <c r="L333" s="20"/>
      <c r="N333" s="12"/>
      <c r="O333" s="11"/>
      <c r="S333" s="10"/>
      <c r="U333" s="3"/>
      <c r="V333" s="3"/>
      <c r="X333" s="9"/>
      <c r="Z333" s="3"/>
      <c r="AA333" s="8"/>
      <c r="AB333" s="7"/>
      <c r="AC333" s="7"/>
      <c r="AD333" s="6"/>
      <c r="AE333" s="6"/>
      <c r="AF333" s="5"/>
      <c r="AG333" s="7"/>
      <c r="AH333" s="3"/>
      <c r="AI333" s="7"/>
      <c r="AJ333" s="7"/>
      <c r="AL333" s="3"/>
      <c r="AM333" s="3"/>
      <c r="AN333" s="3"/>
      <c r="AO333" s="3"/>
      <c r="AP333" s="9"/>
      <c r="AQ333" s="6"/>
    </row>
    <row r="334" spans="1:43" ht="15" customHeight="1" x14ac:dyDescent="0.3">
      <c r="A334" s="22"/>
      <c r="I334" s="21"/>
      <c r="J334" s="20"/>
      <c r="K334" s="3"/>
      <c r="L334" s="20"/>
      <c r="N334" s="12"/>
      <c r="O334" s="11"/>
      <c r="S334" s="10"/>
      <c r="U334" s="3"/>
      <c r="V334" s="3"/>
      <c r="X334" s="9"/>
      <c r="Z334" s="3"/>
      <c r="AA334" s="8"/>
      <c r="AB334" s="7"/>
      <c r="AC334" s="7"/>
      <c r="AD334" s="6"/>
      <c r="AE334" s="6"/>
      <c r="AF334" s="5"/>
      <c r="AG334" s="7"/>
      <c r="AH334" s="3"/>
      <c r="AI334" s="7"/>
      <c r="AJ334" s="7"/>
      <c r="AL334" s="3"/>
      <c r="AM334" s="3"/>
      <c r="AN334" s="3"/>
      <c r="AO334" s="3"/>
      <c r="AP334" s="9"/>
      <c r="AQ334" s="6"/>
    </row>
    <row r="335" spans="1:43" ht="15" customHeight="1" x14ac:dyDescent="0.3">
      <c r="A335" s="22"/>
      <c r="I335" s="21"/>
      <c r="J335" s="20"/>
      <c r="K335" s="3"/>
      <c r="L335" s="20"/>
      <c r="N335" s="12"/>
      <c r="O335" s="11"/>
      <c r="S335" s="10"/>
      <c r="U335" s="3"/>
      <c r="V335" s="3"/>
      <c r="X335" s="9"/>
      <c r="Z335" s="3"/>
      <c r="AA335" s="8"/>
      <c r="AB335" s="7"/>
      <c r="AC335" s="7"/>
      <c r="AD335" s="6"/>
      <c r="AE335" s="6"/>
      <c r="AF335" s="5"/>
      <c r="AG335" s="7"/>
      <c r="AH335" s="3"/>
      <c r="AI335" s="7"/>
      <c r="AJ335" s="7"/>
      <c r="AL335" s="3"/>
      <c r="AM335" s="3"/>
      <c r="AN335" s="3"/>
      <c r="AO335" s="3"/>
      <c r="AP335" s="9"/>
      <c r="AQ335" s="6"/>
    </row>
    <row r="336" spans="1:43" ht="15" customHeight="1" x14ac:dyDescent="0.3">
      <c r="A336" s="22"/>
      <c r="I336" s="21"/>
      <c r="J336" s="20"/>
      <c r="K336" s="3"/>
      <c r="L336" s="20"/>
      <c r="N336" s="12"/>
      <c r="O336" s="11"/>
      <c r="S336" s="10"/>
      <c r="U336" s="3"/>
      <c r="V336" s="3"/>
      <c r="X336" s="9"/>
      <c r="Z336" s="3"/>
      <c r="AA336" s="8"/>
      <c r="AB336" s="7"/>
      <c r="AC336" s="7"/>
      <c r="AD336" s="6"/>
      <c r="AE336" s="6"/>
      <c r="AF336" s="5"/>
      <c r="AG336" s="7"/>
      <c r="AH336" s="3"/>
      <c r="AI336" s="7"/>
      <c r="AJ336" s="7"/>
      <c r="AL336" s="3"/>
      <c r="AM336" s="3"/>
      <c r="AN336" s="3"/>
      <c r="AO336" s="3"/>
      <c r="AP336" s="9"/>
      <c r="AQ336" s="6"/>
    </row>
    <row r="337" spans="1:43" ht="15" customHeight="1" x14ac:dyDescent="0.3">
      <c r="A337" s="22"/>
      <c r="I337" s="21"/>
      <c r="J337" s="20"/>
      <c r="K337" s="3"/>
      <c r="L337" s="20"/>
      <c r="N337" s="12"/>
      <c r="O337" s="11"/>
      <c r="S337" s="10"/>
      <c r="U337" s="3"/>
      <c r="V337" s="3"/>
      <c r="X337" s="9"/>
      <c r="Z337" s="3"/>
      <c r="AA337" s="8"/>
      <c r="AB337" s="7"/>
      <c r="AC337" s="7"/>
      <c r="AD337" s="6"/>
      <c r="AE337" s="6"/>
      <c r="AF337" s="5"/>
      <c r="AG337" s="7"/>
      <c r="AH337" s="3"/>
      <c r="AI337" s="7"/>
      <c r="AJ337" s="7"/>
      <c r="AL337" s="3"/>
      <c r="AM337" s="3"/>
      <c r="AN337" s="3"/>
      <c r="AO337" s="3"/>
      <c r="AP337" s="9"/>
      <c r="AQ337" s="6"/>
    </row>
    <row r="338" spans="1:43" ht="15" customHeight="1" x14ac:dyDescent="0.3">
      <c r="A338" s="22"/>
      <c r="I338" s="21"/>
      <c r="J338" s="20"/>
      <c r="K338" s="3"/>
      <c r="L338" s="20"/>
      <c r="N338" s="12"/>
      <c r="O338" s="11"/>
      <c r="S338" s="10"/>
      <c r="U338" s="3"/>
      <c r="V338" s="3"/>
      <c r="X338" s="9"/>
      <c r="Z338" s="3"/>
      <c r="AA338" s="8"/>
      <c r="AB338" s="7"/>
      <c r="AC338" s="7"/>
      <c r="AD338" s="6"/>
      <c r="AE338" s="6"/>
      <c r="AF338" s="5"/>
      <c r="AG338" s="7"/>
      <c r="AH338" s="3"/>
      <c r="AI338" s="7"/>
      <c r="AJ338" s="7"/>
      <c r="AL338" s="3"/>
      <c r="AM338" s="3"/>
      <c r="AN338" s="3"/>
      <c r="AO338" s="3"/>
      <c r="AP338" s="9"/>
      <c r="AQ338" s="6"/>
    </row>
    <row r="339" spans="1:43" ht="15" customHeight="1" x14ac:dyDescent="0.3">
      <c r="A339" s="22"/>
      <c r="I339" s="21"/>
      <c r="J339" s="20"/>
      <c r="K339" s="3"/>
      <c r="L339" s="20"/>
      <c r="N339" s="12"/>
      <c r="O339" s="11"/>
      <c r="S339" s="10"/>
      <c r="U339" s="3"/>
      <c r="V339" s="3"/>
      <c r="X339" s="9"/>
      <c r="Z339" s="3"/>
      <c r="AA339" s="8"/>
      <c r="AB339" s="7"/>
      <c r="AC339" s="7"/>
      <c r="AD339" s="6"/>
      <c r="AE339" s="6"/>
      <c r="AF339" s="5"/>
      <c r="AG339" s="7"/>
      <c r="AH339" s="3"/>
      <c r="AI339" s="7"/>
      <c r="AJ339" s="7"/>
      <c r="AL339" s="3"/>
      <c r="AM339" s="3"/>
      <c r="AN339" s="3"/>
      <c r="AO339" s="3"/>
      <c r="AP339" s="9"/>
      <c r="AQ339" s="6"/>
    </row>
    <row r="340" spans="1:43" ht="15" customHeight="1" x14ac:dyDescent="0.3">
      <c r="A340" s="22"/>
      <c r="I340" s="21"/>
      <c r="J340" s="20"/>
      <c r="K340" s="3"/>
      <c r="L340" s="20"/>
      <c r="N340" s="12"/>
      <c r="O340" s="11"/>
      <c r="S340" s="10"/>
      <c r="U340" s="3"/>
      <c r="V340" s="3"/>
      <c r="X340" s="9"/>
      <c r="Z340" s="3"/>
      <c r="AA340" s="8"/>
      <c r="AB340" s="7"/>
      <c r="AC340" s="7"/>
      <c r="AD340" s="6"/>
      <c r="AE340" s="6"/>
      <c r="AF340" s="5"/>
      <c r="AG340" s="7"/>
      <c r="AH340" s="3"/>
      <c r="AI340" s="7"/>
      <c r="AJ340" s="7"/>
      <c r="AL340" s="3"/>
      <c r="AM340" s="3"/>
      <c r="AN340" s="3"/>
      <c r="AO340" s="3"/>
      <c r="AP340" s="9"/>
      <c r="AQ340" s="6"/>
    </row>
    <row r="341" spans="1:43" ht="15" customHeight="1" x14ac:dyDescent="0.3">
      <c r="A341" s="22"/>
      <c r="I341" s="21"/>
      <c r="J341" s="20"/>
      <c r="K341" s="3"/>
      <c r="L341" s="20"/>
      <c r="N341" s="12"/>
      <c r="O341" s="11"/>
      <c r="S341" s="10"/>
      <c r="U341" s="3"/>
      <c r="V341" s="3"/>
      <c r="X341" s="9"/>
      <c r="Z341" s="3"/>
      <c r="AA341" s="8"/>
      <c r="AB341" s="7"/>
      <c r="AC341" s="7"/>
      <c r="AD341" s="6"/>
      <c r="AE341" s="6"/>
      <c r="AF341" s="5"/>
      <c r="AG341" s="7"/>
      <c r="AH341" s="3"/>
      <c r="AI341" s="7"/>
      <c r="AJ341" s="7"/>
      <c r="AL341" s="3"/>
      <c r="AM341" s="3"/>
      <c r="AN341" s="3"/>
      <c r="AO341" s="3"/>
      <c r="AP341" s="9"/>
      <c r="AQ341" s="6"/>
    </row>
    <row r="342" spans="1:43" ht="15" customHeight="1" x14ac:dyDescent="0.3">
      <c r="A342" s="22"/>
      <c r="I342" s="21"/>
      <c r="J342" s="20"/>
      <c r="K342" s="3"/>
      <c r="L342" s="20"/>
      <c r="N342" s="12"/>
      <c r="O342" s="11"/>
      <c r="S342" s="10"/>
      <c r="U342" s="3"/>
      <c r="V342" s="3"/>
      <c r="X342" s="9"/>
      <c r="Z342" s="3"/>
      <c r="AA342" s="8"/>
      <c r="AB342" s="7"/>
      <c r="AC342" s="7"/>
      <c r="AD342" s="6"/>
      <c r="AE342" s="6"/>
      <c r="AF342" s="5"/>
      <c r="AG342" s="7"/>
      <c r="AH342" s="3"/>
      <c r="AI342" s="7"/>
      <c r="AJ342" s="7"/>
      <c r="AL342" s="3"/>
      <c r="AM342" s="3"/>
      <c r="AN342" s="3"/>
      <c r="AO342" s="3"/>
      <c r="AP342" s="9"/>
      <c r="AQ342" s="6"/>
    </row>
    <row r="343" spans="1:43" ht="15" customHeight="1" x14ac:dyDescent="0.3">
      <c r="A343" s="22"/>
      <c r="I343" s="21"/>
      <c r="J343" s="20"/>
      <c r="K343" s="3"/>
      <c r="L343" s="20"/>
      <c r="N343" s="12"/>
      <c r="O343" s="11"/>
      <c r="S343" s="10"/>
      <c r="U343" s="3"/>
      <c r="V343" s="3"/>
      <c r="X343" s="9"/>
      <c r="Z343" s="3"/>
      <c r="AA343" s="8"/>
      <c r="AB343" s="7"/>
      <c r="AC343" s="7"/>
      <c r="AD343" s="6"/>
      <c r="AE343" s="6"/>
      <c r="AF343" s="5"/>
      <c r="AG343" s="7"/>
      <c r="AH343" s="3"/>
      <c r="AI343" s="7"/>
      <c r="AJ343" s="7"/>
      <c r="AL343" s="3"/>
      <c r="AM343" s="3"/>
      <c r="AN343" s="3"/>
      <c r="AO343" s="3"/>
      <c r="AP343" s="9"/>
      <c r="AQ343" s="6"/>
    </row>
    <row r="344" spans="1:43" ht="15" customHeight="1" x14ac:dyDescent="0.3">
      <c r="A344" s="22"/>
      <c r="I344" s="21"/>
      <c r="J344" s="20"/>
      <c r="K344" s="3"/>
      <c r="L344" s="20"/>
      <c r="N344" s="12"/>
      <c r="O344" s="11"/>
      <c r="S344" s="10"/>
      <c r="U344" s="3"/>
      <c r="V344" s="3"/>
      <c r="X344" s="9"/>
      <c r="Z344" s="3"/>
      <c r="AA344" s="8"/>
      <c r="AB344" s="7"/>
      <c r="AC344" s="7"/>
      <c r="AD344" s="6"/>
      <c r="AE344" s="6"/>
      <c r="AF344" s="5"/>
      <c r="AG344" s="7"/>
      <c r="AH344" s="3"/>
      <c r="AI344" s="7"/>
      <c r="AJ344" s="7"/>
      <c r="AL344" s="3"/>
      <c r="AM344" s="3"/>
      <c r="AN344" s="3"/>
      <c r="AO344" s="3"/>
      <c r="AP344" s="9"/>
      <c r="AQ344" s="6"/>
    </row>
    <row r="345" spans="1:43" ht="15" customHeight="1" x14ac:dyDescent="0.3">
      <c r="A345" s="22"/>
      <c r="I345" s="21"/>
      <c r="J345" s="20"/>
      <c r="K345" s="3"/>
      <c r="L345" s="20"/>
      <c r="N345" s="12"/>
      <c r="O345" s="11"/>
      <c r="S345" s="10"/>
      <c r="U345" s="3"/>
      <c r="V345" s="3"/>
      <c r="X345" s="9"/>
      <c r="Z345" s="3"/>
      <c r="AA345" s="8"/>
      <c r="AB345" s="7"/>
      <c r="AC345" s="7"/>
      <c r="AD345" s="6"/>
      <c r="AE345" s="6"/>
      <c r="AF345" s="5"/>
      <c r="AG345" s="7"/>
      <c r="AH345" s="3"/>
      <c r="AI345" s="7"/>
      <c r="AJ345" s="7"/>
      <c r="AL345" s="3"/>
      <c r="AM345" s="3"/>
      <c r="AN345" s="3"/>
      <c r="AO345" s="3"/>
      <c r="AP345" s="9"/>
      <c r="AQ345" s="6"/>
    </row>
    <row r="346" spans="1:43" ht="15" customHeight="1" x14ac:dyDescent="0.3">
      <c r="A346" s="22"/>
      <c r="I346" s="21"/>
      <c r="J346" s="20"/>
      <c r="K346" s="3"/>
      <c r="L346" s="20"/>
      <c r="N346" s="12"/>
      <c r="O346" s="11"/>
      <c r="S346" s="10"/>
      <c r="U346" s="3"/>
      <c r="V346" s="3"/>
      <c r="X346" s="9"/>
      <c r="Z346" s="3"/>
      <c r="AA346" s="8"/>
      <c r="AB346" s="7"/>
      <c r="AC346" s="7"/>
      <c r="AD346" s="6"/>
      <c r="AE346" s="6"/>
      <c r="AF346" s="5"/>
      <c r="AG346" s="7"/>
      <c r="AH346" s="3"/>
      <c r="AI346" s="7"/>
      <c r="AJ346" s="7"/>
      <c r="AL346" s="3"/>
      <c r="AM346" s="3"/>
      <c r="AN346" s="3"/>
      <c r="AO346" s="3"/>
      <c r="AP346" s="9"/>
      <c r="AQ346" s="6"/>
    </row>
    <row r="347" spans="1:43" ht="15" customHeight="1" x14ac:dyDescent="0.3">
      <c r="A347" s="22"/>
      <c r="I347" s="21"/>
      <c r="J347" s="20"/>
      <c r="K347" s="3"/>
      <c r="L347" s="20"/>
      <c r="N347" s="12"/>
      <c r="O347" s="11"/>
      <c r="S347" s="10"/>
      <c r="U347" s="3"/>
      <c r="V347" s="3"/>
      <c r="X347" s="9"/>
      <c r="Z347" s="3"/>
      <c r="AA347" s="8"/>
      <c r="AB347" s="7"/>
      <c r="AC347" s="7"/>
      <c r="AD347" s="6"/>
      <c r="AE347" s="6"/>
      <c r="AF347" s="5"/>
      <c r="AG347" s="7"/>
      <c r="AH347" s="3"/>
      <c r="AI347" s="7"/>
      <c r="AJ347" s="7"/>
      <c r="AL347" s="3"/>
      <c r="AM347" s="3"/>
      <c r="AN347" s="3"/>
      <c r="AO347" s="3"/>
      <c r="AP347" s="9"/>
      <c r="AQ347" s="6"/>
    </row>
    <row r="348" spans="1:43" ht="15" customHeight="1" x14ac:dyDescent="0.3">
      <c r="A348" s="22"/>
      <c r="I348" s="21"/>
      <c r="J348" s="20"/>
      <c r="K348" s="3"/>
      <c r="L348" s="20"/>
      <c r="N348" s="12"/>
      <c r="O348" s="11"/>
      <c r="S348" s="10"/>
      <c r="U348" s="3"/>
      <c r="V348" s="3"/>
      <c r="X348" s="9"/>
      <c r="Z348" s="3"/>
      <c r="AA348" s="8"/>
      <c r="AB348" s="7"/>
      <c r="AC348" s="7"/>
      <c r="AD348" s="6"/>
      <c r="AE348" s="6"/>
      <c r="AF348" s="5"/>
      <c r="AG348" s="7"/>
      <c r="AH348" s="3"/>
      <c r="AI348" s="7"/>
      <c r="AJ348" s="7"/>
      <c r="AL348" s="3"/>
      <c r="AM348" s="3"/>
      <c r="AN348" s="3"/>
      <c r="AO348" s="3"/>
      <c r="AP348" s="9"/>
      <c r="AQ348" s="6"/>
    </row>
    <row r="349" spans="1:43" ht="15" customHeight="1" x14ac:dyDescent="0.3">
      <c r="A349" s="22"/>
      <c r="I349" s="21"/>
      <c r="J349" s="20"/>
      <c r="K349" s="3"/>
      <c r="L349" s="20"/>
      <c r="N349" s="12"/>
      <c r="O349" s="11"/>
      <c r="S349" s="10"/>
      <c r="U349" s="3"/>
      <c r="V349" s="3"/>
      <c r="X349" s="9"/>
      <c r="Z349" s="3"/>
      <c r="AA349" s="8"/>
      <c r="AB349" s="7"/>
      <c r="AC349" s="7"/>
      <c r="AD349" s="6"/>
      <c r="AE349" s="6"/>
      <c r="AF349" s="5"/>
      <c r="AG349" s="7"/>
      <c r="AH349" s="3"/>
      <c r="AI349" s="7"/>
      <c r="AJ349" s="7"/>
      <c r="AL349" s="3"/>
      <c r="AM349" s="3"/>
      <c r="AN349" s="3"/>
      <c r="AO349" s="3"/>
      <c r="AP349" s="9"/>
      <c r="AQ349" s="6"/>
    </row>
    <row r="350" spans="1:43" ht="15" customHeight="1" x14ac:dyDescent="0.3">
      <c r="A350" s="22"/>
      <c r="I350" s="21"/>
      <c r="J350" s="20"/>
      <c r="K350" s="3"/>
      <c r="L350" s="20"/>
      <c r="N350" s="12"/>
      <c r="O350" s="11"/>
      <c r="S350" s="10"/>
      <c r="U350" s="3"/>
      <c r="V350" s="3"/>
      <c r="X350" s="9"/>
      <c r="Z350" s="3"/>
      <c r="AA350" s="8"/>
      <c r="AB350" s="7"/>
      <c r="AC350" s="7"/>
      <c r="AD350" s="6"/>
      <c r="AE350" s="6"/>
      <c r="AF350" s="5"/>
      <c r="AG350" s="7"/>
      <c r="AH350" s="3"/>
      <c r="AI350" s="7"/>
      <c r="AJ350" s="7"/>
      <c r="AL350" s="3"/>
      <c r="AM350" s="3"/>
      <c r="AN350" s="3"/>
      <c r="AO350" s="3"/>
      <c r="AP350" s="9"/>
      <c r="AQ350" s="6"/>
    </row>
    <row r="351" spans="1:43" ht="15" customHeight="1" x14ac:dyDescent="0.3">
      <c r="A351" s="22"/>
      <c r="I351" s="21"/>
      <c r="J351" s="20"/>
      <c r="K351" s="3"/>
      <c r="L351" s="20"/>
      <c r="N351" s="12"/>
      <c r="O351" s="11"/>
      <c r="S351" s="10"/>
      <c r="U351" s="3"/>
      <c r="V351" s="3"/>
      <c r="X351" s="9"/>
      <c r="Z351" s="3"/>
      <c r="AA351" s="8"/>
      <c r="AB351" s="7"/>
      <c r="AC351" s="7"/>
      <c r="AD351" s="6"/>
      <c r="AE351" s="6"/>
      <c r="AF351" s="5"/>
      <c r="AG351" s="7"/>
      <c r="AH351" s="3"/>
      <c r="AI351" s="7"/>
      <c r="AJ351" s="7"/>
      <c r="AL351" s="3"/>
      <c r="AM351" s="3"/>
      <c r="AN351" s="3"/>
      <c r="AO351" s="3"/>
      <c r="AP351" s="9"/>
      <c r="AQ351" s="6"/>
    </row>
    <row r="352" spans="1:43" ht="15" customHeight="1" x14ac:dyDescent="0.3">
      <c r="A352" s="22"/>
      <c r="I352" s="21"/>
      <c r="J352" s="20"/>
      <c r="K352" s="3"/>
      <c r="L352" s="20"/>
      <c r="N352" s="12"/>
      <c r="O352" s="11"/>
      <c r="S352" s="10"/>
      <c r="U352" s="3"/>
      <c r="V352" s="3"/>
      <c r="X352" s="9"/>
      <c r="Z352" s="3"/>
      <c r="AA352" s="8"/>
      <c r="AB352" s="7"/>
      <c r="AC352" s="7"/>
      <c r="AD352" s="6"/>
      <c r="AE352" s="6"/>
      <c r="AF352" s="5"/>
      <c r="AG352" s="7"/>
      <c r="AH352" s="3"/>
      <c r="AI352" s="7"/>
      <c r="AJ352" s="7"/>
      <c r="AL352" s="3"/>
      <c r="AM352" s="3"/>
      <c r="AN352" s="3"/>
      <c r="AO352" s="3"/>
      <c r="AP352" s="9"/>
      <c r="AQ352" s="6"/>
    </row>
    <row r="353" spans="1:43" ht="15" customHeight="1" x14ac:dyDescent="0.3">
      <c r="A353" s="22"/>
      <c r="I353" s="21"/>
      <c r="J353" s="20"/>
      <c r="K353" s="3"/>
      <c r="L353" s="20"/>
      <c r="N353" s="12"/>
      <c r="O353" s="11"/>
      <c r="S353" s="10"/>
      <c r="U353" s="3"/>
      <c r="V353" s="3"/>
      <c r="X353" s="9"/>
      <c r="Z353" s="3"/>
      <c r="AA353" s="8"/>
      <c r="AB353" s="7"/>
      <c r="AC353" s="7"/>
      <c r="AD353" s="6"/>
      <c r="AE353" s="6"/>
      <c r="AF353" s="5"/>
      <c r="AG353" s="7"/>
      <c r="AH353" s="3"/>
      <c r="AI353" s="7"/>
      <c r="AJ353" s="7"/>
      <c r="AL353" s="3"/>
      <c r="AM353" s="3"/>
      <c r="AN353" s="3"/>
      <c r="AO353" s="3"/>
      <c r="AP353" s="9"/>
      <c r="AQ353" s="6"/>
    </row>
    <row r="354" spans="1:43" ht="15" customHeight="1" x14ac:dyDescent="0.3">
      <c r="A354" s="22"/>
      <c r="I354" s="21"/>
      <c r="J354" s="20"/>
      <c r="K354" s="3"/>
      <c r="L354" s="20"/>
      <c r="N354" s="12"/>
      <c r="O354" s="11"/>
      <c r="S354" s="10"/>
      <c r="U354" s="3"/>
      <c r="V354" s="3"/>
      <c r="X354" s="9"/>
      <c r="Z354" s="3"/>
      <c r="AA354" s="8"/>
      <c r="AB354" s="7"/>
      <c r="AC354" s="7"/>
      <c r="AD354" s="6"/>
      <c r="AE354" s="6"/>
      <c r="AF354" s="5"/>
      <c r="AG354" s="7"/>
      <c r="AH354" s="3"/>
      <c r="AI354" s="7"/>
      <c r="AJ354" s="7"/>
      <c r="AL354" s="3"/>
      <c r="AM354" s="3"/>
      <c r="AN354" s="3"/>
      <c r="AO354" s="3"/>
      <c r="AP354" s="9"/>
      <c r="AQ354" s="6"/>
    </row>
    <row r="355" spans="1:43" ht="15" customHeight="1" x14ac:dyDescent="0.3">
      <c r="A355" s="22"/>
      <c r="I355" s="21"/>
      <c r="J355" s="20"/>
      <c r="K355" s="3"/>
      <c r="L355" s="20"/>
      <c r="N355" s="12"/>
      <c r="O355" s="11"/>
      <c r="S355" s="10"/>
      <c r="U355" s="3"/>
      <c r="V355" s="3"/>
      <c r="X355" s="9"/>
      <c r="Z355" s="3"/>
      <c r="AA355" s="8"/>
      <c r="AB355" s="7"/>
      <c r="AC355" s="7"/>
      <c r="AD355" s="6"/>
      <c r="AE355" s="6"/>
      <c r="AF355" s="5"/>
      <c r="AG355" s="7"/>
      <c r="AH355" s="3"/>
      <c r="AI355" s="7"/>
      <c r="AJ355" s="7"/>
      <c r="AL355" s="3"/>
      <c r="AM355" s="3"/>
      <c r="AN355" s="3"/>
      <c r="AO355" s="3"/>
      <c r="AP355" s="9"/>
      <c r="AQ355" s="6"/>
    </row>
    <row r="356" spans="1:43" ht="15" customHeight="1" x14ac:dyDescent="0.3">
      <c r="A356" s="22"/>
      <c r="I356" s="21"/>
      <c r="J356" s="20"/>
      <c r="K356" s="3"/>
      <c r="L356" s="20"/>
      <c r="N356" s="12"/>
      <c r="O356" s="11"/>
      <c r="S356" s="10"/>
      <c r="U356" s="3"/>
      <c r="V356" s="3"/>
      <c r="X356" s="9"/>
      <c r="Z356" s="3"/>
      <c r="AA356" s="8"/>
      <c r="AB356" s="7"/>
      <c r="AC356" s="7"/>
      <c r="AD356" s="6"/>
      <c r="AE356" s="6"/>
      <c r="AF356" s="5"/>
      <c r="AG356" s="7"/>
      <c r="AH356" s="3"/>
      <c r="AI356" s="7"/>
      <c r="AJ356" s="7"/>
      <c r="AL356" s="3"/>
      <c r="AM356" s="3"/>
      <c r="AN356" s="3"/>
      <c r="AO356" s="3"/>
      <c r="AP356" s="9"/>
      <c r="AQ356" s="6"/>
    </row>
    <row r="357" spans="1:43" ht="15" customHeight="1" x14ac:dyDescent="0.3">
      <c r="A357" s="22"/>
      <c r="I357" s="21"/>
      <c r="J357" s="20"/>
      <c r="K357" s="3"/>
      <c r="L357" s="20"/>
      <c r="N357" s="12"/>
      <c r="O357" s="11"/>
      <c r="S357" s="10"/>
      <c r="U357" s="3"/>
      <c r="V357" s="3"/>
      <c r="X357" s="9"/>
      <c r="Z357" s="3"/>
      <c r="AA357" s="8"/>
      <c r="AB357" s="7"/>
      <c r="AC357" s="7"/>
      <c r="AD357" s="6"/>
      <c r="AE357" s="6"/>
      <c r="AF357" s="5"/>
      <c r="AG357" s="7"/>
      <c r="AH357" s="3"/>
      <c r="AI357" s="7"/>
      <c r="AJ357" s="7"/>
      <c r="AL357" s="3"/>
      <c r="AM357" s="3"/>
      <c r="AN357" s="3"/>
      <c r="AO357" s="3"/>
      <c r="AP357" s="9"/>
      <c r="AQ357" s="6"/>
    </row>
    <row r="358" spans="1:43" ht="15" customHeight="1" x14ac:dyDescent="0.3">
      <c r="A358" s="22"/>
      <c r="I358" s="21"/>
      <c r="J358" s="20"/>
      <c r="K358" s="3"/>
      <c r="L358" s="20"/>
      <c r="N358" s="12"/>
      <c r="O358" s="11"/>
      <c r="S358" s="10"/>
      <c r="U358" s="3"/>
      <c r="V358" s="3"/>
      <c r="X358" s="9"/>
      <c r="Z358" s="3"/>
      <c r="AA358" s="8"/>
      <c r="AB358" s="7"/>
      <c r="AC358" s="7"/>
      <c r="AD358" s="6"/>
      <c r="AE358" s="6"/>
      <c r="AF358" s="5"/>
      <c r="AG358" s="7"/>
      <c r="AH358" s="3"/>
      <c r="AI358" s="7"/>
      <c r="AJ358" s="7"/>
      <c r="AL358" s="3"/>
      <c r="AM358" s="3"/>
      <c r="AN358" s="3"/>
      <c r="AO358" s="3"/>
      <c r="AP358" s="9"/>
      <c r="AQ358" s="6"/>
    </row>
    <row r="359" spans="1:43" ht="15" customHeight="1" x14ac:dyDescent="0.3">
      <c r="A359" s="22"/>
      <c r="I359" s="21"/>
      <c r="J359" s="20"/>
      <c r="K359" s="3"/>
      <c r="L359" s="20"/>
      <c r="N359" s="12"/>
      <c r="O359" s="11"/>
      <c r="S359" s="10"/>
      <c r="U359" s="3"/>
      <c r="V359" s="3"/>
      <c r="X359" s="9"/>
      <c r="Z359" s="3"/>
      <c r="AA359" s="8"/>
      <c r="AB359" s="7"/>
      <c r="AC359" s="7"/>
      <c r="AD359" s="6"/>
      <c r="AE359" s="6"/>
      <c r="AF359" s="5"/>
      <c r="AG359" s="7"/>
      <c r="AH359" s="3"/>
      <c r="AI359" s="7"/>
      <c r="AJ359" s="7"/>
      <c r="AL359" s="3"/>
      <c r="AM359" s="3"/>
      <c r="AN359" s="3"/>
      <c r="AO359" s="3"/>
      <c r="AP359" s="9"/>
      <c r="AQ359" s="6"/>
    </row>
    <row r="360" spans="1:43" ht="15" customHeight="1" x14ac:dyDescent="0.3">
      <c r="A360" s="22"/>
      <c r="I360" s="21"/>
      <c r="J360" s="20"/>
      <c r="K360" s="3"/>
      <c r="L360" s="20"/>
      <c r="N360" s="12"/>
      <c r="O360" s="11"/>
      <c r="S360" s="10"/>
      <c r="U360" s="3"/>
      <c r="V360" s="3"/>
      <c r="X360" s="9"/>
      <c r="Z360" s="3"/>
      <c r="AA360" s="8"/>
      <c r="AB360" s="7"/>
      <c r="AC360" s="7"/>
      <c r="AD360" s="6"/>
      <c r="AE360" s="6"/>
      <c r="AF360" s="5"/>
      <c r="AG360" s="7"/>
      <c r="AH360" s="3"/>
      <c r="AI360" s="7"/>
      <c r="AJ360" s="7"/>
      <c r="AL360" s="3"/>
      <c r="AM360" s="3"/>
      <c r="AN360" s="3"/>
      <c r="AO360" s="3"/>
      <c r="AP360" s="9"/>
      <c r="AQ360" s="6"/>
    </row>
    <row r="361" spans="1:43" ht="15" customHeight="1" x14ac:dyDescent="0.3">
      <c r="A361" s="22"/>
      <c r="I361" s="21"/>
      <c r="J361" s="20"/>
      <c r="K361" s="3"/>
      <c r="L361" s="20"/>
      <c r="N361" s="12"/>
      <c r="O361" s="11"/>
      <c r="S361" s="10"/>
      <c r="U361" s="3"/>
      <c r="V361" s="3"/>
      <c r="X361" s="9"/>
      <c r="Z361" s="3"/>
      <c r="AA361" s="8"/>
      <c r="AB361" s="7"/>
      <c r="AC361" s="7"/>
      <c r="AD361" s="6"/>
      <c r="AE361" s="6"/>
      <c r="AF361" s="5"/>
      <c r="AG361" s="7"/>
      <c r="AH361" s="3"/>
      <c r="AI361" s="7"/>
      <c r="AJ361" s="7"/>
      <c r="AL361" s="3"/>
      <c r="AM361" s="3"/>
      <c r="AN361" s="3"/>
      <c r="AO361" s="3"/>
      <c r="AP361" s="9"/>
      <c r="AQ361" s="6"/>
    </row>
    <row r="362" spans="1:43" ht="15" customHeight="1" x14ac:dyDescent="0.3">
      <c r="A362" s="22"/>
      <c r="I362" s="21"/>
      <c r="J362" s="20"/>
      <c r="K362" s="3"/>
      <c r="L362" s="20"/>
      <c r="N362" s="12"/>
      <c r="O362" s="11"/>
      <c r="S362" s="10"/>
      <c r="U362" s="3"/>
      <c r="V362" s="3"/>
      <c r="X362" s="9"/>
      <c r="Z362" s="3"/>
      <c r="AA362" s="8"/>
      <c r="AB362" s="7"/>
      <c r="AC362" s="7"/>
      <c r="AD362" s="6"/>
      <c r="AE362" s="6"/>
      <c r="AF362" s="5"/>
      <c r="AG362" s="7"/>
      <c r="AH362" s="3"/>
      <c r="AI362" s="7"/>
      <c r="AJ362" s="7"/>
      <c r="AL362" s="3"/>
      <c r="AM362" s="3"/>
      <c r="AN362" s="3"/>
      <c r="AO362" s="3"/>
      <c r="AP362" s="9"/>
      <c r="AQ362" s="6"/>
    </row>
    <row r="363" spans="1:43" ht="15" customHeight="1" x14ac:dyDescent="0.3">
      <c r="A363" s="22"/>
      <c r="I363" s="21"/>
      <c r="J363" s="20"/>
      <c r="K363" s="3"/>
      <c r="L363" s="20"/>
      <c r="N363" s="12"/>
      <c r="O363" s="11"/>
      <c r="S363" s="10"/>
      <c r="U363" s="3"/>
      <c r="V363" s="3"/>
      <c r="X363" s="9"/>
      <c r="Z363" s="3"/>
      <c r="AA363" s="8"/>
      <c r="AB363" s="7"/>
      <c r="AC363" s="7"/>
      <c r="AD363" s="6"/>
      <c r="AE363" s="6"/>
      <c r="AF363" s="5"/>
      <c r="AG363" s="7"/>
      <c r="AH363" s="3"/>
      <c r="AI363" s="7"/>
      <c r="AJ363" s="7"/>
      <c r="AL363" s="3"/>
      <c r="AM363" s="3"/>
      <c r="AN363" s="3"/>
      <c r="AO363" s="3"/>
      <c r="AP363" s="9"/>
      <c r="AQ363" s="6"/>
    </row>
    <row r="364" spans="1:43" ht="15" customHeight="1" x14ac:dyDescent="0.3">
      <c r="A364" s="22"/>
      <c r="I364" s="21"/>
      <c r="J364" s="20"/>
      <c r="K364" s="3"/>
      <c r="L364" s="20"/>
      <c r="N364" s="12"/>
      <c r="O364" s="11"/>
      <c r="S364" s="10"/>
      <c r="U364" s="3"/>
      <c r="V364" s="3"/>
      <c r="X364" s="9"/>
      <c r="Z364" s="3"/>
      <c r="AA364" s="8"/>
      <c r="AB364" s="7"/>
      <c r="AC364" s="7"/>
      <c r="AD364" s="6"/>
      <c r="AE364" s="6"/>
      <c r="AF364" s="5"/>
      <c r="AG364" s="7"/>
      <c r="AH364" s="3"/>
      <c r="AI364" s="7"/>
      <c r="AJ364" s="7"/>
      <c r="AL364" s="3"/>
      <c r="AM364" s="3"/>
      <c r="AN364" s="3"/>
      <c r="AO364" s="3"/>
      <c r="AP364" s="9"/>
      <c r="AQ364" s="6"/>
    </row>
    <row r="365" spans="1:43" ht="15" customHeight="1" x14ac:dyDescent="0.3">
      <c r="A365" s="22"/>
      <c r="I365" s="21"/>
      <c r="J365" s="20"/>
      <c r="K365" s="3"/>
      <c r="L365" s="20"/>
      <c r="N365" s="12"/>
      <c r="O365" s="11"/>
      <c r="S365" s="10"/>
      <c r="U365" s="3"/>
      <c r="V365" s="3"/>
      <c r="X365" s="9"/>
      <c r="Z365" s="3"/>
      <c r="AA365" s="8"/>
      <c r="AB365" s="7"/>
      <c r="AC365" s="7"/>
      <c r="AD365" s="6"/>
      <c r="AE365" s="6"/>
      <c r="AF365" s="5"/>
      <c r="AG365" s="7"/>
      <c r="AH365" s="3"/>
      <c r="AI365" s="7"/>
      <c r="AJ365" s="7"/>
      <c r="AL365" s="3"/>
      <c r="AM365" s="3"/>
      <c r="AN365" s="3"/>
      <c r="AO365" s="3"/>
      <c r="AP365" s="9"/>
      <c r="AQ365" s="6"/>
    </row>
    <row r="366" spans="1:43" ht="15" customHeight="1" x14ac:dyDescent="0.3">
      <c r="A366" s="22"/>
      <c r="I366" s="21"/>
      <c r="J366" s="20"/>
      <c r="K366" s="3"/>
      <c r="L366" s="20"/>
      <c r="N366" s="12"/>
      <c r="O366" s="11"/>
      <c r="S366" s="10"/>
      <c r="U366" s="3"/>
      <c r="V366" s="3"/>
      <c r="X366" s="9"/>
      <c r="Z366" s="3"/>
      <c r="AA366" s="8"/>
      <c r="AB366" s="7"/>
      <c r="AC366" s="7"/>
      <c r="AD366" s="6"/>
      <c r="AE366" s="6"/>
      <c r="AF366" s="5"/>
      <c r="AG366" s="7"/>
      <c r="AH366" s="3"/>
      <c r="AI366" s="7"/>
      <c r="AJ366" s="7"/>
      <c r="AL366" s="3"/>
      <c r="AM366" s="3"/>
      <c r="AN366" s="3"/>
      <c r="AO366" s="3"/>
      <c r="AP366" s="9"/>
      <c r="AQ366" s="6"/>
    </row>
    <row r="367" spans="1:43" ht="15" customHeight="1" x14ac:dyDescent="0.3">
      <c r="A367" s="22"/>
      <c r="I367" s="21"/>
      <c r="J367" s="20"/>
      <c r="K367" s="3"/>
      <c r="L367" s="20"/>
      <c r="N367" s="12"/>
      <c r="O367" s="11"/>
      <c r="S367" s="10"/>
      <c r="U367" s="3"/>
      <c r="V367" s="3"/>
      <c r="X367" s="9"/>
      <c r="Z367" s="3"/>
      <c r="AA367" s="8"/>
      <c r="AB367" s="7"/>
      <c r="AC367" s="7"/>
      <c r="AD367" s="6"/>
      <c r="AE367" s="6"/>
      <c r="AF367" s="5"/>
      <c r="AG367" s="7"/>
      <c r="AH367" s="3"/>
      <c r="AI367" s="7"/>
      <c r="AJ367" s="7"/>
      <c r="AL367" s="3"/>
      <c r="AM367" s="3"/>
      <c r="AN367" s="3"/>
      <c r="AO367" s="3"/>
      <c r="AP367" s="9"/>
      <c r="AQ367" s="6"/>
    </row>
    <row r="368" spans="1:43" ht="15" customHeight="1" x14ac:dyDescent="0.3">
      <c r="A368" s="22"/>
      <c r="I368" s="21"/>
      <c r="J368" s="20"/>
      <c r="K368" s="3"/>
      <c r="L368" s="20"/>
      <c r="N368" s="12"/>
      <c r="O368" s="11"/>
      <c r="S368" s="10"/>
      <c r="U368" s="3"/>
      <c r="V368" s="3"/>
      <c r="X368" s="9"/>
      <c r="Z368" s="3"/>
      <c r="AA368" s="8"/>
      <c r="AB368" s="7"/>
      <c r="AC368" s="7"/>
      <c r="AD368" s="6"/>
      <c r="AE368" s="6"/>
      <c r="AF368" s="5"/>
      <c r="AG368" s="7"/>
      <c r="AH368" s="3"/>
      <c r="AI368" s="7"/>
      <c r="AJ368" s="7"/>
      <c r="AL368" s="3"/>
      <c r="AM368" s="3"/>
      <c r="AN368" s="3"/>
      <c r="AO368" s="3"/>
      <c r="AP368" s="9"/>
      <c r="AQ368" s="6"/>
    </row>
    <row r="369" spans="1:43" ht="15" customHeight="1" x14ac:dyDescent="0.3">
      <c r="A369" s="22"/>
      <c r="I369" s="21"/>
      <c r="J369" s="20"/>
      <c r="K369" s="3"/>
      <c r="L369" s="20"/>
      <c r="N369" s="12"/>
      <c r="O369" s="11"/>
      <c r="S369" s="10"/>
      <c r="U369" s="3"/>
      <c r="V369" s="3"/>
      <c r="X369" s="9"/>
      <c r="Z369" s="3"/>
      <c r="AA369" s="8"/>
      <c r="AB369" s="7"/>
      <c r="AC369" s="7"/>
      <c r="AD369" s="6"/>
      <c r="AE369" s="6"/>
      <c r="AF369" s="5"/>
      <c r="AG369" s="7"/>
      <c r="AH369" s="3"/>
      <c r="AI369" s="7"/>
      <c r="AJ369" s="7"/>
      <c r="AL369" s="3"/>
      <c r="AM369" s="3"/>
      <c r="AN369" s="3"/>
      <c r="AO369" s="3"/>
      <c r="AP369" s="9"/>
      <c r="AQ369" s="6"/>
    </row>
    <row r="370" spans="1:43" ht="15" customHeight="1" x14ac:dyDescent="0.3">
      <c r="A370" s="22"/>
      <c r="I370" s="21"/>
      <c r="J370" s="20"/>
      <c r="K370" s="3"/>
      <c r="L370" s="20"/>
      <c r="N370" s="12"/>
      <c r="O370" s="11"/>
      <c r="S370" s="10"/>
      <c r="U370" s="3"/>
      <c r="V370" s="3"/>
      <c r="X370" s="9"/>
      <c r="Z370" s="3"/>
      <c r="AA370" s="8"/>
      <c r="AB370" s="7"/>
      <c r="AC370" s="7"/>
      <c r="AD370" s="6"/>
      <c r="AE370" s="6"/>
      <c r="AF370" s="5"/>
      <c r="AG370" s="7"/>
      <c r="AH370" s="3"/>
      <c r="AI370" s="7"/>
      <c r="AJ370" s="7"/>
      <c r="AL370" s="3"/>
      <c r="AM370" s="3"/>
      <c r="AN370" s="3"/>
      <c r="AO370" s="3"/>
      <c r="AP370" s="9"/>
      <c r="AQ370" s="6"/>
    </row>
    <row r="371" spans="1:43" ht="15" customHeight="1" x14ac:dyDescent="0.3">
      <c r="A371" s="22"/>
      <c r="I371" s="21"/>
      <c r="J371" s="20"/>
      <c r="K371" s="3"/>
      <c r="L371" s="20"/>
      <c r="N371" s="12"/>
      <c r="O371" s="11"/>
      <c r="S371" s="10"/>
      <c r="U371" s="3"/>
      <c r="V371" s="3"/>
      <c r="X371" s="9"/>
      <c r="Z371" s="3"/>
      <c r="AA371" s="8"/>
      <c r="AB371" s="7"/>
      <c r="AC371" s="7"/>
      <c r="AD371" s="6"/>
      <c r="AE371" s="6"/>
      <c r="AF371" s="5"/>
      <c r="AG371" s="7"/>
      <c r="AH371" s="3"/>
      <c r="AI371" s="7"/>
      <c r="AJ371" s="7"/>
      <c r="AL371" s="3"/>
      <c r="AM371" s="3"/>
      <c r="AN371" s="3"/>
      <c r="AO371" s="3"/>
      <c r="AP371" s="9"/>
      <c r="AQ371" s="6"/>
    </row>
    <row r="372" spans="1:43" ht="15" customHeight="1" x14ac:dyDescent="0.3">
      <c r="A372" s="22"/>
      <c r="I372" s="21"/>
      <c r="J372" s="20"/>
      <c r="K372" s="3"/>
      <c r="L372" s="20"/>
      <c r="N372" s="12"/>
      <c r="O372" s="11"/>
      <c r="S372" s="10"/>
      <c r="U372" s="3"/>
      <c r="V372" s="3"/>
      <c r="X372" s="9"/>
      <c r="Z372" s="3"/>
      <c r="AA372" s="8"/>
      <c r="AB372" s="7"/>
      <c r="AC372" s="7"/>
      <c r="AD372" s="6"/>
      <c r="AE372" s="6"/>
      <c r="AF372" s="5"/>
      <c r="AG372" s="7"/>
      <c r="AH372" s="3"/>
      <c r="AI372" s="7"/>
      <c r="AJ372" s="7"/>
      <c r="AL372" s="3"/>
      <c r="AM372" s="3"/>
      <c r="AN372" s="3"/>
      <c r="AO372" s="3"/>
      <c r="AP372" s="9"/>
      <c r="AQ372" s="6"/>
    </row>
    <row r="373" spans="1:43" ht="15" customHeight="1" x14ac:dyDescent="0.3">
      <c r="A373" s="22"/>
      <c r="I373" s="21"/>
      <c r="J373" s="20"/>
      <c r="K373" s="3"/>
      <c r="L373" s="20"/>
      <c r="N373" s="12"/>
      <c r="O373" s="11"/>
      <c r="S373" s="10"/>
      <c r="U373" s="3"/>
      <c r="V373" s="3"/>
      <c r="X373" s="9"/>
      <c r="Z373" s="3"/>
      <c r="AA373" s="8"/>
      <c r="AB373" s="7"/>
      <c r="AC373" s="7"/>
      <c r="AD373" s="6"/>
      <c r="AE373" s="6"/>
      <c r="AF373" s="5"/>
      <c r="AG373" s="7"/>
      <c r="AH373" s="3"/>
      <c r="AI373" s="7"/>
      <c r="AJ373" s="7"/>
      <c r="AL373" s="3"/>
      <c r="AM373" s="3"/>
      <c r="AN373" s="3"/>
      <c r="AO373" s="3"/>
      <c r="AP373" s="9"/>
      <c r="AQ373" s="6"/>
    </row>
    <row r="374" spans="1:43" ht="15" customHeight="1" x14ac:dyDescent="0.3">
      <c r="A374" s="22"/>
      <c r="I374" s="21"/>
      <c r="J374" s="20"/>
      <c r="K374" s="3"/>
      <c r="L374" s="20"/>
      <c r="N374" s="12"/>
      <c r="O374" s="11"/>
      <c r="S374" s="10"/>
      <c r="U374" s="3"/>
      <c r="V374" s="3"/>
      <c r="X374" s="9"/>
      <c r="Z374" s="3"/>
      <c r="AA374" s="8"/>
      <c r="AB374" s="7"/>
      <c r="AC374" s="7"/>
      <c r="AD374" s="6"/>
      <c r="AE374" s="6"/>
      <c r="AF374" s="5"/>
      <c r="AG374" s="7"/>
      <c r="AH374" s="3"/>
      <c r="AI374" s="7"/>
      <c r="AJ374" s="7"/>
      <c r="AL374" s="3"/>
      <c r="AM374" s="3"/>
      <c r="AN374" s="3"/>
      <c r="AO374" s="3"/>
      <c r="AP374" s="9"/>
      <c r="AQ374" s="6"/>
    </row>
    <row r="375" spans="1:43" ht="15" customHeight="1" x14ac:dyDescent="0.3">
      <c r="A375" s="22"/>
      <c r="I375" s="21"/>
      <c r="J375" s="20"/>
      <c r="K375" s="3"/>
      <c r="L375" s="20"/>
      <c r="N375" s="12"/>
      <c r="O375" s="11"/>
      <c r="S375" s="10"/>
      <c r="U375" s="3"/>
      <c r="V375" s="3"/>
      <c r="X375" s="9"/>
      <c r="Z375" s="3"/>
      <c r="AA375" s="8"/>
      <c r="AB375" s="7"/>
      <c r="AC375" s="7"/>
      <c r="AD375" s="6"/>
      <c r="AE375" s="6"/>
      <c r="AF375" s="5"/>
      <c r="AG375" s="7"/>
      <c r="AH375" s="3"/>
      <c r="AI375" s="7"/>
      <c r="AJ375" s="7"/>
      <c r="AL375" s="3"/>
      <c r="AM375" s="3"/>
      <c r="AN375" s="3"/>
      <c r="AO375" s="3"/>
      <c r="AP375" s="9"/>
      <c r="AQ375" s="6"/>
    </row>
    <row r="376" spans="1:43" ht="15" customHeight="1" x14ac:dyDescent="0.3">
      <c r="A376" s="22"/>
      <c r="I376" s="21"/>
      <c r="J376" s="20"/>
      <c r="K376" s="3"/>
      <c r="L376" s="20"/>
      <c r="N376" s="12"/>
      <c r="O376" s="11"/>
      <c r="S376" s="10"/>
      <c r="U376" s="3"/>
      <c r="V376" s="3"/>
      <c r="X376" s="9"/>
      <c r="Z376" s="3"/>
      <c r="AA376" s="8"/>
      <c r="AB376" s="7"/>
      <c r="AC376" s="7"/>
      <c r="AD376" s="6"/>
      <c r="AE376" s="6"/>
      <c r="AF376" s="5"/>
      <c r="AG376" s="7"/>
      <c r="AH376" s="3"/>
      <c r="AI376" s="7"/>
      <c r="AJ376" s="7"/>
      <c r="AL376" s="3"/>
      <c r="AM376" s="3"/>
      <c r="AN376" s="3"/>
      <c r="AO376" s="3"/>
      <c r="AP376" s="9"/>
      <c r="AQ376" s="6"/>
    </row>
    <row r="377" spans="1:43" ht="15" customHeight="1" x14ac:dyDescent="0.3">
      <c r="A377" s="22"/>
      <c r="I377" s="21"/>
      <c r="J377" s="20"/>
      <c r="K377" s="3"/>
      <c r="L377" s="20"/>
      <c r="N377" s="12"/>
      <c r="O377" s="11"/>
      <c r="S377" s="10"/>
      <c r="U377" s="3"/>
      <c r="V377" s="3"/>
      <c r="X377" s="9"/>
      <c r="Z377" s="3"/>
      <c r="AA377" s="8"/>
      <c r="AB377" s="7"/>
      <c r="AC377" s="7"/>
      <c r="AD377" s="6"/>
      <c r="AE377" s="6"/>
      <c r="AF377" s="5"/>
      <c r="AG377" s="7"/>
      <c r="AH377" s="3"/>
      <c r="AI377" s="7"/>
      <c r="AJ377" s="7"/>
      <c r="AL377" s="3"/>
      <c r="AM377" s="3"/>
      <c r="AN377" s="3"/>
      <c r="AO377" s="3"/>
      <c r="AP377" s="9"/>
      <c r="AQ377" s="6"/>
    </row>
    <row r="378" spans="1:43" ht="15" customHeight="1" x14ac:dyDescent="0.3">
      <c r="A378" s="22"/>
      <c r="I378" s="21"/>
      <c r="J378" s="20"/>
      <c r="K378" s="3"/>
      <c r="L378" s="20"/>
      <c r="N378" s="12"/>
      <c r="O378" s="11"/>
      <c r="S378" s="10"/>
      <c r="U378" s="3"/>
      <c r="V378" s="3"/>
      <c r="X378" s="9"/>
      <c r="Z378" s="3"/>
      <c r="AA378" s="8"/>
      <c r="AB378" s="7"/>
      <c r="AC378" s="7"/>
      <c r="AD378" s="6"/>
      <c r="AE378" s="6"/>
      <c r="AF378" s="5"/>
      <c r="AG378" s="7"/>
      <c r="AH378" s="3"/>
      <c r="AI378" s="7"/>
      <c r="AJ378" s="7"/>
      <c r="AL378" s="3"/>
      <c r="AM378" s="3"/>
      <c r="AN378" s="3"/>
      <c r="AO378" s="3"/>
      <c r="AP378" s="9"/>
      <c r="AQ378" s="6"/>
    </row>
    <row r="379" spans="1:43" ht="15" customHeight="1" x14ac:dyDescent="0.3">
      <c r="A379" s="22"/>
      <c r="I379" s="21"/>
      <c r="J379" s="20"/>
      <c r="K379" s="3"/>
      <c r="L379" s="20"/>
      <c r="N379" s="12"/>
      <c r="O379" s="11"/>
      <c r="S379" s="10"/>
      <c r="U379" s="3"/>
      <c r="V379" s="3"/>
      <c r="X379" s="9"/>
      <c r="Z379" s="3"/>
      <c r="AA379" s="8"/>
      <c r="AB379" s="7"/>
      <c r="AC379" s="7"/>
      <c r="AD379" s="6"/>
      <c r="AE379" s="6"/>
      <c r="AF379" s="5"/>
      <c r="AG379" s="7"/>
      <c r="AH379" s="3"/>
      <c r="AI379" s="7"/>
      <c r="AJ379" s="7"/>
      <c r="AL379" s="3"/>
      <c r="AM379" s="3"/>
      <c r="AN379" s="3"/>
      <c r="AO379" s="3"/>
      <c r="AP379" s="9"/>
      <c r="AQ379" s="6"/>
    </row>
    <row r="380" spans="1:43" ht="15" customHeight="1" x14ac:dyDescent="0.3">
      <c r="A380" s="22"/>
      <c r="I380" s="21"/>
      <c r="J380" s="20"/>
      <c r="K380" s="3"/>
      <c r="L380" s="20"/>
      <c r="N380" s="12"/>
      <c r="O380" s="11"/>
      <c r="S380" s="10"/>
      <c r="U380" s="3"/>
      <c r="V380" s="3"/>
      <c r="X380" s="9"/>
      <c r="Z380" s="3"/>
      <c r="AA380" s="8"/>
      <c r="AB380" s="7"/>
      <c r="AC380" s="7"/>
      <c r="AD380" s="6"/>
      <c r="AE380" s="6"/>
      <c r="AF380" s="5"/>
      <c r="AG380" s="7"/>
      <c r="AH380" s="3"/>
      <c r="AI380" s="7"/>
      <c r="AJ380" s="7"/>
      <c r="AL380" s="3"/>
      <c r="AM380" s="3"/>
      <c r="AN380" s="3"/>
      <c r="AO380" s="3"/>
      <c r="AP380" s="9"/>
      <c r="AQ380" s="6"/>
    </row>
    <row r="381" spans="1:43" ht="15" customHeight="1" x14ac:dyDescent="0.3">
      <c r="A381" s="22"/>
      <c r="I381" s="21"/>
      <c r="J381" s="20"/>
      <c r="K381" s="3"/>
      <c r="L381" s="20"/>
      <c r="N381" s="12"/>
      <c r="O381" s="11"/>
      <c r="S381" s="10"/>
      <c r="U381" s="3"/>
      <c r="V381" s="3"/>
      <c r="X381" s="9"/>
      <c r="Z381" s="3"/>
      <c r="AA381" s="8"/>
      <c r="AB381" s="7"/>
      <c r="AC381" s="7"/>
      <c r="AD381" s="6"/>
      <c r="AE381" s="6"/>
      <c r="AF381" s="5"/>
      <c r="AG381" s="7"/>
      <c r="AH381" s="3"/>
      <c r="AI381" s="7"/>
      <c r="AJ381" s="7"/>
      <c r="AL381" s="3"/>
      <c r="AM381" s="3"/>
      <c r="AN381" s="3"/>
      <c r="AO381" s="3"/>
      <c r="AP381" s="9"/>
      <c r="AQ381" s="6"/>
    </row>
    <row r="382" spans="1:43" ht="15" customHeight="1" x14ac:dyDescent="0.3">
      <c r="A382" s="22"/>
      <c r="I382" s="21"/>
      <c r="J382" s="20"/>
      <c r="K382" s="3"/>
      <c r="L382" s="20"/>
      <c r="N382" s="12"/>
      <c r="O382" s="11"/>
      <c r="S382" s="10"/>
      <c r="U382" s="3"/>
      <c r="V382" s="3"/>
      <c r="X382" s="9"/>
      <c r="Z382" s="3"/>
      <c r="AA382" s="8"/>
      <c r="AB382" s="7"/>
      <c r="AC382" s="7"/>
      <c r="AD382" s="6"/>
      <c r="AE382" s="6"/>
      <c r="AF382" s="5"/>
      <c r="AG382" s="7"/>
      <c r="AH382" s="3"/>
      <c r="AI382" s="7"/>
      <c r="AJ382" s="7"/>
      <c r="AL382" s="3"/>
      <c r="AM382" s="3"/>
      <c r="AN382" s="3"/>
      <c r="AO382" s="3"/>
      <c r="AP382" s="9"/>
      <c r="AQ382" s="6"/>
    </row>
    <row r="383" spans="1:43" ht="15" customHeight="1" x14ac:dyDescent="0.3">
      <c r="A383" s="22"/>
      <c r="I383" s="21"/>
      <c r="J383" s="20"/>
      <c r="K383" s="3"/>
      <c r="L383" s="20"/>
      <c r="N383" s="12"/>
      <c r="O383" s="11"/>
      <c r="S383" s="10"/>
      <c r="U383" s="3"/>
      <c r="V383" s="3"/>
      <c r="X383" s="9"/>
      <c r="Z383" s="3"/>
      <c r="AA383" s="8"/>
      <c r="AB383" s="7"/>
      <c r="AC383" s="7"/>
      <c r="AD383" s="6"/>
      <c r="AE383" s="6"/>
      <c r="AF383" s="5"/>
      <c r="AG383" s="7"/>
      <c r="AH383" s="3"/>
      <c r="AI383" s="7"/>
      <c r="AJ383" s="7"/>
      <c r="AL383" s="3"/>
      <c r="AM383" s="3"/>
      <c r="AN383" s="3"/>
      <c r="AO383" s="3"/>
      <c r="AP383" s="9"/>
      <c r="AQ383" s="6"/>
    </row>
    <row r="384" spans="1:43" ht="15" customHeight="1" x14ac:dyDescent="0.3">
      <c r="A384" s="22"/>
      <c r="I384" s="21"/>
      <c r="J384" s="20"/>
      <c r="K384" s="3"/>
      <c r="L384" s="20"/>
      <c r="N384" s="12"/>
      <c r="O384" s="11"/>
      <c r="S384" s="10"/>
      <c r="U384" s="3"/>
      <c r="V384" s="3"/>
      <c r="X384" s="9"/>
      <c r="Z384" s="3"/>
      <c r="AA384" s="8"/>
      <c r="AB384" s="7"/>
      <c r="AC384" s="7"/>
      <c r="AD384" s="6"/>
      <c r="AE384" s="6"/>
      <c r="AF384" s="5"/>
      <c r="AG384" s="7"/>
      <c r="AH384" s="3"/>
      <c r="AI384" s="7"/>
      <c r="AJ384" s="7"/>
      <c r="AL384" s="3"/>
      <c r="AM384" s="3"/>
      <c r="AN384" s="3"/>
      <c r="AO384" s="3"/>
      <c r="AP384" s="9"/>
      <c r="AQ384" s="6"/>
    </row>
    <row r="385" spans="1:43" ht="15" customHeight="1" x14ac:dyDescent="0.3">
      <c r="A385" s="22"/>
      <c r="I385" s="21"/>
      <c r="J385" s="20"/>
      <c r="K385" s="3"/>
      <c r="L385" s="20"/>
      <c r="N385" s="12"/>
      <c r="O385" s="11"/>
      <c r="S385" s="10"/>
      <c r="U385" s="3"/>
      <c r="V385" s="3"/>
      <c r="X385" s="9"/>
      <c r="Z385" s="3"/>
      <c r="AA385" s="8"/>
      <c r="AB385" s="7"/>
      <c r="AC385" s="7"/>
      <c r="AD385" s="6"/>
      <c r="AE385" s="6"/>
      <c r="AF385" s="5"/>
      <c r="AG385" s="7"/>
      <c r="AH385" s="3"/>
      <c r="AI385" s="7"/>
      <c r="AJ385" s="7"/>
      <c r="AL385" s="3"/>
      <c r="AM385" s="3"/>
      <c r="AN385" s="3"/>
      <c r="AO385" s="3"/>
      <c r="AP385" s="9"/>
      <c r="AQ385" s="6"/>
    </row>
    <row r="386" spans="1:43" ht="15" customHeight="1" x14ac:dyDescent="0.3">
      <c r="A386" s="22"/>
      <c r="I386" s="21"/>
      <c r="J386" s="20"/>
      <c r="K386" s="3"/>
      <c r="L386" s="20"/>
      <c r="N386" s="12"/>
      <c r="O386" s="11"/>
      <c r="S386" s="10"/>
      <c r="U386" s="3"/>
      <c r="V386" s="3"/>
      <c r="X386" s="9"/>
      <c r="Z386" s="3"/>
      <c r="AA386" s="8"/>
      <c r="AB386" s="7"/>
      <c r="AC386" s="7"/>
      <c r="AD386" s="6"/>
      <c r="AE386" s="6"/>
      <c r="AF386" s="5"/>
      <c r="AG386" s="7"/>
      <c r="AH386" s="3"/>
      <c r="AI386" s="7"/>
      <c r="AJ386" s="7"/>
      <c r="AL386" s="3"/>
      <c r="AM386" s="3"/>
      <c r="AN386" s="3"/>
      <c r="AO386" s="3"/>
      <c r="AP386" s="9"/>
      <c r="AQ386" s="6"/>
    </row>
    <row r="387" spans="1:43" ht="15" customHeight="1" x14ac:dyDescent="0.3">
      <c r="A387" s="22"/>
      <c r="I387" s="21"/>
      <c r="J387" s="20"/>
      <c r="K387" s="3"/>
      <c r="L387" s="20"/>
      <c r="N387" s="12"/>
      <c r="O387" s="11"/>
      <c r="S387" s="10"/>
      <c r="U387" s="3"/>
      <c r="V387" s="3"/>
      <c r="X387" s="9"/>
      <c r="Z387" s="3"/>
      <c r="AA387" s="8"/>
      <c r="AB387" s="7"/>
      <c r="AC387" s="7"/>
      <c r="AD387" s="6"/>
      <c r="AE387" s="6"/>
      <c r="AF387" s="5"/>
      <c r="AG387" s="7"/>
      <c r="AH387" s="3"/>
      <c r="AI387" s="7"/>
      <c r="AJ387" s="7"/>
      <c r="AL387" s="3"/>
      <c r="AM387" s="3"/>
      <c r="AN387" s="3"/>
      <c r="AO387" s="3"/>
      <c r="AP387" s="9"/>
      <c r="AQ387" s="6"/>
    </row>
    <row r="388" spans="1:43" ht="15" customHeight="1" x14ac:dyDescent="0.3">
      <c r="A388" s="22"/>
      <c r="I388" s="21"/>
      <c r="J388" s="20"/>
      <c r="K388" s="3"/>
      <c r="L388" s="20"/>
      <c r="N388" s="12"/>
      <c r="O388" s="11"/>
      <c r="S388" s="10"/>
      <c r="U388" s="3"/>
      <c r="V388" s="3"/>
      <c r="X388" s="9"/>
      <c r="Z388" s="3"/>
      <c r="AA388" s="8"/>
      <c r="AB388" s="7"/>
      <c r="AC388" s="7"/>
      <c r="AD388" s="6"/>
      <c r="AE388" s="6"/>
      <c r="AF388" s="5"/>
      <c r="AG388" s="7"/>
      <c r="AH388" s="3"/>
      <c r="AI388" s="7"/>
      <c r="AJ388" s="7"/>
      <c r="AL388" s="3"/>
      <c r="AM388" s="3"/>
      <c r="AN388" s="3"/>
      <c r="AO388" s="3"/>
      <c r="AP388" s="9"/>
      <c r="AQ388" s="6"/>
    </row>
    <row r="389" spans="1:43" ht="15" customHeight="1" x14ac:dyDescent="0.3">
      <c r="A389" s="22"/>
      <c r="I389" s="21"/>
      <c r="J389" s="20"/>
      <c r="K389" s="3"/>
      <c r="L389" s="20"/>
      <c r="N389" s="12"/>
      <c r="O389" s="11"/>
      <c r="S389" s="10"/>
      <c r="U389" s="3"/>
      <c r="V389" s="3"/>
      <c r="X389" s="9"/>
      <c r="Z389" s="3"/>
      <c r="AA389" s="8"/>
      <c r="AB389" s="7"/>
      <c r="AC389" s="7"/>
      <c r="AD389" s="6"/>
      <c r="AE389" s="6"/>
      <c r="AF389" s="5"/>
      <c r="AG389" s="7"/>
      <c r="AH389" s="3"/>
      <c r="AI389" s="7"/>
      <c r="AJ389" s="7"/>
      <c r="AL389" s="3"/>
      <c r="AM389" s="3"/>
      <c r="AN389" s="3"/>
      <c r="AO389" s="3"/>
      <c r="AP389" s="9"/>
      <c r="AQ389" s="6"/>
    </row>
    <row r="390" spans="1:43" ht="15" customHeight="1" x14ac:dyDescent="0.3">
      <c r="A390" s="22"/>
      <c r="I390" s="21"/>
      <c r="J390" s="20"/>
      <c r="K390" s="3"/>
      <c r="L390" s="20"/>
      <c r="N390" s="12"/>
      <c r="O390" s="11"/>
      <c r="S390" s="10"/>
      <c r="U390" s="3"/>
      <c r="V390" s="3"/>
      <c r="X390" s="9"/>
      <c r="Z390" s="3"/>
      <c r="AA390" s="8"/>
      <c r="AB390" s="7"/>
      <c r="AC390" s="7"/>
      <c r="AD390" s="6"/>
      <c r="AE390" s="6"/>
      <c r="AF390" s="5"/>
      <c r="AG390" s="7"/>
      <c r="AH390" s="3"/>
      <c r="AI390" s="7"/>
      <c r="AJ390" s="7"/>
      <c r="AL390" s="3"/>
      <c r="AM390" s="3"/>
      <c r="AN390" s="3"/>
      <c r="AO390" s="3"/>
      <c r="AP390" s="9"/>
      <c r="AQ390" s="6"/>
    </row>
    <row r="391" spans="1:43" ht="15" customHeight="1" x14ac:dyDescent="0.3">
      <c r="A391" s="22"/>
      <c r="I391" s="21"/>
      <c r="J391" s="20"/>
      <c r="K391" s="3"/>
      <c r="L391" s="20"/>
      <c r="N391" s="12"/>
      <c r="O391" s="11"/>
      <c r="S391" s="10"/>
      <c r="U391" s="3"/>
      <c r="V391" s="3"/>
      <c r="X391" s="9"/>
      <c r="Z391" s="3"/>
      <c r="AA391" s="8"/>
      <c r="AB391" s="7"/>
      <c r="AC391" s="7"/>
      <c r="AD391" s="6"/>
      <c r="AE391" s="6"/>
      <c r="AF391" s="5"/>
      <c r="AG391" s="7"/>
      <c r="AH391" s="3"/>
      <c r="AI391" s="7"/>
      <c r="AJ391" s="7"/>
      <c r="AL391" s="3"/>
      <c r="AM391" s="3"/>
      <c r="AN391" s="3"/>
      <c r="AO391" s="3"/>
      <c r="AP391" s="9"/>
      <c r="AQ391" s="6"/>
    </row>
    <row r="392" spans="1:43" ht="15" customHeight="1" x14ac:dyDescent="0.3">
      <c r="A392" s="22"/>
      <c r="I392" s="21"/>
      <c r="J392" s="20"/>
      <c r="K392" s="3"/>
      <c r="L392" s="20"/>
      <c r="N392" s="12"/>
      <c r="O392" s="11"/>
      <c r="S392" s="10"/>
      <c r="U392" s="3"/>
      <c r="V392" s="3"/>
      <c r="X392" s="9"/>
      <c r="Z392" s="3"/>
      <c r="AA392" s="8"/>
      <c r="AB392" s="7"/>
      <c r="AC392" s="7"/>
      <c r="AD392" s="6"/>
      <c r="AE392" s="6"/>
      <c r="AF392" s="5"/>
      <c r="AG392" s="7"/>
      <c r="AH392" s="3"/>
      <c r="AI392" s="7"/>
      <c r="AJ392" s="7"/>
      <c r="AL392" s="3"/>
      <c r="AM392" s="3"/>
      <c r="AN392" s="3"/>
      <c r="AO392" s="3"/>
      <c r="AP392" s="9"/>
      <c r="AQ392" s="6"/>
    </row>
    <row r="393" spans="1:43" ht="15" customHeight="1" x14ac:dyDescent="0.3">
      <c r="A393" s="22"/>
      <c r="I393" s="21"/>
      <c r="J393" s="20"/>
      <c r="K393" s="3"/>
      <c r="L393" s="20"/>
      <c r="N393" s="12"/>
      <c r="O393" s="11"/>
      <c r="S393" s="10"/>
      <c r="U393" s="3"/>
      <c r="V393" s="3"/>
      <c r="X393" s="9"/>
      <c r="Z393" s="3"/>
      <c r="AA393" s="8"/>
      <c r="AB393" s="7"/>
      <c r="AC393" s="7"/>
      <c r="AD393" s="6"/>
      <c r="AE393" s="6"/>
      <c r="AF393" s="5"/>
      <c r="AG393" s="7"/>
      <c r="AH393" s="3"/>
      <c r="AI393" s="7"/>
      <c r="AJ393" s="7"/>
      <c r="AL393" s="3"/>
      <c r="AM393" s="3"/>
      <c r="AN393" s="3"/>
      <c r="AO393" s="3"/>
      <c r="AP393" s="9"/>
      <c r="AQ393" s="6"/>
    </row>
    <row r="394" spans="1:43" ht="15" customHeight="1" x14ac:dyDescent="0.3">
      <c r="A394" s="22"/>
      <c r="I394" s="21"/>
      <c r="J394" s="20"/>
      <c r="K394" s="3"/>
      <c r="L394" s="20"/>
      <c r="N394" s="12"/>
      <c r="O394" s="11"/>
      <c r="S394" s="10"/>
      <c r="U394" s="3"/>
      <c r="V394" s="3"/>
      <c r="X394" s="9"/>
      <c r="Z394" s="3"/>
      <c r="AA394" s="8"/>
      <c r="AB394" s="7"/>
      <c r="AC394" s="7"/>
      <c r="AD394" s="6"/>
      <c r="AE394" s="6"/>
      <c r="AF394" s="5"/>
      <c r="AG394" s="7"/>
      <c r="AH394" s="3"/>
      <c r="AI394" s="7"/>
      <c r="AJ394" s="7"/>
      <c r="AL394" s="3"/>
      <c r="AM394" s="3"/>
      <c r="AN394" s="3"/>
      <c r="AO394" s="3"/>
      <c r="AP394" s="9"/>
      <c r="AQ394" s="6"/>
    </row>
    <row r="395" spans="1:43" ht="15" customHeight="1" x14ac:dyDescent="0.3">
      <c r="A395" s="22"/>
      <c r="I395" s="21"/>
      <c r="J395" s="20"/>
      <c r="K395" s="3"/>
      <c r="L395" s="20"/>
      <c r="N395" s="12"/>
      <c r="O395" s="11"/>
      <c r="S395" s="10"/>
      <c r="U395" s="3"/>
      <c r="V395" s="3"/>
      <c r="X395" s="9"/>
      <c r="Z395" s="3"/>
      <c r="AA395" s="8"/>
      <c r="AB395" s="7"/>
      <c r="AC395" s="7"/>
      <c r="AD395" s="6"/>
      <c r="AE395" s="6"/>
      <c r="AF395" s="5"/>
      <c r="AG395" s="7"/>
      <c r="AH395" s="3"/>
      <c r="AI395" s="7"/>
      <c r="AJ395" s="7"/>
      <c r="AL395" s="3"/>
      <c r="AM395" s="3"/>
      <c r="AN395" s="3"/>
      <c r="AO395" s="3"/>
      <c r="AP395" s="9"/>
      <c r="AQ395" s="6"/>
    </row>
    <row r="396" spans="1:43" ht="15" customHeight="1" x14ac:dyDescent="0.3">
      <c r="A396" s="22"/>
      <c r="I396" s="21"/>
      <c r="J396" s="20"/>
      <c r="K396" s="3"/>
      <c r="L396" s="20"/>
      <c r="N396" s="12"/>
      <c r="O396" s="11"/>
      <c r="S396" s="10"/>
      <c r="U396" s="3"/>
      <c r="V396" s="3"/>
      <c r="X396" s="9"/>
      <c r="Z396" s="3"/>
      <c r="AA396" s="8"/>
      <c r="AB396" s="7"/>
      <c r="AC396" s="7"/>
      <c r="AD396" s="6"/>
      <c r="AE396" s="6"/>
      <c r="AF396" s="5"/>
      <c r="AG396" s="7"/>
      <c r="AH396" s="3"/>
      <c r="AI396" s="7"/>
      <c r="AJ396" s="7"/>
      <c r="AL396" s="3"/>
      <c r="AM396" s="3"/>
      <c r="AN396" s="3"/>
      <c r="AO396" s="3"/>
      <c r="AP396" s="9"/>
      <c r="AQ396" s="6"/>
    </row>
    <row r="397" spans="1:43" ht="15" customHeight="1" x14ac:dyDescent="0.3">
      <c r="A397" s="22"/>
      <c r="I397" s="21"/>
      <c r="J397" s="20"/>
      <c r="K397" s="3"/>
      <c r="L397" s="20"/>
      <c r="N397" s="12"/>
      <c r="O397" s="11"/>
      <c r="S397" s="10"/>
      <c r="U397" s="3"/>
      <c r="V397" s="3"/>
      <c r="X397" s="9"/>
      <c r="Z397" s="3"/>
      <c r="AA397" s="8"/>
      <c r="AB397" s="7"/>
      <c r="AC397" s="7"/>
      <c r="AD397" s="6"/>
      <c r="AE397" s="6"/>
      <c r="AF397" s="5"/>
      <c r="AG397" s="7"/>
      <c r="AH397" s="3"/>
      <c r="AI397" s="7"/>
      <c r="AJ397" s="7"/>
      <c r="AL397" s="3"/>
      <c r="AM397" s="3"/>
      <c r="AN397" s="3"/>
      <c r="AO397" s="3"/>
      <c r="AP397" s="9"/>
      <c r="AQ397" s="6"/>
    </row>
    <row r="398" spans="1:43" ht="15" customHeight="1" x14ac:dyDescent="0.3">
      <c r="A398" s="22"/>
      <c r="I398" s="21"/>
      <c r="J398" s="20"/>
      <c r="K398" s="3"/>
      <c r="L398" s="20"/>
      <c r="N398" s="12"/>
      <c r="O398" s="11"/>
      <c r="S398" s="10"/>
      <c r="U398" s="3"/>
      <c r="V398" s="3"/>
      <c r="X398" s="9"/>
      <c r="Z398" s="3"/>
      <c r="AA398" s="8"/>
      <c r="AB398" s="7"/>
      <c r="AC398" s="7"/>
      <c r="AD398" s="6"/>
      <c r="AE398" s="6"/>
      <c r="AF398" s="5"/>
      <c r="AG398" s="7"/>
      <c r="AH398" s="3"/>
      <c r="AI398" s="7"/>
      <c r="AJ398" s="7"/>
      <c r="AL398" s="3"/>
      <c r="AM398" s="3"/>
      <c r="AN398" s="3"/>
      <c r="AO398" s="3"/>
      <c r="AP398" s="9"/>
      <c r="AQ398" s="6"/>
    </row>
    <row r="399" spans="1:43" ht="15" customHeight="1" x14ac:dyDescent="0.3">
      <c r="A399" s="22"/>
      <c r="I399" s="21"/>
      <c r="J399" s="20"/>
      <c r="K399" s="3"/>
      <c r="L399" s="20"/>
      <c r="N399" s="12"/>
      <c r="O399" s="11"/>
      <c r="S399" s="10"/>
      <c r="U399" s="3"/>
      <c r="V399" s="3"/>
      <c r="X399" s="9"/>
      <c r="Z399" s="3"/>
      <c r="AA399" s="8"/>
      <c r="AB399" s="7"/>
      <c r="AC399" s="7"/>
      <c r="AD399" s="6"/>
      <c r="AE399" s="6"/>
      <c r="AF399" s="5"/>
      <c r="AG399" s="7"/>
      <c r="AH399" s="3"/>
      <c r="AI399" s="7"/>
      <c r="AJ399" s="7"/>
      <c r="AL399" s="3"/>
      <c r="AM399" s="3"/>
      <c r="AN399" s="3"/>
      <c r="AO399" s="3"/>
      <c r="AP399" s="9"/>
      <c r="AQ399" s="6"/>
    </row>
    <row r="400" spans="1:43" ht="15" customHeight="1" x14ac:dyDescent="0.3">
      <c r="A400" s="22"/>
      <c r="I400" s="21"/>
      <c r="J400" s="20"/>
      <c r="K400" s="3"/>
      <c r="L400" s="20"/>
      <c r="N400" s="12"/>
      <c r="O400" s="11"/>
      <c r="S400" s="10"/>
      <c r="U400" s="3"/>
      <c r="V400" s="3"/>
      <c r="X400" s="9"/>
      <c r="Z400" s="3"/>
      <c r="AA400" s="8"/>
      <c r="AB400" s="7"/>
      <c r="AC400" s="7"/>
      <c r="AD400" s="6"/>
      <c r="AE400" s="6"/>
      <c r="AF400" s="5"/>
      <c r="AG400" s="7"/>
      <c r="AH400" s="3"/>
      <c r="AI400" s="7"/>
      <c r="AJ400" s="7"/>
      <c r="AL400" s="3"/>
      <c r="AM400" s="3"/>
      <c r="AN400" s="3"/>
      <c r="AO400" s="3"/>
      <c r="AP400" s="9"/>
      <c r="AQ400" s="6"/>
    </row>
    <row r="401" spans="1:43" ht="15" customHeight="1" x14ac:dyDescent="0.3">
      <c r="A401" s="22"/>
      <c r="I401" s="21"/>
      <c r="J401" s="20"/>
      <c r="K401" s="3"/>
      <c r="L401" s="20"/>
      <c r="N401" s="12"/>
      <c r="O401" s="11"/>
      <c r="S401" s="10"/>
      <c r="U401" s="3"/>
      <c r="V401" s="3"/>
      <c r="X401" s="9"/>
      <c r="Z401" s="3"/>
      <c r="AA401" s="8"/>
      <c r="AB401" s="7"/>
      <c r="AC401" s="7"/>
      <c r="AD401" s="6"/>
      <c r="AE401" s="6"/>
      <c r="AF401" s="5"/>
      <c r="AG401" s="7"/>
      <c r="AH401" s="3"/>
      <c r="AI401" s="7"/>
      <c r="AJ401" s="7"/>
      <c r="AL401" s="3"/>
      <c r="AM401" s="3"/>
      <c r="AN401" s="3"/>
      <c r="AO401" s="3"/>
      <c r="AP401" s="9"/>
      <c r="AQ401" s="6"/>
    </row>
    <row r="402" spans="1:43" ht="15" customHeight="1" x14ac:dyDescent="0.3">
      <c r="A402" s="22"/>
      <c r="I402" s="21"/>
      <c r="J402" s="20"/>
      <c r="K402" s="3"/>
      <c r="L402" s="20"/>
      <c r="N402" s="12"/>
      <c r="O402" s="11"/>
      <c r="S402" s="10"/>
      <c r="U402" s="3"/>
      <c r="V402" s="3"/>
      <c r="X402" s="9"/>
      <c r="Z402" s="3"/>
      <c r="AA402" s="8"/>
      <c r="AB402" s="7"/>
      <c r="AC402" s="7"/>
      <c r="AD402" s="6"/>
      <c r="AE402" s="6"/>
      <c r="AF402" s="5"/>
      <c r="AG402" s="7"/>
      <c r="AH402" s="3"/>
      <c r="AI402" s="7"/>
      <c r="AJ402" s="7"/>
      <c r="AL402" s="3"/>
      <c r="AM402" s="3"/>
      <c r="AN402" s="3"/>
      <c r="AO402" s="3"/>
      <c r="AP402" s="9"/>
      <c r="AQ402" s="6"/>
    </row>
    <row r="403" spans="1:43" ht="15" customHeight="1" x14ac:dyDescent="0.3">
      <c r="A403" s="22"/>
      <c r="I403" s="21"/>
      <c r="J403" s="20"/>
      <c r="K403" s="3"/>
      <c r="L403" s="20"/>
      <c r="N403" s="12"/>
      <c r="O403" s="11"/>
      <c r="S403" s="10"/>
      <c r="U403" s="3"/>
      <c r="V403" s="3"/>
      <c r="X403" s="9"/>
      <c r="Z403" s="3"/>
      <c r="AA403" s="8"/>
      <c r="AB403" s="7"/>
      <c r="AC403" s="7"/>
      <c r="AD403" s="6"/>
      <c r="AE403" s="6"/>
      <c r="AF403" s="5"/>
      <c r="AG403" s="7"/>
      <c r="AH403" s="3"/>
      <c r="AI403" s="7"/>
      <c r="AJ403" s="7"/>
      <c r="AL403" s="3"/>
      <c r="AM403" s="3"/>
      <c r="AN403" s="3"/>
      <c r="AO403" s="3"/>
      <c r="AP403" s="9"/>
      <c r="AQ403" s="6"/>
    </row>
    <row r="404" spans="1:43" ht="15" customHeight="1" x14ac:dyDescent="0.3">
      <c r="A404" s="22"/>
      <c r="I404" s="21"/>
      <c r="J404" s="20"/>
      <c r="K404" s="3"/>
      <c r="L404" s="20"/>
      <c r="N404" s="12"/>
      <c r="O404" s="11"/>
      <c r="S404" s="10"/>
      <c r="U404" s="3"/>
      <c r="V404" s="3"/>
      <c r="X404" s="9"/>
      <c r="Z404" s="3"/>
      <c r="AA404" s="8"/>
      <c r="AB404" s="7"/>
      <c r="AC404" s="7"/>
      <c r="AD404" s="6"/>
      <c r="AE404" s="6"/>
      <c r="AF404" s="5"/>
      <c r="AG404" s="7"/>
      <c r="AH404" s="3"/>
      <c r="AI404" s="7"/>
      <c r="AJ404" s="7"/>
      <c r="AL404" s="3"/>
      <c r="AM404" s="3"/>
      <c r="AN404" s="3"/>
      <c r="AO404" s="3"/>
      <c r="AP404" s="9"/>
      <c r="AQ404" s="6"/>
    </row>
    <row r="405" spans="1:43" ht="15" customHeight="1" x14ac:dyDescent="0.3">
      <c r="A405" s="22"/>
      <c r="I405" s="21"/>
      <c r="J405" s="20"/>
      <c r="K405" s="3"/>
      <c r="L405" s="20"/>
      <c r="N405" s="12"/>
      <c r="O405" s="11"/>
      <c r="S405" s="10"/>
      <c r="U405" s="3"/>
      <c r="V405" s="3"/>
      <c r="X405" s="9"/>
      <c r="Z405" s="3"/>
      <c r="AA405" s="8"/>
      <c r="AB405" s="7"/>
      <c r="AC405" s="7"/>
      <c r="AD405" s="6"/>
      <c r="AE405" s="6"/>
      <c r="AF405" s="5"/>
      <c r="AG405" s="7"/>
      <c r="AH405" s="3"/>
      <c r="AI405" s="7"/>
      <c r="AJ405" s="7"/>
      <c r="AL405" s="3"/>
      <c r="AM405" s="3"/>
      <c r="AN405" s="3"/>
      <c r="AO405" s="3"/>
      <c r="AP405" s="9"/>
      <c r="AQ405" s="6"/>
    </row>
    <row r="406" spans="1:43" ht="15" customHeight="1" x14ac:dyDescent="0.3">
      <c r="A406" s="22"/>
      <c r="I406" s="21"/>
      <c r="J406" s="20"/>
      <c r="K406" s="3"/>
      <c r="L406" s="20"/>
      <c r="N406" s="12"/>
      <c r="O406" s="11"/>
      <c r="S406" s="10"/>
      <c r="U406" s="3"/>
      <c r="V406" s="3"/>
      <c r="X406" s="9"/>
      <c r="Z406" s="3"/>
      <c r="AA406" s="8"/>
      <c r="AB406" s="7"/>
      <c r="AC406" s="7"/>
      <c r="AD406" s="6"/>
      <c r="AE406" s="6"/>
      <c r="AF406" s="5"/>
      <c r="AG406" s="7"/>
      <c r="AH406" s="3"/>
      <c r="AI406" s="7"/>
      <c r="AJ406" s="7"/>
      <c r="AL406" s="3"/>
      <c r="AM406" s="3"/>
      <c r="AN406" s="3"/>
      <c r="AO406" s="3"/>
      <c r="AP406" s="9"/>
      <c r="AQ406" s="6"/>
    </row>
    <row r="407" spans="1:43" ht="15" customHeight="1" x14ac:dyDescent="0.3">
      <c r="A407" s="22"/>
      <c r="I407" s="21"/>
      <c r="J407" s="20"/>
      <c r="K407" s="3"/>
      <c r="L407" s="20"/>
      <c r="N407" s="12"/>
      <c r="O407" s="11"/>
      <c r="S407" s="10"/>
      <c r="U407" s="3"/>
      <c r="V407" s="3"/>
      <c r="X407" s="9"/>
      <c r="Z407" s="3"/>
      <c r="AA407" s="8"/>
      <c r="AB407" s="7"/>
      <c r="AC407" s="7"/>
      <c r="AD407" s="6"/>
      <c r="AE407" s="6"/>
      <c r="AF407" s="5"/>
      <c r="AG407" s="7"/>
      <c r="AH407" s="3"/>
      <c r="AI407" s="7"/>
      <c r="AJ407" s="7"/>
      <c r="AL407" s="3"/>
      <c r="AM407" s="3"/>
      <c r="AN407" s="3"/>
      <c r="AO407" s="3"/>
      <c r="AP407" s="9"/>
      <c r="AQ407" s="6"/>
    </row>
    <row r="408" spans="1:43" ht="15" customHeight="1" x14ac:dyDescent="0.3">
      <c r="A408" s="22"/>
      <c r="I408" s="21"/>
      <c r="J408" s="20"/>
      <c r="K408" s="3"/>
      <c r="L408" s="20"/>
      <c r="N408" s="12"/>
      <c r="O408" s="11"/>
      <c r="S408" s="10"/>
      <c r="U408" s="3"/>
      <c r="V408" s="3"/>
      <c r="X408" s="9"/>
      <c r="Z408" s="3"/>
      <c r="AA408" s="8"/>
      <c r="AB408" s="7"/>
      <c r="AC408" s="7"/>
      <c r="AD408" s="6"/>
      <c r="AE408" s="6"/>
      <c r="AF408" s="5"/>
      <c r="AG408" s="7"/>
      <c r="AH408" s="3"/>
      <c r="AI408" s="7"/>
      <c r="AJ408" s="7"/>
      <c r="AL408" s="3"/>
      <c r="AM408" s="3"/>
      <c r="AN408" s="3"/>
      <c r="AO408" s="3"/>
      <c r="AP408" s="9"/>
      <c r="AQ408" s="6"/>
    </row>
    <row r="409" spans="1:43" ht="15" customHeight="1" x14ac:dyDescent="0.3">
      <c r="A409" s="22"/>
      <c r="I409" s="21"/>
      <c r="J409" s="20"/>
      <c r="K409" s="3"/>
      <c r="L409" s="20"/>
      <c r="N409" s="12"/>
      <c r="O409" s="11"/>
      <c r="S409" s="10"/>
      <c r="U409" s="3"/>
      <c r="V409" s="3"/>
      <c r="X409" s="9"/>
      <c r="Z409" s="3"/>
      <c r="AA409" s="8"/>
      <c r="AB409" s="7"/>
      <c r="AC409" s="7"/>
      <c r="AD409" s="6"/>
      <c r="AE409" s="6"/>
      <c r="AF409" s="5"/>
      <c r="AG409" s="7"/>
      <c r="AH409" s="3"/>
      <c r="AI409" s="7"/>
      <c r="AJ409" s="7"/>
      <c r="AL409" s="3"/>
      <c r="AM409" s="3"/>
      <c r="AN409" s="3"/>
      <c r="AO409" s="3"/>
      <c r="AP409" s="9"/>
      <c r="AQ409" s="6"/>
    </row>
    <row r="410" spans="1:43" ht="15" customHeight="1" x14ac:dyDescent="0.3">
      <c r="A410" s="22"/>
      <c r="I410" s="21"/>
      <c r="J410" s="20"/>
      <c r="K410" s="3"/>
      <c r="L410" s="20"/>
      <c r="N410" s="12"/>
      <c r="O410" s="11"/>
      <c r="S410" s="10"/>
      <c r="U410" s="3"/>
      <c r="V410" s="3"/>
      <c r="X410" s="9"/>
      <c r="Z410" s="3"/>
      <c r="AA410" s="8"/>
      <c r="AB410" s="7"/>
      <c r="AC410" s="7"/>
      <c r="AD410" s="6"/>
      <c r="AE410" s="6"/>
      <c r="AF410" s="5"/>
      <c r="AG410" s="7"/>
      <c r="AH410" s="3"/>
      <c r="AI410" s="7"/>
      <c r="AJ410" s="7"/>
      <c r="AL410" s="3"/>
      <c r="AM410" s="3"/>
      <c r="AN410" s="3"/>
      <c r="AO410" s="3"/>
      <c r="AP410" s="9"/>
      <c r="AQ410" s="6"/>
    </row>
    <row r="411" spans="1:43" ht="15" customHeight="1" x14ac:dyDescent="0.3">
      <c r="A411" s="22"/>
      <c r="I411" s="21"/>
      <c r="J411" s="20"/>
      <c r="K411" s="3"/>
      <c r="L411" s="20"/>
      <c r="N411" s="12"/>
      <c r="O411" s="11"/>
      <c r="S411" s="10"/>
      <c r="U411" s="3"/>
      <c r="V411" s="3"/>
      <c r="X411" s="9"/>
      <c r="Z411" s="3"/>
      <c r="AA411" s="8"/>
      <c r="AB411" s="7"/>
      <c r="AC411" s="7"/>
      <c r="AD411" s="6"/>
      <c r="AE411" s="6"/>
      <c r="AF411" s="5"/>
      <c r="AG411" s="7"/>
      <c r="AH411" s="3"/>
      <c r="AI411" s="7"/>
      <c r="AJ411" s="7"/>
      <c r="AL411" s="3"/>
      <c r="AM411" s="3"/>
      <c r="AN411" s="3"/>
      <c r="AO411" s="3"/>
      <c r="AP411" s="9"/>
      <c r="AQ411" s="6"/>
    </row>
    <row r="412" spans="1:43" ht="15" customHeight="1" x14ac:dyDescent="0.3">
      <c r="A412" s="22"/>
      <c r="I412" s="21"/>
      <c r="J412" s="20"/>
      <c r="K412" s="3"/>
      <c r="L412" s="20"/>
      <c r="N412" s="12"/>
      <c r="O412" s="11"/>
      <c r="S412" s="10"/>
      <c r="U412" s="3"/>
      <c r="V412" s="3"/>
      <c r="X412" s="9"/>
      <c r="Z412" s="3"/>
      <c r="AA412" s="8"/>
      <c r="AB412" s="7"/>
      <c r="AC412" s="7"/>
      <c r="AD412" s="6"/>
      <c r="AE412" s="6"/>
      <c r="AF412" s="5"/>
      <c r="AG412" s="7"/>
      <c r="AH412" s="3"/>
      <c r="AI412" s="7"/>
      <c r="AJ412" s="7"/>
      <c r="AL412" s="3"/>
      <c r="AM412" s="3"/>
      <c r="AN412" s="3"/>
      <c r="AO412" s="3"/>
      <c r="AP412" s="9"/>
      <c r="AQ412" s="6"/>
    </row>
    <row r="413" spans="1:43" ht="15" customHeight="1" x14ac:dyDescent="0.3">
      <c r="A413" s="22"/>
      <c r="I413" s="21"/>
      <c r="J413" s="20"/>
      <c r="K413" s="3"/>
      <c r="L413" s="20"/>
      <c r="N413" s="12"/>
      <c r="O413" s="11"/>
      <c r="S413" s="10"/>
      <c r="U413" s="3"/>
      <c r="V413" s="3"/>
      <c r="X413" s="9"/>
      <c r="Z413" s="3"/>
      <c r="AA413" s="8"/>
      <c r="AB413" s="7"/>
      <c r="AC413" s="7"/>
      <c r="AD413" s="6"/>
      <c r="AE413" s="6"/>
      <c r="AF413" s="5"/>
      <c r="AG413" s="7"/>
      <c r="AH413" s="3"/>
      <c r="AI413" s="7"/>
      <c r="AJ413" s="7"/>
      <c r="AL413" s="3"/>
      <c r="AM413" s="3"/>
      <c r="AN413" s="3"/>
      <c r="AO413" s="3"/>
      <c r="AP413" s="9"/>
      <c r="AQ413" s="6"/>
    </row>
    <row r="414" spans="1:43" ht="15" customHeight="1" x14ac:dyDescent="0.3">
      <c r="A414" s="22"/>
      <c r="I414" s="21"/>
      <c r="J414" s="20"/>
      <c r="K414" s="3"/>
      <c r="L414" s="20"/>
      <c r="N414" s="12"/>
      <c r="O414" s="11"/>
      <c r="S414" s="10"/>
      <c r="U414" s="3"/>
      <c r="V414" s="3"/>
      <c r="X414" s="9"/>
      <c r="Z414" s="3"/>
      <c r="AA414" s="8"/>
      <c r="AB414" s="7"/>
      <c r="AC414" s="7"/>
      <c r="AD414" s="6"/>
      <c r="AE414" s="6"/>
      <c r="AF414" s="5"/>
      <c r="AG414" s="7"/>
      <c r="AH414" s="3"/>
      <c r="AI414" s="7"/>
      <c r="AJ414" s="7"/>
      <c r="AL414" s="3"/>
      <c r="AM414" s="3"/>
      <c r="AN414" s="3"/>
      <c r="AO414" s="3"/>
      <c r="AP414" s="9"/>
      <c r="AQ414" s="6"/>
    </row>
    <row r="415" spans="1:43" ht="15" customHeight="1" x14ac:dyDescent="0.3">
      <c r="A415" s="22"/>
      <c r="I415" s="21"/>
      <c r="J415" s="20"/>
      <c r="K415" s="3"/>
      <c r="L415" s="20"/>
      <c r="N415" s="12"/>
      <c r="O415" s="11"/>
      <c r="S415" s="10"/>
      <c r="U415" s="3"/>
      <c r="V415" s="3"/>
      <c r="X415" s="9"/>
      <c r="Z415" s="3"/>
      <c r="AA415" s="8"/>
      <c r="AB415" s="7"/>
      <c r="AC415" s="7"/>
      <c r="AD415" s="6"/>
      <c r="AE415" s="6"/>
      <c r="AF415" s="5"/>
      <c r="AG415" s="7"/>
      <c r="AH415" s="3"/>
      <c r="AI415" s="7"/>
      <c r="AJ415" s="7"/>
      <c r="AL415" s="3"/>
      <c r="AM415" s="3"/>
      <c r="AN415" s="3"/>
      <c r="AO415" s="3"/>
      <c r="AP415" s="9"/>
      <c r="AQ415" s="6"/>
    </row>
    <row r="416" spans="1:43" ht="15" customHeight="1" x14ac:dyDescent="0.3">
      <c r="A416" s="22"/>
      <c r="I416" s="21"/>
      <c r="J416" s="20"/>
      <c r="K416" s="3"/>
      <c r="L416" s="20"/>
      <c r="N416" s="12"/>
      <c r="O416" s="11"/>
      <c r="S416" s="10"/>
      <c r="U416" s="3"/>
      <c r="V416" s="3"/>
      <c r="X416" s="9"/>
      <c r="Z416" s="3"/>
      <c r="AA416" s="8"/>
      <c r="AB416" s="7"/>
      <c r="AC416" s="7"/>
      <c r="AD416" s="6"/>
      <c r="AE416" s="6"/>
      <c r="AF416" s="5"/>
      <c r="AG416" s="7"/>
      <c r="AH416" s="3"/>
      <c r="AI416" s="7"/>
      <c r="AJ416" s="7"/>
      <c r="AL416" s="3"/>
      <c r="AM416" s="3"/>
      <c r="AN416" s="3"/>
      <c r="AO416" s="3"/>
      <c r="AP416" s="9"/>
      <c r="AQ416" s="6"/>
    </row>
    <row r="417" spans="1:43" ht="15" customHeight="1" x14ac:dyDescent="0.3">
      <c r="A417" s="22"/>
      <c r="I417" s="21"/>
      <c r="J417" s="20"/>
      <c r="K417" s="3"/>
      <c r="L417" s="20"/>
      <c r="N417" s="12"/>
      <c r="O417" s="11"/>
      <c r="S417" s="10"/>
      <c r="U417" s="3"/>
      <c r="V417" s="3"/>
      <c r="X417" s="9"/>
      <c r="Z417" s="3"/>
      <c r="AA417" s="8"/>
      <c r="AB417" s="7"/>
      <c r="AC417" s="7"/>
      <c r="AD417" s="6"/>
      <c r="AE417" s="6"/>
      <c r="AF417" s="5"/>
      <c r="AG417" s="7"/>
      <c r="AH417" s="3"/>
      <c r="AI417" s="7"/>
      <c r="AJ417" s="7"/>
      <c r="AL417" s="3"/>
      <c r="AM417" s="3"/>
      <c r="AN417" s="3"/>
      <c r="AO417" s="3"/>
      <c r="AP417" s="9"/>
      <c r="AQ417" s="6"/>
    </row>
    <row r="418" spans="1:43" ht="15" customHeight="1" x14ac:dyDescent="0.3">
      <c r="A418" s="22"/>
      <c r="I418" s="21"/>
      <c r="J418" s="20"/>
      <c r="K418" s="3"/>
      <c r="L418" s="20"/>
      <c r="N418" s="12"/>
      <c r="O418" s="11"/>
      <c r="S418" s="10"/>
      <c r="U418" s="3"/>
      <c r="V418" s="3"/>
      <c r="X418" s="9"/>
      <c r="Z418" s="3"/>
      <c r="AA418" s="8"/>
      <c r="AB418" s="7"/>
      <c r="AC418" s="7"/>
      <c r="AD418" s="6"/>
      <c r="AE418" s="6"/>
      <c r="AF418" s="5"/>
      <c r="AG418" s="7"/>
      <c r="AH418" s="3"/>
      <c r="AI418" s="7"/>
      <c r="AJ418" s="7"/>
      <c r="AL418" s="3"/>
      <c r="AM418" s="3"/>
      <c r="AN418" s="3"/>
      <c r="AO418" s="3"/>
      <c r="AP418" s="9"/>
      <c r="AQ418" s="6"/>
    </row>
    <row r="419" spans="1:43" ht="15" customHeight="1" x14ac:dyDescent="0.3">
      <c r="A419" s="22"/>
      <c r="I419" s="21"/>
      <c r="J419" s="20"/>
      <c r="K419" s="3"/>
      <c r="L419" s="20"/>
      <c r="N419" s="12"/>
      <c r="O419" s="11"/>
      <c r="S419" s="10"/>
      <c r="U419" s="3"/>
      <c r="V419" s="3"/>
      <c r="X419" s="9"/>
      <c r="Z419" s="3"/>
      <c r="AA419" s="8"/>
      <c r="AB419" s="7"/>
      <c r="AC419" s="7"/>
      <c r="AD419" s="6"/>
      <c r="AE419" s="6"/>
      <c r="AF419" s="5"/>
      <c r="AG419" s="7"/>
      <c r="AH419" s="3"/>
      <c r="AI419" s="7"/>
      <c r="AJ419" s="7"/>
      <c r="AL419" s="3"/>
      <c r="AM419" s="3"/>
      <c r="AN419" s="3"/>
      <c r="AO419" s="3"/>
      <c r="AP419" s="9"/>
      <c r="AQ419" s="6"/>
    </row>
    <row r="420" spans="1:43" ht="15" customHeight="1" x14ac:dyDescent="0.3">
      <c r="A420" s="22"/>
      <c r="I420" s="21"/>
      <c r="J420" s="20"/>
      <c r="K420" s="3"/>
      <c r="L420" s="20"/>
      <c r="N420" s="12"/>
      <c r="O420" s="11"/>
      <c r="S420" s="10"/>
      <c r="U420" s="3"/>
      <c r="V420" s="3"/>
      <c r="X420" s="9"/>
      <c r="Z420" s="3"/>
      <c r="AA420" s="8"/>
      <c r="AB420" s="7"/>
      <c r="AC420" s="7"/>
      <c r="AD420" s="6"/>
      <c r="AE420" s="6"/>
      <c r="AF420" s="5"/>
      <c r="AG420" s="7"/>
      <c r="AH420" s="3"/>
      <c r="AI420" s="7"/>
      <c r="AJ420" s="7"/>
      <c r="AL420" s="3"/>
      <c r="AM420" s="3"/>
      <c r="AN420" s="3"/>
      <c r="AO420" s="3"/>
      <c r="AP420" s="9"/>
      <c r="AQ420" s="6"/>
    </row>
    <row r="421" spans="1:43" ht="15" customHeight="1" x14ac:dyDescent="0.3">
      <c r="A421" s="22"/>
      <c r="I421" s="21"/>
      <c r="J421" s="20"/>
      <c r="K421" s="3"/>
      <c r="L421" s="20"/>
      <c r="N421" s="12"/>
      <c r="O421" s="11"/>
      <c r="S421" s="10"/>
      <c r="U421" s="3"/>
      <c r="V421" s="3"/>
      <c r="X421" s="9"/>
      <c r="Z421" s="3"/>
      <c r="AA421" s="8"/>
      <c r="AB421" s="7"/>
      <c r="AC421" s="7"/>
      <c r="AD421" s="6"/>
      <c r="AE421" s="6"/>
      <c r="AF421" s="5"/>
      <c r="AG421" s="7"/>
      <c r="AH421" s="3"/>
      <c r="AI421" s="7"/>
      <c r="AJ421" s="7"/>
      <c r="AL421" s="3"/>
      <c r="AM421" s="3"/>
      <c r="AN421" s="3"/>
      <c r="AO421" s="3"/>
      <c r="AP421" s="9"/>
      <c r="AQ421" s="6"/>
    </row>
    <row r="422" spans="1:43" ht="15" customHeight="1" x14ac:dyDescent="0.3">
      <c r="A422" s="22"/>
      <c r="I422" s="21"/>
      <c r="J422" s="20"/>
      <c r="K422" s="3"/>
      <c r="L422" s="20"/>
      <c r="N422" s="12"/>
      <c r="O422" s="11"/>
      <c r="S422" s="10"/>
      <c r="U422" s="3"/>
      <c r="V422" s="3"/>
      <c r="X422" s="9"/>
      <c r="Z422" s="3"/>
      <c r="AA422" s="8"/>
      <c r="AB422" s="7"/>
      <c r="AC422" s="7"/>
      <c r="AD422" s="6"/>
      <c r="AE422" s="6"/>
      <c r="AF422" s="5"/>
      <c r="AG422" s="7"/>
      <c r="AH422" s="3"/>
      <c r="AI422" s="7"/>
      <c r="AJ422" s="7"/>
      <c r="AL422" s="3"/>
      <c r="AM422" s="3"/>
      <c r="AN422" s="3"/>
      <c r="AO422" s="3"/>
      <c r="AP422" s="9"/>
      <c r="AQ422" s="6"/>
    </row>
    <row r="423" spans="1:43" ht="15" customHeight="1" x14ac:dyDescent="0.3">
      <c r="A423" s="22"/>
      <c r="I423" s="21"/>
      <c r="J423" s="20"/>
      <c r="K423" s="3"/>
      <c r="L423" s="20"/>
      <c r="N423" s="12"/>
      <c r="O423" s="11"/>
      <c r="S423" s="10"/>
      <c r="U423" s="3"/>
      <c r="V423" s="3"/>
      <c r="X423" s="9"/>
      <c r="Z423" s="3"/>
      <c r="AA423" s="8"/>
      <c r="AB423" s="7"/>
      <c r="AC423" s="7"/>
      <c r="AD423" s="6"/>
      <c r="AE423" s="6"/>
      <c r="AF423" s="5"/>
      <c r="AG423" s="7"/>
      <c r="AH423" s="3"/>
      <c r="AI423" s="7"/>
      <c r="AJ423" s="7"/>
      <c r="AL423" s="3"/>
      <c r="AM423" s="3"/>
      <c r="AN423" s="3"/>
      <c r="AO423" s="3"/>
      <c r="AP423" s="9"/>
      <c r="AQ423" s="6"/>
    </row>
    <row r="424" spans="1:43" ht="15" customHeight="1" x14ac:dyDescent="0.3">
      <c r="A424" s="22"/>
      <c r="I424" s="21"/>
      <c r="J424" s="20"/>
      <c r="K424" s="3"/>
      <c r="L424" s="20"/>
      <c r="N424" s="12"/>
      <c r="O424" s="11"/>
      <c r="S424" s="10"/>
      <c r="U424" s="3"/>
      <c r="V424" s="3"/>
      <c r="X424" s="9"/>
      <c r="Z424" s="3"/>
      <c r="AA424" s="8"/>
      <c r="AB424" s="7"/>
      <c r="AC424" s="7"/>
      <c r="AD424" s="6"/>
      <c r="AE424" s="6"/>
      <c r="AF424" s="5"/>
      <c r="AG424" s="7"/>
      <c r="AH424" s="3"/>
      <c r="AI424" s="7"/>
      <c r="AJ424" s="7"/>
      <c r="AL424" s="3"/>
      <c r="AM424" s="3"/>
      <c r="AN424" s="3"/>
      <c r="AO424" s="3"/>
      <c r="AP424" s="9"/>
      <c r="AQ424" s="6"/>
    </row>
    <row r="425" spans="1:43" ht="15" customHeight="1" x14ac:dyDescent="0.3">
      <c r="A425" s="22"/>
      <c r="I425" s="21"/>
      <c r="J425" s="20"/>
      <c r="K425" s="3"/>
      <c r="L425" s="20"/>
      <c r="N425" s="12"/>
      <c r="O425" s="11"/>
      <c r="S425" s="10"/>
      <c r="U425" s="3"/>
      <c r="V425" s="3"/>
      <c r="X425" s="9"/>
      <c r="Z425" s="3"/>
      <c r="AA425" s="8"/>
      <c r="AB425" s="7"/>
      <c r="AC425" s="7"/>
      <c r="AD425" s="6"/>
      <c r="AE425" s="6"/>
      <c r="AF425" s="5"/>
      <c r="AG425" s="7"/>
      <c r="AH425" s="3"/>
      <c r="AI425" s="7"/>
      <c r="AJ425" s="7"/>
      <c r="AL425" s="3"/>
      <c r="AM425" s="3"/>
      <c r="AN425" s="3"/>
      <c r="AO425" s="3"/>
      <c r="AP425" s="9"/>
      <c r="AQ425" s="6"/>
    </row>
    <row r="426" spans="1:43" ht="15" customHeight="1" x14ac:dyDescent="0.3">
      <c r="A426" s="22"/>
      <c r="I426" s="21"/>
      <c r="J426" s="20"/>
      <c r="K426" s="3"/>
      <c r="L426" s="20"/>
      <c r="N426" s="12"/>
      <c r="O426" s="11"/>
      <c r="S426" s="10"/>
      <c r="U426" s="3"/>
      <c r="V426" s="3"/>
      <c r="X426" s="9"/>
      <c r="Z426" s="3"/>
      <c r="AA426" s="8"/>
      <c r="AB426" s="7"/>
      <c r="AC426" s="7"/>
      <c r="AD426" s="6"/>
      <c r="AE426" s="6"/>
      <c r="AF426" s="5"/>
      <c r="AG426" s="7"/>
      <c r="AH426" s="3"/>
      <c r="AI426" s="7"/>
      <c r="AJ426" s="7"/>
      <c r="AL426" s="3"/>
      <c r="AM426" s="3"/>
      <c r="AN426" s="3"/>
      <c r="AO426" s="3"/>
      <c r="AP426" s="9"/>
      <c r="AQ426" s="6"/>
    </row>
    <row r="427" spans="1:43" ht="15" customHeight="1" x14ac:dyDescent="0.3">
      <c r="A427" s="22"/>
      <c r="I427" s="21"/>
      <c r="J427" s="20"/>
      <c r="K427" s="3"/>
      <c r="L427" s="20"/>
      <c r="N427" s="12"/>
      <c r="O427" s="11"/>
      <c r="S427" s="10"/>
      <c r="U427" s="3"/>
      <c r="V427" s="3"/>
      <c r="X427" s="9"/>
      <c r="Z427" s="3"/>
      <c r="AA427" s="8"/>
      <c r="AB427" s="7"/>
      <c r="AC427" s="7"/>
      <c r="AD427" s="6"/>
      <c r="AE427" s="6"/>
      <c r="AF427" s="5"/>
      <c r="AG427" s="7"/>
      <c r="AH427" s="3"/>
      <c r="AI427" s="7"/>
      <c r="AJ427" s="7"/>
      <c r="AL427" s="3"/>
      <c r="AM427" s="3"/>
      <c r="AN427" s="3"/>
      <c r="AO427" s="3"/>
      <c r="AP427" s="9"/>
      <c r="AQ427" s="6"/>
    </row>
    <row r="428" spans="1:43" ht="15" customHeight="1" x14ac:dyDescent="0.3">
      <c r="A428" s="22"/>
      <c r="I428" s="21"/>
      <c r="J428" s="20"/>
      <c r="K428" s="3"/>
      <c r="L428" s="20"/>
      <c r="N428" s="12"/>
      <c r="O428" s="11"/>
      <c r="S428" s="10"/>
      <c r="U428" s="3"/>
      <c r="V428" s="3"/>
      <c r="X428" s="9"/>
      <c r="Z428" s="3"/>
      <c r="AA428" s="8"/>
      <c r="AB428" s="7"/>
      <c r="AC428" s="7"/>
      <c r="AD428" s="6"/>
      <c r="AE428" s="6"/>
      <c r="AF428" s="5"/>
      <c r="AG428" s="7"/>
      <c r="AH428" s="3"/>
      <c r="AI428" s="7"/>
      <c r="AJ428" s="7"/>
      <c r="AL428" s="3"/>
      <c r="AM428" s="3"/>
      <c r="AN428" s="3"/>
      <c r="AO428" s="3"/>
      <c r="AP428" s="9"/>
      <c r="AQ428" s="6"/>
    </row>
    <row r="429" spans="1:43" ht="15" customHeight="1" x14ac:dyDescent="0.3">
      <c r="A429" s="22"/>
      <c r="I429" s="21"/>
      <c r="J429" s="20"/>
      <c r="K429" s="3"/>
      <c r="L429" s="20"/>
      <c r="N429" s="12"/>
      <c r="O429" s="11"/>
      <c r="S429" s="10"/>
      <c r="U429" s="3"/>
      <c r="V429" s="3"/>
      <c r="X429" s="9"/>
      <c r="Z429" s="3"/>
      <c r="AA429" s="8"/>
      <c r="AB429" s="7"/>
      <c r="AC429" s="7"/>
      <c r="AD429" s="6"/>
      <c r="AE429" s="6"/>
      <c r="AF429" s="5"/>
      <c r="AG429" s="7"/>
      <c r="AH429" s="3"/>
      <c r="AI429" s="7"/>
      <c r="AJ429" s="7"/>
      <c r="AL429" s="3"/>
      <c r="AM429" s="3"/>
      <c r="AN429" s="3"/>
      <c r="AO429" s="3"/>
      <c r="AP429" s="9"/>
      <c r="AQ429" s="6"/>
    </row>
    <row r="430" spans="1:43" ht="15" customHeight="1" x14ac:dyDescent="0.3">
      <c r="A430" s="22"/>
      <c r="I430" s="21"/>
      <c r="J430" s="20"/>
      <c r="K430" s="3"/>
      <c r="L430" s="20"/>
      <c r="N430" s="12"/>
      <c r="O430" s="11"/>
      <c r="S430" s="10"/>
      <c r="U430" s="3"/>
      <c r="V430" s="3"/>
      <c r="X430" s="9"/>
      <c r="Z430" s="3"/>
      <c r="AA430" s="8"/>
      <c r="AB430" s="7"/>
      <c r="AC430" s="7"/>
      <c r="AD430" s="6"/>
      <c r="AE430" s="6"/>
      <c r="AF430" s="5"/>
      <c r="AG430" s="7"/>
      <c r="AH430" s="3"/>
      <c r="AI430" s="7"/>
      <c r="AJ430" s="7"/>
      <c r="AL430" s="3"/>
      <c r="AM430" s="3"/>
      <c r="AN430" s="3"/>
      <c r="AO430" s="3"/>
      <c r="AP430" s="9"/>
      <c r="AQ430" s="6"/>
    </row>
    <row r="431" spans="1:43" ht="15" customHeight="1" x14ac:dyDescent="0.3">
      <c r="A431" s="22"/>
      <c r="I431" s="21"/>
      <c r="J431" s="20"/>
      <c r="K431" s="3"/>
      <c r="L431" s="20"/>
      <c r="N431" s="12"/>
      <c r="O431" s="11"/>
      <c r="S431" s="10"/>
      <c r="U431" s="3"/>
      <c r="V431" s="3"/>
      <c r="X431" s="9"/>
      <c r="Z431" s="3"/>
      <c r="AA431" s="8"/>
      <c r="AB431" s="7"/>
      <c r="AC431" s="7"/>
      <c r="AD431" s="6"/>
      <c r="AE431" s="6"/>
      <c r="AF431" s="5"/>
      <c r="AG431" s="7"/>
      <c r="AH431" s="3"/>
      <c r="AI431" s="7"/>
      <c r="AJ431" s="7"/>
      <c r="AL431" s="3"/>
      <c r="AM431" s="3"/>
      <c r="AN431" s="3"/>
      <c r="AO431" s="3"/>
      <c r="AP431" s="9"/>
      <c r="AQ431" s="6"/>
    </row>
    <row r="432" spans="1:43" ht="15" customHeight="1" x14ac:dyDescent="0.3">
      <c r="A432" s="22"/>
      <c r="I432" s="21"/>
      <c r="J432" s="20"/>
      <c r="K432" s="3"/>
      <c r="L432" s="20"/>
      <c r="N432" s="12"/>
      <c r="O432" s="11"/>
      <c r="S432" s="10"/>
      <c r="U432" s="3"/>
      <c r="V432" s="3"/>
      <c r="X432" s="9"/>
      <c r="Z432" s="3"/>
      <c r="AA432" s="8"/>
      <c r="AB432" s="7"/>
      <c r="AC432" s="7"/>
      <c r="AD432" s="6"/>
      <c r="AE432" s="6"/>
      <c r="AF432" s="5"/>
      <c r="AG432" s="7"/>
      <c r="AH432" s="3"/>
      <c r="AI432" s="7"/>
      <c r="AJ432" s="7"/>
      <c r="AL432" s="3"/>
      <c r="AM432" s="3"/>
      <c r="AN432" s="3"/>
      <c r="AO432" s="3"/>
      <c r="AP432" s="9"/>
      <c r="AQ432" s="6"/>
    </row>
    <row r="433" spans="1:43" ht="15" customHeight="1" x14ac:dyDescent="0.3">
      <c r="A433" s="22"/>
      <c r="I433" s="21"/>
      <c r="J433" s="20"/>
      <c r="K433" s="3"/>
      <c r="L433" s="20"/>
      <c r="N433" s="12"/>
      <c r="O433" s="11"/>
      <c r="S433" s="10"/>
      <c r="U433" s="3"/>
      <c r="V433" s="3"/>
      <c r="X433" s="9"/>
      <c r="Z433" s="3"/>
      <c r="AA433" s="8"/>
      <c r="AB433" s="7"/>
      <c r="AC433" s="7"/>
      <c r="AD433" s="6"/>
      <c r="AE433" s="6"/>
      <c r="AF433" s="5"/>
      <c r="AG433" s="7"/>
      <c r="AH433" s="3"/>
      <c r="AI433" s="7"/>
      <c r="AJ433" s="7"/>
      <c r="AL433" s="3"/>
      <c r="AM433" s="3"/>
      <c r="AN433" s="3"/>
      <c r="AO433" s="3"/>
      <c r="AP433" s="9"/>
      <c r="AQ433" s="6"/>
    </row>
    <row r="434" spans="1:43" ht="15" customHeight="1" x14ac:dyDescent="0.3">
      <c r="A434" s="22"/>
      <c r="I434" s="21"/>
      <c r="J434" s="20"/>
      <c r="K434" s="3"/>
      <c r="L434" s="20"/>
      <c r="N434" s="12"/>
      <c r="O434" s="11"/>
      <c r="S434" s="10"/>
      <c r="U434" s="3"/>
      <c r="V434" s="3"/>
      <c r="X434" s="9"/>
      <c r="Z434" s="3"/>
      <c r="AA434" s="8"/>
      <c r="AB434" s="7"/>
      <c r="AC434" s="7"/>
      <c r="AD434" s="6"/>
      <c r="AE434" s="6"/>
      <c r="AF434" s="5"/>
      <c r="AG434" s="7"/>
      <c r="AH434" s="3"/>
      <c r="AI434" s="7"/>
      <c r="AJ434" s="7"/>
      <c r="AL434" s="3"/>
      <c r="AM434" s="3"/>
      <c r="AN434" s="3"/>
      <c r="AO434" s="3"/>
      <c r="AP434" s="9"/>
      <c r="AQ434" s="6"/>
    </row>
    <row r="435" spans="1:43" ht="15" customHeight="1" x14ac:dyDescent="0.3">
      <c r="A435" s="22"/>
      <c r="I435" s="21"/>
      <c r="J435" s="20"/>
      <c r="K435" s="3"/>
      <c r="L435" s="20"/>
      <c r="N435" s="12"/>
      <c r="O435" s="11"/>
      <c r="S435" s="10"/>
      <c r="U435" s="3"/>
      <c r="V435" s="3"/>
      <c r="X435" s="9"/>
      <c r="Z435" s="3"/>
      <c r="AA435" s="8"/>
      <c r="AB435" s="7"/>
      <c r="AC435" s="7"/>
      <c r="AD435" s="6"/>
      <c r="AE435" s="6"/>
      <c r="AF435" s="5"/>
      <c r="AG435" s="7"/>
      <c r="AH435" s="3"/>
      <c r="AI435" s="7"/>
      <c r="AJ435" s="7"/>
      <c r="AL435" s="3"/>
      <c r="AM435" s="3"/>
      <c r="AN435" s="3"/>
      <c r="AO435" s="3"/>
      <c r="AP435" s="9"/>
      <c r="AQ435" s="6"/>
    </row>
    <row r="436" spans="1:43" ht="15" customHeight="1" x14ac:dyDescent="0.3">
      <c r="A436" s="22"/>
      <c r="I436" s="21"/>
      <c r="J436" s="20"/>
      <c r="K436" s="3"/>
      <c r="L436" s="20"/>
      <c r="N436" s="12"/>
      <c r="O436" s="11"/>
      <c r="S436" s="10"/>
      <c r="U436" s="3"/>
      <c r="V436" s="3"/>
      <c r="X436" s="9"/>
      <c r="Z436" s="3"/>
      <c r="AA436" s="8"/>
      <c r="AB436" s="7"/>
      <c r="AC436" s="7"/>
      <c r="AD436" s="6"/>
      <c r="AE436" s="6"/>
      <c r="AF436" s="5"/>
      <c r="AG436" s="7"/>
      <c r="AH436" s="3"/>
      <c r="AI436" s="7"/>
      <c r="AJ436" s="7"/>
      <c r="AL436" s="3"/>
      <c r="AM436" s="3"/>
      <c r="AN436" s="3"/>
      <c r="AO436" s="3"/>
      <c r="AP436" s="9"/>
      <c r="AQ436" s="6"/>
    </row>
    <row r="437" spans="1:43" ht="15" customHeight="1" x14ac:dyDescent="0.3">
      <c r="A437" s="22"/>
      <c r="I437" s="21"/>
      <c r="J437" s="20"/>
      <c r="K437" s="3"/>
      <c r="L437" s="20"/>
      <c r="N437" s="12"/>
      <c r="O437" s="11"/>
      <c r="S437" s="10"/>
      <c r="U437" s="3"/>
      <c r="V437" s="3"/>
      <c r="X437" s="9"/>
      <c r="Z437" s="3"/>
      <c r="AA437" s="8"/>
      <c r="AB437" s="7"/>
      <c r="AC437" s="7"/>
      <c r="AD437" s="6"/>
      <c r="AE437" s="6"/>
      <c r="AF437" s="5"/>
      <c r="AG437" s="7"/>
      <c r="AH437" s="3"/>
      <c r="AI437" s="7"/>
      <c r="AJ437" s="7"/>
      <c r="AL437" s="3"/>
      <c r="AM437" s="3"/>
      <c r="AN437" s="3"/>
      <c r="AO437" s="3"/>
      <c r="AP437" s="9"/>
      <c r="AQ437" s="6"/>
    </row>
    <row r="438" spans="1:43" ht="15" customHeight="1" x14ac:dyDescent="0.3">
      <c r="A438" s="22"/>
      <c r="I438" s="21"/>
      <c r="J438" s="20"/>
      <c r="K438" s="3"/>
      <c r="L438" s="20"/>
      <c r="N438" s="12"/>
      <c r="O438" s="11"/>
      <c r="S438" s="10"/>
      <c r="U438" s="3"/>
      <c r="V438" s="3"/>
      <c r="X438" s="9"/>
      <c r="Z438" s="3"/>
      <c r="AA438" s="8"/>
      <c r="AB438" s="7"/>
      <c r="AC438" s="7"/>
      <c r="AD438" s="6"/>
      <c r="AE438" s="6"/>
      <c r="AF438" s="5"/>
      <c r="AG438" s="7"/>
      <c r="AH438" s="3"/>
      <c r="AI438" s="7"/>
      <c r="AJ438" s="7"/>
      <c r="AL438" s="3"/>
      <c r="AM438" s="3"/>
      <c r="AN438" s="3"/>
      <c r="AO438" s="3"/>
      <c r="AP438" s="9"/>
      <c r="AQ438" s="6"/>
    </row>
    <row r="439" spans="1:43" ht="15" customHeight="1" x14ac:dyDescent="0.3">
      <c r="A439" s="22"/>
      <c r="I439" s="21"/>
      <c r="J439" s="20"/>
      <c r="K439" s="3"/>
      <c r="L439" s="20"/>
      <c r="N439" s="12"/>
      <c r="O439" s="11"/>
      <c r="S439" s="10"/>
      <c r="U439" s="3"/>
      <c r="V439" s="3"/>
      <c r="X439" s="9"/>
      <c r="Z439" s="3"/>
      <c r="AA439" s="8"/>
      <c r="AB439" s="7"/>
      <c r="AC439" s="7"/>
      <c r="AD439" s="6"/>
      <c r="AE439" s="6"/>
      <c r="AF439" s="5"/>
      <c r="AG439" s="7"/>
      <c r="AH439" s="3"/>
      <c r="AI439" s="7"/>
      <c r="AJ439" s="7"/>
      <c r="AL439" s="3"/>
      <c r="AM439" s="3"/>
      <c r="AN439" s="3"/>
      <c r="AO439" s="3"/>
      <c r="AP439" s="9"/>
      <c r="AQ439" s="6"/>
    </row>
    <row r="440" spans="1:43" ht="15" customHeight="1" x14ac:dyDescent="0.3">
      <c r="A440" s="22"/>
      <c r="I440" s="21"/>
      <c r="J440" s="20"/>
      <c r="K440" s="3"/>
      <c r="L440" s="20"/>
      <c r="N440" s="12"/>
      <c r="O440" s="11"/>
      <c r="S440" s="10"/>
      <c r="U440" s="3"/>
      <c r="V440" s="3"/>
      <c r="X440" s="9"/>
      <c r="Z440" s="3"/>
      <c r="AA440" s="8"/>
      <c r="AB440" s="7"/>
      <c r="AC440" s="7"/>
      <c r="AD440" s="6"/>
      <c r="AE440" s="6"/>
      <c r="AF440" s="5"/>
      <c r="AG440" s="7"/>
      <c r="AH440" s="3"/>
      <c r="AI440" s="7"/>
      <c r="AJ440" s="7"/>
      <c r="AL440" s="3"/>
      <c r="AM440" s="3"/>
      <c r="AN440" s="3"/>
      <c r="AO440" s="3"/>
      <c r="AP440" s="9"/>
      <c r="AQ440" s="6"/>
    </row>
    <row r="441" spans="1:43" ht="15" customHeight="1" x14ac:dyDescent="0.3">
      <c r="A441" s="22"/>
      <c r="I441" s="21"/>
      <c r="J441" s="20"/>
      <c r="K441" s="3"/>
      <c r="L441" s="20"/>
      <c r="N441" s="12"/>
      <c r="O441" s="11"/>
      <c r="S441" s="10"/>
      <c r="U441" s="3"/>
      <c r="V441" s="3"/>
      <c r="X441" s="9"/>
      <c r="Z441" s="3"/>
      <c r="AA441" s="8"/>
      <c r="AB441" s="7"/>
      <c r="AC441" s="7"/>
      <c r="AD441" s="6"/>
      <c r="AE441" s="6"/>
      <c r="AF441" s="5"/>
      <c r="AG441" s="7"/>
      <c r="AH441" s="3"/>
      <c r="AI441" s="7"/>
      <c r="AJ441" s="7"/>
      <c r="AL441" s="3"/>
      <c r="AM441" s="3"/>
      <c r="AN441" s="3"/>
      <c r="AO441" s="3"/>
      <c r="AP441" s="9"/>
      <c r="AQ441" s="6"/>
    </row>
    <row r="442" spans="1:43" ht="15" customHeight="1" x14ac:dyDescent="0.3">
      <c r="A442" s="22"/>
      <c r="I442" s="21"/>
      <c r="J442" s="20"/>
      <c r="K442" s="3"/>
      <c r="L442" s="20"/>
      <c r="N442" s="12"/>
      <c r="O442" s="11"/>
      <c r="S442" s="10"/>
      <c r="U442" s="3"/>
      <c r="V442" s="3"/>
      <c r="X442" s="9"/>
      <c r="Z442" s="3"/>
      <c r="AA442" s="8"/>
      <c r="AB442" s="7"/>
      <c r="AC442" s="7"/>
      <c r="AD442" s="6"/>
      <c r="AE442" s="6"/>
      <c r="AF442" s="5"/>
      <c r="AG442" s="7"/>
      <c r="AH442" s="3"/>
      <c r="AI442" s="7"/>
      <c r="AJ442" s="7"/>
      <c r="AL442" s="3"/>
      <c r="AM442" s="3"/>
      <c r="AN442" s="3"/>
      <c r="AO442" s="3"/>
      <c r="AP442" s="9"/>
      <c r="AQ442" s="6"/>
    </row>
    <row r="443" spans="1:43" ht="15" customHeight="1" x14ac:dyDescent="0.3">
      <c r="A443" s="22"/>
      <c r="I443" s="21"/>
      <c r="J443" s="20"/>
      <c r="K443" s="3"/>
      <c r="L443" s="20"/>
      <c r="N443" s="12"/>
      <c r="O443" s="11"/>
      <c r="S443" s="10"/>
      <c r="U443" s="3"/>
      <c r="V443" s="3"/>
      <c r="X443" s="9"/>
      <c r="Z443" s="3"/>
      <c r="AA443" s="8"/>
      <c r="AB443" s="7"/>
      <c r="AC443" s="7"/>
      <c r="AD443" s="6"/>
      <c r="AE443" s="6"/>
      <c r="AF443" s="5"/>
      <c r="AG443" s="7"/>
      <c r="AH443" s="3"/>
      <c r="AI443" s="7"/>
      <c r="AJ443" s="7"/>
      <c r="AL443" s="3"/>
      <c r="AM443" s="3"/>
      <c r="AN443" s="3"/>
      <c r="AO443" s="3"/>
      <c r="AP443" s="9"/>
      <c r="AQ443" s="6"/>
    </row>
    <row r="444" spans="1:43" ht="15" customHeight="1" x14ac:dyDescent="0.3">
      <c r="A444" s="22"/>
      <c r="I444" s="21"/>
      <c r="J444" s="20"/>
      <c r="K444" s="3"/>
      <c r="L444" s="20"/>
      <c r="N444" s="12"/>
      <c r="O444" s="11"/>
      <c r="S444" s="10"/>
      <c r="U444" s="3"/>
      <c r="V444" s="3"/>
      <c r="X444" s="9"/>
      <c r="Z444" s="3"/>
      <c r="AA444" s="8"/>
      <c r="AB444" s="7"/>
      <c r="AC444" s="7"/>
      <c r="AD444" s="6"/>
      <c r="AE444" s="6"/>
      <c r="AF444" s="5"/>
      <c r="AG444" s="7"/>
      <c r="AH444" s="3"/>
      <c r="AI444" s="7"/>
      <c r="AJ444" s="7"/>
      <c r="AL444" s="3"/>
      <c r="AM444" s="3"/>
      <c r="AN444" s="3"/>
      <c r="AO444" s="3"/>
      <c r="AP444" s="9"/>
      <c r="AQ444" s="6"/>
    </row>
    <row r="445" spans="1:43" ht="15" customHeight="1" x14ac:dyDescent="0.3">
      <c r="A445" s="22"/>
      <c r="I445" s="21"/>
      <c r="J445" s="20"/>
      <c r="K445" s="3"/>
      <c r="L445" s="20"/>
      <c r="N445" s="12"/>
      <c r="O445" s="11"/>
      <c r="S445" s="10"/>
      <c r="U445" s="3"/>
      <c r="V445" s="3"/>
      <c r="X445" s="9"/>
      <c r="Z445" s="3"/>
      <c r="AA445" s="8"/>
      <c r="AB445" s="7"/>
      <c r="AC445" s="7"/>
      <c r="AD445" s="6"/>
      <c r="AE445" s="6"/>
      <c r="AF445" s="5"/>
      <c r="AG445" s="7"/>
      <c r="AH445" s="3"/>
      <c r="AI445" s="7"/>
      <c r="AJ445" s="7"/>
      <c r="AL445" s="3"/>
      <c r="AM445" s="3"/>
      <c r="AN445" s="3"/>
      <c r="AO445" s="3"/>
      <c r="AP445" s="9"/>
      <c r="AQ445" s="6"/>
    </row>
    <row r="446" spans="1:43" ht="15" customHeight="1" x14ac:dyDescent="0.3">
      <c r="A446" s="22"/>
      <c r="I446" s="21"/>
      <c r="J446" s="20"/>
      <c r="K446" s="3"/>
      <c r="L446" s="20"/>
      <c r="N446" s="12"/>
      <c r="O446" s="11"/>
      <c r="S446" s="10"/>
      <c r="U446" s="3"/>
      <c r="V446" s="3"/>
      <c r="X446" s="9"/>
      <c r="Z446" s="3"/>
      <c r="AA446" s="8"/>
      <c r="AB446" s="7"/>
      <c r="AC446" s="7"/>
      <c r="AD446" s="6"/>
      <c r="AE446" s="6"/>
      <c r="AF446" s="5"/>
      <c r="AG446" s="7"/>
      <c r="AH446" s="3"/>
      <c r="AI446" s="7"/>
      <c r="AJ446" s="7"/>
      <c r="AL446" s="3"/>
      <c r="AM446" s="3"/>
      <c r="AN446" s="3"/>
      <c r="AO446" s="3"/>
      <c r="AP446" s="9"/>
      <c r="AQ446" s="6"/>
    </row>
    <row r="447" spans="1:43" ht="15" customHeight="1" x14ac:dyDescent="0.3">
      <c r="A447" s="22"/>
      <c r="I447" s="21"/>
      <c r="J447" s="20"/>
      <c r="K447" s="3"/>
      <c r="L447" s="20"/>
      <c r="N447" s="12"/>
      <c r="O447" s="11"/>
      <c r="S447" s="10"/>
      <c r="U447" s="3"/>
      <c r="V447" s="3"/>
      <c r="X447" s="9"/>
      <c r="Z447" s="3"/>
      <c r="AA447" s="8"/>
      <c r="AB447" s="7"/>
      <c r="AC447" s="7"/>
      <c r="AD447" s="6"/>
      <c r="AE447" s="6"/>
      <c r="AF447" s="5"/>
      <c r="AG447" s="7"/>
      <c r="AH447" s="3"/>
      <c r="AI447" s="7"/>
      <c r="AJ447" s="7"/>
      <c r="AL447" s="3"/>
      <c r="AM447" s="3"/>
      <c r="AN447" s="3"/>
      <c r="AO447" s="3"/>
      <c r="AP447" s="9"/>
      <c r="AQ447" s="6"/>
    </row>
    <row r="448" spans="1:43" ht="15" customHeight="1" x14ac:dyDescent="0.3">
      <c r="A448" s="22"/>
      <c r="I448" s="21"/>
      <c r="J448" s="20"/>
      <c r="K448" s="3"/>
      <c r="L448" s="20"/>
      <c r="N448" s="12"/>
      <c r="O448" s="11"/>
      <c r="S448" s="10"/>
      <c r="U448" s="3"/>
      <c r="V448" s="3"/>
      <c r="X448" s="9"/>
      <c r="Z448" s="3"/>
      <c r="AA448" s="8"/>
      <c r="AB448" s="7"/>
      <c r="AC448" s="7"/>
      <c r="AD448" s="6"/>
      <c r="AE448" s="6"/>
      <c r="AF448" s="5"/>
      <c r="AG448" s="7"/>
      <c r="AH448" s="3"/>
      <c r="AI448" s="7"/>
      <c r="AJ448" s="7"/>
      <c r="AL448" s="3"/>
      <c r="AM448" s="3"/>
      <c r="AN448" s="3"/>
      <c r="AO448" s="3"/>
      <c r="AP448" s="9"/>
      <c r="AQ448" s="6"/>
    </row>
    <row r="449" spans="1:43" ht="15" customHeight="1" x14ac:dyDescent="0.3">
      <c r="A449" s="22"/>
      <c r="I449" s="21"/>
      <c r="J449" s="20"/>
      <c r="K449" s="3"/>
      <c r="L449" s="20"/>
      <c r="N449" s="12"/>
      <c r="O449" s="11"/>
      <c r="S449" s="10"/>
      <c r="U449" s="3"/>
      <c r="V449" s="3"/>
      <c r="X449" s="9"/>
      <c r="Z449" s="3"/>
      <c r="AA449" s="8"/>
      <c r="AB449" s="7"/>
      <c r="AC449" s="7"/>
      <c r="AD449" s="6"/>
      <c r="AE449" s="6"/>
      <c r="AF449" s="5"/>
      <c r="AG449" s="7"/>
      <c r="AH449" s="3"/>
      <c r="AI449" s="7"/>
      <c r="AJ449" s="7"/>
      <c r="AL449" s="3"/>
      <c r="AM449" s="3"/>
      <c r="AN449" s="3"/>
      <c r="AO449" s="3"/>
      <c r="AP449" s="9"/>
      <c r="AQ449" s="6"/>
    </row>
    <row r="450" spans="1:43" ht="15" customHeight="1" x14ac:dyDescent="0.3">
      <c r="A450" s="22"/>
      <c r="I450" s="21"/>
      <c r="J450" s="20"/>
      <c r="K450" s="3"/>
      <c r="L450" s="20"/>
      <c r="N450" s="12"/>
      <c r="O450" s="11"/>
      <c r="S450" s="10"/>
      <c r="U450" s="3"/>
      <c r="V450" s="3"/>
      <c r="X450" s="9"/>
      <c r="Z450" s="3"/>
      <c r="AA450" s="8"/>
      <c r="AB450" s="7"/>
      <c r="AC450" s="7"/>
      <c r="AD450" s="6"/>
      <c r="AE450" s="6"/>
      <c r="AF450" s="5"/>
      <c r="AG450" s="7"/>
      <c r="AH450" s="3"/>
      <c r="AI450" s="7"/>
      <c r="AJ450" s="7"/>
      <c r="AL450" s="3"/>
      <c r="AM450" s="3"/>
      <c r="AN450" s="3"/>
      <c r="AO450" s="3"/>
      <c r="AP450" s="9"/>
      <c r="AQ450" s="6"/>
    </row>
    <row r="451" spans="1:43" ht="15" customHeight="1" x14ac:dyDescent="0.3">
      <c r="A451" s="22"/>
      <c r="I451" s="21"/>
      <c r="J451" s="20"/>
      <c r="K451" s="3"/>
      <c r="L451" s="20"/>
      <c r="N451" s="12"/>
      <c r="O451" s="11"/>
      <c r="S451" s="10"/>
      <c r="U451" s="3"/>
      <c r="V451" s="3"/>
      <c r="X451" s="9"/>
      <c r="Z451" s="3"/>
      <c r="AA451" s="8"/>
      <c r="AB451" s="7"/>
      <c r="AC451" s="7"/>
      <c r="AD451" s="6"/>
      <c r="AE451" s="6"/>
      <c r="AF451" s="5"/>
      <c r="AG451" s="7"/>
      <c r="AH451" s="3"/>
      <c r="AI451" s="7"/>
      <c r="AJ451" s="7"/>
      <c r="AL451" s="3"/>
      <c r="AM451" s="3"/>
      <c r="AN451" s="3"/>
      <c r="AO451" s="3"/>
      <c r="AP451" s="9"/>
      <c r="AQ451" s="6"/>
    </row>
    <row r="452" spans="1:43" ht="15" customHeight="1" x14ac:dyDescent="0.3">
      <c r="A452" s="22"/>
      <c r="I452" s="21"/>
      <c r="J452" s="20"/>
      <c r="K452" s="3"/>
      <c r="L452" s="20"/>
      <c r="N452" s="12"/>
      <c r="O452" s="11"/>
      <c r="S452" s="10"/>
      <c r="U452" s="3"/>
      <c r="V452" s="3"/>
      <c r="X452" s="9"/>
      <c r="Z452" s="3"/>
      <c r="AA452" s="8"/>
      <c r="AB452" s="7"/>
      <c r="AC452" s="7"/>
      <c r="AD452" s="6"/>
      <c r="AE452" s="6"/>
      <c r="AF452" s="5"/>
      <c r="AG452" s="7"/>
      <c r="AH452" s="3"/>
      <c r="AI452" s="7"/>
      <c r="AJ452" s="7"/>
      <c r="AL452" s="3"/>
      <c r="AM452" s="3"/>
      <c r="AN452" s="3"/>
      <c r="AO452" s="3"/>
      <c r="AP452" s="9"/>
      <c r="AQ452" s="6"/>
    </row>
    <row r="453" spans="1:43" ht="15" customHeight="1" x14ac:dyDescent="0.3">
      <c r="A453" s="22"/>
      <c r="I453" s="21"/>
      <c r="J453" s="20"/>
      <c r="K453" s="3"/>
      <c r="L453" s="20"/>
      <c r="N453" s="12"/>
      <c r="O453" s="11"/>
      <c r="S453" s="10"/>
      <c r="U453" s="3"/>
      <c r="V453" s="3"/>
      <c r="X453" s="9"/>
      <c r="Z453" s="3"/>
      <c r="AA453" s="8"/>
      <c r="AB453" s="7"/>
      <c r="AC453" s="7"/>
      <c r="AD453" s="6"/>
      <c r="AE453" s="6"/>
      <c r="AF453" s="5"/>
      <c r="AG453" s="7"/>
      <c r="AH453" s="3"/>
      <c r="AI453" s="7"/>
      <c r="AJ453" s="7"/>
      <c r="AL453" s="3"/>
      <c r="AM453" s="3"/>
      <c r="AN453" s="3"/>
      <c r="AO453" s="3"/>
      <c r="AP453" s="9"/>
      <c r="AQ453" s="6"/>
    </row>
    <row r="454" spans="1:43" ht="15" customHeight="1" x14ac:dyDescent="0.3">
      <c r="A454" s="22"/>
      <c r="I454" s="21"/>
      <c r="J454" s="20"/>
      <c r="K454" s="3"/>
      <c r="L454" s="20"/>
      <c r="N454" s="12"/>
      <c r="O454" s="11"/>
      <c r="S454" s="10"/>
      <c r="U454" s="3"/>
      <c r="V454" s="3"/>
      <c r="X454" s="9"/>
      <c r="Z454" s="3"/>
      <c r="AA454" s="8"/>
      <c r="AB454" s="7"/>
      <c r="AC454" s="7"/>
      <c r="AD454" s="6"/>
      <c r="AE454" s="6"/>
      <c r="AF454" s="5"/>
      <c r="AG454" s="7"/>
      <c r="AH454" s="3"/>
      <c r="AI454" s="7"/>
      <c r="AJ454" s="7"/>
      <c r="AL454" s="3"/>
      <c r="AM454" s="3"/>
      <c r="AN454" s="3"/>
      <c r="AO454" s="3"/>
      <c r="AP454" s="9"/>
      <c r="AQ454" s="6"/>
    </row>
    <row r="455" spans="1:43" ht="15" customHeight="1" x14ac:dyDescent="0.3">
      <c r="A455" s="22"/>
      <c r="I455" s="21"/>
      <c r="J455" s="20"/>
      <c r="K455" s="3"/>
      <c r="L455" s="20"/>
      <c r="N455" s="12"/>
      <c r="O455" s="11"/>
      <c r="S455" s="10"/>
      <c r="U455" s="3"/>
      <c r="V455" s="3"/>
      <c r="X455" s="9"/>
      <c r="Z455" s="3"/>
      <c r="AA455" s="8"/>
      <c r="AB455" s="7"/>
      <c r="AC455" s="7"/>
      <c r="AD455" s="6"/>
      <c r="AE455" s="6"/>
      <c r="AF455" s="5"/>
      <c r="AG455" s="7"/>
      <c r="AH455" s="3"/>
      <c r="AI455" s="7"/>
      <c r="AJ455" s="7"/>
      <c r="AL455" s="3"/>
      <c r="AM455" s="3"/>
      <c r="AN455" s="3"/>
      <c r="AO455" s="3"/>
      <c r="AP455" s="9"/>
      <c r="AQ455" s="6"/>
    </row>
    <row r="456" spans="1:43" ht="15" customHeight="1" x14ac:dyDescent="0.3">
      <c r="A456" s="22"/>
      <c r="I456" s="21"/>
      <c r="J456" s="20"/>
      <c r="K456" s="3"/>
      <c r="L456" s="20"/>
      <c r="N456" s="12"/>
      <c r="O456" s="11"/>
      <c r="S456" s="10"/>
      <c r="U456" s="3"/>
      <c r="V456" s="3"/>
      <c r="X456" s="9"/>
      <c r="Z456" s="3"/>
      <c r="AA456" s="8"/>
      <c r="AB456" s="7"/>
      <c r="AC456" s="7"/>
      <c r="AD456" s="6"/>
      <c r="AE456" s="6"/>
      <c r="AF456" s="5"/>
      <c r="AG456" s="7"/>
      <c r="AH456" s="3"/>
      <c r="AI456" s="7"/>
      <c r="AJ456" s="7"/>
      <c r="AL456" s="3"/>
      <c r="AM456" s="3"/>
      <c r="AN456" s="3"/>
      <c r="AO456" s="3"/>
      <c r="AP456" s="9"/>
      <c r="AQ456" s="6"/>
    </row>
    <row r="457" spans="1:43" ht="15" customHeight="1" x14ac:dyDescent="0.3">
      <c r="A457" s="22"/>
      <c r="I457" s="21"/>
      <c r="J457" s="20"/>
      <c r="K457" s="3"/>
      <c r="L457" s="20"/>
      <c r="N457" s="12"/>
      <c r="O457" s="11"/>
      <c r="S457" s="10"/>
      <c r="U457" s="3"/>
      <c r="V457" s="3"/>
      <c r="X457" s="9"/>
      <c r="Z457" s="3"/>
      <c r="AA457" s="8"/>
      <c r="AB457" s="7"/>
      <c r="AC457" s="7"/>
      <c r="AD457" s="6"/>
      <c r="AE457" s="6"/>
      <c r="AF457" s="5"/>
      <c r="AG457" s="7"/>
      <c r="AH457" s="3"/>
      <c r="AI457" s="7"/>
      <c r="AJ457" s="7"/>
      <c r="AL457" s="3"/>
      <c r="AM457" s="3"/>
      <c r="AN457" s="3"/>
      <c r="AO457" s="3"/>
      <c r="AP457" s="9"/>
      <c r="AQ457" s="6"/>
    </row>
    <row r="458" spans="1:43" ht="15" customHeight="1" x14ac:dyDescent="0.3">
      <c r="A458" s="22"/>
      <c r="I458" s="21"/>
      <c r="J458" s="20"/>
      <c r="K458" s="3"/>
      <c r="L458" s="20"/>
      <c r="N458" s="12"/>
      <c r="O458" s="11"/>
      <c r="S458" s="10"/>
      <c r="U458" s="3"/>
      <c r="V458" s="3"/>
      <c r="X458" s="9"/>
      <c r="Z458" s="3"/>
      <c r="AA458" s="8"/>
      <c r="AB458" s="7"/>
      <c r="AC458" s="7"/>
      <c r="AD458" s="6"/>
      <c r="AE458" s="6"/>
      <c r="AF458" s="5"/>
      <c r="AG458" s="7"/>
      <c r="AH458" s="3"/>
      <c r="AI458" s="7"/>
      <c r="AJ458" s="7"/>
      <c r="AL458" s="3"/>
      <c r="AM458" s="3"/>
      <c r="AN458" s="3"/>
      <c r="AO458" s="3"/>
      <c r="AP458" s="9"/>
      <c r="AQ458" s="6"/>
    </row>
    <row r="459" spans="1:43" ht="15" customHeight="1" x14ac:dyDescent="0.3">
      <c r="A459" s="22"/>
      <c r="I459" s="21"/>
      <c r="J459" s="20"/>
      <c r="K459" s="3"/>
      <c r="L459" s="20"/>
      <c r="N459" s="12"/>
      <c r="O459" s="11"/>
      <c r="S459" s="10"/>
      <c r="U459" s="3"/>
      <c r="V459" s="3"/>
      <c r="X459" s="9"/>
      <c r="Z459" s="3"/>
      <c r="AA459" s="8"/>
      <c r="AB459" s="7"/>
      <c r="AC459" s="7"/>
      <c r="AD459" s="6"/>
      <c r="AE459" s="6"/>
      <c r="AF459" s="5"/>
      <c r="AG459" s="7"/>
      <c r="AH459" s="3"/>
      <c r="AI459" s="7"/>
      <c r="AJ459" s="7"/>
      <c r="AL459" s="3"/>
      <c r="AM459" s="3"/>
      <c r="AN459" s="3"/>
      <c r="AO459" s="3"/>
      <c r="AP459" s="9"/>
      <c r="AQ459" s="6"/>
    </row>
    <row r="460" spans="1:43" ht="15" customHeight="1" x14ac:dyDescent="0.3">
      <c r="A460" s="22"/>
      <c r="I460" s="21"/>
      <c r="J460" s="20"/>
      <c r="K460" s="3"/>
      <c r="L460" s="20"/>
      <c r="N460" s="12"/>
      <c r="O460" s="11"/>
      <c r="S460" s="10"/>
      <c r="U460" s="3"/>
      <c r="V460" s="3"/>
      <c r="X460" s="9"/>
      <c r="Z460" s="3"/>
      <c r="AA460" s="8"/>
      <c r="AB460" s="7"/>
      <c r="AC460" s="7"/>
      <c r="AD460" s="6"/>
      <c r="AE460" s="6"/>
      <c r="AF460" s="5"/>
      <c r="AG460" s="7"/>
      <c r="AH460" s="3"/>
      <c r="AI460" s="7"/>
      <c r="AJ460" s="7"/>
      <c r="AL460" s="3"/>
      <c r="AM460" s="3"/>
      <c r="AN460" s="3"/>
      <c r="AO460" s="3"/>
      <c r="AP460" s="9"/>
      <c r="AQ460" s="6"/>
    </row>
    <row r="461" spans="1:43" ht="15" customHeight="1" x14ac:dyDescent="0.3">
      <c r="A461" s="22"/>
      <c r="I461" s="21"/>
      <c r="J461" s="20"/>
      <c r="K461" s="3"/>
      <c r="L461" s="20"/>
      <c r="N461" s="12"/>
      <c r="O461" s="11"/>
      <c r="S461" s="10"/>
      <c r="U461" s="3"/>
      <c r="V461" s="3"/>
      <c r="X461" s="9"/>
      <c r="Z461" s="3"/>
      <c r="AA461" s="8"/>
      <c r="AB461" s="7"/>
      <c r="AC461" s="7"/>
      <c r="AD461" s="6"/>
      <c r="AE461" s="6"/>
      <c r="AF461" s="5"/>
      <c r="AG461" s="7"/>
      <c r="AH461" s="3"/>
      <c r="AI461" s="7"/>
      <c r="AJ461" s="7"/>
      <c r="AL461" s="3"/>
      <c r="AM461" s="3"/>
      <c r="AN461" s="3"/>
      <c r="AO461" s="3"/>
      <c r="AP461" s="9"/>
      <c r="AQ461" s="6"/>
    </row>
    <row r="462" spans="1:43" ht="15" customHeight="1" x14ac:dyDescent="0.3">
      <c r="A462" s="22"/>
      <c r="I462" s="21"/>
      <c r="J462" s="20"/>
      <c r="K462" s="3"/>
      <c r="L462" s="20"/>
      <c r="N462" s="12"/>
      <c r="O462" s="11"/>
      <c r="S462" s="10"/>
      <c r="U462" s="3"/>
      <c r="V462" s="3"/>
      <c r="X462" s="9"/>
      <c r="Z462" s="3"/>
      <c r="AA462" s="8"/>
      <c r="AB462" s="7"/>
      <c r="AC462" s="7"/>
      <c r="AD462" s="6"/>
      <c r="AE462" s="6"/>
      <c r="AF462" s="5"/>
      <c r="AG462" s="7"/>
      <c r="AH462" s="3"/>
      <c r="AI462" s="7"/>
      <c r="AJ462" s="7"/>
      <c r="AL462" s="3"/>
      <c r="AM462" s="3"/>
      <c r="AN462" s="3"/>
      <c r="AO462" s="3"/>
      <c r="AP462" s="9"/>
      <c r="AQ462" s="6"/>
    </row>
    <row r="463" spans="1:43" ht="15" customHeight="1" x14ac:dyDescent="0.3">
      <c r="A463" s="22"/>
      <c r="I463" s="21"/>
      <c r="J463" s="20"/>
      <c r="K463" s="3"/>
      <c r="L463" s="20"/>
      <c r="N463" s="12"/>
      <c r="O463" s="11"/>
      <c r="S463" s="10"/>
      <c r="U463" s="3"/>
      <c r="V463" s="3"/>
      <c r="X463" s="9"/>
      <c r="Z463" s="3"/>
      <c r="AA463" s="8"/>
      <c r="AB463" s="7"/>
      <c r="AC463" s="7"/>
      <c r="AD463" s="6"/>
      <c r="AE463" s="6"/>
      <c r="AF463" s="5"/>
      <c r="AG463" s="7"/>
      <c r="AH463" s="3"/>
      <c r="AI463" s="7"/>
      <c r="AJ463" s="7"/>
      <c r="AL463" s="3"/>
      <c r="AM463" s="3"/>
      <c r="AN463" s="3"/>
      <c r="AO463" s="3"/>
      <c r="AP463" s="9"/>
      <c r="AQ463" s="6"/>
    </row>
    <row r="464" spans="1:43" ht="15" customHeight="1" x14ac:dyDescent="0.3">
      <c r="A464" s="22"/>
      <c r="I464" s="21"/>
      <c r="J464" s="20"/>
      <c r="K464" s="3"/>
      <c r="L464" s="20"/>
      <c r="N464" s="12"/>
      <c r="O464" s="11"/>
      <c r="S464" s="10"/>
      <c r="U464" s="3"/>
      <c r="V464" s="3"/>
      <c r="X464" s="9"/>
      <c r="Z464" s="3"/>
      <c r="AA464" s="8"/>
      <c r="AB464" s="7"/>
      <c r="AC464" s="7"/>
      <c r="AD464" s="6"/>
      <c r="AE464" s="6"/>
      <c r="AF464" s="5"/>
      <c r="AG464" s="7"/>
      <c r="AH464" s="3"/>
      <c r="AI464" s="7"/>
      <c r="AJ464" s="7"/>
      <c r="AL464" s="3"/>
      <c r="AM464" s="3"/>
      <c r="AN464" s="3"/>
      <c r="AO464" s="3"/>
      <c r="AP464" s="9"/>
      <c r="AQ464" s="6"/>
    </row>
    <row r="465" spans="1:43" ht="15" customHeight="1" x14ac:dyDescent="0.3">
      <c r="A465" s="22"/>
      <c r="I465" s="21"/>
      <c r="J465" s="20"/>
      <c r="K465" s="3"/>
      <c r="L465" s="20"/>
      <c r="N465" s="12"/>
      <c r="O465" s="11"/>
      <c r="S465" s="10"/>
      <c r="U465" s="3"/>
      <c r="V465" s="3"/>
      <c r="X465" s="9"/>
      <c r="Z465" s="3"/>
      <c r="AA465" s="8"/>
      <c r="AB465" s="7"/>
      <c r="AC465" s="7"/>
      <c r="AD465" s="6"/>
      <c r="AE465" s="6"/>
      <c r="AF465" s="5"/>
      <c r="AG465" s="7"/>
      <c r="AH465" s="3"/>
      <c r="AI465" s="7"/>
      <c r="AJ465" s="7"/>
      <c r="AL465" s="3"/>
      <c r="AM465" s="3"/>
      <c r="AN465" s="3"/>
      <c r="AO465" s="3"/>
      <c r="AP465" s="9"/>
      <c r="AQ465" s="6"/>
    </row>
    <row r="466" spans="1:43" ht="15" customHeight="1" x14ac:dyDescent="0.3">
      <c r="A466" s="22"/>
      <c r="I466" s="21"/>
      <c r="J466" s="20"/>
      <c r="K466" s="3"/>
      <c r="L466" s="20"/>
      <c r="N466" s="12"/>
      <c r="O466" s="11"/>
      <c r="S466" s="10"/>
      <c r="U466" s="3"/>
      <c r="V466" s="3"/>
      <c r="X466" s="9"/>
      <c r="Z466" s="3"/>
      <c r="AA466" s="8"/>
      <c r="AB466" s="7"/>
      <c r="AC466" s="7"/>
      <c r="AD466" s="6"/>
      <c r="AE466" s="6"/>
      <c r="AF466" s="5"/>
      <c r="AG466" s="7"/>
      <c r="AH466" s="3"/>
      <c r="AI466" s="7"/>
      <c r="AJ466" s="7"/>
      <c r="AL466" s="3"/>
      <c r="AM466" s="3"/>
      <c r="AN466" s="3"/>
      <c r="AO466" s="3"/>
      <c r="AP466" s="9"/>
      <c r="AQ466" s="6"/>
    </row>
    <row r="467" spans="1:43" ht="15" customHeight="1" x14ac:dyDescent="0.3">
      <c r="A467" s="22"/>
      <c r="I467" s="21"/>
      <c r="J467" s="20"/>
      <c r="K467" s="3"/>
      <c r="L467" s="20"/>
      <c r="N467" s="12"/>
      <c r="O467" s="11"/>
      <c r="S467" s="10"/>
      <c r="U467" s="3"/>
      <c r="V467" s="3"/>
      <c r="X467" s="9"/>
      <c r="Z467" s="3"/>
      <c r="AA467" s="8"/>
      <c r="AB467" s="7"/>
      <c r="AC467" s="7"/>
      <c r="AD467" s="6"/>
      <c r="AE467" s="6"/>
      <c r="AF467" s="5"/>
      <c r="AG467" s="7"/>
      <c r="AH467" s="3"/>
      <c r="AI467" s="7"/>
      <c r="AJ467" s="7"/>
      <c r="AL467" s="3"/>
      <c r="AM467" s="3"/>
      <c r="AN467" s="3"/>
      <c r="AO467" s="3"/>
      <c r="AP467" s="9"/>
      <c r="AQ467" s="6"/>
    </row>
    <row r="468" spans="1:43" ht="15" customHeight="1" x14ac:dyDescent="0.3">
      <c r="A468" s="22"/>
      <c r="I468" s="21"/>
      <c r="J468" s="20"/>
      <c r="K468" s="3"/>
      <c r="L468" s="20"/>
      <c r="N468" s="12"/>
      <c r="O468" s="11"/>
      <c r="S468" s="10"/>
      <c r="U468" s="3"/>
      <c r="V468" s="3"/>
      <c r="X468" s="9"/>
      <c r="Z468" s="3"/>
      <c r="AA468" s="8"/>
      <c r="AB468" s="7"/>
      <c r="AC468" s="7"/>
      <c r="AD468" s="6"/>
      <c r="AE468" s="6"/>
      <c r="AF468" s="5"/>
      <c r="AG468" s="7"/>
      <c r="AH468" s="3"/>
      <c r="AI468" s="7"/>
      <c r="AJ468" s="7"/>
      <c r="AL468" s="3"/>
      <c r="AM468" s="3"/>
      <c r="AN468" s="3"/>
      <c r="AO468" s="3"/>
      <c r="AP468" s="9"/>
      <c r="AQ468" s="6"/>
    </row>
    <row r="469" spans="1:43" ht="15" customHeight="1" x14ac:dyDescent="0.3">
      <c r="A469" s="22"/>
      <c r="I469" s="21"/>
      <c r="J469" s="20"/>
      <c r="K469" s="3"/>
      <c r="L469" s="20"/>
      <c r="N469" s="12"/>
      <c r="O469" s="11"/>
      <c r="S469" s="10"/>
      <c r="U469" s="3"/>
      <c r="V469" s="3"/>
      <c r="X469" s="9"/>
      <c r="Z469" s="3"/>
      <c r="AA469" s="8"/>
      <c r="AB469" s="7"/>
      <c r="AC469" s="7"/>
      <c r="AD469" s="6"/>
      <c r="AE469" s="6"/>
      <c r="AF469" s="5"/>
      <c r="AG469" s="7"/>
      <c r="AH469" s="3"/>
      <c r="AI469" s="7"/>
      <c r="AJ469" s="7"/>
      <c r="AL469" s="3"/>
      <c r="AM469" s="3"/>
      <c r="AN469" s="3"/>
      <c r="AO469" s="3"/>
      <c r="AP469" s="9"/>
      <c r="AQ469" s="6"/>
    </row>
    <row r="470" spans="1:43" ht="15" customHeight="1" x14ac:dyDescent="0.3">
      <c r="A470" s="22"/>
      <c r="I470" s="21"/>
      <c r="J470" s="20"/>
      <c r="K470" s="3"/>
      <c r="L470" s="20"/>
      <c r="N470" s="12"/>
      <c r="O470" s="11"/>
      <c r="S470" s="10"/>
      <c r="U470" s="3"/>
      <c r="V470" s="3"/>
      <c r="X470" s="9"/>
      <c r="Z470" s="3"/>
      <c r="AA470" s="8"/>
      <c r="AB470" s="7"/>
      <c r="AC470" s="7"/>
      <c r="AD470" s="6"/>
      <c r="AE470" s="6"/>
      <c r="AF470" s="5"/>
      <c r="AG470" s="7"/>
      <c r="AH470" s="3"/>
      <c r="AI470" s="7"/>
      <c r="AJ470" s="7"/>
      <c r="AL470" s="3"/>
      <c r="AM470" s="3"/>
      <c r="AN470" s="3"/>
      <c r="AO470" s="3"/>
      <c r="AP470" s="9"/>
      <c r="AQ470" s="6"/>
    </row>
    <row r="471" spans="1:43" ht="15" customHeight="1" x14ac:dyDescent="0.3">
      <c r="A471" s="22"/>
      <c r="I471" s="21"/>
      <c r="J471" s="20"/>
      <c r="K471" s="3"/>
      <c r="L471" s="20"/>
      <c r="N471" s="12"/>
      <c r="O471" s="11"/>
      <c r="S471" s="10"/>
      <c r="U471" s="3"/>
      <c r="V471" s="3"/>
      <c r="X471" s="9"/>
      <c r="Z471" s="3"/>
      <c r="AA471" s="8"/>
      <c r="AB471" s="7"/>
      <c r="AC471" s="7"/>
      <c r="AD471" s="6"/>
      <c r="AE471" s="6"/>
      <c r="AF471" s="5"/>
      <c r="AG471" s="7"/>
      <c r="AH471" s="3"/>
      <c r="AI471" s="7"/>
      <c r="AJ471" s="7"/>
      <c r="AL471" s="3"/>
      <c r="AM471" s="3"/>
      <c r="AN471" s="3"/>
      <c r="AO471" s="3"/>
      <c r="AP471" s="9"/>
      <c r="AQ471" s="6"/>
    </row>
    <row r="472" spans="1:43" ht="15" customHeight="1" x14ac:dyDescent="0.3">
      <c r="A472" s="22"/>
      <c r="I472" s="21"/>
      <c r="J472" s="20"/>
      <c r="K472" s="3"/>
      <c r="L472" s="20"/>
      <c r="N472" s="12"/>
      <c r="O472" s="11"/>
      <c r="S472" s="10"/>
      <c r="U472" s="3"/>
      <c r="V472" s="3"/>
      <c r="X472" s="9"/>
      <c r="Z472" s="3"/>
      <c r="AA472" s="8"/>
      <c r="AB472" s="7"/>
      <c r="AC472" s="7"/>
      <c r="AD472" s="6"/>
      <c r="AE472" s="6"/>
      <c r="AF472" s="5"/>
      <c r="AG472" s="7"/>
      <c r="AH472" s="3"/>
      <c r="AI472" s="7"/>
      <c r="AJ472" s="7"/>
      <c r="AL472" s="3"/>
      <c r="AM472" s="3"/>
      <c r="AN472" s="3"/>
      <c r="AO472" s="3"/>
      <c r="AP472" s="9"/>
      <c r="AQ472" s="6"/>
    </row>
    <row r="473" spans="1:43" ht="15" customHeight="1" x14ac:dyDescent="0.3">
      <c r="A473" s="22"/>
      <c r="I473" s="21"/>
      <c r="J473" s="20"/>
      <c r="K473" s="3"/>
      <c r="L473" s="20"/>
      <c r="N473" s="12"/>
      <c r="O473" s="11"/>
      <c r="S473" s="10"/>
      <c r="U473" s="3"/>
      <c r="V473" s="3"/>
      <c r="X473" s="9"/>
      <c r="Z473" s="3"/>
      <c r="AA473" s="8"/>
      <c r="AB473" s="7"/>
      <c r="AC473" s="7"/>
      <c r="AD473" s="6"/>
      <c r="AE473" s="6"/>
      <c r="AF473" s="5"/>
      <c r="AG473" s="7"/>
      <c r="AH473" s="3"/>
      <c r="AI473" s="7"/>
      <c r="AJ473" s="7"/>
      <c r="AL473" s="3"/>
      <c r="AM473" s="3"/>
      <c r="AN473" s="3"/>
      <c r="AO473" s="3"/>
      <c r="AP473" s="9"/>
      <c r="AQ473" s="6"/>
    </row>
    <row r="474" spans="1:43" ht="15" customHeight="1" x14ac:dyDescent="0.3">
      <c r="A474" s="22"/>
      <c r="I474" s="21"/>
      <c r="J474" s="20"/>
      <c r="K474" s="3"/>
      <c r="L474" s="20"/>
      <c r="N474" s="12"/>
      <c r="O474" s="11"/>
      <c r="S474" s="10"/>
      <c r="U474" s="3"/>
      <c r="V474" s="3"/>
      <c r="X474" s="9"/>
      <c r="Z474" s="3"/>
      <c r="AA474" s="8"/>
      <c r="AB474" s="7"/>
      <c r="AC474" s="7"/>
      <c r="AD474" s="6"/>
      <c r="AE474" s="6"/>
      <c r="AF474" s="5"/>
      <c r="AG474" s="7"/>
      <c r="AH474" s="3"/>
      <c r="AI474" s="7"/>
      <c r="AJ474" s="7"/>
      <c r="AL474" s="3"/>
      <c r="AM474" s="3"/>
      <c r="AN474" s="3"/>
      <c r="AO474" s="3"/>
      <c r="AP474" s="9"/>
      <c r="AQ474" s="6"/>
    </row>
    <row r="475" spans="1:43" ht="15" customHeight="1" x14ac:dyDescent="0.3">
      <c r="A475" s="22"/>
      <c r="I475" s="21"/>
      <c r="J475" s="20"/>
      <c r="K475" s="3"/>
      <c r="L475" s="20"/>
      <c r="N475" s="12"/>
      <c r="O475" s="11"/>
      <c r="S475" s="10"/>
      <c r="U475" s="3"/>
      <c r="V475" s="3"/>
      <c r="X475" s="9"/>
      <c r="Z475" s="3"/>
      <c r="AA475" s="8"/>
      <c r="AB475" s="7"/>
      <c r="AC475" s="7"/>
      <c r="AD475" s="6"/>
      <c r="AE475" s="6"/>
      <c r="AF475" s="5"/>
      <c r="AG475" s="7"/>
      <c r="AH475" s="3"/>
      <c r="AI475" s="7"/>
      <c r="AJ475" s="7"/>
      <c r="AL475" s="3"/>
      <c r="AM475" s="3"/>
      <c r="AN475" s="3"/>
      <c r="AO475" s="3"/>
      <c r="AP475" s="9"/>
      <c r="AQ475" s="6"/>
    </row>
    <row r="476" spans="1:43" ht="15" customHeight="1" x14ac:dyDescent="0.3">
      <c r="A476" s="22"/>
      <c r="I476" s="21"/>
      <c r="J476" s="20"/>
      <c r="K476" s="3"/>
      <c r="L476" s="20"/>
      <c r="N476" s="12"/>
      <c r="O476" s="11"/>
      <c r="S476" s="10"/>
      <c r="U476" s="3"/>
      <c r="V476" s="3"/>
      <c r="X476" s="9"/>
      <c r="Z476" s="3"/>
      <c r="AA476" s="8"/>
      <c r="AB476" s="7"/>
      <c r="AC476" s="7"/>
      <c r="AD476" s="6"/>
      <c r="AE476" s="6"/>
      <c r="AF476" s="5"/>
      <c r="AG476" s="7"/>
      <c r="AH476" s="3"/>
      <c r="AI476" s="7"/>
      <c r="AJ476" s="7"/>
      <c r="AL476" s="3"/>
      <c r="AM476" s="3"/>
      <c r="AN476" s="3"/>
      <c r="AO476" s="3"/>
      <c r="AP476" s="9"/>
      <c r="AQ476" s="6"/>
    </row>
    <row r="477" spans="1:43" ht="15" customHeight="1" x14ac:dyDescent="0.3">
      <c r="A477" s="22"/>
      <c r="I477" s="21"/>
      <c r="J477" s="20"/>
      <c r="K477" s="3"/>
      <c r="L477" s="20"/>
      <c r="N477" s="12"/>
      <c r="O477" s="11"/>
      <c r="S477" s="10"/>
      <c r="U477" s="3"/>
      <c r="V477" s="3"/>
      <c r="X477" s="9"/>
      <c r="Z477" s="3"/>
      <c r="AA477" s="8"/>
      <c r="AB477" s="7"/>
      <c r="AC477" s="7"/>
      <c r="AD477" s="6"/>
      <c r="AE477" s="6"/>
      <c r="AF477" s="5"/>
      <c r="AG477" s="7"/>
      <c r="AH477" s="3"/>
      <c r="AI477" s="7"/>
      <c r="AJ477" s="7"/>
      <c r="AL477" s="3"/>
      <c r="AM477" s="3"/>
      <c r="AN477" s="3"/>
      <c r="AO477" s="3"/>
      <c r="AP477" s="9"/>
      <c r="AQ477" s="6"/>
    </row>
    <row r="478" spans="1:43" ht="15" customHeight="1" x14ac:dyDescent="0.3">
      <c r="A478" s="22"/>
      <c r="I478" s="21"/>
      <c r="J478" s="20"/>
      <c r="K478" s="3"/>
      <c r="L478" s="20"/>
      <c r="N478" s="12"/>
      <c r="O478" s="11"/>
      <c r="S478" s="10"/>
      <c r="U478" s="3"/>
      <c r="V478" s="3"/>
      <c r="X478" s="9"/>
      <c r="Z478" s="3"/>
      <c r="AA478" s="8"/>
      <c r="AB478" s="7"/>
      <c r="AC478" s="7"/>
      <c r="AD478" s="6"/>
      <c r="AE478" s="6"/>
      <c r="AF478" s="5"/>
      <c r="AG478" s="7"/>
      <c r="AH478" s="3"/>
      <c r="AI478" s="7"/>
      <c r="AJ478" s="7"/>
      <c r="AL478" s="3"/>
      <c r="AM478" s="3"/>
      <c r="AN478" s="3"/>
      <c r="AO478" s="3"/>
      <c r="AP478" s="9"/>
      <c r="AQ478" s="6"/>
    </row>
    <row r="479" spans="1:43" ht="15" customHeight="1" x14ac:dyDescent="0.3">
      <c r="A479" s="22"/>
      <c r="I479" s="21"/>
      <c r="J479" s="20"/>
      <c r="K479" s="3"/>
      <c r="L479" s="20"/>
      <c r="N479" s="12"/>
      <c r="O479" s="11"/>
      <c r="S479" s="10"/>
      <c r="U479" s="3"/>
      <c r="V479" s="3"/>
      <c r="X479" s="9"/>
      <c r="Z479" s="3"/>
      <c r="AA479" s="8"/>
      <c r="AB479" s="7"/>
      <c r="AC479" s="7"/>
      <c r="AD479" s="6"/>
      <c r="AE479" s="6"/>
      <c r="AF479" s="5"/>
      <c r="AG479" s="7"/>
      <c r="AH479" s="3"/>
      <c r="AI479" s="7"/>
      <c r="AJ479" s="7"/>
      <c r="AL479" s="3"/>
      <c r="AM479" s="3"/>
      <c r="AN479" s="3"/>
      <c r="AO479" s="3"/>
      <c r="AP479" s="9"/>
      <c r="AQ479" s="6"/>
    </row>
    <row r="480" spans="1:43" ht="15" customHeight="1" x14ac:dyDescent="0.3">
      <c r="A480" s="22"/>
      <c r="I480" s="21"/>
      <c r="J480" s="20"/>
      <c r="K480" s="3"/>
      <c r="L480" s="20"/>
      <c r="N480" s="12"/>
      <c r="O480" s="11"/>
      <c r="S480" s="10"/>
      <c r="U480" s="3"/>
      <c r="V480" s="3"/>
      <c r="X480" s="9"/>
      <c r="Z480" s="3"/>
      <c r="AA480" s="8"/>
      <c r="AB480" s="7"/>
      <c r="AC480" s="7"/>
      <c r="AD480" s="6"/>
      <c r="AE480" s="6"/>
      <c r="AF480" s="5"/>
      <c r="AG480" s="7"/>
      <c r="AH480" s="3"/>
      <c r="AI480" s="7"/>
      <c r="AJ480" s="7"/>
      <c r="AL480" s="3"/>
      <c r="AM480" s="3"/>
      <c r="AN480" s="3"/>
      <c r="AO480" s="3"/>
      <c r="AP480" s="9"/>
      <c r="AQ480" s="6"/>
    </row>
    <row r="481" spans="1:43" ht="15" customHeight="1" x14ac:dyDescent="0.3">
      <c r="A481" s="22"/>
      <c r="I481" s="21"/>
      <c r="J481" s="20"/>
      <c r="K481" s="3"/>
      <c r="L481" s="20"/>
      <c r="N481" s="12"/>
      <c r="O481" s="11"/>
      <c r="S481" s="10"/>
      <c r="U481" s="3"/>
      <c r="V481" s="3"/>
      <c r="X481" s="9"/>
      <c r="Z481" s="3"/>
      <c r="AA481" s="8"/>
      <c r="AB481" s="7"/>
      <c r="AC481" s="7"/>
      <c r="AD481" s="6"/>
      <c r="AE481" s="6"/>
      <c r="AF481" s="5"/>
      <c r="AG481" s="7"/>
      <c r="AH481" s="3"/>
      <c r="AI481" s="7"/>
      <c r="AJ481" s="7"/>
      <c r="AL481" s="3"/>
      <c r="AM481" s="3"/>
      <c r="AN481" s="3"/>
      <c r="AO481" s="3"/>
      <c r="AP481" s="9"/>
      <c r="AQ481" s="6"/>
    </row>
    <row r="482" spans="1:43" ht="15" customHeight="1" x14ac:dyDescent="0.3">
      <c r="A482" s="22"/>
      <c r="I482" s="21"/>
      <c r="J482" s="20"/>
      <c r="K482" s="3"/>
      <c r="L482" s="20"/>
      <c r="N482" s="12"/>
      <c r="O482" s="11"/>
      <c r="S482" s="10"/>
      <c r="U482" s="3"/>
      <c r="V482" s="3"/>
      <c r="X482" s="9"/>
      <c r="Z482" s="3"/>
      <c r="AA482" s="8"/>
      <c r="AB482" s="7"/>
      <c r="AC482" s="7"/>
      <c r="AD482" s="6"/>
      <c r="AE482" s="6"/>
      <c r="AF482" s="5"/>
      <c r="AG482" s="7"/>
      <c r="AH482" s="3"/>
      <c r="AI482" s="7"/>
      <c r="AJ482" s="7"/>
      <c r="AL482" s="3"/>
      <c r="AM482" s="3"/>
      <c r="AN482" s="3"/>
      <c r="AO482" s="3"/>
      <c r="AP482" s="9"/>
      <c r="AQ482" s="6"/>
    </row>
    <row r="483" spans="1:43" ht="15" customHeight="1" x14ac:dyDescent="0.3">
      <c r="A483" s="22"/>
      <c r="I483" s="21"/>
      <c r="J483" s="20"/>
      <c r="K483" s="3"/>
      <c r="L483" s="20"/>
      <c r="N483" s="12"/>
      <c r="O483" s="11"/>
      <c r="S483" s="10"/>
      <c r="U483" s="3"/>
      <c r="V483" s="3"/>
      <c r="X483" s="9"/>
      <c r="Z483" s="3"/>
      <c r="AA483" s="8"/>
      <c r="AB483" s="7"/>
      <c r="AC483" s="7"/>
      <c r="AD483" s="6"/>
      <c r="AE483" s="6"/>
      <c r="AF483" s="5"/>
      <c r="AG483" s="7"/>
      <c r="AH483" s="3"/>
      <c r="AI483" s="7"/>
      <c r="AJ483" s="7"/>
      <c r="AL483" s="3"/>
      <c r="AM483" s="3"/>
      <c r="AN483" s="3"/>
      <c r="AO483" s="3"/>
      <c r="AP483" s="9"/>
      <c r="AQ483" s="6"/>
    </row>
    <row r="484" spans="1:43" ht="15" customHeight="1" x14ac:dyDescent="0.3">
      <c r="A484" s="22"/>
      <c r="I484" s="21"/>
      <c r="J484" s="20"/>
      <c r="K484" s="3"/>
      <c r="L484" s="20"/>
      <c r="N484" s="12"/>
      <c r="O484" s="11"/>
      <c r="S484" s="10"/>
      <c r="U484" s="3"/>
      <c r="V484" s="3"/>
      <c r="X484" s="9"/>
      <c r="Z484" s="3"/>
      <c r="AA484" s="8"/>
      <c r="AB484" s="7"/>
      <c r="AC484" s="7"/>
      <c r="AD484" s="6"/>
      <c r="AE484" s="6"/>
      <c r="AF484" s="5"/>
      <c r="AG484" s="7"/>
      <c r="AH484" s="3"/>
      <c r="AI484" s="7"/>
      <c r="AJ484" s="7"/>
      <c r="AL484" s="3"/>
      <c r="AM484" s="3"/>
      <c r="AN484" s="3"/>
      <c r="AO484" s="3"/>
      <c r="AP484" s="9"/>
      <c r="AQ484" s="6"/>
    </row>
    <row r="485" spans="1:43" ht="15" customHeight="1" x14ac:dyDescent="0.3">
      <c r="A485" s="22"/>
      <c r="I485" s="21"/>
      <c r="J485" s="20"/>
      <c r="K485" s="3"/>
      <c r="L485" s="20"/>
      <c r="N485" s="12"/>
      <c r="O485" s="11"/>
      <c r="S485" s="10"/>
      <c r="U485" s="3"/>
      <c r="V485" s="3"/>
      <c r="X485" s="9"/>
      <c r="Z485" s="3"/>
      <c r="AA485" s="8"/>
      <c r="AB485" s="7"/>
      <c r="AC485" s="7"/>
      <c r="AD485" s="6"/>
      <c r="AE485" s="6"/>
      <c r="AF485" s="5"/>
      <c r="AG485" s="7"/>
      <c r="AH485" s="3"/>
      <c r="AI485" s="7"/>
      <c r="AJ485" s="7"/>
      <c r="AL485" s="3"/>
      <c r="AM485" s="3"/>
      <c r="AN485" s="3"/>
      <c r="AO485" s="3"/>
      <c r="AP485" s="9"/>
      <c r="AQ485" s="6"/>
    </row>
    <row r="486" spans="1:43" ht="15" customHeight="1" x14ac:dyDescent="0.3">
      <c r="A486" s="22"/>
      <c r="I486" s="21"/>
      <c r="J486" s="20"/>
      <c r="K486" s="3"/>
      <c r="L486" s="20"/>
      <c r="N486" s="12"/>
      <c r="O486" s="11"/>
      <c r="S486" s="10"/>
      <c r="U486" s="3"/>
      <c r="V486" s="3"/>
      <c r="X486" s="9"/>
      <c r="Z486" s="3"/>
      <c r="AA486" s="8"/>
      <c r="AB486" s="7"/>
      <c r="AC486" s="7"/>
      <c r="AD486" s="6"/>
      <c r="AE486" s="6"/>
      <c r="AF486" s="5"/>
      <c r="AG486" s="7"/>
      <c r="AH486" s="3"/>
      <c r="AI486" s="7"/>
      <c r="AJ486" s="7"/>
      <c r="AL486" s="3"/>
      <c r="AM486" s="3"/>
      <c r="AN486" s="3"/>
      <c r="AO486" s="3"/>
      <c r="AP486" s="9"/>
      <c r="AQ486" s="6"/>
    </row>
    <row r="487" spans="1:43" ht="15" customHeight="1" x14ac:dyDescent="0.3">
      <c r="A487" s="22"/>
      <c r="I487" s="21"/>
      <c r="J487" s="20"/>
      <c r="K487" s="3"/>
      <c r="L487" s="20"/>
      <c r="N487" s="12"/>
      <c r="O487" s="11"/>
      <c r="S487" s="10"/>
      <c r="U487" s="3"/>
      <c r="V487" s="3"/>
      <c r="X487" s="9"/>
      <c r="Z487" s="3"/>
      <c r="AA487" s="8"/>
      <c r="AB487" s="7"/>
      <c r="AC487" s="7"/>
      <c r="AD487" s="6"/>
      <c r="AE487" s="6"/>
      <c r="AF487" s="5"/>
      <c r="AG487" s="7"/>
      <c r="AH487" s="3"/>
      <c r="AI487" s="7"/>
      <c r="AJ487" s="7"/>
      <c r="AL487" s="3"/>
      <c r="AM487" s="3"/>
      <c r="AN487" s="3"/>
      <c r="AO487" s="3"/>
      <c r="AP487" s="9"/>
      <c r="AQ487" s="6"/>
    </row>
    <row r="488" spans="1:43" ht="15" customHeight="1" x14ac:dyDescent="0.3">
      <c r="A488" s="22"/>
      <c r="I488" s="21"/>
      <c r="J488" s="20"/>
      <c r="K488" s="3"/>
      <c r="L488" s="20"/>
      <c r="N488" s="12"/>
      <c r="O488" s="11"/>
      <c r="S488" s="10"/>
      <c r="U488" s="3"/>
      <c r="V488" s="3"/>
      <c r="X488" s="9"/>
      <c r="Z488" s="3"/>
      <c r="AA488" s="8"/>
      <c r="AB488" s="7"/>
      <c r="AC488" s="7"/>
      <c r="AD488" s="6"/>
      <c r="AE488" s="6"/>
      <c r="AF488" s="5"/>
      <c r="AG488" s="7"/>
      <c r="AH488" s="3"/>
      <c r="AI488" s="7"/>
      <c r="AJ488" s="7"/>
      <c r="AL488" s="3"/>
      <c r="AM488" s="3"/>
      <c r="AN488" s="3"/>
      <c r="AO488" s="3"/>
      <c r="AP488" s="9"/>
      <c r="AQ488" s="6"/>
    </row>
    <row r="489" spans="1:43" ht="15" customHeight="1" x14ac:dyDescent="0.3">
      <c r="A489" s="22"/>
      <c r="I489" s="21"/>
      <c r="J489" s="20"/>
      <c r="K489" s="3"/>
      <c r="L489" s="20"/>
      <c r="N489" s="12"/>
      <c r="O489" s="11"/>
      <c r="S489" s="10"/>
      <c r="U489" s="3"/>
      <c r="V489" s="3"/>
      <c r="X489" s="9"/>
      <c r="Z489" s="3"/>
      <c r="AA489" s="8"/>
      <c r="AB489" s="7"/>
      <c r="AC489" s="7"/>
      <c r="AD489" s="6"/>
      <c r="AE489" s="6"/>
      <c r="AF489" s="5"/>
      <c r="AG489" s="7"/>
      <c r="AH489" s="3"/>
      <c r="AI489" s="7"/>
      <c r="AJ489" s="7"/>
      <c r="AL489" s="3"/>
      <c r="AM489" s="3"/>
      <c r="AN489" s="3"/>
      <c r="AO489" s="3"/>
      <c r="AP489" s="9"/>
      <c r="AQ489" s="6"/>
    </row>
    <row r="490" spans="1:43" ht="15" customHeight="1" x14ac:dyDescent="0.3">
      <c r="A490" s="22"/>
      <c r="I490" s="21"/>
      <c r="J490" s="20"/>
      <c r="K490" s="3"/>
      <c r="L490" s="20"/>
      <c r="N490" s="12"/>
      <c r="O490" s="11"/>
      <c r="S490" s="10"/>
      <c r="U490" s="3"/>
      <c r="V490" s="3"/>
      <c r="X490" s="9"/>
      <c r="Z490" s="3"/>
      <c r="AA490" s="8"/>
      <c r="AB490" s="7"/>
      <c r="AC490" s="7"/>
      <c r="AD490" s="6"/>
      <c r="AE490" s="6"/>
      <c r="AF490" s="5"/>
      <c r="AG490" s="7"/>
      <c r="AH490" s="3"/>
      <c r="AI490" s="7"/>
      <c r="AJ490" s="7"/>
      <c r="AL490" s="3"/>
      <c r="AM490" s="3"/>
      <c r="AN490" s="3"/>
      <c r="AO490" s="3"/>
      <c r="AP490" s="9"/>
      <c r="AQ490" s="6"/>
    </row>
    <row r="491" spans="1:43" ht="15" customHeight="1" x14ac:dyDescent="0.3">
      <c r="A491" s="22"/>
      <c r="I491" s="21"/>
      <c r="J491" s="20"/>
      <c r="K491" s="3"/>
      <c r="L491" s="20"/>
      <c r="N491" s="12"/>
      <c r="O491" s="11"/>
      <c r="S491" s="10"/>
      <c r="U491" s="3"/>
      <c r="V491" s="3"/>
      <c r="X491" s="9"/>
      <c r="Z491" s="3"/>
      <c r="AA491" s="8"/>
      <c r="AB491" s="7"/>
      <c r="AC491" s="7"/>
      <c r="AD491" s="6"/>
      <c r="AE491" s="6"/>
      <c r="AF491" s="5"/>
      <c r="AG491" s="7"/>
      <c r="AH491" s="3"/>
      <c r="AI491" s="7"/>
      <c r="AJ491" s="7"/>
      <c r="AL491" s="3"/>
      <c r="AM491" s="3"/>
      <c r="AN491" s="3"/>
      <c r="AO491" s="3"/>
      <c r="AP491" s="9"/>
      <c r="AQ491" s="6"/>
    </row>
    <row r="492" spans="1:43" ht="15" customHeight="1" x14ac:dyDescent="0.3">
      <c r="A492" s="22"/>
      <c r="I492" s="21"/>
      <c r="J492" s="20"/>
      <c r="K492" s="3"/>
      <c r="L492" s="20"/>
      <c r="N492" s="12"/>
      <c r="O492" s="11"/>
      <c r="S492" s="10"/>
      <c r="U492" s="3"/>
      <c r="V492" s="3"/>
      <c r="X492" s="9"/>
      <c r="Z492" s="3"/>
      <c r="AA492" s="8"/>
      <c r="AB492" s="7"/>
      <c r="AC492" s="7"/>
      <c r="AD492" s="6"/>
      <c r="AE492" s="6"/>
      <c r="AF492" s="5"/>
      <c r="AG492" s="7"/>
      <c r="AH492" s="3"/>
      <c r="AI492" s="7"/>
      <c r="AJ492" s="7"/>
      <c r="AL492" s="3"/>
      <c r="AM492" s="3"/>
      <c r="AN492" s="3"/>
      <c r="AO492" s="3"/>
      <c r="AP492" s="9"/>
      <c r="AQ492" s="6"/>
    </row>
    <row r="493" spans="1:43" ht="15" customHeight="1" x14ac:dyDescent="0.3">
      <c r="A493" s="22"/>
      <c r="I493" s="21"/>
      <c r="J493" s="20"/>
      <c r="K493" s="3"/>
      <c r="L493" s="20"/>
      <c r="N493" s="12"/>
      <c r="O493" s="11"/>
      <c r="S493" s="10"/>
      <c r="U493" s="3"/>
      <c r="V493" s="3"/>
      <c r="X493" s="9"/>
      <c r="Z493" s="3"/>
      <c r="AA493" s="8"/>
      <c r="AB493" s="7"/>
      <c r="AC493" s="7"/>
      <c r="AD493" s="6"/>
      <c r="AE493" s="6"/>
      <c r="AF493" s="5"/>
      <c r="AG493" s="7"/>
      <c r="AH493" s="3"/>
      <c r="AI493" s="7"/>
      <c r="AJ493" s="7"/>
      <c r="AL493" s="3"/>
      <c r="AM493" s="3"/>
      <c r="AN493" s="3"/>
      <c r="AO493" s="3"/>
      <c r="AP493" s="9"/>
      <c r="AQ493" s="6"/>
    </row>
    <row r="494" spans="1:43" ht="15" customHeight="1" x14ac:dyDescent="0.3">
      <c r="A494" s="22"/>
      <c r="I494" s="21"/>
      <c r="J494" s="20"/>
      <c r="K494" s="3"/>
      <c r="L494" s="20"/>
      <c r="N494" s="12"/>
      <c r="O494" s="11"/>
      <c r="S494" s="10"/>
      <c r="U494" s="3"/>
      <c r="V494" s="3"/>
      <c r="X494" s="9"/>
      <c r="Z494" s="3"/>
      <c r="AA494" s="8"/>
      <c r="AB494" s="7"/>
      <c r="AC494" s="7"/>
      <c r="AD494" s="6"/>
      <c r="AE494" s="6"/>
      <c r="AF494" s="5"/>
      <c r="AG494" s="7"/>
      <c r="AH494" s="3"/>
      <c r="AI494" s="7"/>
      <c r="AJ494" s="7"/>
      <c r="AL494" s="3"/>
      <c r="AM494" s="3"/>
      <c r="AN494" s="3"/>
      <c r="AO494" s="3"/>
      <c r="AP494" s="9"/>
      <c r="AQ494" s="6"/>
    </row>
    <row r="495" spans="1:43" ht="15" customHeight="1" x14ac:dyDescent="0.3">
      <c r="A495" s="22"/>
      <c r="I495" s="21"/>
      <c r="J495" s="20"/>
      <c r="K495" s="3"/>
      <c r="L495" s="20"/>
      <c r="N495" s="12"/>
      <c r="O495" s="11"/>
      <c r="S495" s="10"/>
      <c r="U495" s="3"/>
      <c r="V495" s="3"/>
      <c r="X495" s="9"/>
      <c r="Z495" s="3"/>
      <c r="AA495" s="8"/>
      <c r="AB495" s="7"/>
      <c r="AC495" s="7"/>
      <c r="AD495" s="6"/>
      <c r="AE495" s="6"/>
      <c r="AF495" s="5"/>
      <c r="AG495" s="7"/>
      <c r="AH495" s="3"/>
      <c r="AI495" s="7"/>
      <c r="AJ495" s="7"/>
      <c r="AL495" s="3"/>
      <c r="AM495" s="3"/>
      <c r="AN495" s="3"/>
      <c r="AO495" s="3"/>
      <c r="AP495" s="9"/>
      <c r="AQ495" s="6"/>
    </row>
    <row r="496" spans="1:43" ht="15" customHeight="1" x14ac:dyDescent="0.3">
      <c r="A496" s="13" t="s">
        <v>16</v>
      </c>
      <c r="B496" s="1">
        <v>1</v>
      </c>
      <c r="C496" s="1">
        <v>26</v>
      </c>
      <c r="D496" s="1">
        <v>0</v>
      </c>
      <c r="E496" s="5">
        <v>1</v>
      </c>
      <c r="F496" s="3">
        <f>E496</f>
        <v>1</v>
      </c>
      <c r="G496" s="5">
        <v>2</v>
      </c>
      <c r="H496" s="3">
        <f t="shared" si="10"/>
        <v>3.1415926535897931</v>
      </c>
      <c r="I496" s="21"/>
      <c r="J496" s="20"/>
      <c r="K496" s="3"/>
      <c r="L496" s="20"/>
      <c r="N496" s="12">
        <f t="shared" ref="N496:N559" si="35">I496/H496</f>
        <v>0</v>
      </c>
      <c r="O496" s="11">
        <f t="shared" ref="O496:O559" si="36">I496*10000</f>
        <v>0</v>
      </c>
      <c r="P496" s="1">
        <v>10</v>
      </c>
      <c r="Q496" s="1">
        <v>1</v>
      </c>
      <c r="R496" s="3">
        <f>Q496*VLOOKUP(P496,[4]Datos!$A$2:$D$14,2)</f>
        <v>8.19</v>
      </c>
      <c r="S496" s="10">
        <f t="shared" si="11"/>
        <v>0</v>
      </c>
      <c r="T496" s="2">
        <v>39</v>
      </c>
      <c r="U496" s="3">
        <f t="shared" si="12"/>
        <v>0.14000000000000001</v>
      </c>
      <c r="V496" s="3"/>
      <c r="W496" s="1">
        <v>280</v>
      </c>
      <c r="X496" s="9">
        <v>2</v>
      </c>
      <c r="Y496" s="1">
        <v>6</v>
      </c>
      <c r="Z496" s="3">
        <f>X496*VLOOKUP(Y496,[4]Datos!$A$2:$D$14,2)</f>
        <v>5.68</v>
      </c>
      <c r="AA496" s="8">
        <v>7.4999999999999997E-2</v>
      </c>
      <c r="AB496" s="7">
        <f t="shared" ref="AB496:AB559" si="37">IF(D496=0,0.9,0.5)*0.9*0.53*SQRT(W496)*G496*MAX(0.72*G496,0.9*((G496/2)+((G496-0.11)/PI())))*10</f>
        <v>207.09423574274689</v>
      </c>
      <c r="AC496" s="7">
        <f t="shared" si="15"/>
        <v>414.61035434434268</v>
      </c>
      <c r="AD496" s="6" t="str">
        <f t="shared" ref="AD496:AD559" si="38">+IF(AC496&gt;K496-AB496,"Cumple","No Cumple")</f>
        <v>Cumple</v>
      </c>
      <c r="AE496" s="6"/>
      <c r="AF496" s="5">
        <v>22</v>
      </c>
      <c r="AG496" s="7">
        <f>ROUNDUP(MAX(0.45,G496,AF496/6),0)</f>
        <v>4</v>
      </c>
      <c r="AH496" s="3">
        <f>PI()*(G496-0.15)^2/4</f>
        <v>2.6880252142277672</v>
      </c>
      <c r="AI496" s="7">
        <f>G496-0.15-VLOOKUP(Y496,[4]Datos!$A$2:$D$14,3)/100</f>
        <v>1.8309000000000002</v>
      </c>
      <c r="AJ496" s="7">
        <f>SQRT((PI()*AI496)^2+AA496^2)</f>
        <v>5.7524309339691264</v>
      </c>
      <c r="AK496" s="1">
        <v>0.12</v>
      </c>
      <c r="AL496" s="16">
        <f>MAX(0.45*(H496/AH496-1),AK496)*(W496/4220)</f>
        <v>7.9620853080568724E-3</v>
      </c>
      <c r="AM496" s="7">
        <f>AG496*(AJ496/AA496)</f>
        <v>306.79631647835345</v>
      </c>
      <c r="AN496" s="17">
        <f>AM496*Z496/X496/10000</f>
        <v>8.7130153879852373E-2</v>
      </c>
      <c r="AO496" s="17">
        <f>AH496*AG496</f>
        <v>10.752100856911069</v>
      </c>
      <c r="AP496" s="16">
        <f>AN496/AO496</f>
        <v>8.1035469290495175E-3</v>
      </c>
      <c r="AQ496" s="6" t="str">
        <f>+IF(AP496&gt;AL496,"Cumple","No Cumple")</f>
        <v>Cumple</v>
      </c>
    </row>
    <row r="497" spans="1:43" ht="15" customHeight="1" x14ac:dyDescent="0.3">
      <c r="A497" s="13"/>
      <c r="B497" s="1">
        <v>2</v>
      </c>
      <c r="C497" s="1">
        <v>27</v>
      </c>
      <c r="D497" s="1">
        <v>0</v>
      </c>
      <c r="E497" s="5">
        <v>1</v>
      </c>
      <c r="F497" s="3">
        <f>F496+E497</f>
        <v>2</v>
      </c>
      <c r="G497" s="5">
        <v>2</v>
      </c>
      <c r="H497" s="3">
        <f t="shared" si="10"/>
        <v>3.1415926535897931</v>
      </c>
      <c r="I497" s="21">
        <v>3.1415999999999999E-2</v>
      </c>
      <c r="J497" s="20"/>
      <c r="K497" s="3">
        <v>106.65030476487162</v>
      </c>
      <c r="L497" s="20">
        <v>501.45478000000003</v>
      </c>
      <c r="M497" s="3">
        <v>208.61619999999999</v>
      </c>
      <c r="N497" s="12">
        <f t="shared" si="35"/>
        <v>1.0000023384349969E-2</v>
      </c>
      <c r="O497" s="11">
        <f t="shared" si="36"/>
        <v>314.15999999999997</v>
      </c>
      <c r="P497" s="1">
        <v>10</v>
      </c>
      <c r="Q497" s="1">
        <v>1</v>
      </c>
      <c r="R497" s="3">
        <f>Q497*VLOOKUP(P497,[4]Datos!$A$2:$D$14,2)</f>
        <v>8.19</v>
      </c>
      <c r="S497" s="10">
        <f t="shared" si="11"/>
        <v>39</v>
      </c>
      <c r="T497" s="2">
        <v>39</v>
      </c>
      <c r="U497" s="3">
        <f t="shared" si="12"/>
        <v>0.14000000000000001</v>
      </c>
      <c r="V497" s="3"/>
      <c r="W497" s="1">
        <v>280</v>
      </c>
      <c r="X497" s="9">
        <v>2</v>
      </c>
      <c r="Y497" s="1">
        <v>6</v>
      </c>
      <c r="Z497" s="3">
        <f>X497*VLOOKUP(Y497,[4]Datos!$A$2:$D$14,2)</f>
        <v>5.68</v>
      </c>
      <c r="AA497" s="8">
        <v>7.4999999999999997E-2</v>
      </c>
      <c r="AB497" s="7">
        <f t="shared" si="37"/>
        <v>207.09423574274689</v>
      </c>
      <c r="AC497" s="7">
        <f t="shared" si="15"/>
        <v>414.61035434434268</v>
      </c>
      <c r="AD497" s="6" t="str">
        <f t="shared" si="38"/>
        <v>Cumple</v>
      </c>
      <c r="AE497" s="6"/>
      <c r="AF497" s="5">
        <v>22</v>
      </c>
      <c r="AG497" s="7">
        <f t="shared" ref="AG497:AG499" si="39">ROUNDUP(MAX(0.45,G497,AF497/6),0)</f>
        <v>4</v>
      </c>
      <c r="AH497" s="3">
        <f t="shared" ref="AH497:AH499" si="40">PI()*(G497-0.15)^2/4</f>
        <v>2.6880252142277672</v>
      </c>
      <c r="AI497" s="7">
        <f>G497-0.15-VLOOKUP(Y497,[4]Datos!$A$2:$D$14,3)/100</f>
        <v>1.8309000000000002</v>
      </c>
      <c r="AJ497" s="7">
        <f t="shared" ref="AJ497:AJ499" si="41">SQRT((PI()*AI497)^2+AA497^2)</f>
        <v>5.7524309339691264</v>
      </c>
      <c r="AK497" s="1">
        <v>0.12</v>
      </c>
      <c r="AL497" s="16">
        <f t="shared" ref="AL497:AL499" si="42">MAX(0.45*(H497/AH497-1),AK497)*(W497/4220)</f>
        <v>7.9620853080568724E-3</v>
      </c>
      <c r="AM497" s="7">
        <f t="shared" ref="AM497:AM499" si="43">AG497*(AJ497/AA497)</f>
        <v>306.79631647835345</v>
      </c>
      <c r="AN497" s="17">
        <f t="shared" ref="AN497:AN499" si="44">AM497*Z497/X497/10000</f>
        <v>8.7130153879852373E-2</v>
      </c>
      <c r="AO497" s="17">
        <f t="shared" ref="AO497:AO499" si="45">AH497*AG497</f>
        <v>10.752100856911069</v>
      </c>
      <c r="AP497" s="16">
        <f t="shared" ref="AP497:AP499" si="46">AN497/AO497</f>
        <v>8.1035469290495175E-3</v>
      </c>
      <c r="AQ497" s="6" t="str">
        <f t="shared" ref="AQ497:AQ499" si="47">+IF(AP497&gt;AL497,"Cumple","No Cumple")</f>
        <v>Cumple</v>
      </c>
    </row>
    <row r="498" spans="1:43" ht="15" customHeight="1" x14ac:dyDescent="0.3">
      <c r="A498" s="13"/>
      <c r="B498" s="1">
        <v>3</v>
      </c>
      <c r="C498" s="1">
        <v>28</v>
      </c>
      <c r="D498" s="1">
        <v>0</v>
      </c>
      <c r="E498" s="5">
        <v>1</v>
      </c>
      <c r="F498" s="3">
        <f t="shared" ref="F498:F535" si="48">F497+E498</f>
        <v>3</v>
      </c>
      <c r="G498" s="5">
        <v>2</v>
      </c>
      <c r="H498" s="3">
        <f t="shared" si="10"/>
        <v>3.1415926535897931</v>
      </c>
      <c r="I498" s="21">
        <v>3.1415999999999999E-2</v>
      </c>
      <c r="J498" s="20"/>
      <c r="K498" s="3">
        <v>106.65049729354288</v>
      </c>
      <c r="L498" s="20">
        <v>465.84415999999999</v>
      </c>
      <c r="M498" s="3">
        <v>278.19447000000002</v>
      </c>
      <c r="N498" s="12">
        <f t="shared" si="35"/>
        <v>1.0000023384349969E-2</v>
      </c>
      <c r="O498" s="11">
        <f t="shared" si="36"/>
        <v>314.15999999999997</v>
      </c>
      <c r="P498" s="1">
        <v>10</v>
      </c>
      <c r="Q498" s="1">
        <v>1</v>
      </c>
      <c r="R498" s="3">
        <f>Q498*VLOOKUP(P498,[4]Datos!$A$2:$D$14,2)</f>
        <v>8.19</v>
      </c>
      <c r="S498" s="10">
        <f t="shared" si="11"/>
        <v>39</v>
      </c>
      <c r="T498" s="2">
        <v>39</v>
      </c>
      <c r="U498" s="3">
        <f t="shared" si="12"/>
        <v>0.14000000000000001</v>
      </c>
      <c r="V498" s="3"/>
      <c r="W498" s="1">
        <v>280</v>
      </c>
      <c r="X498" s="9">
        <v>2</v>
      </c>
      <c r="Y498" s="1">
        <v>6</v>
      </c>
      <c r="Z498" s="3">
        <f>X498*VLOOKUP(Y498,[4]Datos!$A$2:$D$14,2)</f>
        <v>5.68</v>
      </c>
      <c r="AA498" s="8">
        <v>7.4999999999999997E-2</v>
      </c>
      <c r="AB498" s="7">
        <f t="shared" si="37"/>
        <v>207.09423574274689</v>
      </c>
      <c r="AC498" s="7">
        <f t="shared" si="15"/>
        <v>414.61035434434268</v>
      </c>
      <c r="AD498" s="6" t="str">
        <f t="shared" si="38"/>
        <v>Cumple</v>
      </c>
      <c r="AE498" s="6"/>
      <c r="AF498" s="5">
        <v>22</v>
      </c>
      <c r="AG498" s="7">
        <f t="shared" si="39"/>
        <v>4</v>
      </c>
      <c r="AH498" s="3">
        <f t="shared" si="40"/>
        <v>2.6880252142277672</v>
      </c>
      <c r="AI498" s="7">
        <f>G498-0.15-VLOOKUP(Y498,[4]Datos!$A$2:$D$14,3)/100</f>
        <v>1.8309000000000002</v>
      </c>
      <c r="AJ498" s="7">
        <f t="shared" si="41"/>
        <v>5.7524309339691264</v>
      </c>
      <c r="AK498" s="1">
        <v>0.12</v>
      </c>
      <c r="AL498" s="16">
        <f t="shared" si="42"/>
        <v>7.9620853080568724E-3</v>
      </c>
      <c r="AM498" s="7">
        <f t="shared" si="43"/>
        <v>306.79631647835345</v>
      </c>
      <c r="AN498" s="17">
        <f t="shared" si="44"/>
        <v>8.7130153879852373E-2</v>
      </c>
      <c r="AO498" s="17">
        <f t="shared" si="45"/>
        <v>10.752100856911069</v>
      </c>
      <c r="AP498" s="16">
        <f t="shared" si="46"/>
        <v>8.1035469290495175E-3</v>
      </c>
      <c r="AQ498" s="6" t="str">
        <f t="shared" si="47"/>
        <v>Cumple</v>
      </c>
    </row>
    <row r="499" spans="1:43" ht="15" customHeight="1" x14ac:dyDescent="0.3">
      <c r="A499" s="13"/>
      <c r="B499" s="1">
        <v>4</v>
      </c>
      <c r="C499" s="1">
        <v>29</v>
      </c>
      <c r="D499" s="1">
        <v>0</v>
      </c>
      <c r="E499" s="5">
        <v>1</v>
      </c>
      <c r="F499" s="3">
        <f t="shared" si="48"/>
        <v>4</v>
      </c>
      <c r="G499" s="5">
        <v>2</v>
      </c>
      <c r="H499" s="3">
        <f t="shared" si="10"/>
        <v>3.1415926535897931</v>
      </c>
      <c r="I499" s="21">
        <v>3.1415999999999999E-2</v>
      </c>
      <c r="J499" s="20"/>
      <c r="K499" s="3">
        <v>106.65078608660134</v>
      </c>
      <c r="L499" s="20">
        <v>430.20517000000001</v>
      </c>
      <c r="M499" s="3">
        <v>348.11482000000001</v>
      </c>
      <c r="N499" s="12">
        <f t="shared" si="35"/>
        <v>1.0000023384349969E-2</v>
      </c>
      <c r="O499" s="11">
        <f t="shared" si="36"/>
        <v>314.15999999999997</v>
      </c>
      <c r="P499" s="1">
        <v>10</v>
      </c>
      <c r="Q499" s="1">
        <v>1</v>
      </c>
      <c r="R499" s="3">
        <f>Q499*VLOOKUP(P499,[4]Datos!$A$2:$D$14,2)</f>
        <v>8.19</v>
      </c>
      <c r="S499" s="10">
        <f t="shared" si="11"/>
        <v>39</v>
      </c>
      <c r="T499" s="2">
        <v>39</v>
      </c>
      <c r="U499" s="3">
        <f t="shared" si="12"/>
        <v>0.14000000000000001</v>
      </c>
      <c r="V499" s="3"/>
      <c r="W499" s="1">
        <v>280</v>
      </c>
      <c r="X499" s="9">
        <v>2</v>
      </c>
      <c r="Y499" s="1">
        <v>6</v>
      </c>
      <c r="Z499" s="3">
        <f>X499*VLOOKUP(Y499,[4]Datos!$A$2:$D$14,2)</f>
        <v>5.68</v>
      </c>
      <c r="AA499" s="8">
        <v>7.4999999999999997E-2</v>
      </c>
      <c r="AB499" s="7">
        <f t="shared" si="37"/>
        <v>207.09423574274689</v>
      </c>
      <c r="AC499" s="7">
        <f t="shared" si="15"/>
        <v>414.61035434434268</v>
      </c>
      <c r="AD499" s="6" t="str">
        <f t="shared" si="38"/>
        <v>Cumple</v>
      </c>
      <c r="AE499" s="6"/>
      <c r="AF499" s="5">
        <v>22</v>
      </c>
      <c r="AG499" s="7">
        <f t="shared" si="39"/>
        <v>4</v>
      </c>
      <c r="AH499" s="3">
        <f t="shared" si="40"/>
        <v>2.6880252142277672</v>
      </c>
      <c r="AI499" s="7">
        <f>G499-0.15-VLOOKUP(Y499,[4]Datos!$A$2:$D$14,3)/100</f>
        <v>1.8309000000000002</v>
      </c>
      <c r="AJ499" s="7">
        <f t="shared" si="41"/>
        <v>5.7524309339691264</v>
      </c>
      <c r="AK499" s="1">
        <v>0.12</v>
      </c>
      <c r="AL499" s="16">
        <f t="shared" si="42"/>
        <v>7.9620853080568724E-3</v>
      </c>
      <c r="AM499" s="7">
        <f t="shared" si="43"/>
        <v>306.79631647835345</v>
      </c>
      <c r="AN499" s="17">
        <f t="shared" si="44"/>
        <v>8.7130153879852373E-2</v>
      </c>
      <c r="AO499" s="17">
        <f t="shared" si="45"/>
        <v>10.752100856911069</v>
      </c>
      <c r="AP499" s="16">
        <f t="shared" si="46"/>
        <v>8.1035469290495175E-3</v>
      </c>
      <c r="AQ499" s="6" t="str">
        <f t="shared" si="47"/>
        <v>Cumple</v>
      </c>
    </row>
    <row r="500" spans="1:43" ht="15" customHeight="1" x14ac:dyDescent="0.3">
      <c r="A500" s="13"/>
      <c r="B500" s="1">
        <v>5</v>
      </c>
      <c r="C500" s="1">
        <v>30</v>
      </c>
      <c r="D500" s="1">
        <v>0</v>
      </c>
      <c r="E500" s="5">
        <v>1</v>
      </c>
      <c r="F500" s="3">
        <f t="shared" si="48"/>
        <v>5</v>
      </c>
      <c r="G500" s="5">
        <v>2</v>
      </c>
      <c r="H500" s="3">
        <f t="shared" si="10"/>
        <v>3.1415926535897931</v>
      </c>
      <c r="I500" s="21">
        <v>3.1415999999999999E-2</v>
      </c>
      <c r="J500" s="20"/>
      <c r="K500" s="3">
        <v>106.65107487972168</v>
      </c>
      <c r="L500" s="20">
        <v>394.55205000000001</v>
      </c>
      <c r="M500" s="3">
        <v>418.23876999999999</v>
      </c>
      <c r="N500" s="12">
        <f t="shared" si="35"/>
        <v>1.0000023384349969E-2</v>
      </c>
      <c r="O500" s="11">
        <f t="shared" si="36"/>
        <v>314.15999999999997</v>
      </c>
      <c r="P500" s="1">
        <v>10</v>
      </c>
      <c r="Q500" s="1">
        <v>1</v>
      </c>
      <c r="R500" s="3">
        <f>Q500*VLOOKUP(P500,[4]Datos!$A$2:$D$14,2)</f>
        <v>8.19</v>
      </c>
      <c r="S500" s="10">
        <f t="shared" si="11"/>
        <v>39</v>
      </c>
      <c r="T500" s="2">
        <v>39</v>
      </c>
      <c r="U500" s="3">
        <f t="shared" si="12"/>
        <v>0.14000000000000001</v>
      </c>
      <c r="V500" s="3"/>
      <c r="W500" s="1">
        <v>280</v>
      </c>
      <c r="X500" s="9">
        <v>2</v>
      </c>
      <c r="Y500" s="1">
        <v>4</v>
      </c>
      <c r="Z500" s="3">
        <f>X500*VLOOKUP(Y500,[4]Datos!$A$2:$D$14,2)</f>
        <v>2.58</v>
      </c>
      <c r="AA500" s="8">
        <v>0.3</v>
      </c>
      <c r="AB500" s="7">
        <f t="shared" si="37"/>
        <v>207.09423574274689</v>
      </c>
      <c r="AC500" s="7">
        <f t="shared" si="15"/>
        <v>47.081633547905106</v>
      </c>
      <c r="AD500" s="6" t="str">
        <f t="shared" si="38"/>
        <v>Cumple</v>
      </c>
      <c r="AE500" s="6"/>
      <c r="AF500" s="5"/>
      <c r="AG500" s="7"/>
      <c r="AH500" s="3"/>
      <c r="AI500" s="7"/>
      <c r="AJ500" s="7"/>
      <c r="AL500" s="3"/>
      <c r="AM500" s="3"/>
      <c r="AN500" s="3"/>
      <c r="AO500" s="3"/>
      <c r="AP500" s="9"/>
      <c r="AQ500" s="6"/>
    </row>
    <row r="501" spans="1:43" ht="15" customHeight="1" x14ac:dyDescent="0.3">
      <c r="A501" s="13"/>
      <c r="B501" s="1">
        <v>6</v>
      </c>
      <c r="C501" s="1">
        <v>31</v>
      </c>
      <c r="D501" s="1">
        <v>0</v>
      </c>
      <c r="E501" s="5">
        <v>1</v>
      </c>
      <c r="F501" s="3">
        <f t="shared" si="48"/>
        <v>6</v>
      </c>
      <c r="G501" s="5">
        <v>2</v>
      </c>
      <c r="H501" s="3">
        <f t="shared" si="10"/>
        <v>3.1415926535897931</v>
      </c>
      <c r="I501" s="21">
        <v>3.1415999999999999E-2</v>
      </c>
      <c r="J501" s="20"/>
      <c r="K501" s="3">
        <v>106.65148701434032</v>
      </c>
      <c r="L501" s="20">
        <v>358.90140000000002</v>
      </c>
      <c r="M501" s="3">
        <v>488.47739999999999</v>
      </c>
      <c r="N501" s="12">
        <f t="shared" si="35"/>
        <v>1.0000023384349969E-2</v>
      </c>
      <c r="O501" s="11">
        <f t="shared" si="36"/>
        <v>314.15999999999997</v>
      </c>
      <c r="P501" s="1">
        <v>10</v>
      </c>
      <c r="Q501" s="1">
        <v>1</v>
      </c>
      <c r="R501" s="3">
        <f>Q501*VLOOKUP(P501,[4]Datos!$A$2:$D$14,2)</f>
        <v>8.19</v>
      </c>
      <c r="S501" s="10">
        <f t="shared" si="11"/>
        <v>39</v>
      </c>
      <c r="T501" s="2">
        <v>39</v>
      </c>
      <c r="U501" s="3">
        <f t="shared" si="12"/>
        <v>0.14000000000000001</v>
      </c>
      <c r="V501" s="3"/>
      <c r="W501" s="1">
        <v>280</v>
      </c>
      <c r="X501" s="9">
        <v>2</v>
      </c>
      <c r="Y501" s="1">
        <v>4</v>
      </c>
      <c r="Z501" s="3">
        <f>X501*VLOOKUP(Y501,[4]Datos!$A$2:$D$14,2)</f>
        <v>2.58</v>
      </c>
      <c r="AA501" s="8">
        <v>0.3</v>
      </c>
      <c r="AB501" s="7">
        <f t="shared" si="37"/>
        <v>207.09423574274689</v>
      </c>
      <c r="AC501" s="7">
        <f t="shared" si="15"/>
        <v>47.081633547905106</v>
      </c>
      <c r="AD501" s="6" t="str">
        <f t="shared" si="38"/>
        <v>Cumple</v>
      </c>
      <c r="AE501" s="6"/>
      <c r="AF501" s="5"/>
      <c r="AG501" s="7"/>
      <c r="AH501" s="3"/>
      <c r="AI501" s="7"/>
      <c r="AJ501" s="7"/>
      <c r="AL501" s="3"/>
      <c r="AM501" s="3"/>
      <c r="AN501" s="3"/>
      <c r="AO501" s="3"/>
      <c r="AP501" s="9"/>
      <c r="AQ501" s="6"/>
    </row>
    <row r="502" spans="1:43" ht="15" customHeight="1" x14ac:dyDescent="0.3">
      <c r="A502" s="13"/>
      <c r="B502" s="1">
        <v>7</v>
      </c>
      <c r="C502" s="1">
        <v>32</v>
      </c>
      <c r="D502" s="1">
        <v>0</v>
      </c>
      <c r="E502" s="5">
        <v>1</v>
      </c>
      <c r="F502" s="3">
        <f t="shared" si="48"/>
        <v>7</v>
      </c>
      <c r="G502" s="5">
        <v>2</v>
      </c>
      <c r="H502" s="3">
        <f t="shared" si="10"/>
        <v>3.1415926535897931</v>
      </c>
      <c r="I502" s="21">
        <v>3.1415999999999999E-2</v>
      </c>
      <c r="J502" s="20"/>
      <c r="K502" s="3">
        <v>106.65177580753168</v>
      </c>
      <c r="L502" s="20">
        <v>323.27249</v>
      </c>
      <c r="M502" s="3">
        <v>558.76999000000001</v>
      </c>
      <c r="N502" s="12">
        <f t="shared" si="35"/>
        <v>1.0000023384349969E-2</v>
      </c>
      <c r="O502" s="11">
        <f t="shared" si="36"/>
        <v>314.15999999999997</v>
      </c>
      <c r="P502" s="1">
        <v>10</v>
      </c>
      <c r="Q502" s="19">
        <v>1</v>
      </c>
      <c r="R502" s="3">
        <f>Q502*VLOOKUP(P502,[4]Datos!$A$2:$D$14,2)</f>
        <v>8.19</v>
      </c>
      <c r="S502" s="10">
        <f t="shared" si="11"/>
        <v>39</v>
      </c>
      <c r="T502" s="18">
        <v>39</v>
      </c>
      <c r="U502" s="3">
        <f t="shared" si="12"/>
        <v>0.14000000000000001</v>
      </c>
      <c r="V502" s="3"/>
      <c r="W502" s="1">
        <v>280</v>
      </c>
      <c r="X502" s="9">
        <v>2</v>
      </c>
      <c r="Y502" s="1">
        <v>4</v>
      </c>
      <c r="Z502" s="3">
        <f>X502*VLOOKUP(Y502,[4]Datos!$A$2:$D$14,2)</f>
        <v>2.58</v>
      </c>
      <c r="AA502" s="8">
        <v>0.3</v>
      </c>
      <c r="AB502" s="7">
        <f t="shared" si="37"/>
        <v>207.09423574274689</v>
      </c>
      <c r="AC502" s="7">
        <f t="shared" si="15"/>
        <v>47.081633547905106</v>
      </c>
      <c r="AD502" s="6" t="str">
        <f t="shared" si="38"/>
        <v>Cumple</v>
      </c>
      <c r="AE502" s="6"/>
      <c r="AF502" s="5"/>
      <c r="AG502" s="7"/>
      <c r="AH502" s="3"/>
      <c r="AI502" s="7"/>
      <c r="AJ502" s="7"/>
      <c r="AL502" s="3"/>
      <c r="AM502" s="3"/>
      <c r="AN502" s="3"/>
      <c r="AO502" s="3"/>
      <c r="AP502" s="9"/>
      <c r="AQ502" s="6"/>
    </row>
    <row r="503" spans="1:43" ht="15" customHeight="1" x14ac:dyDescent="0.3">
      <c r="A503" s="13"/>
      <c r="B503" s="1">
        <v>8</v>
      </c>
      <c r="C503" s="1">
        <v>33</v>
      </c>
      <c r="D503" s="1">
        <v>0</v>
      </c>
      <c r="E503" s="5">
        <v>1</v>
      </c>
      <c r="F503" s="3">
        <f t="shared" si="48"/>
        <v>8</v>
      </c>
      <c r="G503" s="5">
        <v>2</v>
      </c>
      <c r="H503" s="3">
        <f t="shared" si="10"/>
        <v>3.1415926535897931</v>
      </c>
      <c r="I503" s="21">
        <v>3.1415999999999999E-2</v>
      </c>
      <c r="J503" s="20"/>
      <c r="K503" s="3">
        <v>106.65225712965479</v>
      </c>
      <c r="L503" s="20">
        <v>287.68725999999998</v>
      </c>
      <c r="M503" s="3">
        <v>629.07344000000001</v>
      </c>
      <c r="N503" s="12">
        <f t="shared" si="35"/>
        <v>1.0000023384349969E-2</v>
      </c>
      <c r="O503" s="11">
        <f t="shared" si="36"/>
        <v>314.15999999999997</v>
      </c>
      <c r="P503" s="1">
        <v>10</v>
      </c>
      <c r="Q503" s="19">
        <v>1</v>
      </c>
      <c r="R503" s="3">
        <f>Q503*VLOOKUP(P503,[4]Datos!$A$2:$D$14,2)</f>
        <v>8.19</v>
      </c>
      <c r="S503" s="10">
        <f t="shared" si="11"/>
        <v>39</v>
      </c>
      <c r="T503" s="18">
        <v>39</v>
      </c>
      <c r="U503" s="3">
        <f t="shared" si="12"/>
        <v>0.14000000000000001</v>
      </c>
      <c r="V503" s="3"/>
      <c r="W503" s="1">
        <v>280</v>
      </c>
      <c r="X503" s="9">
        <v>2</v>
      </c>
      <c r="Y503" s="1">
        <v>4</v>
      </c>
      <c r="Z503" s="3">
        <f>X503*VLOOKUP(Y503,[4]Datos!$A$2:$D$14,2)</f>
        <v>2.58</v>
      </c>
      <c r="AA503" s="8">
        <v>0.3</v>
      </c>
      <c r="AB503" s="7">
        <f t="shared" si="37"/>
        <v>207.09423574274689</v>
      </c>
      <c r="AC503" s="7">
        <f t="shared" si="15"/>
        <v>47.081633547905106</v>
      </c>
      <c r="AD503" s="6" t="str">
        <f t="shared" si="38"/>
        <v>Cumple</v>
      </c>
      <c r="AE503" s="6"/>
      <c r="AF503" s="5"/>
      <c r="AG503" s="7"/>
      <c r="AH503" s="3"/>
      <c r="AI503" s="7"/>
      <c r="AJ503" s="7"/>
      <c r="AL503" s="3"/>
      <c r="AM503" s="3"/>
      <c r="AN503" s="3"/>
      <c r="AO503" s="3"/>
      <c r="AP503" s="9"/>
      <c r="AQ503" s="6"/>
    </row>
    <row r="504" spans="1:43" ht="15" customHeight="1" x14ac:dyDescent="0.3">
      <c r="A504" s="13"/>
      <c r="B504" s="1">
        <v>9</v>
      </c>
      <c r="C504" s="1">
        <v>34</v>
      </c>
      <c r="D504" s="1">
        <v>0</v>
      </c>
      <c r="E504" s="5">
        <v>1</v>
      </c>
      <c r="F504" s="3">
        <f t="shared" si="48"/>
        <v>9</v>
      </c>
      <c r="G504" s="5">
        <v>2</v>
      </c>
      <c r="H504" s="3">
        <f t="shared" si="10"/>
        <v>3.1415926535897931</v>
      </c>
      <c r="I504" s="4">
        <v>3.1415999999999999E-2</v>
      </c>
      <c r="K504" s="3">
        <v>106.652642187477</v>
      </c>
      <c r="L504" s="3">
        <v>252.16961000000001</v>
      </c>
      <c r="M504" s="3">
        <v>699.35594000000003</v>
      </c>
      <c r="N504" s="12">
        <f t="shared" si="35"/>
        <v>1.0000023384349969E-2</v>
      </c>
      <c r="O504" s="11">
        <f t="shared" si="36"/>
        <v>314.15999999999997</v>
      </c>
      <c r="P504" s="1">
        <v>10</v>
      </c>
      <c r="Q504" s="19">
        <v>1</v>
      </c>
      <c r="R504" s="3">
        <f>Q504*VLOOKUP(P504,[4]Datos!$A$2:$D$14,2)</f>
        <v>8.19</v>
      </c>
      <c r="S504" s="10">
        <f t="shared" si="11"/>
        <v>39</v>
      </c>
      <c r="T504" s="18">
        <v>39</v>
      </c>
      <c r="U504" s="3">
        <f t="shared" si="12"/>
        <v>0.14000000000000001</v>
      </c>
      <c r="V504" s="3"/>
      <c r="W504" s="1">
        <v>280</v>
      </c>
      <c r="X504" s="9">
        <v>2</v>
      </c>
      <c r="Y504" s="1">
        <v>4</v>
      </c>
      <c r="Z504" s="3">
        <f>X504*VLOOKUP(Y504,[4]Datos!$A$2:$D$14,2)</f>
        <v>2.58</v>
      </c>
      <c r="AA504" s="8">
        <v>0.3</v>
      </c>
      <c r="AB504" s="7">
        <f t="shared" si="37"/>
        <v>207.09423574274689</v>
      </c>
      <c r="AC504" s="7">
        <f t="shared" si="15"/>
        <v>47.081633547905106</v>
      </c>
      <c r="AD504" s="6" t="str">
        <f t="shared" si="38"/>
        <v>Cumple</v>
      </c>
      <c r="AE504" s="6"/>
      <c r="AF504" s="5"/>
      <c r="AG504" s="7"/>
      <c r="AH504" s="3"/>
      <c r="AI504" s="7"/>
      <c r="AJ504" s="7"/>
      <c r="AL504" s="3"/>
      <c r="AM504" s="3"/>
      <c r="AN504" s="3"/>
      <c r="AO504" s="3"/>
      <c r="AP504" s="9"/>
      <c r="AQ504" s="6"/>
    </row>
    <row r="505" spans="1:43" ht="15" customHeight="1" x14ac:dyDescent="0.3">
      <c r="A505" s="13"/>
      <c r="B505" s="1">
        <v>10</v>
      </c>
      <c r="C505" s="1">
        <v>35</v>
      </c>
      <c r="D505" s="1">
        <v>0</v>
      </c>
      <c r="E505" s="5">
        <v>1</v>
      </c>
      <c r="F505" s="3">
        <f t="shared" si="48"/>
        <v>10</v>
      </c>
      <c r="G505" s="5">
        <v>2</v>
      </c>
      <c r="H505" s="3">
        <f t="shared" si="10"/>
        <v>3.1415926535897931</v>
      </c>
      <c r="I505" s="4">
        <v>3.1415999999999999E-2</v>
      </c>
      <c r="K505" s="3">
        <v>106.65315058660948</v>
      </c>
      <c r="L505" s="3">
        <v>216.74569</v>
      </c>
      <c r="M505" s="3">
        <v>769.59285</v>
      </c>
      <c r="N505" s="12">
        <f t="shared" si="35"/>
        <v>1.0000023384349969E-2</v>
      </c>
      <c r="O505" s="11">
        <f t="shared" si="36"/>
        <v>314.15999999999997</v>
      </c>
      <c r="P505" s="1">
        <v>10</v>
      </c>
      <c r="Q505" s="1">
        <v>1</v>
      </c>
      <c r="R505" s="3">
        <f>Q505*VLOOKUP(P505,[4]Datos!$A$2:$D$14,2)</f>
        <v>8.19</v>
      </c>
      <c r="S505" s="10">
        <f t="shared" si="11"/>
        <v>39</v>
      </c>
      <c r="T505" s="2">
        <v>39</v>
      </c>
      <c r="U505" s="3">
        <f t="shared" si="12"/>
        <v>0.14000000000000001</v>
      </c>
      <c r="V505" s="3"/>
      <c r="W505" s="1">
        <v>280</v>
      </c>
      <c r="X505" s="9">
        <v>2</v>
      </c>
      <c r="Y505" s="1">
        <v>4</v>
      </c>
      <c r="Z505" s="3">
        <f>X505*VLOOKUP(Y505,[4]Datos!$A$2:$D$14,2)</f>
        <v>2.58</v>
      </c>
      <c r="AA505" s="8">
        <v>0.3</v>
      </c>
      <c r="AB505" s="7">
        <f t="shared" si="37"/>
        <v>207.09423574274689</v>
      </c>
      <c r="AC505" s="7">
        <f t="shared" si="15"/>
        <v>47.081633547905106</v>
      </c>
      <c r="AD505" s="6" t="str">
        <f t="shared" si="38"/>
        <v>Cumple</v>
      </c>
      <c r="AE505" s="6"/>
      <c r="AH505" s="3"/>
    </row>
    <row r="506" spans="1:43" ht="15" customHeight="1" x14ac:dyDescent="0.3">
      <c r="A506" s="13"/>
      <c r="B506" s="1">
        <v>11</v>
      </c>
      <c r="C506" s="1">
        <v>36</v>
      </c>
      <c r="D506" s="1">
        <v>0</v>
      </c>
      <c r="E506" s="5">
        <v>1</v>
      </c>
      <c r="F506" s="3">
        <f t="shared" si="48"/>
        <v>11</v>
      </c>
      <c r="G506" s="5">
        <v>2</v>
      </c>
      <c r="H506" s="3">
        <f t="shared" si="10"/>
        <v>3.1415926535897931</v>
      </c>
      <c r="I506" s="4">
        <v>3.1415999999999999E-2</v>
      </c>
      <c r="K506" s="3">
        <v>106.6536319090916</v>
      </c>
      <c r="L506" s="3">
        <v>181.43916999999999</v>
      </c>
      <c r="M506" s="3">
        <v>839.76421000000005</v>
      </c>
      <c r="N506" s="12">
        <f t="shared" si="35"/>
        <v>1.0000023384349969E-2</v>
      </c>
      <c r="O506" s="11">
        <f t="shared" si="36"/>
        <v>314.15999999999997</v>
      </c>
      <c r="P506" s="1">
        <v>10</v>
      </c>
      <c r="Q506" s="1">
        <v>1</v>
      </c>
      <c r="R506" s="3">
        <f>Q506*VLOOKUP(P506,[4]Datos!$A$2:$D$14,2)</f>
        <v>8.19</v>
      </c>
      <c r="S506" s="10">
        <f t="shared" si="11"/>
        <v>39</v>
      </c>
      <c r="T506" s="2">
        <v>39</v>
      </c>
      <c r="U506" s="3">
        <f t="shared" si="12"/>
        <v>0.14000000000000001</v>
      </c>
      <c r="V506" s="3"/>
      <c r="W506" s="1">
        <v>280</v>
      </c>
      <c r="X506" s="9">
        <v>2</v>
      </c>
      <c r="Y506" s="1">
        <v>4</v>
      </c>
      <c r="Z506" s="3">
        <f>X506*VLOOKUP(Y506,[4]Datos!$A$2:$D$14,2)</f>
        <v>2.58</v>
      </c>
      <c r="AA506" s="8">
        <v>0.3</v>
      </c>
      <c r="AB506" s="7">
        <f t="shared" si="37"/>
        <v>207.09423574274689</v>
      </c>
      <c r="AC506" s="7">
        <f t="shared" si="15"/>
        <v>47.081633547905106</v>
      </c>
      <c r="AD506" s="6" t="str">
        <f t="shared" si="38"/>
        <v>Cumple</v>
      </c>
      <c r="AE506" s="6"/>
      <c r="AH506" s="3"/>
    </row>
    <row r="507" spans="1:43" ht="15" customHeight="1" x14ac:dyDescent="0.3">
      <c r="A507" s="13"/>
      <c r="B507" s="1">
        <v>12</v>
      </c>
      <c r="C507" s="1">
        <v>37</v>
      </c>
      <c r="D507" s="1">
        <v>0</v>
      </c>
      <c r="E507" s="5">
        <v>1</v>
      </c>
      <c r="F507" s="3">
        <f t="shared" si="48"/>
        <v>12</v>
      </c>
      <c r="G507" s="5">
        <v>2</v>
      </c>
      <c r="H507" s="3">
        <f t="shared" si="10"/>
        <v>3.1415926535897931</v>
      </c>
      <c r="I507" s="4">
        <v>3.1415999999999999E-2</v>
      </c>
      <c r="K507" s="3">
        <v>106.65411323174555</v>
      </c>
      <c r="L507" s="3">
        <v>146.30649</v>
      </c>
      <c r="M507" s="3">
        <v>909.85320000000002</v>
      </c>
      <c r="N507" s="12">
        <f t="shared" si="35"/>
        <v>1.0000023384349969E-2</v>
      </c>
      <c r="O507" s="11">
        <f t="shared" si="36"/>
        <v>314.15999999999997</v>
      </c>
      <c r="P507" s="1">
        <v>10</v>
      </c>
      <c r="Q507" s="1">
        <v>1</v>
      </c>
      <c r="R507" s="3">
        <f>Q507*VLOOKUP(P507,[4]Datos!$A$2:$D$14,2)</f>
        <v>8.19</v>
      </c>
      <c r="S507" s="10">
        <f t="shared" si="11"/>
        <v>39</v>
      </c>
      <c r="T507" s="2">
        <v>39</v>
      </c>
      <c r="U507" s="3">
        <f t="shared" si="12"/>
        <v>0.14000000000000001</v>
      </c>
      <c r="V507" s="3"/>
      <c r="W507" s="1">
        <v>280</v>
      </c>
      <c r="X507" s="9">
        <v>2</v>
      </c>
      <c r="Y507" s="1">
        <v>4</v>
      </c>
      <c r="Z507" s="3">
        <f>X507*VLOOKUP(Y507,[4]Datos!$A$2:$D$14,2)</f>
        <v>2.58</v>
      </c>
      <c r="AA507" s="8">
        <v>0.3</v>
      </c>
      <c r="AB507" s="7">
        <f t="shared" si="37"/>
        <v>207.09423574274689</v>
      </c>
      <c r="AC507" s="7">
        <f t="shared" si="15"/>
        <v>47.081633547905106</v>
      </c>
      <c r="AD507" s="6" t="str">
        <f t="shared" si="38"/>
        <v>Cumple</v>
      </c>
      <c r="AE507" s="6"/>
      <c r="AH507" s="3"/>
    </row>
    <row r="508" spans="1:43" ht="15" customHeight="1" x14ac:dyDescent="0.3">
      <c r="A508" s="13"/>
      <c r="B508" s="1">
        <v>13</v>
      </c>
      <c r="C508" s="1">
        <v>38</v>
      </c>
      <c r="D508" s="1">
        <v>0</v>
      </c>
      <c r="E508" s="5">
        <v>1</v>
      </c>
      <c r="F508" s="3">
        <f t="shared" si="48"/>
        <v>13</v>
      </c>
      <c r="G508" s="5">
        <v>2</v>
      </c>
      <c r="H508" s="3">
        <f t="shared" si="10"/>
        <v>3.1415926535897931</v>
      </c>
      <c r="I508" s="4">
        <v>3.1415999999999999E-2</v>
      </c>
      <c r="K508" s="3">
        <v>106.65469081915712</v>
      </c>
      <c r="L508" s="3">
        <v>111.41806</v>
      </c>
      <c r="M508" s="3">
        <v>979.84506999999996</v>
      </c>
      <c r="N508" s="12">
        <f t="shared" si="35"/>
        <v>1.0000023384349969E-2</v>
      </c>
      <c r="O508" s="11">
        <f t="shared" si="36"/>
        <v>314.15999999999997</v>
      </c>
      <c r="P508" s="1">
        <v>10</v>
      </c>
      <c r="Q508" s="1">
        <v>1</v>
      </c>
      <c r="R508" s="3">
        <f>Q508*VLOOKUP(P508,[4]Datos!$A$2:$D$14,2)</f>
        <v>8.19</v>
      </c>
      <c r="S508" s="10">
        <f t="shared" si="11"/>
        <v>39</v>
      </c>
      <c r="T508" s="2">
        <v>39</v>
      </c>
      <c r="U508" s="3">
        <f t="shared" si="12"/>
        <v>0.14000000000000001</v>
      </c>
      <c r="V508" s="3"/>
      <c r="W508" s="1">
        <v>280</v>
      </c>
      <c r="X508" s="9">
        <v>2</v>
      </c>
      <c r="Y508" s="1">
        <v>4</v>
      </c>
      <c r="Z508" s="3">
        <f>X508*VLOOKUP(Y508,[4]Datos!$A$2:$D$14,2)</f>
        <v>2.58</v>
      </c>
      <c r="AA508" s="8">
        <v>0.3</v>
      </c>
      <c r="AB508" s="7">
        <f t="shared" si="37"/>
        <v>207.09423574274689</v>
      </c>
      <c r="AC508" s="7">
        <f t="shared" si="15"/>
        <v>47.081633547905106</v>
      </c>
      <c r="AD508" s="6" t="str">
        <f t="shared" si="38"/>
        <v>Cumple</v>
      </c>
      <c r="AE508" s="6"/>
      <c r="AH508" s="3"/>
    </row>
    <row r="509" spans="1:43" ht="15" customHeight="1" x14ac:dyDescent="0.3">
      <c r="A509" s="13"/>
      <c r="B509" s="1">
        <v>14</v>
      </c>
      <c r="C509" s="1">
        <v>39</v>
      </c>
      <c r="D509" s="1">
        <v>0</v>
      </c>
      <c r="E509" s="5">
        <v>1</v>
      </c>
      <c r="F509" s="3">
        <f t="shared" si="48"/>
        <v>14</v>
      </c>
      <c r="G509" s="5">
        <v>2</v>
      </c>
      <c r="H509" s="3">
        <f t="shared" si="10"/>
        <v>3.1415926535897931</v>
      </c>
      <c r="I509" s="4">
        <v>3.1415999999999999E-2</v>
      </c>
      <c r="K509" s="3">
        <v>106.65529548306546</v>
      </c>
      <c r="L509" s="3">
        <v>76.856070000000003</v>
      </c>
      <c r="M509" s="3">
        <v>1049.7265400000001</v>
      </c>
      <c r="N509" s="12">
        <f t="shared" si="35"/>
        <v>1.0000023384349969E-2</v>
      </c>
      <c r="O509" s="11">
        <f t="shared" si="36"/>
        <v>314.15999999999997</v>
      </c>
      <c r="P509" s="1">
        <v>10</v>
      </c>
      <c r="Q509" s="1">
        <v>1</v>
      </c>
      <c r="R509" s="3">
        <f>Q509*VLOOKUP(P509,[4]Datos!$A$2:$D$14,2)</f>
        <v>8.19</v>
      </c>
      <c r="S509" s="10">
        <f t="shared" si="11"/>
        <v>39</v>
      </c>
      <c r="T509" s="2">
        <v>39</v>
      </c>
      <c r="U509" s="3">
        <f t="shared" si="12"/>
        <v>0.14000000000000001</v>
      </c>
      <c r="V509" s="3"/>
      <c r="W509" s="1">
        <v>280</v>
      </c>
      <c r="X509" s="9">
        <v>2</v>
      </c>
      <c r="Y509" s="1">
        <v>4</v>
      </c>
      <c r="Z509" s="3">
        <f>X509*VLOOKUP(Y509,[4]Datos!$A$2:$D$14,2)</f>
        <v>2.58</v>
      </c>
      <c r="AA509" s="8">
        <v>0.3</v>
      </c>
      <c r="AB509" s="7">
        <f t="shared" si="37"/>
        <v>207.09423574274689</v>
      </c>
      <c r="AC509" s="7">
        <f t="shared" si="15"/>
        <v>47.081633547905106</v>
      </c>
      <c r="AD509" s="6" t="str">
        <f t="shared" si="38"/>
        <v>Cumple</v>
      </c>
      <c r="AE509" s="6"/>
      <c r="AH509" s="3"/>
    </row>
    <row r="510" spans="1:43" ht="15" customHeight="1" x14ac:dyDescent="0.3">
      <c r="A510" s="13"/>
      <c r="B510" s="1">
        <v>15</v>
      </c>
      <c r="C510" s="1">
        <v>40</v>
      </c>
      <c r="D510" s="1">
        <v>0</v>
      </c>
      <c r="E510" s="5">
        <v>1</v>
      </c>
      <c r="F510" s="3">
        <f t="shared" si="48"/>
        <v>15</v>
      </c>
      <c r="G510" s="5">
        <v>2</v>
      </c>
      <c r="H510" s="3">
        <f t="shared" si="10"/>
        <v>3.1415926535897931</v>
      </c>
      <c r="I510" s="4">
        <v>3.1415999999999999E-2</v>
      </c>
      <c r="K510" s="3">
        <v>106.65587307082531</v>
      </c>
      <c r="L510" s="3">
        <v>54.711869999999998</v>
      </c>
      <c r="M510" s="3">
        <v>1119.4853599999999</v>
      </c>
      <c r="N510" s="12">
        <f t="shared" si="35"/>
        <v>1.0000023384349969E-2</v>
      </c>
      <c r="O510" s="11">
        <f t="shared" si="36"/>
        <v>314.15999999999997</v>
      </c>
      <c r="P510" s="1">
        <v>10</v>
      </c>
      <c r="Q510" s="1">
        <v>1</v>
      </c>
      <c r="R510" s="3">
        <f>Q510*VLOOKUP(P510,[4]Datos!$A$2:$D$14,2)</f>
        <v>8.19</v>
      </c>
      <c r="S510" s="10">
        <f t="shared" si="11"/>
        <v>39</v>
      </c>
      <c r="T510" s="2">
        <v>39</v>
      </c>
      <c r="U510" s="3">
        <f t="shared" si="12"/>
        <v>0.14000000000000001</v>
      </c>
      <c r="V510" s="3"/>
      <c r="W510" s="1">
        <v>280</v>
      </c>
      <c r="X510" s="9">
        <v>2</v>
      </c>
      <c r="Y510" s="1">
        <v>4</v>
      </c>
      <c r="Z510" s="3">
        <f>X510*VLOOKUP(Y510,[4]Datos!$A$2:$D$14,2)</f>
        <v>2.58</v>
      </c>
      <c r="AA510" s="8">
        <v>0.3</v>
      </c>
      <c r="AB510" s="7">
        <f t="shared" si="37"/>
        <v>207.09423574274689</v>
      </c>
      <c r="AC510" s="7">
        <f t="shared" si="15"/>
        <v>47.081633547905106</v>
      </c>
      <c r="AD510" s="6" t="str">
        <f t="shared" si="38"/>
        <v>Cumple</v>
      </c>
      <c r="AE510" s="6"/>
      <c r="AF510" s="5"/>
      <c r="AG510" s="7"/>
      <c r="AH510" s="3"/>
      <c r="AI510" s="7"/>
      <c r="AJ510" s="7"/>
      <c r="AL510" s="3"/>
      <c r="AM510" s="3"/>
      <c r="AN510" s="3"/>
      <c r="AO510" s="3"/>
      <c r="AP510" s="9"/>
      <c r="AQ510" s="6"/>
    </row>
    <row r="511" spans="1:43" ht="15" customHeight="1" x14ac:dyDescent="0.3">
      <c r="A511" s="13"/>
      <c r="B511" s="1">
        <v>16</v>
      </c>
      <c r="C511" s="1">
        <v>41</v>
      </c>
      <c r="D511" s="1">
        <v>0</v>
      </c>
      <c r="E511" s="5">
        <v>1</v>
      </c>
      <c r="F511" s="3">
        <f t="shared" si="48"/>
        <v>16</v>
      </c>
      <c r="G511" s="5">
        <v>2</v>
      </c>
      <c r="H511" s="3">
        <f t="shared" si="10"/>
        <v>3.1415926535897931</v>
      </c>
      <c r="I511" s="4">
        <v>3.1415999999999999E-2</v>
      </c>
      <c r="K511" s="3">
        <v>106.65654692352457</v>
      </c>
      <c r="L511" s="3">
        <v>91.727069999999998</v>
      </c>
      <c r="M511" s="3">
        <v>1189.1100300000001</v>
      </c>
      <c r="N511" s="12">
        <f t="shared" si="35"/>
        <v>1.0000023384349969E-2</v>
      </c>
      <c r="O511" s="11">
        <f t="shared" si="36"/>
        <v>314.15999999999997</v>
      </c>
      <c r="P511" s="1">
        <v>10</v>
      </c>
      <c r="Q511" s="19">
        <v>1</v>
      </c>
      <c r="R511" s="3">
        <f>Q511*VLOOKUP(P511,[4]Datos!$A$2:$D$14,2)</f>
        <v>8.19</v>
      </c>
      <c r="S511" s="10">
        <f t="shared" si="11"/>
        <v>39</v>
      </c>
      <c r="T511" s="18">
        <v>50</v>
      </c>
      <c r="U511" s="3">
        <f t="shared" si="12"/>
        <v>0.11</v>
      </c>
      <c r="V511" s="3"/>
      <c r="W511" s="1">
        <v>280</v>
      </c>
      <c r="X511" s="9">
        <v>2</v>
      </c>
      <c r="Y511" s="1">
        <v>4</v>
      </c>
      <c r="Z511" s="3">
        <f>X511*VLOOKUP(Y511,[4]Datos!$A$2:$D$14,2)</f>
        <v>2.58</v>
      </c>
      <c r="AA511" s="8">
        <v>0.3</v>
      </c>
      <c r="AB511" s="7">
        <f t="shared" si="37"/>
        <v>207.09423574274689</v>
      </c>
      <c r="AC511" s="7">
        <f t="shared" si="15"/>
        <v>47.081633547905106</v>
      </c>
      <c r="AD511" s="6" t="str">
        <f t="shared" si="38"/>
        <v>Cumple</v>
      </c>
      <c r="AE511" s="6"/>
      <c r="AH511" s="3"/>
    </row>
    <row r="512" spans="1:43" x14ac:dyDescent="0.3">
      <c r="A512" s="13"/>
      <c r="B512" s="1">
        <v>17</v>
      </c>
      <c r="C512" s="1">
        <v>42</v>
      </c>
      <c r="D512" s="1">
        <v>0</v>
      </c>
      <c r="E512" s="5">
        <v>1</v>
      </c>
      <c r="F512" s="3">
        <f t="shared" si="48"/>
        <v>17</v>
      </c>
      <c r="G512" s="5">
        <v>2</v>
      </c>
      <c r="H512" s="3">
        <f t="shared" si="10"/>
        <v>3.1415926535897931</v>
      </c>
      <c r="I512" s="4">
        <v>3.1415999999999999E-2</v>
      </c>
      <c r="K512" s="3">
        <v>106.65724785240803</v>
      </c>
      <c r="L512" s="3">
        <v>130.06859</v>
      </c>
      <c r="M512" s="3">
        <v>1258.5895800000001</v>
      </c>
      <c r="N512" s="12">
        <f t="shared" si="35"/>
        <v>1.0000023384349969E-2</v>
      </c>
      <c r="O512" s="11">
        <f t="shared" si="36"/>
        <v>314.15999999999997</v>
      </c>
      <c r="P512" s="1">
        <v>10</v>
      </c>
      <c r="Q512" s="19">
        <v>1</v>
      </c>
      <c r="R512" s="3">
        <f>Q512*VLOOKUP(P512,[4]Datos!$A$2:$D$14,2)</f>
        <v>8.19</v>
      </c>
      <c r="S512" s="10">
        <f t="shared" si="11"/>
        <v>39</v>
      </c>
      <c r="T512" s="18">
        <v>50</v>
      </c>
      <c r="U512" s="3">
        <f t="shared" si="12"/>
        <v>0.11</v>
      </c>
      <c r="V512" s="3"/>
      <c r="W512" s="1">
        <v>280</v>
      </c>
      <c r="X512" s="9">
        <v>2</v>
      </c>
      <c r="Y512" s="1">
        <v>4</v>
      </c>
      <c r="Z512" s="3">
        <f>X512*VLOOKUP(Y512,[4]Datos!$A$2:$D$14,2)</f>
        <v>2.58</v>
      </c>
      <c r="AA512" s="8">
        <v>0.3</v>
      </c>
      <c r="AB512" s="7">
        <f t="shared" si="37"/>
        <v>207.09423574274689</v>
      </c>
      <c r="AC512" s="7">
        <f t="shared" si="15"/>
        <v>47.081633547905106</v>
      </c>
      <c r="AD512" s="6" t="str">
        <f t="shared" si="38"/>
        <v>Cumple</v>
      </c>
      <c r="AE512" s="6"/>
      <c r="AH512" s="3"/>
    </row>
    <row r="513" spans="1:43" x14ac:dyDescent="0.3">
      <c r="A513" s="13"/>
      <c r="B513" s="1">
        <v>18</v>
      </c>
      <c r="C513" s="1">
        <v>43</v>
      </c>
      <c r="D513" s="1">
        <v>0</v>
      </c>
      <c r="E513" s="5">
        <v>1</v>
      </c>
      <c r="F513" s="3">
        <f t="shared" si="48"/>
        <v>18</v>
      </c>
      <c r="G513" s="5">
        <v>2</v>
      </c>
      <c r="H513" s="3">
        <f t="shared" si="10"/>
        <v>3.1415926535897931</v>
      </c>
      <c r="I513" s="4">
        <v>3.3666000000000001E-2</v>
      </c>
      <c r="K513" s="3">
        <v>106.65792170560985</v>
      </c>
      <c r="L513" s="3">
        <v>168.59640999999999</v>
      </c>
      <c r="M513" s="3">
        <v>1327.9134799999999</v>
      </c>
      <c r="N513" s="12">
        <f t="shared" si="35"/>
        <v>1.0716220628263497E-2</v>
      </c>
      <c r="O513" s="11">
        <f t="shared" si="36"/>
        <v>336.66</v>
      </c>
      <c r="P513" s="1">
        <v>10</v>
      </c>
      <c r="Q513" s="19">
        <v>1</v>
      </c>
      <c r="R513" s="3">
        <f>Q513*VLOOKUP(P513,[4]Datos!$A$2:$D$14,2)</f>
        <v>8.19</v>
      </c>
      <c r="S513" s="10">
        <f t="shared" si="11"/>
        <v>42</v>
      </c>
      <c r="T513" s="18">
        <v>50</v>
      </c>
      <c r="U513" s="3">
        <f t="shared" si="12"/>
        <v>0.11</v>
      </c>
      <c r="V513" s="3"/>
      <c r="W513" s="1">
        <v>280</v>
      </c>
      <c r="X513" s="9">
        <v>2</v>
      </c>
      <c r="Y513" s="1">
        <v>4</v>
      </c>
      <c r="Z513" s="3">
        <f>X513*VLOOKUP(Y513,[4]Datos!$A$2:$D$14,2)</f>
        <v>2.58</v>
      </c>
      <c r="AA513" s="8">
        <v>0.3</v>
      </c>
      <c r="AB513" s="7">
        <f t="shared" si="37"/>
        <v>207.09423574274689</v>
      </c>
      <c r="AC513" s="7">
        <f t="shared" si="15"/>
        <v>47.081633547905106</v>
      </c>
      <c r="AD513" s="6" t="str">
        <f t="shared" si="38"/>
        <v>Cumple</v>
      </c>
      <c r="AE513" s="6"/>
      <c r="AH513" s="3"/>
    </row>
    <row r="514" spans="1:43" x14ac:dyDescent="0.3">
      <c r="A514" s="13"/>
      <c r="B514" s="1">
        <v>19</v>
      </c>
      <c r="C514" s="1">
        <v>44</v>
      </c>
      <c r="D514" s="1">
        <v>0</v>
      </c>
      <c r="E514" s="5">
        <v>1</v>
      </c>
      <c r="F514" s="3">
        <f t="shared" si="48"/>
        <v>19</v>
      </c>
      <c r="G514" s="5">
        <v>2</v>
      </c>
      <c r="H514" s="3">
        <f t="shared" si="10"/>
        <v>3.1415926535897931</v>
      </c>
      <c r="I514" s="4">
        <v>3.7280000000000001E-2</v>
      </c>
      <c r="K514" s="3">
        <v>106.65859555914844</v>
      </c>
      <c r="L514" s="3">
        <v>207.19480999999999</v>
      </c>
      <c r="M514" s="3">
        <v>1397.0715</v>
      </c>
      <c r="N514" s="12">
        <f t="shared" si="35"/>
        <v>1.1866592556931716E-2</v>
      </c>
      <c r="O514" s="11">
        <f t="shared" si="36"/>
        <v>372.8</v>
      </c>
      <c r="P514" s="1">
        <v>10</v>
      </c>
      <c r="Q514" s="1">
        <v>1</v>
      </c>
      <c r="R514" s="3">
        <f>Q514*VLOOKUP(P514,[4]Datos!$A$2:$D$14,2)</f>
        <v>8.19</v>
      </c>
      <c r="S514" s="10">
        <f t="shared" si="11"/>
        <v>46</v>
      </c>
      <c r="T514" s="2">
        <v>50</v>
      </c>
      <c r="U514" s="3">
        <f t="shared" si="12"/>
        <v>0.11</v>
      </c>
      <c r="V514" s="3"/>
      <c r="W514" s="1">
        <v>280</v>
      </c>
      <c r="X514" s="9">
        <v>2</v>
      </c>
      <c r="Y514" s="1">
        <v>6</v>
      </c>
      <c r="Z514" s="3">
        <f>X514*VLOOKUP(Y514,[4]Datos!$A$2:$D$14,2)</f>
        <v>5.68</v>
      </c>
      <c r="AA514" s="8">
        <v>7.4999999999999997E-2</v>
      </c>
      <c r="AB514" s="7">
        <f t="shared" si="37"/>
        <v>207.09423574274689</v>
      </c>
      <c r="AC514" s="7">
        <f t="shared" si="15"/>
        <v>414.61035434434268</v>
      </c>
      <c r="AD514" s="6" t="str">
        <f t="shared" si="38"/>
        <v>Cumple</v>
      </c>
      <c r="AE514" s="6"/>
      <c r="AF514" s="5">
        <v>22</v>
      </c>
      <c r="AG514" s="7">
        <f>ROUNDUP(MAX(0.45,G514,AF514/6),0)</f>
        <v>4</v>
      </c>
      <c r="AH514" s="3">
        <f>PI()*(G514-0.15)^2/4</f>
        <v>2.6880252142277672</v>
      </c>
      <c r="AI514" s="7">
        <f>G514-0.15-VLOOKUP(Y514,[4]Datos!$A$2:$D$14,3)/100</f>
        <v>1.8309000000000002</v>
      </c>
      <c r="AJ514" s="7">
        <f>SQRT((PI()*AI514)^2+AA514^2)</f>
        <v>5.7524309339691264</v>
      </c>
      <c r="AK514" s="1">
        <v>0.12</v>
      </c>
      <c r="AL514" s="16">
        <f>MAX(0.45*(H514/AH514-1),AK514)*(W514/4220)</f>
        <v>7.9620853080568724E-3</v>
      </c>
      <c r="AM514" s="7">
        <f>AG514*(AJ514/AA514)</f>
        <v>306.79631647835345</v>
      </c>
      <c r="AN514" s="17">
        <f>AM514*Z514/X514/10000</f>
        <v>8.7130153879852373E-2</v>
      </c>
      <c r="AO514" s="17">
        <f>AH514*AG514</f>
        <v>10.752100856911069</v>
      </c>
      <c r="AP514" s="16">
        <f>AN514/AO514</f>
        <v>8.1035469290495175E-3</v>
      </c>
      <c r="AQ514" s="6" t="str">
        <f>+IF(AP514&gt;AL514,"Cumple","No Cumple")</f>
        <v>Cumple</v>
      </c>
    </row>
    <row r="515" spans="1:43" x14ac:dyDescent="0.3">
      <c r="A515" s="13"/>
      <c r="B515" s="1">
        <v>20</v>
      </c>
      <c r="C515" s="1">
        <v>45</v>
      </c>
      <c r="D515" s="1">
        <v>0</v>
      </c>
      <c r="E515" s="5">
        <v>1</v>
      </c>
      <c r="F515" s="3">
        <f t="shared" si="48"/>
        <v>20</v>
      </c>
      <c r="G515" s="5">
        <v>2</v>
      </c>
      <c r="H515" s="3">
        <f t="shared" si="10"/>
        <v>3.1415926535897931</v>
      </c>
      <c r="I515" s="4">
        <v>4.0445000000000002E-2</v>
      </c>
      <c r="K515" s="3">
        <v>106.65929648844492</v>
      </c>
      <c r="L515" s="3">
        <v>245.82141999999999</v>
      </c>
      <c r="M515" s="3">
        <v>1466.05366</v>
      </c>
      <c r="N515" s="12">
        <f t="shared" si="35"/>
        <v>1.2874043346703414E-2</v>
      </c>
      <c r="O515" s="11">
        <f t="shared" si="36"/>
        <v>404.45000000000005</v>
      </c>
      <c r="P515" s="1">
        <v>10</v>
      </c>
      <c r="Q515" s="1">
        <v>1</v>
      </c>
      <c r="R515" s="3">
        <f>Q515*VLOOKUP(P515,[4]Datos!$A$2:$D$14,2)</f>
        <v>8.19</v>
      </c>
      <c r="S515" s="10">
        <f t="shared" si="11"/>
        <v>50</v>
      </c>
      <c r="T515" s="2">
        <v>50</v>
      </c>
      <c r="U515" s="3">
        <f t="shared" si="12"/>
        <v>0.11</v>
      </c>
      <c r="V515" s="3"/>
      <c r="W515" s="1">
        <v>280</v>
      </c>
      <c r="X515" s="9">
        <v>2</v>
      </c>
      <c r="Y515" s="1">
        <v>6</v>
      </c>
      <c r="Z515" s="3">
        <f>X515*VLOOKUP(Y515,[4]Datos!$A$2:$D$14,2)</f>
        <v>5.68</v>
      </c>
      <c r="AA515" s="8">
        <v>7.4999999999999997E-2</v>
      </c>
      <c r="AB515" s="7">
        <f t="shared" si="37"/>
        <v>207.09423574274689</v>
      </c>
      <c r="AC515" s="7">
        <f t="shared" si="15"/>
        <v>414.61035434434268</v>
      </c>
      <c r="AD515" s="6" t="str">
        <f t="shared" si="38"/>
        <v>Cumple</v>
      </c>
      <c r="AE515" s="6"/>
      <c r="AF515" s="5">
        <v>22</v>
      </c>
      <c r="AG515" s="7">
        <f t="shared" ref="AG515:AG517" si="49">ROUNDUP(MAX(0.45,G515,AF515/6),0)</f>
        <v>4</v>
      </c>
      <c r="AH515" s="3">
        <f t="shared" ref="AH515:AH524" si="50">PI()*(G515-0.15)^2/4</f>
        <v>2.6880252142277672</v>
      </c>
      <c r="AI515" s="7">
        <f>G515-0.15-VLOOKUP(Y515,[4]Datos!$A$2:$D$14,3)/100</f>
        <v>1.8309000000000002</v>
      </c>
      <c r="AJ515" s="7">
        <f t="shared" ref="AJ515:AJ524" si="51">SQRT((PI()*AI515)^2+AA515^2)</f>
        <v>5.7524309339691264</v>
      </c>
      <c r="AK515" s="1">
        <v>0.12</v>
      </c>
      <c r="AL515" s="16">
        <f t="shared" ref="AL515:AL524" si="52">MAX(0.45*(H515/AH515-1),AK515)*(W515/4220)</f>
        <v>7.9620853080568724E-3</v>
      </c>
      <c r="AM515" s="7">
        <f t="shared" ref="AM515:AM524" si="53">AG515*(AJ515/AA515)</f>
        <v>306.79631647835345</v>
      </c>
      <c r="AN515" s="17">
        <f t="shared" ref="AN515:AN524" si="54">AM515*Z515/X515/10000</f>
        <v>8.7130153879852373E-2</v>
      </c>
      <c r="AO515" s="17">
        <f t="shared" ref="AO515:AO524" si="55">AH515*AG515</f>
        <v>10.752100856911069</v>
      </c>
      <c r="AP515" s="16">
        <f t="shared" ref="AP515:AP524" si="56">AN515/AO515</f>
        <v>8.1035469290495175E-3</v>
      </c>
      <c r="AQ515" s="6" t="str">
        <f t="shared" ref="AQ515:AQ524" si="57">+IF(AP515&gt;AL515,"Cumple","No Cumple")</f>
        <v>Cumple</v>
      </c>
    </row>
    <row r="516" spans="1:43" x14ac:dyDescent="0.3">
      <c r="A516" s="13"/>
      <c r="B516" s="1">
        <v>21</v>
      </c>
      <c r="C516" s="1">
        <v>46</v>
      </c>
      <c r="D516" s="1">
        <v>0</v>
      </c>
      <c r="E516" s="5">
        <v>1</v>
      </c>
      <c r="F516" s="3">
        <f t="shared" si="48"/>
        <v>21</v>
      </c>
      <c r="G516" s="5">
        <v>2</v>
      </c>
      <c r="H516" s="3">
        <f t="shared" si="10"/>
        <v>3.1415926535897931</v>
      </c>
      <c r="I516" s="4">
        <v>4.3240000000000001E-2</v>
      </c>
      <c r="K516" s="3">
        <v>106.66006660737654</v>
      </c>
      <c r="L516" s="3">
        <v>284.45323000000002</v>
      </c>
      <c r="M516" s="3">
        <v>1534.8501699999999</v>
      </c>
      <c r="N516" s="12">
        <f t="shared" si="35"/>
        <v>1.376371947858711E-2</v>
      </c>
      <c r="O516" s="11">
        <f t="shared" si="36"/>
        <v>432.40000000000003</v>
      </c>
      <c r="P516" s="1">
        <v>10</v>
      </c>
      <c r="Q516" s="19">
        <v>2</v>
      </c>
      <c r="R516" s="3">
        <f>Q516*VLOOKUP(P516,[4]Datos!$A$2:$D$14,2)</f>
        <v>16.38</v>
      </c>
      <c r="S516" s="10">
        <f t="shared" si="11"/>
        <v>27</v>
      </c>
      <c r="T516" s="18">
        <v>55</v>
      </c>
      <c r="U516" s="3">
        <f t="shared" si="12"/>
        <v>0.1</v>
      </c>
      <c r="V516" s="3"/>
      <c r="W516" s="1">
        <v>280</v>
      </c>
      <c r="X516" s="9">
        <v>2</v>
      </c>
      <c r="Y516" s="1">
        <v>6</v>
      </c>
      <c r="Z516" s="3">
        <f>X516*VLOOKUP(Y516,[4]Datos!$A$2:$D$14,2)</f>
        <v>5.68</v>
      </c>
      <c r="AA516" s="8">
        <v>7.4999999999999997E-2</v>
      </c>
      <c r="AB516" s="7">
        <f t="shared" si="37"/>
        <v>207.09423574274689</v>
      </c>
      <c r="AC516" s="7">
        <f t="shared" si="15"/>
        <v>414.61035434434268</v>
      </c>
      <c r="AD516" s="6" t="str">
        <f t="shared" si="38"/>
        <v>Cumple</v>
      </c>
      <c r="AE516" s="6"/>
      <c r="AF516" s="5">
        <v>22</v>
      </c>
      <c r="AG516" s="7">
        <f t="shared" si="49"/>
        <v>4</v>
      </c>
      <c r="AH516" s="3">
        <f t="shared" si="50"/>
        <v>2.6880252142277672</v>
      </c>
      <c r="AI516" s="7">
        <f>G516-0.15-VLOOKUP(Y516,[4]Datos!$A$2:$D$14,3)/100</f>
        <v>1.8309000000000002</v>
      </c>
      <c r="AJ516" s="7">
        <f t="shared" si="51"/>
        <v>5.7524309339691264</v>
      </c>
      <c r="AK516" s="1">
        <v>0.12</v>
      </c>
      <c r="AL516" s="16">
        <f t="shared" si="52"/>
        <v>7.9620853080568724E-3</v>
      </c>
      <c r="AM516" s="7">
        <f t="shared" si="53"/>
        <v>306.79631647835345</v>
      </c>
      <c r="AN516" s="17">
        <f t="shared" si="54"/>
        <v>8.7130153879852373E-2</v>
      </c>
      <c r="AO516" s="17">
        <f t="shared" si="55"/>
        <v>10.752100856911069</v>
      </c>
      <c r="AP516" s="16">
        <f t="shared" si="56"/>
        <v>8.1035469290495175E-3</v>
      </c>
      <c r="AQ516" s="6" t="str">
        <f t="shared" si="57"/>
        <v>Cumple</v>
      </c>
    </row>
    <row r="517" spans="1:43" x14ac:dyDescent="0.3">
      <c r="A517" s="13"/>
      <c r="B517" s="1">
        <v>22</v>
      </c>
      <c r="C517" s="1">
        <v>47</v>
      </c>
      <c r="D517" s="1">
        <v>0</v>
      </c>
      <c r="E517" s="5">
        <v>1</v>
      </c>
      <c r="F517" s="3">
        <f t="shared" si="48"/>
        <v>22</v>
      </c>
      <c r="G517" s="5">
        <v>2</v>
      </c>
      <c r="H517" s="3">
        <f t="shared" si="10"/>
        <v>3.1415926535897931</v>
      </c>
      <c r="I517" s="4">
        <v>4.5726000000000003E-2</v>
      </c>
      <c r="K517" s="3">
        <v>106.66083672674803</v>
      </c>
      <c r="L517" s="3">
        <v>323.07463999999999</v>
      </c>
      <c r="M517" s="3">
        <v>1603.4514099999999</v>
      </c>
      <c r="N517" s="12">
        <f t="shared" si="35"/>
        <v>1.4555037855640014E-2</v>
      </c>
      <c r="O517" s="11">
        <f t="shared" si="36"/>
        <v>457.26000000000005</v>
      </c>
      <c r="P517" s="1">
        <v>10</v>
      </c>
      <c r="Q517" s="19">
        <v>2</v>
      </c>
      <c r="R517" s="3">
        <f>Q517*VLOOKUP(P517,[4]Datos!$A$2:$D$14,2)</f>
        <v>16.38</v>
      </c>
      <c r="S517" s="10">
        <f t="shared" si="11"/>
        <v>28</v>
      </c>
      <c r="T517" s="18">
        <v>55</v>
      </c>
      <c r="U517" s="3">
        <f t="shared" si="12"/>
        <v>0.1</v>
      </c>
      <c r="V517" s="3"/>
      <c r="W517" s="1">
        <v>280</v>
      </c>
      <c r="X517" s="9">
        <v>2</v>
      </c>
      <c r="Y517" s="1">
        <v>6</v>
      </c>
      <c r="Z517" s="3">
        <f>X517*VLOOKUP(Y517,[4]Datos!$A$2:$D$14,2)</f>
        <v>5.68</v>
      </c>
      <c r="AA517" s="8">
        <v>7.4999999999999997E-2</v>
      </c>
      <c r="AB517" s="7">
        <f t="shared" si="37"/>
        <v>207.09423574274689</v>
      </c>
      <c r="AC517" s="7">
        <f t="shared" si="15"/>
        <v>414.61035434434268</v>
      </c>
      <c r="AD517" s="6" t="str">
        <f t="shared" si="38"/>
        <v>Cumple</v>
      </c>
      <c r="AE517" s="6"/>
      <c r="AF517" s="5">
        <v>22</v>
      </c>
      <c r="AG517" s="7">
        <f t="shared" si="49"/>
        <v>4</v>
      </c>
      <c r="AH517" s="3">
        <f t="shared" si="50"/>
        <v>2.6880252142277672</v>
      </c>
      <c r="AI517" s="7">
        <f>G517-0.15-VLOOKUP(Y517,[4]Datos!$A$2:$D$14,3)/100</f>
        <v>1.8309000000000002</v>
      </c>
      <c r="AJ517" s="7">
        <f t="shared" si="51"/>
        <v>5.7524309339691264</v>
      </c>
      <c r="AK517" s="1">
        <v>0.12</v>
      </c>
      <c r="AL517" s="16">
        <f t="shared" si="52"/>
        <v>7.9620853080568724E-3</v>
      </c>
      <c r="AM517" s="7">
        <f t="shared" si="53"/>
        <v>306.79631647835345</v>
      </c>
      <c r="AN517" s="17">
        <f t="shared" si="54"/>
        <v>8.7130153879852373E-2</v>
      </c>
      <c r="AO517" s="17">
        <f t="shared" si="55"/>
        <v>10.752100856911069</v>
      </c>
      <c r="AP517" s="16">
        <f t="shared" si="56"/>
        <v>8.1035469290495175E-3</v>
      </c>
      <c r="AQ517" s="6" t="str">
        <f t="shared" si="57"/>
        <v>Cumple</v>
      </c>
    </row>
    <row r="518" spans="1:43" x14ac:dyDescent="0.3">
      <c r="A518" s="13"/>
      <c r="B518" s="1">
        <v>23</v>
      </c>
      <c r="C518" s="1">
        <v>208</v>
      </c>
      <c r="D518" s="1">
        <v>1</v>
      </c>
      <c r="E518" s="5">
        <v>1</v>
      </c>
      <c r="F518" s="3">
        <f t="shared" si="48"/>
        <v>23</v>
      </c>
      <c r="G518" s="5">
        <v>2</v>
      </c>
      <c r="H518" s="3">
        <f t="shared" si="10"/>
        <v>3.1415926535897931</v>
      </c>
      <c r="I518" s="4">
        <v>8.8201000000000002E-2</v>
      </c>
      <c r="K518" s="3">
        <v>106.67847053182756</v>
      </c>
      <c r="L518" s="3">
        <v>690.55106999999998</v>
      </c>
      <c r="M518" s="3">
        <v>2576.7695899999999</v>
      </c>
      <c r="N518" s="12">
        <f t="shared" si="35"/>
        <v>2.8075250271296523E-2</v>
      </c>
      <c r="O518" s="11">
        <f t="shared" si="36"/>
        <v>882.01</v>
      </c>
      <c r="P518" s="1">
        <v>10</v>
      </c>
      <c r="Q518" s="19">
        <v>2</v>
      </c>
      <c r="R518" s="3">
        <f>Q518*VLOOKUP(P518,[4]Datos!$A$2:$D$14,2)</f>
        <v>16.38</v>
      </c>
      <c r="S518" s="10">
        <f t="shared" si="11"/>
        <v>54</v>
      </c>
      <c r="T518" s="18">
        <v>55</v>
      </c>
      <c r="U518" s="3">
        <f t="shared" si="12"/>
        <v>0.1</v>
      </c>
      <c r="V518" s="3"/>
      <c r="W518" s="1">
        <v>280</v>
      </c>
      <c r="X518" s="9">
        <v>2</v>
      </c>
      <c r="Y518" s="1">
        <v>6</v>
      </c>
      <c r="Z518" s="3">
        <f>X518*VLOOKUP(Y518,[4]Datos!$A$2:$D$14,2)</f>
        <v>5.68</v>
      </c>
      <c r="AA518" s="8">
        <v>7.4999999999999997E-2</v>
      </c>
      <c r="AB518" s="7">
        <f t="shared" si="37"/>
        <v>115.05235319041492</v>
      </c>
      <c r="AC518" s="7">
        <f t="shared" si="15"/>
        <v>414.61035434434268</v>
      </c>
      <c r="AD518" s="6" t="str">
        <f t="shared" si="38"/>
        <v>Cumple</v>
      </c>
      <c r="AE518" s="6"/>
      <c r="AG518" s="7">
        <f>ROUNDUP(MAX(0.45,3*G518,),0)</f>
        <v>6</v>
      </c>
      <c r="AH518" s="3">
        <f t="shared" si="50"/>
        <v>2.6880252142277672</v>
      </c>
      <c r="AI518" s="7">
        <f>G518-0.15-VLOOKUP(Y518,[4]Datos!$A$2:$D$14,3)/100</f>
        <v>1.8309000000000002</v>
      </c>
      <c r="AJ518" s="7">
        <f t="shared" si="51"/>
        <v>5.7524309339691264</v>
      </c>
      <c r="AK518" s="1">
        <v>0.12</v>
      </c>
      <c r="AL518" s="16">
        <f t="shared" si="52"/>
        <v>7.9620853080568724E-3</v>
      </c>
      <c r="AM518" s="7">
        <f t="shared" si="53"/>
        <v>460.19447471753017</v>
      </c>
      <c r="AN518" s="17">
        <f t="shared" si="54"/>
        <v>0.13069523081977857</v>
      </c>
      <c r="AO518" s="17">
        <f t="shared" si="55"/>
        <v>16.128151285366602</v>
      </c>
      <c r="AP518" s="16">
        <f t="shared" si="56"/>
        <v>8.1035469290495193E-3</v>
      </c>
      <c r="AQ518" s="6" t="str">
        <f t="shared" si="57"/>
        <v>Cumple</v>
      </c>
    </row>
    <row r="519" spans="1:43" x14ac:dyDescent="0.3">
      <c r="A519" s="13"/>
      <c r="B519" s="1">
        <v>24</v>
      </c>
      <c r="C519" s="1">
        <v>209</v>
      </c>
      <c r="D519" s="1">
        <v>1</v>
      </c>
      <c r="E519" s="5">
        <v>1</v>
      </c>
      <c r="F519" s="3">
        <f t="shared" si="48"/>
        <v>24</v>
      </c>
      <c r="G519" s="5">
        <v>2</v>
      </c>
      <c r="H519" s="3">
        <f t="shared" si="10"/>
        <v>3.1415926535897931</v>
      </c>
      <c r="I519" s="4">
        <v>8.9964000000000002E-2</v>
      </c>
      <c r="K519" s="3">
        <v>69.971709466397911</v>
      </c>
      <c r="L519" s="3">
        <v>750.27355999999997</v>
      </c>
      <c r="M519" s="3">
        <v>2638.3467300000002</v>
      </c>
      <c r="N519" s="12">
        <f t="shared" si="35"/>
        <v>2.8636430600638547E-2</v>
      </c>
      <c r="O519" s="11">
        <f t="shared" si="36"/>
        <v>899.64</v>
      </c>
      <c r="P519" s="1">
        <v>10</v>
      </c>
      <c r="Q519" s="1">
        <v>2</v>
      </c>
      <c r="R519" s="3">
        <f>Q519*VLOOKUP(P519,[4]Datos!$A$2:$D$14,2)</f>
        <v>16.38</v>
      </c>
      <c r="S519" s="10">
        <f t="shared" si="11"/>
        <v>55</v>
      </c>
      <c r="T519" s="2">
        <v>55</v>
      </c>
      <c r="U519" s="3">
        <f t="shared" si="12"/>
        <v>0.1</v>
      </c>
      <c r="V519" s="3"/>
      <c r="W519" s="1">
        <v>280</v>
      </c>
      <c r="X519" s="9">
        <v>2</v>
      </c>
      <c r="Y519" s="1">
        <v>6</v>
      </c>
      <c r="Z519" s="3">
        <f>X519*VLOOKUP(Y519,[4]Datos!$A$2:$D$14,2)</f>
        <v>5.68</v>
      </c>
      <c r="AA519" s="8">
        <v>7.4999999999999997E-2</v>
      </c>
      <c r="AB519" s="7">
        <f t="shared" si="37"/>
        <v>115.05235319041492</v>
      </c>
      <c r="AC519" s="7">
        <f t="shared" si="15"/>
        <v>414.61035434434268</v>
      </c>
      <c r="AD519" s="6" t="str">
        <f t="shared" si="38"/>
        <v>Cumple</v>
      </c>
      <c r="AE519" s="6"/>
      <c r="AG519" s="7">
        <f t="shared" ref="AG519:AG524" si="58">ROUNDUP(MAX(0.45,3*G519,),0)</f>
        <v>6</v>
      </c>
      <c r="AH519" s="3">
        <f t="shared" si="50"/>
        <v>2.6880252142277672</v>
      </c>
      <c r="AI519" s="7">
        <f>G519-0.15-VLOOKUP(Y519,[4]Datos!$A$2:$D$14,3)/100</f>
        <v>1.8309000000000002</v>
      </c>
      <c r="AJ519" s="7">
        <f t="shared" si="51"/>
        <v>5.7524309339691264</v>
      </c>
      <c r="AK519" s="1">
        <v>0.12</v>
      </c>
      <c r="AL519" s="16">
        <f t="shared" si="52"/>
        <v>7.9620853080568724E-3</v>
      </c>
      <c r="AM519" s="7">
        <f t="shared" si="53"/>
        <v>460.19447471753017</v>
      </c>
      <c r="AN519" s="17">
        <f t="shared" si="54"/>
        <v>0.13069523081977857</v>
      </c>
      <c r="AO519" s="17">
        <f t="shared" si="55"/>
        <v>16.128151285366602</v>
      </c>
      <c r="AP519" s="16">
        <f t="shared" si="56"/>
        <v>8.1035469290495193E-3</v>
      </c>
      <c r="AQ519" s="6" t="str">
        <f t="shared" si="57"/>
        <v>Cumple</v>
      </c>
    </row>
    <row r="520" spans="1:43" x14ac:dyDescent="0.3">
      <c r="A520" s="13"/>
      <c r="B520" s="1">
        <v>25</v>
      </c>
      <c r="C520" s="1">
        <v>210</v>
      </c>
      <c r="D520" s="1">
        <v>1</v>
      </c>
      <c r="E520" s="5">
        <v>1</v>
      </c>
      <c r="F520" s="3">
        <f t="shared" si="48"/>
        <v>25</v>
      </c>
      <c r="G520" s="5">
        <v>2</v>
      </c>
      <c r="H520" s="3">
        <f t="shared" si="10"/>
        <v>3.1415926535897931</v>
      </c>
      <c r="I520" s="4">
        <v>8.9964000000000002E-2</v>
      </c>
      <c r="K520" s="3">
        <v>37.386048215076173</v>
      </c>
      <c r="L520" s="3">
        <v>784.82232999999997</v>
      </c>
      <c r="M520" s="3">
        <v>2638.3467300000002</v>
      </c>
      <c r="N520" s="12">
        <f t="shared" si="35"/>
        <v>2.8636430600638547E-2</v>
      </c>
      <c r="O520" s="11">
        <f t="shared" si="36"/>
        <v>899.64</v>
      </c>
      <c r="P520" s="1">
        <v>10</v>
      </c>
      <c r="Q520" s="1">
        <v>2</v>
      </c>
      <c r="R520" s="3">
        <f>Q520*VLOOKUP(P520,[4]Datos!$A$2:$D$14,2)</f>
        <v>16.38</v>
      </c>
      <c r="S520" s="10">
        <f t="shared" si="11"/>
        <v>55</v>
      </c>
      <c r="T520" s="2">
        <v>55</v>
      </c>
      <c r="U520" s="3">
        <f t="shared" si="12"/>
        <v>0.1</v>
      </c>
      <c r="V520" s="3"/>
      <c r="W520" s="1">
        <v>280</v>
      </c>
      <c r="X520" s="9">
        <v>2</v>
      </c>
      <c r="Y520" s="1">
        <v>6</v>
      </c>
      <c r="Z520" s="3">
        <f>X520*VLOOKUP(Y520,[4]Datos!$A$2:$D$14,2)</f>
        <v>5.68</v>
      </c>
      <c r="AA520" s="8">
        <v>7.4999999999999997E-2</v>
      </c>
      <c r="AB520" s="7">
        <f t="shared" si="37"/>
        <v>115.05235319041492</v>
      </c>
      <c r="AC520" s="7">
        <f t="shared" si="15"/>
        <v>414.61035434434268</v>
      </c>
      <c r="AD520" s="6" t="str">
        <f t="shared" si="38"/>
        <v>Cumple</v>
      </c>
      <c r="AE520" s="6"/>
      <c r="AG520" s="7">
        <f t="shared" si="58"/>
        <v>6</v>
      </c>
      <c r="AH520" s="3">
        <f t="shared" si="50"/>
        <v>2.6880252142277672</v>
      </c>
      <c r="AI520" s="7">
        <f>G520-0.15-VLOOKUP(Y520,[4]Datos!$A$2:$D$14,3)/100</f>
        <v>1.8309000000000002</v>
      </c>
      <c r="AJ520" s="7">
        <f t="shared" si="51"/>
        <v>5.7524309339691264</v>
      </c>
      <c r="AK520" s="1">
        <v>0.12</v>
      </c>
      <c r="AL520" s="16">
        <f t="shared" si="52"/>
        <v>7.9620853080568724E-3</v>
      </c>
      <c r="AM520" s="7">
        <f t="shared" si="53"/>
        <v>460.19447471753017</v>
      </c>
      <c r="AN520" s="17">
        <f t="shared" si="54"/>
        <v>0.13069523081977857</v>
      </c>
      <c r="AO520" s="17">
        <f t="shared" si="55"/>
        <v>16.128151285366602</v>
      </c>
      <c r="AP520" s="16">
        <f t="shared" si="56"/>
        <v>8.1035469290495193E-3</v>
      </c>
      <c r="AQ520" s="6" t="str">
        <f t="shared" si="57"/>
        <v>Cumple</v>
      </c>
    </row>
    <row r="521" spans="1:43" x14ac:dyDescent="0.3">
      <c r="A521" s="13"/>
      <c r="B521" s="1">
        <v>26</v>
      </c>
      <c r="C521" s="1">
        <v>211</v>
      </c>
      <c r="D521" s="1">
        <v>1</v>
      </c>
      <c r="E521" s="5">
        <v>1</v>
      </c>
      <c r="F521" s="3">
        <f t="shared" si="48"/>
        <v>26</v>
      </c>
      <c r="G521" s="5">
        <v>2</v>
      </c>
      <c r="H521" s="3">
        <f t="shared" ref="H521:H584" si="59">PI()*(G521^2)/4</f>
        <v>3.1415926535897931</v>
      </c>
      <c r="I521" s="4">
        <v>8.9680999999999997E-2</v>
      </c>
      <c r="K521" s="3">
        <v>85.747261497321304</v>
      </c>
      <c r="L521" s="3">
        <v>790.43151</v>
      </c>
      <c r="M521" s="3">
        <v>2632.1694699999998</v>
      </c>
      <c r="N521" s="12">
        <f t="shared" si="35"/>
        <v>2.8546348902848531E-2</v>
      </c>
      <c r="O521" s="11">
        <f t="shared" si="36"/>
        <v>896.81</v>
      </c>
      <c r="P521" s="1">
        <v>10</v>
      </c>
      <c r="Q521" s="1">
        <v>2</v>
      </c>
      <c r="R521" s="3">
        <f>Q521*VLOOKUP(P521,[4]Datos!$A$2:$D$14,2)</f>
        <v>16.38</v>
      </c>
      <c r="S521" s="10">
        <f t="shared" ref="S521:S584" si="60">ROUNDUP(O521/R521,0)</f>
        <v>55</v>
      </c>
      <c r="T521" s="2">
        <v>55</v>
      </c>
      <c r="U521" s="3">
        <f t="shared" ref="U521:U584" si="61">ROUNDDOWN(PI()*(G521-0.185)/T521,2)</f>
        <v>0.1</v>
      </c>
      <c r="V521" s="3"/>
      <c r="W521" s="1">
        <v>280</v>
      </c>
      <c r="X521" s="9">
        <v>2</v>
      </c>
      <c r="Y521" s="1">
        <v>6</v>
      </c>
      <c r="Z521" s="3">
        <f>X521*VLOOKUP(Y521,[4]Datos!$A$2:$D$14,2)</f>
        <v>5.68</v>
      </c>
      <c r="AA521" s="8">
        <v>7.4999999999999997E-2</v>
      </c>
      <c r="AB521" s="7">
        <f t="shared" si="37"/>
        <v>115.05235319041492</v>
      </c>
      <c r="AC521" s="7">
        <f t="shared" ref="AC521:AC584" si="62">0.9*Z521*4220*MAX(0.72*G521,0.9*((G521/2)+((G521-0.11)/PI())))/AA521/1000</f>
        <v>414.61035434434268</v>
      </c>
      <c r="AD521" s="6" t="str">
        <f t="shared" si="38"/>
        <v>Cumple</v>
      </c>
      <c r="AE521" s="6"/>
      <c r="AG521" s="7">
        <f t="shared" si="58"/>
        <v>6</v>
      </c>
      <c r="AH521" s="3">
        <f t="shared" si="50"/>
        <v>2.6880252142277672</v>
      </c>
      <c r="AI521" s="7">
        <f>G521-0.15-VLOOKUP(Y521,[4]Datos!$A$2:$D$14,3)/100</f>
        <v>1.8309000000000002</v>
      </c>
      <c r="AJ521" s="7">
        <f t="shared" si="51"/>
        <v>5.7524309339691264</v>
      </c>
      <c r="AK521" s="1">
        <v>0.12</v>
      </c>
      <c r="AL521" s="16">
        <f t="shared" si="52"/>
        <v>7.9620853080568724E-3</v>
      </c>
      <c r="AM521" s="7">
        <f t="shared" si="53"/>
        <v>460.19447471753017</v>
      </c>
      <c r="AN521" s="17">
        <f t="shared" si="54"/>
        <v>0.13069523081977857</v>
      </c>
      <c r="AO521" s="17">
        <f t="shared" si="55"/>
        <v>16.128151285366602</v>
      </c>
      <c r="AP521" s="16">
        <f t="shared" si="56"/>
        <v>8.1035469290495193E-3</v>
      </c>
      <c r="AQ521" s="6" t="str">
        <f t="shared" si="57"/>
        <v>Cumple</v>
      </c>
    </row>
    <row r="522" spans="1:43" x14ac:dyDescent="0.3">
      <c r="A522" s="13"/>
      <c r="B522" s="1">
        <v>27</v>
      </c>
      <c r="C522" s="1">
        <v>212</v>
      </c>
      <c r="D522" s="1">
        <v>1</v>
      </c>
      <c r="E522" s="5">
        <v>1</v>
      </c>
      <c r="F522" s="3">
        <f t="shared" si="48"/>
        <v>27</v>
      </c>
      <c r="G522" s="5">
        <v>2</v>
      </c>
      <c r="H522" s="3">
        <f t="shared" si="59"/>
        <v>3.1415926535897931</v>
      </c>
      <c r="I522" s="4">
        <v>8.7052000000000004E-2</v>
      </c>
      <c r="K522" s="3">
        <v>156.78516002737632</v>
      </c>
      <c r="L522" s="3">
        <v>790.43151</v>
      </c>
      <c r="M522" s="3">
        <v>2550.3359700000001</v>
      </c>
      <c r="N522" s="12">
        <f t="shared" si="35"/>
        <v>2.7709512212071349E-2</v>
      </c>
      <c r="O522" s="11">
        <f t="shared" si="36"/>
        <v>870.5200000000001</v>
      </c>
      <c r="P522" s="1">
        <v>10</v>
      </c>
      <c r="Q522" s="1">
        <v>2</v>
      </c>
      <c r="R522" s="3">
        <f>Q522*VLOOKUP(P522,[4]Datos!$A$2:$D$14,2)</f>
        <v>16.38</v>
      </c>
      <c r="S522" s="10">
        <f t="shared" si="60"/>
        <v>54</v>
      </c>
      <c r="T522" s="2">
        <v>55</v>
      </c>
      <c r="U522" s="3">
        <f t="shared" si="61"/>
        <v>0.1</v>
      </c>
      <c r="V522" s="3"/>
      <c r="W522" s="1">
        <v>280</v>
      </c>
      <c r="X522" s="9">
        <v>2</v>
      </c>
      <c r="Y522" s="1">
        <v>6</v>
      </c>
      <c r="Z522" s="3">
        <f>X522*VLOOKUP(Y522,[4]Datos!$A$2:$D$14,2)</f>
        <v>5.68</v>
      </c>
      <c r="AA522" s="8">
        <v>7.4999999999999997E-2</v>
      </c>
      <c r="AB522" s="7">
        <f t="shared" si="37"/>
        <v>115.05235319041492</v>
      </c>
      <c r="AC522" s="7">
        <f t="shared" si="62"/>
        <v>414.61035434434268</v>
      </c>
      <c r="AD522" s="6" t="str">
        <f t="shared" si="38"/>
        <v>Cumple</v>
      </c>
      <c r="AE522" s="6"/>
      <c r="AG522" s="7">
        <f t="shared" si="58"/>
        <v>6</v>
      </c>
      <c r="AH522" s="3">
        <f t="shared" si="50"/>
        <v>2.6880252142277672</v>
      </c>
      <c r="AI522" s="7">
        <f>G522-0.15-VLOOKUP(Y522,[4]Datos!$A$2:$D$14,3)/100</f>
        <v>1.8309000000000002</v>
      </c>
      <c r="AJ522" s="7">
        <f t="shared" si="51"/>
        <v>5.7524309339691264</v>
      </c>
      <c r="AK522" s="1">
        <v>0.12</v>
      </c>
      <c r="AL522" s="16">
        <f t="shared" si="52"/>
        <v>7.9620853080568724E-3</v>
      </c>
      <c r="AM522" s="7">
        <f t="shared" si="53"/>
        <v>460.19447471753017</v>
      </c>
      <c r="AN522" s="17">
        <f t="shared" si="54"/>
        <v>0.13069523081977857</v>
      </c>
      <c r="AO522" s="17">
        <f t="shared" si="55"/>
        <v>16.128151285366602</v>
      </c>
      <c r="AP522" s="16">
        <f t="shared" si="56"/>
        <v>8.1035469290495193E-3</v>
      </c>
      <c r="AQ522" s="6" t="str">
        <f t="shared" si="57"/>
        <v>Cumple</v>
      </c>
    </row>
    <row r="523" spans="1:43" x14ac:dyDescent="0.3">
      <c r="A523" s="13"/>
      <c r="B523" s="1">
        <v>28</v>
      </c>
      <c r="C523" s="1">
        <v>213</v>
      </c>
      <c r="D523" s="1">
        <v>1</v>
      </c>
      <c r="E523" s="5">
        <v>1</v>
      </c>
      <c r="F523" s="3">
        <f t="shared" si="48"/>
        <v>28</v>
      </c>
      <c r="G523" s="5">
        <v>2</v>
      </c>
      <c r="H523" s="3">
        <f t="shared" si="59"/>
        <v>3.1415926535897931</v>
      </c>
      <c r="I523" s="4">
        <v>8.1685999999999995E-2</v>
      </c>
      <c r="K523" s="3">
        <v>216.61136508403709</v>
      </c>
      <c r="L523" s="3">
        <v>767.53890000000001</v>
      </c>
      <c r="M523" s="3">
        <v>2396.7799599999998</v>
      </c>
      <c r="N523" s="12">
        <f t="shared" si="35"/>
        <v>2.6001461362809123E-2</v>
      </c>
      <c r="O523" s="11">
        <f t="shared" si="36"/>
        <v>816.8599999999999</v>
      </c>
      <c r="P523" s="1">
        <v>10</v>
      </c>
      <c r="Q523" s="1">
        <v>2</v>
      </c>
      <c r="R523" s="3">
        <f>Q523*VLOOKUP(P523,[4]Datos!$A$2:$D$14,2)</f>
        <v>16.38</v>
      </c>
      <c r="S523" s="10">
        <f t="shared" si="60"/>
        <v>50</v>
      </c>
      <c r="T523" s="2">
        <v>55</v>
      </c>
      <c r="U523" s="3">
        <f t="shared" si="61"/>
        <v>0.1</v>
      </c>
      <c r="V523" s="3"/>
      <c r="W523" s="1">
        <v>280</v>
      </c>
      <c r="X523" s="9">
        <v>2</v>
      </c>
      <c r="Y523" s="1">
        <v>6</v>
      </c>
      <c r="Z523" s="3">
        <f>X523*VLOOKUP(Y523,[4]Datos!$A$2:$D$14,2)</f>
        <v>5.68</v>
      </c>
      <c r="AA523" s="8">
        <v>7.4999999999999997E-2</v>
      </c>
      <c r="AB523" s="7">
        <f t="shared" si="37"/>
        <v>115.05235319041492</v>
      </c>
      <c r="AC523" s="7">
        <f t="shared" si="62"/>
        <v>414.61035434434268</v>
      </c>
      <c r="AD523" s="6" t="str">
        <f t="shared" si="38"/>
        <v>Cumple</v>
      </c>
      <c r="AE523" s="6"/>
      <c r="AG523" s="7">
        <f t="shared" si="58"/>
        <v>6</v>
      </c>
      <c r="AH523" s="3">
        <f t="shared" si="50"/>
        <v>2.6880252142277672</v>
      </c>
      <c r="AI523" s="7">
        <f>G523-0.15-VLOOKUP(Y523,[4]Datos!$A$2:$D$14,3)/100</f>
        <v>1.8309000000000002</v>
      </c>
      <c r="AJ523" s="7">
        <f t="shared" si="51"/>
        <v>5.7524309339691264</v>
      </c>
      <c r="AK523" s="1">
        <v>0.12</v>
      </c>
      <c r="AL523" s="16">
        <f t="shared" si="52"/>
        <v>7.9620853080568724E-3</v>
      </c>
      <c r="AM523" s="7">
        <f t="shared" si="53"/>
        <v>460.19447471753017</v>
      </c>
      <c r="AN523" s="17">
        <f t="shared" si="54"/>
        <v>0.13069523081977857</v>
      </c>
      <c r="AO523" s="17">
        <f t="shared" si="55"/>
        <v>16.128151285366602</v>
      </c>
      <c r="AP523" s="16">
        <f t="shared" si="56"/>
        <v>8.1035469290495193E-3</v>
      </c>
      <c r="AQ523" s="6" t="str">
        <f t="shared" si="57"/>
        <v>Cumple</v>
      </c>
    </row>
    <row r="524" spans="1:43" x14ac:dyDescent="0.3">
      <c r="A524" s="13"/>
      <c r="B524" s="1">
        <v>29</v>
      </c>
      <c r="C524" s="1">
        <v>214</v>
      </c>
      <c r="D524" s="1">
        <v>1</v>
      </c>
      <c r="E524" s="5">
        <v>1</v>
      </c>
      <c r="F524" s="3">
        <f t="shared" si="48"/>
        <v>29</v>
      </c>
      <c r="G524" s="5">
        <v>2</v>
      </c>
      <c r="H524" s="3">
        <f t="shared" si="59"/>
        <v>3.1415926535897931</v>
      </c>
      <c r="I524" s="4">
        <v>7.2917999999999997E-2</v>
      </c>
      <c r="K524" s="3">
        <v>259.88343815076024</v>
      </c>
      <c r="L524" s="3">
        <v>719.59556999999995</v>
      </c>
      <c r="M524" s="3">
        <v>2183.4752400000002</v>
      </c>
      <c r="N524" s="12">
        <f t="shared" si="35"/>
        <v>2.3210520280749648E-2</v>
      </c>
      <c r="O524" s="11">
        <f t="shared" si="36"/>
        <v>729.18</v>
      </c>
      <c r="P524" s="1">
        <v>10</v>
      </c>
      <c r="Q524" s="1">
        <v>2</v>
      </c>
      <c r="R524" s="3">
        <f>Q524*VLOOKUP(P524,[4]Datos!$A$2:$D$14,2)</f>
        <v>16.38</v>
      </c>
      <c r="S524" s="10">
        <f t="shared" si="60"/>
        <v>45</v>
      </c>
      <c r="T524" s="2">
        <v>55</v>
      </c>
      <c r="U524" s="3">
        <f t="shared" si="61"/>
        <v>0.1</v>
      </c>
      <c r="V524" s="3"/>
      <c r="W524" s="1">
        <v>280</v>
      </c>
      <c r="X524" s="9">
        <v>2</v>
      </c>
      <c r="Y524" s="1">
        <v>6</v>
      </c>
      <c r="Z524" s="3">
        <f>X524*VLOOKUP(Y524,[4]Datos!$A$2:$D$14,2)</f>
        <v>5.68</v>
      </c>
      <c r="AA524" s="8">
        <v>7.4999999999999997E-2</v>
      </c>
      <c r="AB524" s="7">
        <f t="shared" si="37"/>
        <v>115.05235319041492</v>
      </c>
      <c r="AC524" s="7">
        <f t="shared" si="62"/>
        <v>414.61035434434268</v>
      </c>
      <c r="AD524" s="6" t="str">
        <f t="shared" si="38"/>
        <v>Cumple</v>
      </c>
      <c r="AE524" s="6"/>
      <c r="AG524" s="7">
        <f t="shared" si="58"/>
        <v>6</v>
      </c>
      <c r="AH524" s="3">
        <f t="shared" si="50"/>
        <v>2.6880252142277672</v>
      </c>
      <c r="AI524" s="7">
        <f>G524-0.15-VLOOKUP(Y524,[4]Datos!$A$2:$D$14,3)/100</f>
        <v>1.8309000000000002</v>
      </c>
      <c r="AJ524" s="7">
        <f t="shared" si="51"/>
        <v>5.7524309339691264</v>
      </c>
      <c r="AK524" s="1">
        <v>0.12</v>
      </c>
      <c r="AL524" s="16">
        <f t="shared" si="52"/>
        <v>7.9620853080568724E-3</v>
      </c>
      <c r="AM524" s="7">
        <f t="shared" si="53"/>
        <v>460.19447471753017</v>
      </c>
      <c r="AN524" s="17">
        <f t="shared" si="54"/>
        <v>0.13069523081977857</v>
      </c>
      <c r="AO524" s="17">
        <f t="shared" si="55"/>
        <v>16.128151285366602</v>
      </c>
      <c r="AP524" s="16">
        <f t="shared" si="56"/>
        <v>8.1035469290495193E-3</v>
      </c>
      <c r="AQ524" s="6" t="str">
        <f t="shared" si="57"/>
        <v>Cumple</v>
      </c>
    </row>
    <row r="525" spans="1:43" x14ac:dyDescent="0.3">
      <c r="A525" s="13"/>
      <c r="B525" s="1">
        <v>30</v>
      </c>
      <c r="C525" s="1">
        <v>215</v>
      </c>
      <c r="D525" s="1">
        <v>1</v>
      </c>
      <c r="E525" s="5">
        <v>1</v>
      </c>
      <c r="F525" s="3">
        <f t="shared" si="48"/>
        <v>30</v>
      </c>
      <c r="G525" s="5">
        <v>2</v>
      </c>
      <c r="H525" s="3">
        <f t="shared" si="59"/>
        <v>3.1415926535897931</v>
      </c>
      <c r="I525" s="4">
        <v>5.9581000000000002E-2</v>
      </c>
      <c r="K525" s="3">
        <v>284.69896051882591</v>
      </c>
      <c r="L525" s="3">
        <v>651.94698000000005</v>
      </c>
      <c r="M525" s="3">
        <v>1927.03412</v>
      </c>
      <c r="N525" s="12">
        <f t="shared" si="35"/>
        <v>1.8965221328716433E-2</v>
      </c>
      <c r="O525" s="11">
        <f t="shared" si="36"/>
        <v>595.81000000000006</v>
      </c>
      <c r="P525" s="1">
        <v>10</v>
      </c>
      <c r="Q525" s="19">
        <v>2</v>
      </c>
      <c r="R525" s="3">
        <f>Q525*VLOOKUP(P525,[4]Datos!$A$2:$D$14,2)</f>
        <v>16.38</v>
      </c>
      <c r="S525" s="10">
        <f t="shared" si="60"/>
        <v>37</v>
      </c>
      <c r="T525" s="18">
        <v>55</v>
      </c>
      <c r="U525" s="3">
        <f t="shared" si="61"/>
        <v>0.1</v>
      </c>
      <c r="V525" s="3"/>
      <c r="W525" s="1">
        <v>280</v>
      </c>
      <c r="X525" s="9">
        <v>2</v>
      </c>
      <c r="Y525" s="1">
        <v>6</v>
      </c>
      <c r="Z525" s="3">
        <f>X525*VLOOKUP(Y525,[4]Datos!$A$2:$D$14,2)</f>
        <v>5.68</v>
      </c>
      <c r="AA525" s="8">
        <v>0.15</v>
      </c>
      <c r="AB525" s="7">
        <f t="shared" si="37"/>
        <v>115.05235319041492</v>
      </c>
      <c r="AC525" s="7">
        <f t="shared" si="62"/>
        <v>207.30517717217134</v>
      </c>
      <c r="AD525" s="6" t="str">
        <f t="shared" si="38"/>
        <v>Cumple</v>
      </c>
      <c r="AE525" s="6"/>
      <c r="AH525" s="3"/>
    </row>
    <row r="526" spans="1:43" x14ac:dyDescent="0.3">
      <c r="A526" s="13"/>
      <c r="B526" s="1">
        <v>31</v>
      </c>
      <c r="C526" s="1">
        <v>216</v>
      </c>
      <c r="D526" s="1">
        <v>1</v>
      </c>
      <c r="E526" s="5">
        <v>1</v>
      </c>
      <c r="F526" s="3">
        <f t="shared" si="48"/>
        <v>31</v>
      </c>
      <c r="G526" s="5">
        <v>2</v>
      </c>
      <c r="H526" s="3">
        <f t="shared" si="59"/>
        <v>3.1415926535897931</v>
      </c>
      <c r="I526" s="4">
        <v>5.1787E-2</v>
      </c>
      <c r="K526" s="3">
        <v>291.49414754023798</v>
      </c>
      <c r="L526" s="3">
        <v>570.84884</v>
      </c>
      <c r="M526" s="3">
        <v>1645.84086</v>
      </c>
      <c r="N526" s="12">
        <f t="shared" si="35"/>
        <v>1.6484314075799967E-2</v>
      </c>
      <c r="O526" s="11">
        <f t="shared" si="36"/>
        <v>517.87</v>
      </c>
      <c r="P526" s="1">
        <v>10</v>
      </c>
      <c r="Q526" s="19">
        <v>2</v>
      </c>
      <c r="R526" s="3">
        <f>Q526*VLOOKUP(P526,[4]Datos!$A$2:$D$14,2)</f>
        <v>16.38</v>
      </c>
      <c r="S526" s="10">
        <f t="shared" si="60"/>
        <v>32</v>
      </c>
      <c r="T526" s="18">
        <v>55</v>
      </c>
      <c r="U526" s="3">
        <f t="shared" si="61"/>
        <v>0.1</v>
      </c>
      <c r="V526" s="3"/>
      <c r="W526" s="1">
        <v>280</v>
      </c>
      <c r="X526" s="9">
        <v>2</v>
      </c>
      <c r="Y526" s="1">
        <v>6</v>
      </c>
      <c r="Z526" s="3">
        <f>X526*VLOOKUP(Y526,[4]Datos!$A$2:$D$14,2)</f>
        <v>5.68</v>
      </c>
      <c r="AA526" s="8">
        <v>0.15</v>
      </c>
      <c r="AB526" s="7">
        <f t="shared" si="37"/>
        <v>115.05235319041492</v>
      </c>
      <c r="AC526" s="7">
        <f t="shared" si="62"/>
        <v>207.30517717217134</v>
      </c>
      <c r="AD526" s="6" t="str">
        <f t="shared" si="38"/>
        <v>Cumple</v>
      </c>
      <c r="AE526" s="6"/>
      <c r="AH526" s="3"/>
    </row>
    <row r="527" spans="1:43" x14ac:dyDescent="0.3">
      <c r="A527" s="13"/>
      <c r="B527" s="1">
        <v>32</v>
      </c>
      <c r="C527" s="1">
        <v>217</v>
      </c>
      <c r="D527" s="1">
        <v>1</v>
      </c>
      <c r="E527" s="5">
        <v>1</v>
      </c>
      <c r="F527" s="3">
        <f t="shared" si="48"/>
        <v>32</v>
      </c>
      <c r="G527" s="5">
        <v>2</v>
      </c>
      <c r="H527" s="3">
        <f t="shared" si="59"/>
        <v>3.1415926535897931</v>
      </c>
      <c r="I527" s="4">
        <v>4.2707000000000002E-2</v>
      </c>
      <c r="K527" s="3">
        <v>282.34854136403823</v>
      </c>
      <c r="L527" s="3">
        <v>482.66174999999998</v>
      </c>
      <c r="M527" s="3">
        <v>1357.80384</v>
      </c>
      <c r="N527" s="12">
        <f t="shared" si="35"/>
        <v>1.3594060309251149E-2</v>
      </c>
      <c r="O527" s="11">
        <f t="shared" si="36"/>
        <v>427.07</v>
      </c>
      <c r="P527" s="1">
        <v>10</v>
      </c>
      <c r="Q527" s="19">
        <v>2</v>
      </c>
      <c r="R527" s="3">
        <f>Q527*VLOOKUP(P527,[4]Datos!$A$2:$D$14,2)</f>
        <v>16.38</v>
      </c>
      <c r="S527" s="10">
        <f t="shared" si="60"/>
        <v>27</v>
      </c>
      <c r="T527" s="18">
        <v>55</v>
      </c>
      <c r="U527" s="3">
        <f t="shared" si="61"/>
        <v>0.1</v>
      </c>
      <c r="V527" s="3"/>
      <c r="W527" s="1">
        <v>280</v>
      </c>
      <c r="X527" s="9">
        <v>2</v>
      </c>
      <c r="Y527" s="1">
        <v>6</v>
      </c>
      <c r="Z527" s="3">
        <f>X527*VLOOKUP(Y527,[4]Datos!$A$2:$D$14,2)</f>
        <v>5.68</v>
      </c>
      <c r="AA527" s="8">
        <v>0.15</v>
      </c>
      <c r="AB527" s="7">
        <f t="shared" si="37"/>
        <v>115.05235319041492</v>
      </c>
      <c r="AC527" s="7">
        <f t="shared" si="62"/>
        <v>207.30517717217134</v>
      </c>
      <c r="AD527" s="6" t="str">
        <f t="shared" si="38"/>
        <v>Cumple</v>
      </c>
      <c r="AE527" s="6"/>
      <c r="AH527" s="3"/>
    </row>
    <row r="528" spans="1:43" x14ac:dyDescent="0.3">
      <c r="A528" s="13"/>
      <c r="B528" s="1">
        <v>33</v>
      </c>
      <c r="C528" s="1">
        <v>218</v>
      </c>
      <c r="D528" s="1">
        <v>1</v>
      </c>
      <c r="E528" s="5">
        <v>1</v>
      </c>
      <c r="F528" s="3">
        <f t="shared" si="48"/>
        <v>33</v>
      </c>
      <c r="G528" s="5">
        <v>2</v>
      </c>
      <c r="H528" s="3">
        <f t="shared" si="59"/>
        <v>3.1415926535897931</v>
      </c>
      <c r="I528" s="4">
        <v>3.1415999999999999E-2</v>
      </c>
      <c r="K528" s="3">
        <v>260.35611130651415</v>
      </c>
      <c r="L528" s="3">
        <v>393.24684999999999</v>
      </c>
      <c r="M528" s="3">
        <v>1078.7495799999999</v>
      </c>
      <c r="N528" s="12">
        <f t="shared" si="35"/>
        <v>1.0000023384349969E-2</v>
      </c>
      <c r="O528" s="11">
        <f t="shared" si="36"/>
        <v>314.15999999999997</v>
      </c>
      <c r="P528" s="1">
        <v>10</v>
      </c>
      <c r="Q528" s="1">
        <v>1</v>
      </c>
      <c r="R528" s="3">
        <f>Q528*VLOOKUP(P528,[4]Datos!$A$2:$D$14,2)</f>
        <v>8.19</v>
      </c>
      <c r="S528" s="10">
        <f t="shared" si="60"/>
        <v>39</v>
      </c>
      <c r="T528" s="2">
        <v>39</v>
      </c>
      <c r="U528" s="3">
        <f t="shared" si="61"/>
        <v>0.14000000000000001</v>
      </c>
      <c r="V528" s="3"/>
      <c r="W528" s="1">
        <v>280</v>
      </c>
      <c r="X528" s="9">
        <v>2</v>
      </c>
      <c r="Y528" s="1">
        <v>6</v>
      </c>
      <c r="Z528" s="3">
        <f>X528*VLOOKUP(Y528,[4]Datos!$A$2:$D$14,2)</f>
        <v>5.68</v>
      </c>
      <c r="AA528" s="8">
        <v>0.15</v>
      </c>
      <c r="AB528" s="7">
        <f t="shared" si="37"/>
        <v>115.05235319041492</v>
      </c>
      <c r="AC528" s="7">
        <f t="shared" si="62"/>
        <v>207.30517717217134</v>
      </c>
      <c r="AD528" s="6" t="str">
        <f t="shared" si="38"/>
        <v>Cumple</v>
      </c>
      <c r="AE528" s="6"/>
      <c r="AH528" s="3"/>
    </row>
    <row r="529" spans="1:43" x14ac:dyDescent="0.3">
      <c r="A529" s="13"/>
      <c r="B529" s="1">
        <v>34</v>
      </c>
      <c r="C529" s="1">
        <v>219</v>
      </c>
      <c r="D529" s="1">
        <v>1</v>
      </c>
      <c r="E529" s="5">
        <v>1</v>
      </c>
      <c r="F529" s="3">
        <f t="shared" si="48"/>
        <v>34</v>
      </c>
      <c r="G529" s="5">
        <v>2</v>
      </c>
      <c r="H529" s="3">
        <f t="shared" si="59"/>
        <v>3.1415926535897931</v>
      </c>
      <c r="I529" s="4">
        <v>3.1415999999999999E-2</v>
      </c>
      <c r="K529" s="3">
        <v>229.08054261235282</v>
      </c>
      <c r="L529" s="3">
        <v>307.56342000000001</v>
      </c>
      <c r="M529" s="3">
        <v>821.42697999999996</v>
      </c>
      <c r="N529" s="12">
        <f t="shared" si="35"/>
        <v>1.0000023384349969E-2</v>
      </c>
      <c r="O529" s="11">
        <f t="shared" si="36"/>
        <v>314.15999999999997</v>
      </c>
      <c r="P529" s="1">
        <v>10</v>
      </c>
      <c r="Q529" s="1">
        <v>1</v>
      </c>
      <c r="R529" s="3">
        <f>Q529*VLOOKUP(P529,[4]Datos!$A$2:$D$14,2)</f>
        <v>8.19</v>
      </c>
      <c r="S529" s="10">
        <f t="shared" si="60"/>
        <v>39</v>
      </c>
      <c r="T529" s="2">
        <v>39</v>
      </c>
      <c r="U529" s="3">
        <f t="shared" si="61"/>
        <v>0.14000000000000001</v>
      </c>
      <c r="V529" s="3"/>
      <c r="W529" s="1">
        <v>280</v>
      </c>
      <c r="X529" s="9">
        <v>2</v>
      </c>
      <c r="Y529" s="1">
        <v>6</v>
      </c>
      <c r="Z529" s="3">
        <f>X529*VLOOKUP(Y529,[4]Datos!$A$2:$D$14,2)</f>
        <v>5.68</v>
      </c>
      <c r="AA529" s="8">
        <v>0.15</v>
      </c>
      <c r="AB529" s="7">
        <f t="shared" si="37"/>
        <v>115.05235319041492</v>
      </c>
      <c r="AC529" s="7">
        <f t="shared" si="62"/>
        <v>207.30517717217134</v>
      </c>
      <c r="AD529" s="6" t="str">
        <f t="shared" si="38"/>
        <v>Cumple</v>
      </c>
      <c r="AE529" s="6"/>
      <c r="AH529" s="3"/>
    </row>
    <row r="530" spans="1:43" x14ac:dyDescent="0.3">
      <c r="A530" s="13"/>
      <c r="B530" s="1">
        <v>35</v>
      </c>
      <c r="C530" s="1">
        <v>220</v>
      </c>
      <c r="D530" s="1">
        <v>1</v>
      </c>
      <c r="E530" s="5">
        <v>1</v>
      </c>
      <c r="F530" s="3">
        <f t="shared" si="48"/>
        <v>35</v>
      </c>
      <c r="G530" s="5">
        <v>2</v>
      </c>
      <c r="H530" s="3">
        <f t="shared" si="59"/>
        <v>3.1415926535897931</v>
      </c>
      <c r="I530" s="4">
        <v>3.1415999999999999E-2</v>
      </c>
      <c r="K530" s="3">
        <v>192.11795486713365</v>
      </c>
      <c r="L530" s="3">
        <v>229.453</v>
      </c>
      <c r="M530" s="3">
        <v>595.04675999999995</v>
      </c>
      <c r="N530" s="12">
        <f t="shared" si="35"/>
        <v>1.0000023384349969E-2</v>
      </c>
      <c r="O530" s="11">
        <f t="shared" si="36"/>
        <v>314.15999999999997</v>
      </c>
      <c r="P530" s="1">
        <v>10</v>
      </c>
      <c r="Q530" s="1">
        <v>1</v>
      </c>
      <c r="R530" s="3">
        <f>Q530*VLOOKUP(P530,[4]Datos!$A$2:$D$14,2)</f>
        <v>8.19</v>
      </c>
      <c r="S530" s="10">
        <f t="shared" si="60"/>
        <v>39</v>
      </c>
      <c r="T530" s="2">
        <v>39</v>
      </c>
      <c r="U530" s="3">
        <f t="shared" si="61"/>
        <v>0.14000000000000001</v>
      </c>
      <c r="V530" s="3"/>
      <c r="W530" s="1">
        <v>280</v>
      </c>
      <c r="X530" s="9">
        <v>2</v>
      </c>
      <c r="Y530" s="1">
        <v>6</v>
      </c>
      <c r="Z530" s="3">
        <f>X530*VLOOKUP(Y530,[4]Datos!$A$2:$D$14,2)</f>
        <v>5.68</v>
      </c>
      <c r="AA530" s="8">
        <v>0.15</v>
      </c>
      <c r="AB530" s="7">
        <f t="shared" si="37"/>
        <v>115.05235319041492</v>
      </c>
      <c r="AC530" s="7">
        <f t="shared" si="62"/>
        <v>207.30517717217134</v>
      </c>
      <c r="AD530" s="6" t="str">
        <f t="shared" si="38"/>
        <v>Cumple</v>
      </c>
      <c r="AE530" s="6"/>
      <c r="AH530" s="3"/>
    </row>
    <row r="531" spans="1:43" x14ac:dyDescent="0.3">
      <c r="A531" s="13"/>
      <c r="B531" s="1">
        <v>36</v>
      </c>
      <c r="C531" s="1">
        <v>221</v>
      </c>
      <c r="D531" s="1">
        <v>1</v>
      </c>
      <c r="E531" s="5">
        <v>1</v>
      </c>
      <c r="F531" s="3">
        <f t="shared" si="48"/>
        <v>36</v>
      </c>
      <c r="G531" s="5">
        <v>2</v>
      </c>
      <c r="H531" s="3">
        <f t="shared" si="59"/>
        <v>3.1415926535897931</v>
      </c>
      <c r="I531" s="4">
        <v>3.1415999999999999E-2</v>
      </c>
      <c r="K531" s="3">
        <v>152.78098927500764</v>
      </c>
      <c r="L531" s="3">
        <v>161.58141000000001</v>
      </c>
      <c r="M531" s="3">
        <v>405.25164000000001</v>
      </c>
      <c r="N531" s="12">
        <f t="shared" si="35"/>
        <v>1.0000023384349969E-2</v>
      </c>
      <c r="O531" s="11">
        <f t="shared" si="36"/>
        <v>314.15999999999997</v>
      </c>
      <c r="P531" s="1">
        <v>10</v>
      </c>
      <c r="Q531" s="1">
        <v>1</v>
      </c>
      <c r="R531" s="3">
        <f>Q531*VLOOKUP(P531,[4]Datos!$A$2:$D$14,2)</f>
        <v>8.19</v>
      </c>
      <c r="S531" s="10">
        <f t="shared" si="60"/>
        <v>39</v>
      </c>
      <c r="T531" s="2">
        <v>39</v>
      </c>
      <c r="U531" s="3">
        <f t="shared" si="61"/>
        <v>0.14000000000000001</v>
      </c>
      <c r="V531" s="3"/>
      <c r="W531" s="1">
        <v>280</v>
      </c>
      <c r="X531" s="9">
        <v>2</v>
      </c>
      <c r="Y531" s="1">
        <v>4</v>
      </c>
      <c r="Z531" s="3">
        <f>X531*VLOOKUP(Y531,[4]Datos!$A$2:$D$14,2)</f>
        <v>2.58</v>
      </c>
      <c r="AA531" s="8">
        <v>0.3</v>
      </c>
      <c r="AB531" s="7">
        <f t="shared" si="37"/>
        <v>115.05235319041492</v>
      </c>
      <c r="AC531" s="7">
        <f t="shared" si="62"/>
        <v>47.081633547905106</v>
      </c>
      <c r="AD531" s="6" t="str">
        <f t="shared" si="38"/>
        <v>Cumple</v>
      </c>
      <c r="AE531" s="6"/>
      <c r="AH531" s="3"/>
    </row>
    <row r="532" spans="1:43" x14ac:dyDescent="0.3">
      <c r="A532" s="13"/>
      <c r="B532" s="1">
        <v>37</v>
      </c>
      <c r="C532" s="1">
        <v>222</v>
      </c>
      <c r="D532" s="1">
        <v>1</v>
      </c>
      <c r="E532" s="5">
        <v>1</v>
      </c>
      <c r="F532" s="3">
        <f t="shared" si="48"/>
        <v>37</v>
      </c>
      <c r="G532" s="5">
        <v>2</v>
      </c>
      <c r="H532" s="3">
        <f t="shared" si="59"/>
        <v>3.1415926535897931</v>
      </c>
      <c r="I532" s="4">
        <v>3.1415999999999999E-2</v>
      </c>
      <c r="K532" s="3">
        <v>113.9049029197602</v>
      </c>
      <c r="L532" s="3">
        <v>105.50287</v>
      </c>
      <c r="M532" s="3">
        <v>254.39851999999999</v>
      </c>
      <c r="N532" s="12">
        <f t="shared" si="35"/>
        <v>1.0000023384349969E-2</v>
      </c>
      <c r="O532" s="11">
        <f t="shared" si="36"/>
        <v>314.15999999999997</v>
      </c>
      <c r="P532" s="1">
        <v>10</v>
      </c>
      <c r="Q532" s="1">
        <v>1</v>
      </c>
      <c r="R532" s="3">
        <f>Q532*VLOOKUP(P532,[4]Datos!$A$2:$D$14,2)</f>
        <v>8.19</v>
      </c>
      <c r="S532" s="10">
        <f t="shared" si="60"/>
        <v>39</v>
      </c>
      <c r="T532" s="2">
        <v>39</v>
      </c>
      <c r="U532" s="3">
        <f t="shared" si="61"/>
        <v>0.14000000000000001</v>
      </c>
      <c r="V532" s="3"/>
      <c r="W532" s="1">
        <v>280</v>
      </c>
      <c r="X532" s="9">
        <v>2</v>
      </c>
      <c r="Y532" s="1">
        <v>4</v>
      </c>
      <c r="Z532" s="3">
        <f>X532*VLOOKUP(Y532,[4]Datos!$A$2:$D$14,2)</f>
        <v>2.58</v>
      </c>
      <c r="AA532" s="8">
        <v>0.3</v>
      </c>
      <c r="AB532" s="7">
        <f t="shared" si="37"/>
        <v>115.05235319041492</v>
      </c>
      <c r="AC532" s="7">
        <f t="shared" si="62"/>
        <v>47.081633547905106</v>
      </c>
      <c r="AD532" s="6" t="str">
        <f t="shared" si="38"/>
        <v>Cumple</v>
      </c>
      <c r="AE532" s="6"/>
      <c r="AH532" s="3"/>
    </row>
    <row r="533" spans="1:43" x14ac:dyDescent="0.3">
      <c r="A533" s="13"/>
      <c r="B533" s="1">
        <v>38</v>
      </c>
      <c r="C533" s="1">
        <v>223</v>
      </c>
      <c r="D533" s="1">
        <v>1</v>
      </c>
      <c r="E533" s="5">
        <v>1</v>
      </c>
      <c r="F533" s="3">
        <f t="shared" si="48"/>
        <v>38</v>
      </c>
      <c r="G533" s="5">
        <v>2</v>
      </c>
      <c r="H533" s="3">
        <f t="shared" si="59"/>
        <v>3.1415926535897931</v>
      </c>
      <c r="I533" s="4">
        <v>3.1415999999999999E-2</v>
      </c>
      <c r="K533" s="3">
        <v>77.770264543268723</v>
      </c>
      <c r="L533" s="3">
        <v>61.806289999999997</v>
      </c>
      <c r="M533" s="3">
        <v>142.03085999999999</v>
      </c>
      <c r="N533" s="12">
        <f t="shared" si="35"/>
        <v>1.0000023384349969E-2</v>
      </c>
      <c r="O533" s="11">
        <f t="shared" si="36"/>
        <v>314.15999999999997</v>
      </c>
      <c r="P533" s="1">
        <v>10</v>
      </c>
      <c r="Q533" s="1">
        <v>1</v>
      </c>
      <c r="R533" s="3">
        <f>Q533*VLOOKUP(P533,[4]Datos!$A$2:$D$14,2)</f>
        <v>8.19</v>
      </c>
      <c r="S533" s="10">
        <f t="shared" si="60"/>
        <v>39</v>
      </c>
      <c r="T533" s="2">
        <v>39</v>
      </c>
      <c r="U533" s="3">
        <f t="shared" si="61"/>
        <v>0.14000000000000001</v>
      </c>
      <c r="V533" s="3"/>
      <c r="W533" s="1">
        <v>280</v>
      </c>
      <c r="X533" s="9">
        <v>2</v>
      </c>
      <c r="Y533" s="1">
        <v>4</v>
      </c>
      <c r="Z533" s="3">
        <f>X533*VLOOKUP(Y533,[4]Datos!$A$2:$D$14,2)</f>
        <v>2.58</v>
      </c>
      <c r="AA533" s="8">
        <v>0.3</v>
      </c>
      <c r="AB533" s="7">
        <f t="shared" si="37"/>
        <v>115.05235319041492</v>
      </c>
      <c r="AC533" s="7">
        <f t="shared" si="62"/>
        <v>47.081633547905106</v>
      </c>
      <c r="AD533" s="6" t="str">
        <f t="shared" si="38"/>
        <v>Cumple</v>
      </c>
      <c r="AE533" s="6"/>
      <c r="AH533" s="3"/>
    </row>
    <row r="534" spans="1:43" x14ac:dyDescent="0.3">
      <c r="A534" s="13"/>
      <c r="B534" s="1">
        <v>39</v>
      </c>
      <c r="C534" s="1">
        <v>678</v>
      </c>
      <c r="D534" s="1">
        <v>1</v>
      </c>
      <c r="E534" s="5">
        <v>1</v>
      </c>
      <c r="F534" s="3">
        <f t="shared" si="48"/>
        <v>39</v>
      </c>
      <c r="G534" s="5">
        <v>2</v>
      </c>
      <c r="H534" s="3">
        <f t="shared" si="59"/>
        <v>3.1415926535897931</v>
      </c>
      <c r="I534" s="4">
        <v>3.1415999999999999E-2</v>
      </c>
      <c r="K534" s="3">
        <v>46.133629583742923</v>
      </c>
      <c r="L534" s="3">
        <v>30.301269999999999</v>
      </c>
      <c r="M534" s="3">
        <v>65.425560000000004</v>
      </c>
      <c r="N534" s="12">
        <f t="shared" si="35"/>
        <v>1.0000023384349969E-2</v>
      </c>
      <c r="O534" s="11">
        <f t="shared" si="36"/>
        <v>314.15999999999997</v>
      </c>
      <c r="P534" s="1">
        <v>10</v>
      </c>
      <c r="Q534" s="1">
        <v>1</v>
      </c>
      <c r="R534" s="3">
        <f>Q534*VLOOKUP(P534,[4]Datos!$A$2:$D$14,2)</f>
        <v>8.19</v>
      </c>
      <c r="S534" s="10">
        <f t="shared" si="60"/>
        <v>39</v>
      </c>
      <c r="T534" s="2">
        <v>39</v>
      </c>
      <c r="U534" s="3">
        <f t="shared" si="61"/>
        <v>0.14000000000000001</v>
      </c>
      <c r="V534" s="3"/>
      <c r="W534" s="1">
        <v>280</v>
      </c>
      <c r="X534" s="9">
        <v>2</v>
      </c>
      <c r="Y534" s="1">
        <v>4</v>
      </c>
      <c r="Z534" s="3">
        <f>X534*VLOOKUP(Y534,[4]Datos!$A$2:$D$14,2)</f>
        <v>2.58</v>
      </c>
      <c r="AA534" s="8">
        <v>0.3</v>
      </c>
      <c r="AB534" s="7">
        <f t="shared" si="37"/>
        <v>115.05235319041492</v>
      </c>
      <c r="AC534" s="7">
        <f t="shared" si="62"/>
        <v>47.081633547905106</v>
      </c>
      <c r="AD534" s="6" t="str">
        <f t="shared" si="38"/>
        <v>Cumple</v>
      </c>
      <c r="AE534" s="6"/>
      <c r="AH534" s="3"/>
    </row>
    <row r="535" spans="1:43" x14ac:dyDescent="0.3">
      <c r="A535" s="13"/>
      <c r="B535" s="1">
        <v>40</v>
      </c>
      <c r="C535" s="1">
        <v>172</v>
      </c>
      <c r="D535" s="1">
        <v>1</v>
      </c>
      <c r="E535" s="5">
        <v>1</v>
      </c>
      <c r="F535" s="3">
        <f t="shared" si="48"/>
        <v>40</v>
      </c>
      <c r="G535" s="5">
        <v>2</v>
      </c>
      <c r="H535" s="3">
        <f t="shared" si="59"/>
        <v>3.1415926535897931</v>
      </c>
      <c r="I535" s="4">
        <v>3.1415999999999999E-2</v>
      </c>
      <c r="K535" s="3">
        <v>20.449248546584787</v>
      </c>
      <c r="L535" s="3">
        <v>10.185549999999999</v>
      </c>
      <c r="M535" s="3">
        <v>20.096060000000001</v>
      </c>
      <c r="N535" s="12">
        <f t="shared" si="35"/>
        <v>1.0000023384349969E-2</v>
      </c>
      <c r="O535" s="11">
        <f t="shared" si="36"/>
        <v>314.15999999999997</v>
      </c>
      <c r="P535" s="1">
        <v>10</v>
      </c>
      <c r="Q535" s="1">
        <v>1</v>
      </c>
      <c r="R535" s="3">
        <f>Q535*VLOOKUP(P535,[4]Datos!$A$2:$D$14,2)</f>
        <v>8.19</v>
      </c>
      <c r="S535" s="10">
        <f t="shared" si="60"/>
        <v>39</v>
      </c>
      <c r="T535" s="2">
        <v>39</v>
      </c>
      <c r="U535" s="3">
        <f t="shared" si="61"/>
        <v>0.14000000000000001</v>
      </c>
      <c r="V535" s="3"/>
      <c r="W535" s="1">
        <v>280</v>
      </c>
      <c r="X535" s="9">
        <v>2</v>
      </c>
      <c r="Y535" s="1">
        <v>4</v>
      </c>
      <c r="Z535" s="3">
        <f>X535*VLOOKUP(Y535,[4]Datos!$A$2:$D$14,2)</f>
        <v>2.58</v>
      </c>
      <c r="AA535" s="8">
        <v>0.3</v>
      </c>
      <c r="AB535" s="7">
        <f t="shared" si="37"/>
        <v>115.05235319041492</v>
      </c>
      <c r="AC535" s="7">
        <f t="shared" si="62"/>
        <v>47.081633547905106</v>
      </c>
      <c r="AD535" s="6" t="str">
        <f t="shared" si="38"/>
        <v>Cumple</v>
      </c>
      <c r="AE535" s="6"/>
      <c r="AH535" s="3"/>
    </row>
    <row r="536" spans="1:43" ht="15" customHeight="1" x14ac:dyDescent="0.3">
      <c r="A536" s="13" t="s">
        <v>15</v>
      </c>
      <c r="B536" s="1">
        <v>1</v>
      </c>
      <c r="C536" s="1">
        <v>249</v>
      </c>
      <c r="D536" s="1">
        <v>1</v>
      </c>
      <c r="E536" s="5">
        <v>1</v>
      </c>
      <c r="F536" s="3">
        <f>E536</f>
        <v>1</v>
      </c>
      <c r="G536" s="5">
        <v>2</v>
      </c>
      <c r="H536" s="3">
        <f t="shared" si="59"/>
        <v>3.1415926535897931</v>
      </c>
      <c r="I536" s="4">
        <v>7.7466999999999994E-2</v>
      </c>
      <c r="K536" s="3">
        <v>123.33779894456525</v>
      </c>
      <c r="L536" s="3">
        <v>413.91199</v>
      </c>
      <c r="M536" s="3">
        <v>2434.5375800000002</v>
      </c>
      <c r="N536" s="12">
        <f t="shared" si="35"/>
        <v>2.4658511952999711E-2</v>
      </c>
      <c r="O536" s="11">
        <f t="shared" si="36"/>
        <v>774.67</v>
      </c>
      <c r="P536" s="1">
        <v>10</v>
      </c>
      <c r="Q536" s="1">
        <v>2</v>
      </c>
      <c r="R536" s="3">
        <f>Q536*VLOOKUP(P536,[4]Datos!$A$2:$D$14,2)</f>
        <v>16.38</v>
      </c>
      <c r="S536" s="10">
        <f t="shared" si="60"/>
        <v>48</v>
      </c>
      <c r="T536" s="2">
        <v>49</v>
      </c>
      <c r="U536" s="3">
        <f t="shared" si="61"/>
        <v>0.11</v>
      </c>
      <c r="V536" s="3"/>
      <c r="W536" s="1">
        <v>280</v>
      </c>
      <c r="X536" s="9">
        <v>2</v>
      </c>
      <c r="Y536" s="1">
        <v>6</v>
      </c>
      <c r="Z536" s="3">
        <f>X536*VLOOKUP(Y536,[4]Datos!$A$2:$D$14,2)</f>
        <v>5.68</v>
      </c>
      <c r="AA536" s="8">
        <v>7.4999999999999997E-2</v>
      </c>
      <c r="AB536" s="7">
        <f t="shared" si="37"/>
        <v>115.05235319041492</v>
      </c>
      <c r="AC536" s="7">
        <f t="shared" si="62"/>
        <v>414.61035434434268</v>
      </c>
      <c r="AD536" s="6" t="str">
        <f t="shared" si="38"/>
        <v>Cumple</v>
      </c>
      <c r="AE536" s="6"/>
      <c r="AG536" s="7">
        <f>ROUNDUP(MAX(0.45,3*G536,),0)</f>
        <v>6</v>
      </c>
      <c r="AH536" s="3">
        <f t="shared" ref="AH536:AH541" si="63">PI()*(G536-0.15)^2/4</f>
        <v>2.6880252142277672</v>
      </c>
      <c r="AI536" s="7">
        <f>G536-0.15-VLOOKUP(Y536,[4]Datos!$A$2:$D$14,3)/100</f>
        <v>1.8309000000000002</v>
      </c>
      <c r="AJ536" s="7">
        <f t="shared" ref="AJ536:AJ541" si="64">SQRT((PI()*AI536)^2+AA536^2)</f>
        <v>5.7524309339691264</v>
      </c>
      <c r="AK536" s="1">
        <v>0.12</v>
      </c>
      <c r="AL536" s="16">
        <f t="shared" ref="AL536:AL541" si="65">MAX(0.45*(H536/AH536-1),AK536)*(W536/4220)</f>
        <v>7.9620853080568724E-3</v>
      </c>
      <c r="AM536" s="7">
        <f t="shared" ref="AM536:AM541" si="66">AG536*(AJ536/AA536)</f>
        <v>460.19447471753017</v>
      </c>
      <c r="AN536" s="17">
        <f t="shared" ref="AN536:AN541" si="67">AM536*Z536/X536/10000</f>
        <v>0.13069523081977857</v>
      </c>
      <c r="AO536" s="17">
        <f t="shared" ref="AO536:AO541" si="68">AH536*AG536</f>
        <v>16.128151285366602</v>
      </c>
      <c r="AP536" s="16">
        <f t="shared" ref="AP536:AP541" si="69">AN536/AO536</f>
        <v>8.1035469290495193E-3</v>
      </c>
      <c r="AQ536" s="6" t="str">
        <f t="shared" ref="AQ536:AQ541" si="70">+IF(AP536&gt;AL536,"Cumple","No Cumple")</f>
        <v>Cumple</v>
      </c>
    </row>
    <row r="537" spans="1:43" ht="15" customHeight="1" x14ac:dyDescent="0.3">
      <c r="A537" s="13"/>
      <c r="B537" s="1">
        <v>2</v>
      </c>
      <c r="C537" s="1">
        <v>251</v>
      </c>
      <c r="D537" s="1">
        <v>1</v>
      </c>
      <c r="E537" s="5">
        <v>1</v>
      </c>
      <c r="F537" s="3">
        <f>F536+E537</f>
        <v>2</v>
      </c>
      <c r="G537" s="5">
        <v>2</v>
      </c>
      <c r="H537" s="3">
        <f t="shared" si="59"/>
        <v>3.1415926535897931</v>
      </c>
      <c r="I537" s="4">
        <v>7.8648999999999997E-2</v>
      </c>
      <c r="K537" s="3">
        <v>111.51411147496088</v>
      </c>
      <c r="L537" s="3">
        <v>317.10726</v>
      </c>
      <c r="M537" s="3">
        <v>2470.8588</v>
      </c>
      <c r="N537" s="12">
        <f t="shared" si="35"/>
        <v>2.5034754238468952E-2</v>
      </c>
      <c r="O537" s="11">
        <f t="shared" si="36"/>
        <v>786.49</v>
      </c>
      <c r="P537" s="1">
        <v>10</v>
      </c>
      <c r="Q537" s="1">
        <v>2</v>
      </c>
      <c r="R537" s="3">
        <f>Q537*VLOOKUP(P537,[4]Datos!$A$2:$D$14,2)</f>
        <v>16.38</v>
      </c>
      <c r="S537" s="10">
        <f t="shared" si="60"/>
        <v>49</v>
      </c>
      <c r="T537" s="2">
        <v>49</v>
      </c>
      <c r="U537" s="3">
        <f t="shared" si="61"/>
        <v>0.11</v>
      </c>
      <c r="V537" s="3"/>
      <c r="W537" s="1">
        <v>280</v>
      </c>
      <c r="X537" s="9">
        <v>2</v>
      </c>
      <c r="Y537" s="1">
        <v>6</v>
      </c>
      <c r="Z537" s="3">
        <f>X537*VLOOKUP(Y537,[4]Datos!$A$2:$D$14,2)</f>
        <v>5.68</v>
      </c>
      <c r="AA537" s="8">
        <v>7.4999999999999997E-2</v>
      </c>
      <c r="AB537" s="7">
        <f t="shared" si="37"/>
        <v>115.05235319041492</v>
      </c>
      <c r="AC537" s="7">
        <f t="shared" si="62"/>
        <v>414.61035434434268</v>
      </c>
      <c r="AD537" s="6" t="str">
        <f t="shared" si="38"/>
        <v>Cumple</v>
      </c>
      <c r="AE537" s="6"/>
      <c r="AG537" s="7">
        <f t="shared" ref="AG537:AG541" si="71">ROUNDUP(MAX(0.45,3*G537,),0)</f>
        <v>6</v>
      </c>
      <c r="AH537" s="3">
        <f t="shared" si="63"/>
        <v>2.6880252142277672</v>
      </c>
      <c r="AI537" s="7">
        <f>G537-0.15-VLOOKUP(Y537,[4]Datos!$A$2:$D$14,3)/100</f>
        <v>1.8309000000000002</v>
      </c>
      <c r="AJ537" s="7">
        <f t="shared" si="64"/>
        <v>5.7524309339691264</v>
      </c>
      <c r="AK537" s="1">
        <v>0.12</v>
      </c>
      <c r="AL537" s="16">
        <f t="shared" si="65"/>
        <v>7.9620853080568724E-3</v>
      </c>
      <c r="AM537" s="7">
        <f t="shared" si="66"/>
        <v>460.19447471753017</v>
      </c>
      <c r="AN537" s="17">
        <f t="shared" si="67"/>
        <v>0.13069523081977857</v>
      </c>
      <c r="AO537" s="17">
        <f t="shared" si="68"/>
        <v>16.128151285366602</v>
      </c>
      <c r="AP537" s="16">
        <f t="shared" si="69"/>
        <v>8.1035469290495193E-3</v>
      </c>
      <c r="AQ537" s="6" t="str">
        <f t="shared" si="70"/>
        <v>Cumple</v>
      </c>
    </row>
    <row r="538" spans="1:43" ht="15" customHeight="1" x14ac:dyDescent="0.3">
      <c r="A538" s="13"/>
      <c r="B538" s="1">
        <v>3</v>
      </c>
      <c r="C538" s="1">
        <v>253</v>
      </c>
      <c r="D538" s="1">
        <v>1</v>
      </c>
      <c r="E538" s="5">
        <v>1</v>
      </c>
      <c r="F538" s="3">
        <f t="shared" ref="F538:F554" si="72">F537+E538</f>
        <v>3</v>
      </c>
      <c r="G538" s="5">
        <v>2</v>
      </c>
      <c r="H538" s="3">
        <f t="shared" si="59"/>
        <v>3.1415926535897931</v>
      </c>
      <c r="I538" s="4">
        <v>7.8649999999999998E-2</v>
      </c>
      <c r="K538" s="3">
        <v>101.16396445399914</v>
      </c>
      <c r="L538" s="3">
        <v>232.27618000000001</v>
      </c>
      <c r="M538" s="3">
        <v>2470.8588</v>
      </c>
      <c r="N538" s="12">
        <f t="shared" si="35"/>
        <v>2.5035072548355138E-2</v>
      </c>
      <c r="O538" s="11">
        <f t="shared" si="36"/>
        <v>786.5</v>
      </c>
      <c r="P538" s="1">
        <v>10</v>
      </c>
      <c r="Q538" s="1">
        <v>2</v>
      </c>
      <c r="R538" s="3">
        <f>Q538*VLOOKUP(P538,[4]Datos!$A$2:$D$14,2)</f>
        <v>16.38</v>
      </c>
      <c r="S538" s="10">
        <f t="shared" si="60"/>
        <v>49</v>
      </c>
      <c r="T538" s="2">
        <v>49</v>
      </c>
      <c r="U538" s="3">
        <f t="shared" si="61"/>
        <v>0.11</v>
      </c>
      <c r="V538" s="3"/>
      <c r="W538" s="1">
        <v>280</v>
      </c>
      <c r="X538" s="9">
        <v>2</v>
      </c>
      <c r="Y538" s="1">
        <v>6</v>
      </c>
      <c r="Z538" s="3">
        <f>X538*VLOOKUP(Y538,[4]Datos!$A$2:$D$14,2)</f>
        <v>5.68</v>
      </c>
      <c r="AA538" s="8">
        <v>7.4999999999999997E-2</v>
      </c>
      <c r="AB538" s="7">
        <f t="shared" si="37"/>
        <v>115.05235319041492</v>
      </c>
      <c r="AC538" s="7">
        <f t="shared" si="62"/>
        <v>414.61035434434268</v>
      </c>
      <c r="AD538" s="6" t="str">
        <f t="shared" si="38"/>
        <v>Cumple</v>
      </c>
      <c r="AE538" s="6"/>
      <c r="AG538" s="7">
        <f t="shared" si="71"/>
        <v>6</v>
      </c>
      <c r="AH538" s="3">
        <f t="shared" si="63"/>
        <v>2.6880252142277672</v>
      </c>
      <c r="AI538" s="7">
        <f>G538-0.15-VLOOKUP(Y538,[4]Datos!$A$2:$D$14,3)/100</f>
        <v>1.8309000000000002</v>
      </c>
      <c r="AJ538" s="7">
        <f t="shared" si="64"/>
        <v>5.7524309339691264</v>
      </c>
      <c r="AK538" s="1">
        <v>0.12</v>
      </c>
      <c r="AL538" s="16">
        <f t="shared" si="65"/>
        <v>7.9620853080568724E-3</v>
      </c>
      <c r="AM538" s="7">
        <f t="shared" si="66"/>
        <v>460.19447471753017</v>
      </c>
      <c r="AN538" s="17">
        <f t="shared" si="67"/>
        <v>0.13069523081977857</v>
      </c>
      <c r="AO538" s="17">
        <f t="shared" si="68"/>
        <v>16.128151285366602</v>
      </c>
      <c r="AP538" s="16">
        <f t="shared" si="69"/>
        <v>8.1035469290495193E-3</v>
      </c>
      <c r="AQ538" s="6" t="str">
        <f t="shared" si="70"/>
        <v>Cumple</v>
      </c>
    </row>
    <row r="539" spans="1:43" ht="15" customHeight="1" x14ac:dyDescent="0.3">
      <c r="A539" s="13"/>
      <c r="B539" s="1">
        <v>4</v>
      </c>
      <c r="C539" s="1">
        <v>255</v>
      </c>
      <c r="D539" s="1">
        <v>1</v>
      </c>
      <c r="E539" s="5">
        <v>1</v>
      </c>
      <c r="F539" s="3">
        <f t="shared" si="72"/>
        <v>4</v>
      </c>
      <c r="G539" s="5">
        <v>2</v>
      </c>
      <c r="H539" s="3">
        <f t="shared" si="59"/>
        <v>3.1415926535897931</v>
      </c>
      <c r="I539" s="4">
        <v>7.7535000000000007E-2</v>
      </c>
      <c r="K539" s="3">
        <v>110.67880455376269</v>
      </c>
      <c r="L539" s="3">
        <v>179.06399999999999</v>
      </c>
      <c r="M539" s="3">
        <v>2448.1672699999999</v>
      </c>
      <c r="N539" s="12">
        <f t="shared" si="35"/>
        <v>2.4680157025260212E-2</v>
      </c>
      <c r="O539" s="11">
        <f t="shared" si="36"/>
        <v>775.35</v>
      </c>
      <c r="P539" s="1">
        <v>10</v>
      </c>
      <c r="Q539" s="1">
        <v>2</v>
      </c>
      <c r="R539" s="3">
        <f>Q539*VLOOKUP(P539,[4]Datos!$A$2:$D$14,2)</f>
        <v>16.38</v>
      </c>
      <c r="S539" s="10">
        <f t="shared" si="60"/>
        <v>48</v>
      </c>
      <c r="T539" s="2">
        <v>49</v>
      </c>
      <c r="U539" s="3">
        <f t="shared" si="61"/>
        <v>0.11</v>
      </c>
      <c r="V539" s="3"/>
      <c r="W539" s="1">
        <v>280</v>
      </c>
      <c r="X539" s="9">
        <v>2</v>
      </c>
      <c r="Y539" s="1">
        <v>6</v>
      </c>
      <c r="Z539" s="3">
        <f>X539*VLOOKUP(Y539,[4]Datos!$A$2:$D$14,2)</f>
        <v>5.68</v>
      </c>
      <c r="AA539" s="8">
        <v>7.4999999999999997E-2</v>
      </c>
      <c r="AB539" s="7">
        <f t="shared" si="37"/>
        <v>115.05235319041492</v>
      </c>
      <c r="AC539" s="7">
        <f t="shared" si="62"/>
        <v>414.61035434434268</v>
      </c>
      <c r="AD539" s="6" t="str">
        <f t="shared" si="38"/>
        <v>Cumple</v>
      </c>
      <c r="AE539" s="6"/>
      <c r="AG539" s="7">
        <f t="shared" si="71"/>
        <v>6</v>
      </c>
      <c r="AH539" s="3">
        <f t="shared" si="63"/>
        <v>2.6880252142277672</v>
      </c>
      <c r="AI539" s="7">
        <f>G539-0.15-VLOOKUP(Y539,[4]Datos!$A$2:$D$14,3)/100</f>
        <v>1.8309000000000002</v>
      </c>
      <c r="AJ539" s="7">
        <f t="shared" si="64"/>
        <v>5.7524309339691264</v>
      </c>
      <c r="AK539" s="1">
        <v>0.12</v>
      </c>
      <c r="AL539" s="16">
        <f t="shared" si="65"/>
        <v>7.9620853080568724E-3</v>
      </c>
      <c r="AM539" s="7">
        <f t="shared" si="66"/>
        <v>460.19447471753017</v>
      </c>
      <c r="AN539" s="17">
        <f t="shared" si="67"/>
        <v>0.13069523081977857</v>
      </c>
      <c r="AO539" s="17">
        <f t="shared" si="68"/>
        <v>16.128151285366602</v>
      </c>
      <c r="AP539" s="16">
        <f t="shared" si="69"/>
        <v>8.1035469290495193E-3</v>
      </c>
      <c r="AQ539" s="6" t="str">
        <f t="shared" si="70"/>
        <v>Cumple</v>
      </c>
    </row>
    <row r="540" spans="1:43" ht="15" customHeight="1" x14ac:dyDescent="0.3">
      <c r="A540" s="13"/>
      <c r="B540" s="1">
        <v>5</v>
      </c>
      <c r="C540" s="1">
        <v>257</v>
      </c>
      <c r="D540" s="1">
        <v>1</v>
      </c>
      <c r="E540" s="5">
        <v>1</v>
      </c>
      <c r="F540" s="3">
        <f t="shared" si="72"/>
        <v>5</v>
      </c>
      <c r="G540" s="5">
        <v>2</v>
      </c>
      <c r="H540" s="3">
        <f t="shared" si="59"/>
        <v>3.1415926535897931</v>
      </c>
      <c r="I540" s="4">
        <v>7.3538999999999993E-2</v>
      </c>
      <c r="K540" s="3">
        <v>161.52404943998278</v>
      </c>
      <c r="L540" s="3">
        <v>196.15178</v>
      </c>
      <c r="M540" s="3">
        <v>2359.3695400000001</v>
      </c>
      <c r="N540" s="12">
        <f t="shared" si="35"/>
        <v>2.340819072006978E-2</v>
      </c>
      <c r="O540" s="11">
        <f t="shared" si="36"/>
        <v>735.39</v>
      </c>
      <c r="P540" s="1">
        <v>10</v>
      </c>
      <c r="Q540" s="1">
        <v>2</v>
      </c>
      <c r="R540" s="3">
        <f>Q540*VLOOKUP(P540,[4]Datos!$A$2:$D$14,2)</f>
        <v>16.38</v>
      </c>
      <c r="S540" s="10">
        <f t="shared" si="60"/>
        <v>45</v>
      </c>
      <c r="T540" s="2">
        <v>49</v>
      </c>
      <c r="U540" s="3">
        <f t="shared" si="61"/>
        <v>0.11</v>
      </c>
      <c r="V540" s="3"/>
      <c r="W540" s="1">
        <v>280</v>
      </c>
      <c r="X540" s="9">
        <v>2</v>
      </c>
      <c r="Y540" s="1">
        <v>6</v>
      </c>
      <c r="Z540" s="3">
        <f>X540*VLOOKUP(Y540,[4]Datos!$A$2:$D$14,2)</f>
        <v>5.68</v>
      </c>
      <c r="AA540" s="8">
        <v>7.4999999999999997E-2</v>
      </c>
      <c r="AB540" s="7">
        <f t="shared" si="37"/>
        <v>115.05235319041492</v>
      </c>
      <c r="AC540" s="7">
        <f t="shared" si="62"/>
        <v>414.61035434434268</v>
      </c>
      <c r="AD540" s="6" t="str">
        <f t="shared" si="38"/>
        <v>Cumple</v>
      </c>
      <c r="AE540" s="6"/>
      <c r="AG540" s="7">
        <f t="shared" si="71"/>
        <v>6</v>
      </c>
      <c r="AH540" s="3">
        <f t="shared" si="63"/>
        <v>2.6880252142277672</v>
      </c>
      <c r="AI540" s="7">
        <f>G540-0.15-VLOOKUP(Y540,[4]Datos!$A$2:$D$14,3)/100</f>
        <v>1.8309000000000002</v>
      </c>
      <c r="AJ540" s="7">
        <f t="shared" si="64"/>
        <v>5.7524309339691264</v>
      </c>
      <c r="AK540" s="1">
        <v>0.12</v>
      </c>
      <c r="AL540" s="16">
        <f t="shared" si="65"/>
        <v>7.9620853080568724E-3</v>
      </c>
      <c r="AM540" s="7">
        <f t="shared" si="66"/>
        <v>460.19447471753017</v>
      </c>
      <c r="AN540" s="17">
        <f t="shared" si="67"/>
        <v>0.13069523081977857</v>
      </c>
      <c r="AO540" s="17">
        <f t="shared" si="68"/>
        <v>16.128151285366602</v>
      </c>
      <c r="AP540" s="16">
        <f t="shared" si="69"/>
        <v>8.1035469290495193E-3</v>
      </c>
      <c r="AQ540" s="6" t="str">
        <f t="shared" si="70"/>
        <v>Cumple</v>
      </c>
    </row>
    <row r="541" spans="1:43" ht="15" customHeight="1" x14ac:dyDescent="0.3">
      <c r="A541" s="13"/>
      <c r="B541" s="1">
        <v>6</v>
      </c>
      <c r="C541" s="1">
        <v>259</v>
      </c>
      <c r="D541" s="1">
        <v>1</v>
      </c>
      <c r="E541" s="5">
        <v>1</v>
      </c>
      <c r="F541" s="3">
        <f t="shared" si="72"/>
        <v>6</v>
      </c>
      <c r="G541" s="5">
        <v>2</v>
      </c>
      <c r="H541" s="3">
        <f t="shared" si="59"/>
        <v>3.1415926535897931</v>
      </c>
      <c r="I541" s="4">
        <v>6.6611000000000004E-2</v>
      </c>
      <c r="K541" s="3">
        <v>209.89850534089089</v>
      </c>
      <c r="L541" s="3">
        <v>213.87851000000001</v>
      </c>
      <c r="M541" s="3">
        <v>2207.9484900000002</v>
      </c>
      <c r="N541" s="12">
        <f t="shared" si="35"/>
        <v>2.1202939828588483E-2</v>
      </c>
      <c r="O541" s="11">
        <f t="shared" si="36"/>
        <v>666.11</v>
      </c>
      <c r="P541" s="1">
        <v>10</v>
      </c>
      <c r="Q541" s="19">
        <v>2</v>
      </c>
      <c r="R541" s="3">
        <f>Q541*VLOOKUP(P541,[4]Datos!$A$2:$D$14,2)</f>
        <v>16.38</v>
      </c>
      <c r="S541" s="10">
        <f t="shared" si="60"/>
        <v>41</v>
      </c>
      <c r="T541" s="18">
        <v>49</v>
      </c>
      <c r="U541" s="3">
        <f t="shared" si="61"/>
        <v>0.11</v>
      </c>
      <c r="V541" s="3"/>
      <c r="W541" s="1">
        <v>280</v>
      </c>
      <c r="X541" s="9">
        <v>2</v>
      </c>
      <c r="Y541" s="1">
        <v>6</v>
      </c>
      <c r="Z541" s="3">
        <f>X541*VLOOKUP(Y541,[4]Datos!$A$2:$D$14,2)</f>
        <v>5.68</v>
      </c>
      <c r="AA541" s="8">
        <v>7.4999999999999997E-2</v>
      </c>
      <c r="AB541" s="7">
        <f t="shared" si="37"/>
        <v>115.05235319041492</v>
      </c>
      <c r="AC541" s="7">
        <f t="shared" si="62"/>
        <v>414.61035434434268</v>
      </c>
      <c r="AD541" s="6" t="str">
        <f t="shared" si="38"/>
        <v>Cumple</v>
      </c>
      <c r="AE541" s="6"/>
      <c r="AG541" s="7">
        <f t="shared" si="71"/>
        <v>6</v>
      </c>
      <c r="AH541" s="3">
        <f t="shared" si="63"/>
        <v>2.6880252142277672</v>
      </c>
      <c r="AI541" s="7">
        <f>G541-0.15-VLOOKUP(Y541,[4]Datos!$A$2:$D$14,3)/100</f>
        <v>1.8309000000000002</v>
      </c>
      <c r="AJ541" s="7">
        <f t="shared" si="64"/>
        <v>5.7524309339691264</v>
      </c>
      <c r="AK541" s="1">
        <v>0.12</v>
      </c>
      <c r="AL541" s="16">
        <f t="shared" si="65"/>
        <v>7.9620853080568724E-3</v>
      </c>
      <c r="AM541" s="7">
        <f t="shared" si="66"/>
        <v>460.19447471753017</v>
      </c>
      <c r="AN541" s="17">
        <f t="shared" si="67"/>
        <v>0.13069523081977857</v>
      </c>
      <c r="AO541" s="17">
        <f t="shared" si="68"/>
        <v>16.128151285366602</v>
      </c>
      <c r="AP541" s="16">
        <f t="shared" si="69"/>
        <v>8.1035469290495193E-3</v>
      </c>
      <c r="AQ541" s="6" t="str">
        <f t="shared" si="70"/>
        <v>Cumple</v>
      </c>
    </row>
    <row r="542" spans="1:43" ht="15" customHeight="1" x14ac:dyDescent="0.3">
      <c r="A542" s="13"/>
      <c r="B542" s="1">
        <v>7</v>
      </c>
      <c r="C542" s="1">
        <v>261</v>
      </c>
      <c r="D542" s="1">
        <v>1</v>
      </c>
      <c r="E542" s="5">
        <v>1</v>
      </c>
      <c r="F542" s="3">
        <f t="shared" si="72"/>
        <v>7</v>
      </c>
      <c r="G542" s="5">
        <v>2</v>
      </c>
      <c r="H542" s="3">
        <f t="shared" si="59"/>
        <v>3.1415926535897931</v>
      </c>
      <c r="I542" s="4">
        <v>5.6925999999999997E-2</v>
      </c>
      <c r="K542" s="3">
        <v>245.30154815100536</v>
      </c>
      <c r="L542" s="3">
        <v>221.81180000000001</v>
      </c>
      <c r="M542" s="3">
        <v>2004.4942599999999</v>
      </c>
      <c r="N542" s="12">
        <f t="shared" si="35"/>
        <v>1.8120108580898468E-2</v>
      </c>
      <c r="O542" s="11">
        <f t="shared" si="36"/>
        <v>569.26</v>
      </c>
      <c r="P542" s="1">
        <v>10</v>
      </c>
      <c r="Q542" s="19">
        <v>2</v>
      </c>
      <c r="R542" s="3">
        <f>Q542*VLOOKUP(P542,[4]Datos!$A$2:$D$14,2)</f>
        <v>16.38</v>
      </c>
      <c r="S542" s="10">
        <f t="shared" si="60"/>
        <v>35</v>
      </c>
      <c r="T542" s="18">
        <v>49</v>
      </c>
      <c r="U542" s="3">
        <f t="shared" si="61"/>
        <v>0.11</v>
      </c>
      <c r="V542" s="3"/>
      <c r="W542" s="1">
        <v>280</v>
      </c>
      <c r="X542" s="9">
        <v>2</v>
      </c>
      <c r="Y542" s="1">
        <v>6</v>
      </c>
      <c r="Z542" s="3">
        <f>X542*VLOOKUP(Y542,[4]Datos!$A$2:$D$14,2)</f>
        <v>5.68</v>
      </c>
      <c r="AA542" s="8">
        <v>0.15</v>
      </c>
      <c r="AB542" s="7">
        <f t="shared" si="37"/>
        <v>115.05235319041492</v>
      </c>
      <c r="AC542" s="7">
        <f t="shared" si="62"/>
        <v>207.30517717217134</v>
      </c>
      <c r="AD542" s="6" t="str">
        <f t="shared" si="38"/>
        <v>Cumple</v>
      </c>
      <c r="AE542" s="6"/>
      <c r="AH542" s="3"/>
    </row>
    <row r="543" spans="1:43" ht="15" customHeight="1" x14ac:dyDescent="0.3">
      <c r="A543" s="13"/>
      <c r="B543" s="1">
        <v>8</v>
      </c>
      <c r="C543" s="1">
        <v>263</v>
      </c>
      <c r="D543" s="1">
        <v>1</v>
      </c>
      <c r="E543" s="5">
        <v>1</v>
      </c>
      <c r="F543" s="3">
        <f t="shared" si="72"/>
        <v>8</v>
      </c>
      <c r="G543" s="5">
        <v>2</v>
      </c>
      <c r="H543" s="3">
        <f t="shared" si="59"/>
        <v>3.1415926535897931</v>
      </c>
      <c r="I543" s="4">
        <v>5.1302E-2</v>
      </c>
      <c r="K543" s="3">
        <v>265.53722851310323</v>
      </c>
      <c r="L543" s="3">
        <v>221.81182000000001</v>
      </c>
      <c r="M543" s="3">
        <v>1763.57969</v>
      </c>
      <c r="N543" s="12">
        <f t="shared" si="35"/>
        <v>1.6329933781000831E-2</v>
      </c>
      <c r="O543" s="11">
        <f t="shared" si="36"/>
        <v>513.02</v>
      </c>
      <c r="P543" s="1">
        <v>10</v>
      </c>
      <c r="Q543" s="19">
        <v>2</v>
      </c>
      <c r="R543" s="3">
        <f>Q543*VLOOKUP(P543,[4]Datos!$A$2:$D$14,2)</f>
        <v>16.38</v>
      </c>
      <c r="S543" s="10">
        <f t="shared" si="60"/>
        <v>32</v>
      </c>
      <c r="T543" s="18">
        <v>49</v>
      </c>
      <c r="U543" s="3">
        <f t="shared" si="61"/>
        <v>0.11</v>
      </c>
      <c r="V543" s="3"/>
      <c r="W543" s="1">
        <v>280</v>
      </c>
      <c r="X543" s="9">
        <v>2</v>
      </c>
      <c r="Y543" s="1">
        <v>6</v>
      </c>
      <c r="Z543" s="3">
        <f>X543*VLOOKUP(Y543,[4]Datos!$A$2:$D$14,2)</f>
        <v>5.68</v>
      </c>
      <c r="AA543" s="8">
        <v>0.15</v>
      </c>
      <c r="AB543" s="7">
        <f t="shared" si="37"/>
        <v>115.05235319041492</v>
      </c>
      <c r="AC543" s="7">
        <f t="shared" si="62"/>
        <v>207.30517717217134</v>
      </c>
      <c r="AD543" s="6" t="str">
        <f t="shared" si="38"/>
        <v>Cumple</v>
      </c>
      <c r="AE543" s="6"/>
      <c r="AH543" s="3"/>
    </row>
    <row r="544" spans="1:43" ht="15" customHeight="1" x14ac:dyDescent="0.3">
      <c r="A544" s="13"/>
      <c r="B544" s="1">
        <v>9</v>
      </c>
      <c r="C544" s="1">
        <v>265</v>
      </c>
      <c r="D544" s="1">
        <v>1</v>
      </c>
      <c r="E544" s="5">
        <v>1</v>
      </c>
      <c r="F544" s="3">
        <f t="shared" si="72"/>
        <v>9</v>
      </c>
      <c r="G544" s="5">
        <v>2</v>
      </c>
      <c r="H544" s="3">
        <f t="shared" si="59"/>
        <v>3.1415926535897931</v>
      </c>
      <c r="I544" s="4">
        <v>4.2340000000000003E-2</v>
      </c>
      <c r="K544" s="3">
        <v>271.00591270570095</v>
      </c>
      <c r="L544" s="3">
        <v>219.21668</v>
      </c>
      <c r="M544" s="3">
        <v>1501.12943</v>
      </c>
      <c r="N544" s="12">
        <f t="shared" si="35"/>
        <v>1.3477240581021699E-2</v>
      </c>
      <c r="O544" s="11">
        <f t="shared" si="36"/>
        <v>423.40000000000003</v>
      </c>
      <c r="P544" s="1">
        <v>10</v>
      </c>
      <c r="Q544" s="1">
        <v>1</v>
      </c>
      <c r="R544" s="3">
        <f>Q544*VLOOKUP(P544,[4]Datos!$A$2:$D$14,2)</f>
        <v>8.19</v>
      </c>
      <c r="S544" s="10">
        <f t="shared" si="60"/>
        <v>52</v>
      </c>
      <c r="T544" s="2">
        <v>55</v>
      </c>
      <c r="U544" s="3">
        <f t="shared" si="61"/>
        <v>0.1</v>
      </c>
      <c r="V544" s="3"/>
      <c r="W544" s="1">
        <v>280</v>
      </c>
      <c r="X544" s="9">
        <v>2</v>
      </c>
      <c r="Y544" s="1">
        <v>6</v>
      </c>
      <c r="Z544" s="3">
        <f>X544*VLOOKUP(Y544,[4]Datos!$A$2:$D$14,2)</f>
        <v>5.68</v>
      </c>
      <c r="AA544" s="8">
        <v>0.15</v>
      </c>
      <c r="AB544" s="7">
        <f t="shared" si="37"/>
        <v>115.05235319041492</v>
      </c>
      <c r="AC544" s="7">
        <f t="shared" si="62"/>
        <v>207.30517717217134</v>
      </c>
      <c r="AD544" s="6" t="str">
        <f t="shared" si="38"/>
        <v>Cumple</v>
      </c>
      <c r="AE544" s="6"/>
      <c r="AH544" s="3"/>
    </row>
    <row r="545" spans="1:43" ht="15" customHeight="1" x14ac:dyDescent="0.3">
      <c r="A545" s="13"/>
      <c r="B545" s="1">
        <v>10</v>
      </c>
      <c r="C545" s="1">
        <v>267</v>
      </c>
      <c r="D545" s="1">
        <v>1</v>
      </c>
      <c r="E545" s="5">
        <v>1</v>
      </c>
      <c r="F545" s="3">
        <f t="shared" si="72"/>
        <v>10</v>
      </c>
      <c r="G545" s="5">
        <v>2</v>
      </c>
      <c r="H545" s="3">
        <f t="shared" si="59"/>
        <v>3.1415926535897931</v>
      </c>
      <c r="I545" s="4">
        <v>3.1415999999999999E-2</v>
      </c>
      <c r="K545" s="3">
        <v>263.73173001482019</v>
      </c>
      <c r="L545" s="3">
        <v>207.40606</v>
      </c>
      <c r="M545" s="3">
        <v>1232.36393</v>
      </c>
      <c r="N545" s="12">
        <f t="shared" si="35"/>
        <v>1.0000023384349969E-2</v>
      </c>
      <c r="O545" s="11">
        <f t="shared" si="36"/>
        <v>314.15999999999997</v>
      </c>
      <c r="P545" s="1">
        <v>10</v>
      </c>
      <c r="Q545" s="1">
        <v>1</v>
      </c>
      <c r="R545" s="3">
        <f>Q545*VLOOKUP(P545,[4]Datos!$A$2:$D$14,2)</f>
        <v>8.19</v>
      </c>
      <c r="S545" s="10">
        <f t="shared" si="60"/>
        <v>39</v>
      </c>
      <c r="T545" s="2">
        <v>55</v>
      </c>
      <c r="U545" s="3">
        <f t="shared" si="61"/>
        <v>0.1</v>
      </c>
      <c r="V545" s="3"/>
      <c r="W545" s="1">
        <v>280</v>
      </c>
      <c r="X545" s="9">
        <v>2</v>
      </c>
      <c r="Y545" s="1">
        <v>6</v>
      </c>
      <c r="Z545" s="3">
        <f>X545*VLOOKUP(Y545,[4]Datos!$A$2:$D$14,2)</f>
        <v>5.68</v>
      </c>
      <c r="AA545" s="8">
        <v>0.15</v>
      </c>
      <c r="AB545" s="7">
        <f t="shared" si="37"/>
        <v>115.05235319041492</v>
      </c>
      <c r="AC545" s="7">
        <f t="shared" si="62"/>
        <v>207.30517717217134</v>
      </c>
      <c r="AD545" s="6" t="str">
        <f t="shared" si="38"/>
        <v>Cumple</v>
      </c>
      <c r="AE545" s="6"/>
      <c r="AH545" s="3"/>
    </row>
    <row r="546" spans="1:43" ht="15" customHeight="1" x14ac:dyDescent="0.3">
      <c r="A546" s="13"/>
      <c r="B546" s="1">
        <v>11</v>
      </c>
      <c r="C546" s="1">
        <v>269</v>
      </c>
      <c r="D546" s="1">
        <v>1</v>
      </c>
      <c r="E546" s="5">
        <v>1</v>
      </c>
      <c r="F546" s="3">
        <f t="shared" si="72"/>
        <v>11</v>
      </c>
      <c r="G546" s="5">
        <v>2</v>
      </c>
      <c r="H546" s="3">
        <f t="shared" si="59"/>
        <v>3.1415926535897931</v>
      </c>
      <c r="I546" s="4">
        <v>3.1415999999999999E-2</v>
      </c>
      <c r="K546" s="3">
        <v>246.66257503279658</v>
      </c>
      <c r="L546" s="3">
        <v>188.39696000000001</v>
      </c>
      <c r="M546" s="3">
        <v>970.34081000000003</v>
      </c>
      <c r="N546" s="12">
        <f t="shared" si="35"/>
        <v>1.0000023384349969E-2</v>
      </c>
      <c r="O546" s="11">
        <f t="shared" si="36"/>
        <v>314.15999999999997</v>
      </c>
      <c r="P546" s="1">
        <v>10</v>
      </c>
      <c r="Q546" s="1">
        <v>1</v>
      </c>
      <c r="R546" s="3">
        <f>Q546*VLOOKUP(P546,[4]Datos!$A$2:$D$14,2)</f>
        <v>8.19</v>
      </c>
      <c r="S546" s="10">
        <f t="shared" si="60"/>
        <v>39</v>
      </c>
      <c r="T546" s="2">
        <v>55</v>
      </c>
      <c r="U546" s="3">
        <f t="shared" si="61"/>
        <v>0.1</v>
      </c>
      <c r="V546" s="3"/>
      <c r="W546" s="1">
        <v>280</v>
      </c>
      <c r="X546" s="9">
        <v>2</v>
      </c>
      <c r="Y546" s="1">
        <v>6</v>
      </c>
      <c r="Z546" s="3">
        <f>X546*VLOOKUP(Y546,[4]Datos!$A$2:$D$14,2)</f>
        <v>5.68</v>
      </c>
      <c r="AA546" s="8">
        <v>0.15</v>
      </c>
      <c r="AB546" s="7">
        <f t="shared" si="37"/>
        <v>115.05235319041492</v>
      </c>
      <c r="AC546" s="7">
        <f t="shared" si="62"/>
        <v>207.30517717217134</v>
      </c>
      <c r="AD546" s="6" t="str">
        <f t="shared" si="38"/>
        <v>Cumple</v>
      </c>
      <c r="AE546" s="6"/>
      <c r="AH546" s="3"/>
    </row>
    <row r="547" spans="1:43" ht="15" customHeight="1" x14ac:dyDescent="0.3">
      <c r="A547" s="13"/>
      <c r="B547" s="1">
        <v>12</v>
      </c>
      <c r="C547" s="1">
        <v>271</v>
      </c>
      <c r="D547" s="1">
        <v>1</v>
      </c>
      <c r="E547" s="5">
        <v>1</v>
      </c>
      <c r="F547" s="3">
        <f t="shared" si="72"/>
        <v>12</v>
      </c>
      <c r="G547" s="5">
        <v>2</v>
      </c>
      <c r="H547" s="3">
        <f t="shared" si="59"/>
        <v>3.1415926535897931</v>
      </c>
      <c r="I547" s="4">
        <v>3.1415999999999999E-2</v>
      </c>
      <c r="K547" s="3">
        <v>223.18892789798062</v>
      </c>
      <c r="L547" s="3">
        <v>164.68156999999999</v>
      </c>
      <c r="M547" s="3">
        <v>725.07072000000005</v>
      </c>
      <c r="N547" s="12">
        <f t="shared" si="35"/>
        <v>1.0000023384349969E-2</v>
      </c>
      <c r="O547" s="11">
        <f t="shared" si="36"/>
        <v>314.15999999999997</v>
      </c>
      <c r="P547" s="1">
        <v>10</v>
      </c>
      <c r="Q547" s="19">
        <v>1</v>
      </c>
      <c r="R547" s="3">
        <f>Q547*VLOOKUP(P547,[4]Datos!$A$2:$D$14,2)</f>
        <v>8.19</v>
      </c>
      <c r="S547" s="10">
        <f t="shared" si="60"/>
        <v>39</v>
      </c>
      <c r="T547" s="18">
        <v>55</v>
      </c>
      <c r="U547" s="3">
        <f t="shared" si="61"/>
        <v>0.1</v>
      </c>
      <c r="V547" s="3"/>
      <c r="W547" s="1">
        <v>280</v>
      </c>
      <c r="X547" s="9">
        <v>2</v>
      </c>
      <c r="Y547" s="1">
        <v>6</v>
      </c>
      <c r="Z547" s="3">
        <f>X547*VLOOKUP(Y547,[4]Datos!$A$2:$D$14,2)</f>
        <v>5.68</v>
      </c>
      <c r="AA547" s="8">
        <v>0.15</v>
      </c>
      <c r="AB547" s="7">
        <f t="shared" si="37"/>
        <v>115.05235319041492</v>
      </c>
      <c r="AC547" s="7">
        <f t="shared" si="62"/>
        <v>207.30517717217134</v>
      </c>
      <c r="AD547" s="6" t="str">
        <f t="shared" si="38"/>
        <v>Cumple</v>
      </c>
      <c r="AE547" s="6"/>
      <c r="AH547" s="3"/>
    </row>
    <row r="548" spans="1:43" ht="15" customHeight="1" x14ac:dyDescent="0.3">
      <c r="A548" s="13"/>
      <c r="B548" s="1">
        <v>13</v>
      </c>
      <c r="C548" s="1">
        <v>273</v>
      </c>
      <c r="D548" s="1">
        <v>1</v>
      </c>
      <c r="E548" s="5">
        <v>1</v>
      </c>
      <c r="F548" s="3">
        <f t="shared" si="72"/>
        <v>13</v>
      </c>
      <c r="G548" s="5">
        <v>2</v>
      </c>
      <c r="H548" s="3">
        <f t="shared" si="59"/>
        <v>3.1415926535897931</v>
      </c>
      <c r="I548" s="4">
        <v>3.1415999999999999E-2</v>
      </c>
      <c r="K548" s="3">
        <v>196.6979152249713</v>
      </c>
      <c r="L548" s="3">
        <v>141.26898</v>
      </c>
      <c r="M548" s="3">
        <v>503.15926000000002</v>
      </c>
      <c r="N548" s="12">
        <f t="shared" si="35"/>
        <v>1.0000023384349969E-2</v>
      </c>
      <c r="O548" s="11">
        <f t="shared" si="36"/>
        <v>314.15999999999997</v>
      </c>
      <c r="P548" s="1">
        <v>10</v>
      </c>
      <c r="Q548" s="19">
        <v>1</v>
      </c>
      <c r="R548" s="3">
        <f>Q548*VLOOKUP(P548,[4]Datos!$A$2:$D$14,2)</f>
        <v>8.19</v>
      </c>
      <c r="S548" s="10">
        <f t="shared" si="60"/>
        <v>39</v>
      </c>
      <c r="T548" s="18">
        <v>55</v>
      </c>
      <c r="U548" s="3">
        <f t="shared" si="61"/>
        <v>0.1</v>
      </c>
      <c r="V548" s="3"/>
      <c r="W548" s="1">
        <v>280</v>
      </c>
      <c r="X548" s="9">
        <v>2</v>
      </c>
      <c r="Y548" s="1">
        <v>6</v>
      </c>
      <c r="Z548" s="3">
        <f>X548*VLOOKUP(Y548,[4]Datos!$A$2:$D$14,2)</f>
        <v>5.68</v>
      </c>
      <c r="AA548" s="8">
        <v>0.15</v>
      </c>
      <c r="AB548" s="7">
        <f t="shared" si="37"/>
        <v>115.05235319041492</v>
      </c>
      <c r="AC548" s="7">
        <f t="shared" si="62"/>
        <v>207.30517717217134</v>
      </c>
      <c r="AD548" s="6" t="str">
        <f t="shared" si="38"/>
        <v>Cumple</v>
      </c>
      <c r="AE548" s="6"/>
      <c r="AH548" s="3"/>
    </row>
    <row r="549" spans="1:43" ht="15" customHeight="1" x14ac:dyDescent="0.3">
      <c r="A549" s="13"/>
      <c r="B549" s="1">
        <v>14</v>
      </c>
      <c r="C549" s="1">
        <v>275</v>
      </c>
      <c r="D549" s="1">
        <v>1</v>
      </c>
      <c r="E549" s="5">
        <v>1</v>
      </c>
      <c r="F549" s="3">
        <f t="shared" si="72"/>
        <v>14</v>
      </c>
      <c r="G549" s="5">
        <v>2</v>
      </c>
      <c r="H549" s="3">
        <f t="shared" si="59"/>
        <v>3.1415926535897931</v>
      </c>
      <c r="I549" s="4">
        <v>3.1415999999999999E-2</v>
      </c>
      <c r="K549" s="3">
        <v>143.51285811919433</v>
      </c>
      <c r="L549" s="3">
        <v>115.59319000000001</v>
      </c>
      <c r="M549" s="3">
        <v>307.96177</v>
      </c>
      <c r="N549" s="12">
        <f t="shared" si="35"/>
        <v>1.0000023384349969E-2</v>
      </c>
      <c r="O549" s="11">
        <f t="shared" si="36"/>
        <v>314.15999999999997</v>
      </c>
      <c r="P549" s="1">
        <v>10</v>
      </c>
      <c r="Q549" s="19">
        <v>1</v>
      </c>
      <c r="R549" s="3">
        <f>Q549*VLOOKUP(P549,[4]Datos!$A$2:$D$14,2)</f>
        <v>8.19</v>
      </c>
      <c r="S549" s="10">
        <f t="shared" si="60"/>
        <v>39</v>
      </c>
      <c r="T549" s="18">
        <v>55</v>
      </c>
      <c r="U549" s="3">
        <f t="shared" si="61"/>
        <v>0.1</v>
      </c>
      <c r="V549" s="3"/>
      <c r="W549" s="1">
        <v>280</v>
      </c>
      <c r="X549" s="9">
        <v>2</v>
      </c>
      <c r="Y549" s="1">
        <v>4</v>
      </c>
      <c r="Z549" s="3">
        <f>X549*VLOOKUP(Y549,[4]Datos!$A$2:$D$14,2)</f>
        <v>2.58</v>
      </c>
      <c r="AA549" s="8">
        <v>0.3</v>
      </c>
      <c r="AB549" s="7">
        <f t="shared" si="37"/>
        <v>115.05235319041492</v>
      </c>
      <c r="AC549" s="7">
        <f t="shared" si="62"/>
        <v>47.081633547905106</v>
      </c>
      <c r="AD549" s="6" t="str">
        <f t="shared" si="38"/>
        <v>Cumple</v>
      </c>
      <c r="AE549" s="6"/>
      <c r="AH549" s="3"/>
    </row>
    <row r="550" spans="1:43" ht="15" customHeight="1" x14ac:dyDescent="0.3">
      <c r="A550" s="13"/>
      <c r="B550" s="1">
        <v>15</v>
      </c>
      <c r="C550" s="1">
        <v>277</v>
      </c>
      <c r="D550" s="1">
        <v>1</v>
      </c>
      <c r="E550" s="5">
        <v>1</v>
      </c>
      <c r="F550" s="3">
        <f t="shared" si="72"/>
        <v>15</v>
      </c>
      <c r="G550" s="5">
        <v>2</v>
      </c>
      <c r="H550" s="3">
        <f t="shared" si="59"/>
        <v>3.1415926535897931</v>
      </c>
      <c r="I550" s="4">
        <v>3.1415999999999999E-2</v>
      </c>
      <c r="K550" s="3">
        <v>94.879632430411533</v>
      </c>
      <c r="L550" s="3">
        <v>88.897810000000007</v>
      </c>
      <c r="M550" s="3">
        <v>166.22361000000001</v>
      </c>
      <c r="N550" s="12">
        <f t="shared" si="35"/>
        <v>1.0000023384349969E-2</v>
      </c>
      <c r="O550" s="11">
        <f t="shared" si="36"/>
        <v>314.15999999999997</v>
      </c>
      <c r="P550" s="1">
        <v>10</v>
      </c>
      <c r="Q550" s="1">
        <v>1</v>
      </c>
      <c r="R550" s="3">
        <f>Q550*VLOOKUP(P550,[4]Datos!$A$2:$D$14,2)</f>
        <v>8.19</v>
      </c>
      <c r="S550" s="10">
        <f t="shared" si="60"/>
        <v>39</v>
      </c>
      <c r="T550" s="2">
        <v>39</v>
      </c>
      <c r="U550" s="3">
        <f t="shared" si="61"/>
        <v>0.14000000000000001</v>
      </c>
      <c r="V550" s="3"/>
      <c r="W550" s="1">
        <v>280</v>
      </c>
      <c r="X550" s="9">
        <v>2</v>
      </c>
      <c r="Y550" s="1">
        <v>4</v>
      </c>
      <c r="Z550" s="3">
        <f>X550*VLOOKUP(Y550,[4]Datos!$A$2:$D$14,2)</f>
        <v>2.58</v>
      </c>
      <c r="AA550" s="8">
        <v>0.3</v>
      </c>
      <c r="AB550" s="7">
        <f t="shared" si="37"/>
        <v>115.05235319041492</v>
      </c>
      <c r="AC550" s="7">
        <f t="shared" si="62"/>
        <v>47.081633547905106</v>
      </c>
      <c r="AD550" s="6" t="str">
        <f t="shared" si="38"/>
        <v>Cumple</v>
      </c>
      <c r="AE550" s="6"/>
      <c r="AH550" s="3"/>
    </row>
    <row r="551" spans="1:43" ht="15" customHeight="1" x14ac:dyDescent="0.3">
      <c r="A551" s="13"/>
      <c r="B551" s="1">
        <v>16</v>
      </c>
      <c r="C551" s="1">
        <v>279</v>
      </c>
      <c r="D551" s="1">
        <v>1</v>
      </c>
      <c r="E551" s="5">
        <v>1</v>
      </c>
      <c r="F551" s="3">
        <f t="shared" si="72"/>
        <v>16</v>
      </c>
      <c r="G551" s="5">
        <v>2</v>
      </c>
      <c r="H551" s="3">
        <f t="shared" si="59"/>
        <v>3.1415926535897931</v>
      </c>
      <c r="I551" s="4">
        <v>3.1415999999999999E-2</v>
      </c>
      <c r="K551" s="3">
        <v>54.213680272879465</v>
      </c>
      <c r="L551" s="3">
        <v>63.324019999999997</v>
      </c>
      <c r="M551" s="3">
        <v>73.997550000000004</v>
      </c>
      <c r="N551" s="12">
        <f t="shared" si="35"/>
        <v>1.0000023384349969E-2</v>
      </c>
      <c r="O551" s="11">
        <f t="shared" si="36"/>
        <v>314.15999999999997</v>
      </c>
      <c r="P551" s="1">
        <v>10</v>
      </c>
      <c r="Q551" s="1">
        <v>1</v>
      </c>
      <c r="R551" s="3">
        <f>Q551*VLOOKUP(P551,[4]Datos!$A$2:$D$14,2)</f>
        <v>8.19</v>
      </c>
      <c r="S551" s="10">
        <f t="shared" si="60"/>
        <v>39</v>
      </c>
      <c r="T551" s="2">
        <v>39</v>
      </c>
      <c r="U551" s="3">
        <f t="shared" si="61"/>
        <v>0.14000000000000001</v>
      </c>
      <c r="V551" s="3"/>
      <c r="W551" s="1">
        <v>280</v>
      </c>
      <c r="X551" s="9">
        <v>2</v>
      </c>
      <c r="Y551" s="1">
        <v>4</v>
      </c>
      <c r="Z551" s="3">
        <f>X551*VLOOKUP(Y551,[4]Datos!$A$2:$D$14,2)</f>
        <v>2.58</v>
      </c>
      <c r="AA551" s="8">
        <v>0.3</v>
      </c>
      <c r="AB551" s="7">
        <f t="shared" si="37"/>
        <v>115.05235319041492</v>
      </c>
      <c r="AC551" s="7">
        <f t="shared" si="62"/>
        <v>47.081633547905106</v>
      </c>
      <c r="AD551" s="6" t="str">
        <f t="shared" si="38"/>
        <v>Cumple</v>
      </c>
      <c r="AE551" s="6"/>
      <c r="AH551" s="3"/>
    </row>
    <row r="552" spans="1:43" ht="15" customHeight="1" x14ac:dyDescent="0.3">
      <c r="A552" s="13"/>
      <c r="B552" s="1">
        <v>17</v>
      </c>
      <c r="C552" s="1">
        <v>281</v>
      </c>
      <c r="D552" s="1">
        <v>1</v>
      </c>
      <c r="E552" s="5">
        <v>1</v>
      </c>
      <c r="F552" s="3">
        <f t="shared" si="72"/>
        <v>17</v>
      </c>
      <c r="G552" s="5">
        <v>2</v>
      </c>
      <c r="H552" s="3">
        <f t="shared" si="59"/>
        <v>3.1415926535897931</v>
      </c>
      <c r="I552" s="4">
        <v>3.1415999999999999E-2</v>
      </c>
      <c r="K552" s="3">
        <v>24.319072265610789</v>
      </c>
      <c r="L552" s="3">
        <v>40.676319999999997</v>
      </c>
      <c r="M552" s="3">
        <v>28.944980000000001</v>
      </c>
      <c r="N552" s="12">
        <f t="shared" si="35"/>
        <v>1.0000023384349969E-2</v>
      </c>
      <c r="O552" s="11">
        <f t="shared" si="36"/>
        <v>314.15999999999997</v>
      </c>
      <c r="P552" s="1">
        <v>10</v>
      </c>
      <c r="Q552" s="1">
        <v>1</v>
      </c>
      <c r="R552" s="3">
        <f>Q552*VLOOKUP(P552,[4]Datos!$A$2:$D$14,2)</f>
        <v>8.19</v>
      </c>
      <c r="S552" s="10">
        <f t="shared" si="60"/>
        <v>39</v>
      </c>
      <c r="T552" s="2">
        <v>39</v>
      </c>
      <c r="U552" s="3">
        <f t="shared" si="61"/>
        <v>0.14000000000000001</v>
      </c>
      <c r="V552" s="3"/>
      <c r="W552" s="1">
        <v>280</v>
      </c>
      <c r="X552" s="9">
        <v>2</v>
      </c>
      <c r="Y552" s="1">
        <v>4</v>
      </c>
      <c r="Z552" s="3">
        <f>X552*VLOOKUP(Y552,[4]Datos!$A$2:$D$14,2)</f>
        <v>2.58</v>
      </c>
      <c r="AA552" s="8">
        <v>0.3</v>
      </c>
      <c r="AB552" s="7">
        <f t="shared" si="37"/>
        <v>115.05235319041492</v>
      </c>
      <c r="AC552" s="7">
        <f t="shared" si="62"/>
        <v>47.081633547905106</v>
      </c>
      <c r="AD552" s="6" t="str">
        <f t="shared" si="38"/>
        <v>Cumple</v>
      </c>
      <c r="AE552" s="6"/>
      <c r="AH552" s="3"/>
    </row>
    <row r="553" spans="1:43" ht="15" customHeight="1" x14ac:dyDescent="0.3">
      <c r="A553" s="13"/>
      <c r="B553" s="1">
        <v>18</v>
      </c>
      <c r="C553" s="1">
        <v>283</v>
      </c>
      <c r="D553" s="1">
        <v>1</v>
      </c>
      <c r="E553" s="5">
        <v>1</v>
      </c>
      <c r="F553" s="3">
        <f t="shared" si="72"/>
        <v>18</v>
      </c>
      <c r="G553" s="5">
        <v>2</v>
      </c>
      <c r="H553" s="3">
        <f t="shared" si="59"/>
        <v>3.1415926535897931</v>
      </c>
      <c r="I553" s="4">
        <v>3.1415999999999999E-2</v>
      </c>
      <c r="K553" s="3">
        <v>14.392418933938798</v>
      </c>
      <c r="L553" s="3">
        <v>22.256869999999999</v>
      </c>
      <c r="M553" s="3">
        <v>16.528770000000002</v>
      </c>
      <c r="N553" s="12">
        <f t="shared" si="35"/>
        <v>1.0000023384349969E-2</v>
      </c>
      <c r="O553" s="11">
        <f t="shared" si="36"/>
        <v>314.15999999999997</v>
      </c>
      <c r="P553" s="1">
        <v>10</v>
      </c>
      <c r="Q553" s="1">
        <v>1</v>
      </c>
      <c r="R553" s="3">
        <f>Q553*VLOOKUP(P553,[4]Datos!$A$2:$D$14,2)</f>
        <v>8.19</v>
      </c>
      <c r="S553" s="10">
        <f t="shared" si="60"/>
        <v>39</v>
      </c>
      <c r="T553" s="2">
        <v>39</v>
      </c>
      <c r="U553" s="3">
        <f t="shared" si="61"/>
        <v>0.14000000000000001</v>
      </c>
      <c r="V553" s="3"/>
      <c r="W553" s="1">
        <v>280</v>
      </c>
      <c r="X553" s="9">
        <v>2</v>
      </c>
      <c r="Y553" s="1">
        <v>4</v>
      </c>
      <c r="Z553" s="3">
        <f>X553*VLOOKUP(Y553,[4]Datos!$A$2:$D$14,2)</f>
        <v>2.58</v>
      </c>
      <c r="AA553" s="8">
        <v>0.3</v>
      </c>
      <c r="AB553" s="7">
        <f t="shared" si="37"/>
        <v>115.05235319041492</v>
      </c>
      <c r="AC553" s="7">
        <f t="shared" si="62"/>
        <v>47.081633547905106</v>
      </c>
      <c r="AD553" s="6" t="str">
        <f t="shared" si="38"/>
        <v>Cumple</v>
      </c>
      <c r="AE553" s="6"/>
      <c r="AH553" s="3"/>
    </row>
    <row r="554" spans="1:43" ht="15" customHeight="1" x14ac:dyDescent="0.3">
      <c r="A554" s="13"/>
      <c r="B554" s="1">
        <v>19</v>
      </c>
      <c r="C554" s="1">
        <v>285</v>
      </c>
      <c r="D554" s="1">
        <v>1</v>
      </c>
      <c r="E554" s="5">
        <v>1</v>
      </c>
      <c r="F554" s="3">
        <f t="shared" si="72"/>
        <v>19</v>
      </c>
      <c r="G554" s="5">
        <v>2</v>
      </c>
      <c r="H554" s="3">
        <f t="shared" si="59"/>
        <v>3.1415926535897931</v>
      </c>
      <c r="I554" s="4">
        <v>3.1415999999999999E-2</v>
      </c>
      <c r="K554" s="3">
        <v>9.8813593826962904</v>
      </c>
      <c r="L554" s="3">
        <v>8.6274499999999996</v>
      </c>
      <c r="M554" s="3">
        <v>8.8952100000000005</v>
      </c>
      <c r="N554" s="12">
        <f t="shared" si="35"/>
        <v>1.0000023384349969E-2</v>
      </c>
      <c r="O554" s="11">
        <f t="shared" si="36"/>
        <v>314.15999999999997</v>
      </c>
      <c r="P554" s="1">
        <v>10</v>
      </c>
      <c r="Q554" s="1">
        <v>1</v>
      </c>
      <c r="R554" s="3">
        <f>Q554*VLOOKUP(P554,[4]Datos!$A$2:$D$14,2)</f>
        <v>8.19</v>
      </c>
      <c r="S554" s="10">
        <f t="shared" si="60"/>
        <v>39</v>
      </c>
      <c r="T554" s="2">
        <v>39</v>
      </c>
      <c r="U554" s="3">
        <f t="shared" si="61"/>
        <v>0.14000000000000001</v>
      </c>
      <c r="V554" s="3"/>
      <c r="W554" s="1">
        <v>280</v>
      </c>
      <c r="X554" s="9">
        <v>2</v>
      </c>
      <c r="Y554" s="1">
        <v>4</v>
      </c>
      <c r="Z554" s="3">
        <f>X554*VLOOKUP(Y554,[4]Datos!$A$2:$D$14,2)</f>
        <v>2.58</v>
      </c>
      <c r="AA554" s="8">
        <v>0.3</v>
      </c>
      <c r="AB554" s="7">
        <f t="shared" si="37"/>
        <v>115.05235319041492</v>
      </c>
      <c r="AC554" s="7">
        <f t="shared" si="62"/>
        <v>47.081633547905106</v>
      </c>
      <c r="AD554" s="6" t="str">
        <f t="shared" si="38"/>
        <v>Cumple</v>
      </c>
      <c r="AE554" s="6"/>
      <c r="AH554" s="3"/>
    </row>
    <row r="555" spans="1:43" ht="15" customHeight="1" x14ac:dyDescent="0.3">
      <c r="A555" s="13" t="s">
        <v>14</v>
      </c>
      <c r="B555" s="1">
        <v>1</v>
      </c>
      <c r="C555" s="1">
        <v>248</v>
      </c>
      <c r="D555" s="1">
        <v>1</v>
      </c>
      <c r="E555" s="5">
        <v>1</v>
      </c>
      <c r="F555" s="3">
        <f>E555</f>
        <v>1</v>
      </c>
      <c r="G555" s="5">
        <v>2</v>
      </c>
      <c r="H555" s="3">
        <f t="shared" si="59"/>
        <v>3.1415926535897931</v>
      </c>
      <c r="I555" s="4">
        <v>7.7330999999999997E-2</v>
      </c>
      <c r="K555" s="3">
        <v>125.47662726946402</v>
      </c>
      <c r="L555" s="3">
        <v>369.40733999999998</v>
      </c>
      <c r="M555" s="3">
        <v>2433.2402000000002</v>
      </c>
      <c r="N555" s="12">
        <f t="shared" si="35"/>
        <v>2.4615221808478718E-2</v>
      </c>
      <c r="O555" s="11">
        <f t="shared" si="36"/>
        <v>773.31</v>
      </c>
      <c r="P555" s="1">
        <v>10</v>
      </c>
      <c r="Q555" s="1">
        <v>2</v>
      </c>
      <c r="R555" s="3">
        <f>Q555*VLOOKUP(P555,[4]Datos!$A$2:$D$14,2)</f>
        <v>16.38</v>
      </c>
      <c r="S555" s="10">
        <f t="shared" si="60"/>
        <v>48</v>
      </c>
      <c r="T555" s="2">
        <v>49</v>
      </c>
      <c r="U555" s="3">
        <f t="shared" si="61"/>
        <v>0.11</v>
      </c>
      <c r="V555" s="3"/>
      <c r="W555" s="1">
        <v>280</v>
      </c>
      <c r="X555" s="9">
        <v>2</v>
      </c>
      <c r="Y555" s="1">
        <v>6</v>
      </c>
      <c r="Z555" s="3">
        <f>X555*VLOOKUP(Y555,[4]Datos!$A$2:$D$14,2)</f>
        <v>5.68</v>
      </c>
      <c r="AA555" s="8">
        <v>7.4999999999999997E-2</v>
      </c>
      <c r="AB555" s="7">
        <f t="shared" si="37"/>
        <v>115.05235319041492</v>
      </c>
      <c r="AC555" s="7">
        <f t="shared" si="62"/>
        <v>414.61035434434268</v>
      </c>
      <c r="AD555" s="6" t="str">
        <f t="shared" si="38"/>
        <v>Cumple</v>
      </c>
      <c r="AE555" s="6"/>
      <c r="AG555" s="7">
        <f>ROUNDUP(MAX(0.45,3*G555,),0)</f>
        <v>6</v>
      </c>
      <c r="AH555" s="3">
        <f t="shared" ref="AH555:AH560" si="73">PI()*(G555-0.15)^2/4</f>
        <v>2.6880252142277672</v>
      </c>
      <c r="AI555" s="7">
        <f>G555-0.15-VLOOKUP(Y555,[4]Datos!$A$2:$D$14,3)/100</f>
        <v>1.8309000000000002</v>
      </c>
      <c r="AJ555" s="7">
        <f t="shared" ref="AJ555:AJ560" si="74">SQRT((PI()*AI555)^2+AA555^2)</f>
        <v>5.7524309339691264</v>
      </c>
      <c r="AK555" s="1">
        <v>0.12</v>
      </c>
      <c r="AL555" s="16">
        <f t="shared" ref="AL555:AL560" si="75">MAX(0.45*(H555/AH555-1),AK555)*(W555/4220)</f>
        <v>7.9620853080568724E-3</v>
      </c>
      <c r="AM555" s="7">
        <f t="shared" ref="AM555:AM560" si="76">AG555*(AJ555/AA555)</f>
        <v>460.19447471753017</v>
      </c>
      <c r="AN555" s="17">
        <f t="shared" ref="AN555:AN560" si="77">AM555*Z555/X555/10000</f>
        <v>0.13069523081977857</v>
      </c>
      <c r="AO555" s="17">
        <f t="shared" ref="AO555:AO560" si="78">AH555*AG555</f>
        <v>16.128151285366602</v>
      </c>
      <c r="AP555" s="16">
        <f t="shared" ref="AP555:AP560" si="79">AN555/AO555</f>
        <v>8.1035469290495193E-3</v>
      </c>
      <c r="AQ555" s="6" t="str">
        <f t="shared" ref="AQ555:AQ560" si="80">+IF(AP555&gt;AL555,"Cumple","No Cumple")</f>
        <v>Cumple</v>
      </c>
    </row>
    <row r="556" spans="1:43" ht="15" customHeight="1" x14ac:dyDescent="0.3">
      <c r="A556" s="13"/>
      <c r="B556" s="1">
        <v>2</v>
      </c>
      <c r="C556" s="1">
        <v>250</v>
      </c>
      <c r="D556" s="1">
        <v>1</v>
      </c>
      <c r="E556" s="5">
        <v>1</v>
      </c>
      <c r="F556" s="3">
        <f>F555+E556</f>
        <v>2</v>
      </c>
      <c r="G556" s="5">
        <v>2</v>
      </c>
      <c r="H556" s="3">
        <f t="shared" si="59"/>
        <v>3.1415926535897931</v>
      </c>
      <c r="I556" s="4">
        <v>7.8537999999999997E-2</v>
      </c>
      <c r="K556" s="3">
        <v>118.91463451539511</v>
      </c>
      <c r="L556" s="3">
        <v>273.21802000000002</v>
      </c>
      <c r="M556" s="3">
        <v>2470.6500099999998</v>
      </c>
      <c r="N556" s="12">
        <f t="shared" si="35"/>
        <v>2.4999421841102553E-2</v>
      </c>
      <c r="O556" s="11">
        <f t="shared" si="36"/>
        <v>785.38</v>
      </c>
      <c r="P556" s="1">
        <v>10</v>
      </c>
      <c r="Q556" s="1">
        <v>2</v>
      </c>
      <c r="R556" s="3">
        <f>Q556*VLOOKUP(P556,[4]Datos!$A$2:$D$14,2)</f>
        <v>16.38</v>
      </c>
      <c r="S556" s="10">
        <f t="shared" si="60"/>
        <v>48</v>
      </c>
      <c r="T556" s="2">
        <v>49</v>
      </c>
      <c r="U556" s="3">
        <f t="shared" si="61"/>
        <v>0.11</v>
      </c>
      <c r="V556" s="3"/>
      <c r="W556" s="1">
        <v>280</v>
      </c>
      <c r="X556" s="9">
        <v>2</v>
      </c>
      <c r="Y556" s="1">
        <v>6</v>
      </c>
      <c r="Z556" s="3">
        <f>X556*VLOOKUP(Y556,[4]Datos!$A$2:$D$14,2)</f>
        <v>5.68</v>
      </c>
      <c r="AA556" s="8">
        <v>7.4999999999999997E-2</v>
      </c>
      <c r="AB556" s="7">
        <f t="shared" si="37"/>
        <v>115.05235319041492</v>
      </c>
      <c r="AC556" s="7">
        <f t="shared" si="62"/>
        <v>414.61035434434268</v>
      </c>
      <c r="AD556" s="6" t="str">
        <f t="shared" si="38"/>
        <v>Cumple</v>
      </c>
      <c r="AE556" s="6"/>
      <c r="AG556" s="7">
        <f t="shared" ref="AG556:AG560" si="81">ROUNDUP(MAX(0.45,3*G556,),0)</f>
        <v>6</v>
      </c>
      <c r="AH556" s="3">
        <f t="shared" si="73"/>
        <v>2.6880252142277672</v>
      </c>
      <c r="AI556" s="7">
        <f>G556-0.15-VLOOKUP(Y556,[4]Datos!$A$2:$D$14,3)/100</f>
        <v>1.8309000000000002</v>
      </c>
      <c r="AJ556" s="7">
        <f t="shared" si="74"/>
        <v>5.7524309339691264</v>
      </c>
      <c r="AK556" s="1">
        <v>0.12</v>
      </c>
      <c r="AL556" s="16">
        <f t="shared" si="75"/>
        <v>7.9620853080568724E-3</v>
      </c>
      <c r="AM556" s="7">
        <f t="shared" si="76"/>
        <v>460.19447471753017</v>
      </c>
      <c r="AN556" s="17">
        <f t="shared" si="77"/>
        <v>0.13069523081977857</v>
      </c>
      <c r="AO556" s="17">
        <f t="shared" si="78"/>
        <v>16.128151285366602</v>
      </c>
      <c r="AP556" s="16">
        <f t="shared" si="79"/>
        <v>8.1035469290495193E-3</v>
      </c>
      <c r="AQ556" s="6" t="str">
        <f t="shared" si="80"/>
        <v>Cumple</v>
      </c>
    </row>
    <row r="557" spans="1:43" ht="15" customHeight="1" x14ac:dyDescent="0.3">
      <c r="A557" s="13"/>
      <c r="B557" s="1">
        <v>3</v>
      </c>
      <c r="C557" s="1">
        <v>252</v>
      </c>
      <c r="D557" s="1">
        <v>1</v>
      </c>
      <c r="E557" s="5">
        <v>1</v>
      </c>
      <c r="F557" s="3">
        <f t="shared" ref="F557:F573" si="82">F556+E557</f>
        <v>3</v>
      </c>
      <c r="G557" s="5">
        <v>2</v>
      </c>
      <c r="H557" s="3">
        <f t="shared" si="59"/>
        <v>3.1415926535897931</v>
      </c>
      <c r="I557" s="4">
        <v>7.8538999999999998E-2</v>
      </c>
      <c r="K557" s="3">
        <v>109.70768208384499</v>
      </c>
      <c r="L557" s="3">
        <v>189.42515</v>
      </c>
      <c r="M557" s="3">
        <v>2470.6500099999998</v>
      </c>
      <c r="N557" s="12">
        <f t="shared" si="35"/>
        <v>2.4999740150988735E-2</v>
      </c>
      <c r="O557" s="11">
        <f t="shared" si="36"/>
        <v>785.39</v>
      </c>
      <c r="P557" s="1">
        <v>10</v>
      </c>
      <c r="Q557" s="1">
        <v>2</v>
      </c>
      <c r="R557" s="3">
        <f>Q557*VLOOKUP(P557,[4]Datos!$A$2:$D$14,2)</f>
        <v>16.38</v>
      </c>
      <c r="S557" s="10">
        <f t="shared" si="60"/>
        <v>48</v>
      </c>
      <c r="T557" s="2">
        <v>49</v>
      </c>
      <c r="U557" s="3">
        <f t="shared" si="61"/>
        <v>0.11</v>
      </c>
      <c r="V557" s="3"/>
      <c r="W557" s="1">
        <v>280</v>
      </c>
      <c r="X557" s="9">
        <v>2</v>
      </c>
      <c r="Y557" s="1">
        <v>6</v>
      </c>
      <c r="Z557" s="3">
        <f>X557*VLOOKUP(Y557,[4]Datos!$A$2:$D$14,2)</f>
        <v>5.68</v>
      </c>
      <c r="AA557" s="8">
        <v>7.4999999999999997E-2</v>
      </c>
      <c r="AB557" s="7">
        <f t="shared" si="37"/>
        <v>115.05235319041492</v>
      </c>
      <c r="AC557" s="7">
        <f t="shared" si="62"/>
        <v>414.61035434434268</v>
      </c>
      <c r="AD557" s="6" t="str">
        <f t="shared" si="38"/>
        <v>Cumple</v>
      </c>
      <c r="AE557" s="6"/>
      <c r="AG557" s="7">
        <f t="shared" si="81"/>
        <v>6</v>
      </c>
      <c r="AH557" s="3">
        <f t="shared" si="73"/>
        <v>2.6880252142277672</v>
      </c>
      <c r="AI557" s="7">
        <f>G557-0.15-VLOOKUP(Y557,[4]Datos!$A$2:$D$14,3)/100</f>
        <v>1.8309000000000002</v>
      </c>
      <c r="AJ557" s="7">
        <f t="shared" si="74"/>
        <v>5.7524309339691264</v>
      </c>
      <c r="AK557" s="1">
        <v>0.12</v>
      </c>
      <c r="AL557" s="16">
        <f t="shared" si="75"/>
        <v>7.9620853080568724E-3</v>
      </c>
      <c r="AM557" s="7">
        <f t="shared" si="76"/>
        <v>460.19447471753017</v>
      </c>
      <c r="AN557" s="17">
        <f t="shared" si="77"/>
        <v>0.13069523081977857</v>
      </c>
      <c r="AO557" s="17">
        <f t="shared" si="78"/>
        <v>16.128151285366602</v>
      </c>
      <c r="AP557" s="16">
        <f t="shared" si="79"/>
        <v>8.1035469290495193E-3</v>
      </c>
      <c r="AQ557" s="6" t="str">
        <f t="shared" si="80"/>
        <v>Cumple</v>
      </c>
    </row>
    <row r="558" spans="1:43" ht="15" customHeight="1" x14ac:dyDescent="0.3">
      <c r="A558" s="13"/>
      <c r="B558" s="1">
        <v>4</v>
      </c>
      <c r="C558" s="1">
        <v>254</v>
      </c>
      <c r="D558" s="1">
        <v>1</v>
      </c>
      <c r="E558" s="5">
        <v>1</v>
      </c>
      <c r="F558" s="3">
        <f t="shared" si="82"/>
        <v>4</v>
      </c>
      <c r="G558" s="5">
        <v>2</v>
      </c>
      <c r="H558" s="3">
        <f t="shared" si="59"/>
        <v>3.1415926535897931</v>
      </c>
      <c r="I558" s="4">
        <v>7.7438999999999994E-2</v>
      </c>
      <c r="K558" s="3">
        <v>113.13572520128201</v>
      </c>
      <c r="L558" s="3">
        <v>138.50903</v>
      </c>
      <c r="M558" s="3">
        <v>2448.77018</v>
      </c>
      <c r="N558" s="12">
        <f t="shared" si="35"/>
        <v>2.4649599276186564E-2</v>
      </c>
      <c r="O558" s="11">
        <f t="shared" si="36"/>
        <v>774.39</v>
      </c>
      <c r="P558" s="1">
        <v>10</v>
      </c>
      <c r="Q558" s="1">
        <v>2</v>
      </c>
      <c r="R558" s="3">
        <f>Q558*VLOOKUP(P558,[4]Datos!$A$2:$D$14,2)</f>
        <v>16.38</v>
      </c>
      <c r="S558" s="10">
        <f t="shared" si="60"/>
        <v>48</v>
      </c>
      <c r="T558" s="2">
        <v>49</v>
      </c>
      <c r="U558" s="3">
        <f t="shared" si="61"/>
        <v>0.11</v>
      </c>
      <c r="V558" s="3"/>
      <c r="W558" s="1">
        <v>280</v>
      </c>
      <c r="X558" s="9">
        <v>2</v>
      </c>
      <c r="Y558" s="1">
        <v>6</v>
      </c>
      <c r="Z558" s="3">
        <f>X558*VLOOKUP(Y558,[4]Datos!$A$2:$D$14,2)</f>
        <v>5.68</v>
      </c>
      <c r="AA558" s="8">
        <v>7.4999999999999997E-2</v>
      </c>
      <c r="AB558" s="7">
        <f t="shared" si="37"/>
        <v>115.05235319041492</v>
      </c>
      <c r="AC558" s="7">
        <f t="shared" si="62"/>
        <v>414.61035434434268</v>
      </c>
      <c r="AD558" s="6" t="str">
        <f t="shared" si="38"/>
        <v>Cumple</v>
      </c>
      <c r="AE558" s="6"/>
      <c r="AG558" s="7">
        <f t="shared" si="81"/>
        <v>6</v>
      </c>
      <c r="AH558" s="3">
        <f t="shared" si="73"/>
        <v>2.6880252142277672</v>
      </c>
      <c r="AI558" s="7">
        <f>G558-0.15-VLOOKUP(Y558,[4]Datos!$A$2:$D$14,3)/100</f>
        <v>1.8309000000000002</v>
      </c>
      <c r="AJ558" s="7">
        <f t="shared" si="74"/>
        <v>5.7524309339691264</v>
      </c>
      <c r="AK558" s="1">
        <v>0.12</v>
      </c>
      <c r="AL558" s="16">
        <f t="shared" si="75"/>
        <v>7.9620853080568724E-3</v>
      </c>
      <c r="AM558" s="7">
        <f t="shared" si="76"/>
        <v>460.19447471753017</v>
      </c>
      <c r="AN558" s="17">
        <f t="shared" si="77"/>
        <v>0.13069523081977857</v>
      </c>
      <c r="AO558" s="17">
        <f t="shared" si="78"/>
        <v>16.128151285366602</v>
      </c>
      <c r="AP558" s="16">
        <f t="shared" si="79"/>
        <v>8.1035469290495193E-3</v>
      </c>
      <c r="AQ558" s="6" t="str">
        <f t="shared" si="80"/>
        <v>Cumple</v>
      </c>
    </row>
    <row r="559" spans="1:43" ht="15" customHeight="1" x14ac:dyDescent="0.3">
      <c r="A559" s="13"/>
      <c r="B559" s="1">
        <v>5</v>
      </c>
      <c r="C559" s="1">
        <v>256</v>
      </c>
      <c r="D559" s="1">
        <v>1</v>
      </c>
      <c r="E559" s="5">
        <v>1</v>
      </c>
      <c r="F559" s="3">
        <f t="shared" si="82"/>
        <v>5</v>
      </c>
      <c r="G559" s="5">
        <v>2</v>
      </c>
      <c r="H559" s="3">
        <f t="shared" si="59"/>
        <v>3.1415926535897931</v>
      </c>
      <c r="I559" s="4">
        <v>7.3463000000000001E-2</v>
      </c>
      <c r="K559" s="3">
        <v>162.36723625781158</v>
      </c>
      <c r="L559" s="3">
        <v>164.32930999999999</v>
      </c>
      <c r="M559" s="3">
        <v>2360.52682</v>
      </c>
      <c r="N559" s="12">
        <f t="shared" si="35"/>
        <v>2.3383999168719815E-2</v>
      </c>
      <c r="O559" s="11">
        <f t="shared" si="36"/>
        <v>734.63</v>
      </c>
      <c r="P559" s="1">
        <v>10</v>
      </c>
      <c r="Q559" s="1">
        <v>2</v>
      </c>
      <c r="R559" s="3">
        <f>Q559*VLOOKUP(P559,[4]Datos!$A$2:$D$14,2)</f>
        <v>16.38</v>
      </c>
      <c r="S559" s="10">
        <f t="shared" si="60"/>
        <v>45</v>
      </c>
      <c r="T559" s="2">
        <v>49</v>
      </c>
      <c r="U559" s="3">
        <f t="shared" si="61"/>
        <v>0.11</v>
      </c>
      <c r="V559" s="3"/>
      <c r="W559" s="1">
        <v>280</v>
      </c>
      <c r="X559" s="9">
        <v>2</v>
      </c>
      <c r="Y559" s="1">
        <v>6</v>
      </c>
      <c r="Z559" s="3">
        <f>X559*VLOOKUP(Y559,[4]Datos!$A$2:$D$14,2)</f>
        <v>5.68</v>
      </c>
      <c r="AA559" s="8">
        <v>7.4999999999999997E-2</v>
      </c>
      <c r="AB559" s="7">
        <f t="shared" si="37"/>
        <v>115.05235319041492</v>
      </c>
      <c r="AC559" s="7">
        <f t="shared" si="62"/>
        <v>414.61035434434268</v>
      </c>
      <c r="AD559" s="6" t="str">
        <f t="shared" si="38"/>
        <v>Cumple</v>
      </c>
      <c r="AE559" s="6"/>
      <c r="AG559" s="7">
        <f t="shared" si="81"/>
        <v>6</v>
      </c>
      <c r="AH559" s="3">
        <f t="shared" si="73"/>
        <v>2.6880252142277672</v>
      </c>
      <c r="AI559" s="7">
        <f>G559-0.15-VLOOKUP(Y559,[4]Datos!$A$2:$D$14,3)/100</f>
        <v>1.8309000000000002</v>
      </c>
      <c r="AJ559" s="7">
        <f t="shared" si="74"/>
        <v>5.7524309339691264</v>
      </c>
      <c r="AK559" s="1">
        <v>0.12</v>
      </c>
      <c r="AL559" s="16">
        <f t="shared" si="75"/>
        <v>7.9620853080568724E-3</v>
      </c>
      <c r="AM559" s="7">
        <f t="shared" si="76"/>
        <v>460.19447471753017</v>
      </c>
      <c r="AN559" s="17">
        <f t="shared" si="77"/>
        <v>0.13069523081977857</v>
      </c>
      <c r="AO559" s="17">
        <f t="shared" si="78"/>
        <v>16.128151285366602</v>
      </c>
      <c r="AP559" s="16">
        <f t="shared" si="79"/>
        <v>8.1035469290495193E-3</v>
      </c>
      <c r="AQ559" s="6" t="str">
        <f t="shared" si="80"/>
        <v>Cumple</v>
      </c>
    </row>
    <row r="560" spans="1:43" ht="15" customHeight="1" x14ac:dyDescent="0.3">
      <c r="A560" s="13"/>
      <c r="B560" s="1">
        <v>6</v>
      </c>
      <c r="C560" s="1">
        <v>258</v>
      </c>
      <c r="D560" s="1">
        <v>1</v>
      </c>
      <c r="E560" s="5">
        <v>1</v>
      </c>
      <c r="F560" s="3">
        <f t="shared" si="82"/>
        <v>6</v>
      </c>
      <c r="G560" s="5">
        <v>2</v>
      </c>
      <c r="H560" s="3">
        <f t="shared" si="59"/>
        <v>3.1415926535897931</v>
      </c>
      <c r="I560" s="4">
        <v>6.6589999999999996E-2</v>
      </c>
      <c r="K560" s="3">
        <v>210.26938592845605</v>
      </c>
      <c r="L560" s="3">
        <v>194.9134</v>
      </c>
      <c r="M560" s="3">
        <v>2209.43595</v>
      </c>
      <c r="N560" s="12">
        <f t="shared" ref="N560:N623" si="83">I560/H560</f>
        <v>2.1196255320978619E-2</v>
      </c>
      <c r="O560" s="11">
        <f t="shared" ref="O560:O623" si="84">I560*10000</f>
        <v>665.9</v>
      </c>
      <c r="P560" s="1">
        <v>10</v>
      </c>
      <c r="Q560" s="19">
        <v>2</v>
      </c>
      <c r="R560" s="3">
        <f>Q560*VLOOKUP(P560,[4]Datos!$A$2:$D$14,2)</f>
        <v>16.38</v>
      </c>
      <c r="S560" s="10">
        <f t="shared" si="60"/>
        <v>41</v>
      </c>
      <c r="T560" s="18">
        <v>49</v>
      </c>
      <c r="U560" s="3">
        <f t="shared" si="61"/>
        <v>0.11</v>
      </c>
      <c r="V560" s="3"/>
      <c r="W560" s="1">
        <v>280</v>
      </c>
      <c r="X560" s="9">
        <v>2</v>
      </c>
      <c r="Y560" s="1">
        <v>6</v>
      </c>
      <c r="Z560" s="3">
        <f>X560*VLOOKUP(Y560,[4]Datos!$A$2:$D$14,2)</f>
        <v>5.68</v>
      </c>
      <c r="AA560" s="8">
        <v>7.4999999999999997E-2</v>
      </c>
      <c r="AB560" s="7">
        <f t="shared" ref="AB560:AB623" si="85">IF(D560=0,0.9,0.5)*0.9*0.53*SQRT(W560)*G560*MAX(0.72*G560,0.9*((G560/2)+((G560-0.11)/PI())))*10</f>
        <v>115.05235319041492</v>
      </c>
      <c r="AC560" s="7">
        <f t="shared" si="62"/>
        <v>414.61035434434268</v>
      </c>
      <c r="AD560" s="6" t="str">
        <f t="shared" ref="AD560:AD623" si="86">+IF(AC560&gt;K560-AB560,"Cumple","No Cumple")</f>
        <v>Cumple</v>
      </c>
      <c r="AE560" s="6"/>
      <c r="AG560" s="7">
        <f t="shared" si="81"/>
        <v>6</v>
      </c>
      <c r="AH560" s="3">
        <f t="shared" si="73"/>
        <v>2.6880252142277672</v>
      </c>
      <c r="AI560" s="7">
        <f>G560-0.15-VLOOKUP(Y560,[4]Datos!$A$2:$D$14,3)/100</f>
        <v>1.8309000000000002</v>
      </c>
      <c r="AJ560" s="7">
        <f t="shared" si="74"/>
        <v>5.7524309339691264</v>
      </c>
      <c r="AK560" s="1">
        <v>0.12</v>
      </c>
      <c r="AL560" s="16">
        <f t="shared" si="75"/>
        <v>7.9620853080568724E-3</v>
      </c>
      <c r="AM560" s="7">
        <f t="shared" si="76"/>
        <v>460.19447471753017</v>
      </c>
      <c r="AN560" s="17">
        <f t="shared" si="77"/>
        <v>0.13069523081977857</v>
      </c>
      <c r="AO560" s="17">
        <f t="shared" si="78"/>
        <v>16.128151285366602</v>
      </c>
      <c r="AP560" s="16">
        <f t="shared" si="79"/>
        <v>8.1035469290495193E-3</v>
      </c>
      <c r="AQ560" s="6" t="str">
        <f t="shared" si="80"/>
        <v>Cumple</v>
      </c>
    </row>
    <row r="561" spans="1:43" ht="15" customHeight="1" x14ac:dyDescent="0.3">
      <c r="A561" s="13"/>
      <c r="B561" s="1">
        <v>7</v>
      </c>
      <c r="C561" s="1">
        <v>260</v>
      </c>
      <c r="D561" s="1">
        <v>1</v>
      </c>
      <c r="E561" s="5">
        <v>1</v>
      </c>
      <c r="F561" s="3">
        <f t="shared" si="82"/>
        <v>7</v>
      </c>
      <c r="G561" s="5">
        <v>2</v>
      </c>
      <c r="H561" s="3">
        <f t="shared" si="59"/>
        <v>3.1415926535897931</v>
      </c>
      <c r="I561" s="4">
        <v>5.6938999999999997E-2</v>
      </c>
      <c r="K561" s="3">
        <v>245.55887685477794</v>
      </c>
      <c r="L561" s="3">
        <v>213.37228999999999</v>
      </c>
      <c r="M561" s="3">
        <v>2006.12563</v>
      </c>
      <c r="N561" s="12">
        <f t="shared" si="83"/>
        <v>1.8124246609418856E-2</v>
      </c>
      <c r="O561" s="11">
        <f t="shared" si="84"/>
        <v>569.39</v>
      </c>
      <c r="P561" s="1">
        <v>10</v>
      </c>
      <c r="Q561" s="19">
        <v>2</v>
      </c>
      <c r="R561" s="3">
        <f>Q561*VLOOKUP(P561,[4]Datos!$A$2:$D$14,2)</f>
        <v>16.38</v>
      </c>
      <c r="S561" s="10">
        <f t="shared" si="60"/>
        <v>35</v>
      </c>
      <c r="T561" s="18">
        <v>49</v>
      </c>
      <c r="U561" s="3">
        <f t="shared" si="61"/>
        <v>0.11</v>
      </c>
      <c r="V561" s="3"/>
      <c r="W561" s="1">
        <v>280</v>
      </c>
      <c r="X561" s="9">
        <v>2</v>
      </c>
      <c r="Y561" s="1">
        <v>6</v>
      </c>
      <c r="Z561" s="3">
        <f>X561*VLOOKUP(Y561,[4]Datos!$A$2:$D$14,2)</f>
        <v>5.68</v>
      </c>
      <c r="AA561" s="8">
        <v>0.15</v>
      </c>
      <c r="AB561" s="7">
        <f t="shared" si="85"/>
        <v>115.05235319041492</v>
      </c>
      <c r="AC561" s="7">
        <f t="shared" si="62"/>
        <v>207.30517717217134</v>
      </c>
      <c r="AD561" s="6" t="str">
        <f t="shared" si="86"/>
        <v>Cumple</v>
      </c>
      <c r="AE561" s="6"/>
      <c r="AH561" s="3"/>
    </row>
    <row r="562" spans="1:43" ht="15" customHeight="1" x14ac:dyDescent="0.3">
      <c r="A562" s="13"/>
      <c r="B562" s="1">
        <v>8</v>
      </c>
      <c r="C562" s="1">
        <v>262</v>
      </c>
      <c r="D562" s="1">
        <v>1</v>
      </c>
      <c r="E562" s="5">
        <v>1</v>
      </c>
      <c r="F562" s="3">
        <f t="shared" si="82"/>
        <v>8</v>
      </c>
      <c r="G562" s="5">
        <v>2</v>
      </c>
      <c r="H562" s="3">
        <f t="shared" si="59"/>
        <v>3.1415926535897931</v>
      </c>
      <c r="I562" s="4">
        <v>5.1346999999999997E-2</v>
      </c>
      <c r="K562" s="3">
        <v>265.77477132619265</v>
      </c>
      <c r="L562" s="3">
        <v>218.97146000000001</v>
      </c>
      <c r="M562" s="3">
        <v>1765.20742</v>
      </c>
      <c r="N562" s="12">
        <f t="shared" si="83"/>
        <v>1.6344257725879101E-2</v>
      </c>
      <c r="O562" s="11">
        <f t="shared" si="84"/>
        <v>513.46999999999991</v>
      </c>
      <c r="P562" s="1">
        <v>10</v>
      </c>
      <c r="Q562" s="19">
        <v>2</v>
      </c>
      <c r="R562" s="3">
        <f>Q562*VLOOKUP(P562,[4]Datos!$A$2:$D$14,2)</f>
        <v>16.38</v>
      </c>
      <c r="S562" s="10">
        <f t="shared" si="60"/>
        <v>32</v>
      </c>
      <c r="T562" s="18">
        <v>49</v>
      </c>
      <c r="U562" s="3">
        <f t="shared" si="61"/>
        <v>0.11</v>
      </c>
      <c r="V562" s="3"/>
      <c r="W562" s="1">
        <v>280</v>
      </c>
      <c r="X562" s="9">
        <v>2</v>
      </c>
      <c r="Y562" s="1">
        <v>6</v>
      </c>
      <c r="Z562" s="3">
        <f>X562*VLOOKUP(Y562,[4]Datos!$A$2:$D$14,2)</f>
        <v>5.68</v>
      </c>
      <c r="AA562" s="8">
        <v>0.15</v>
      </c>
      <c r="AB562" s="7">
        <f t="shared" si="85"/>
        <v>115.05235319041492</v>
      </c>
      <c r="AC562" s="7">
        <f t="shared" si="62"/>
        <v>207.30517717217134</v>
      </c>
      <c r="AD562" s="6" t="str">
        <f t="shared" si="86"/>
        <v>Cumple</v>
      </c>
      <c r="AE562" s="6"/>
      <c r="AH562" s="3"/>
    </row>
    <row r="563" spans="1:43" ht="15" customHeight="1" x14ac:dyDescent="0.3">
      <c r="A563" s="13"/>
      <c r="B563" s="1">
        <v>9</v>
      </c>
      <c r="C563" s="1">
        <v>264</v>
      </c>
      <c r="D563" s="1">
        <v>1</v>
      </c>
      <c r="E563" s="5">
        <v>1</v>
      </c>
      <c r="F563" s="3">
        <f t="shared" si="82"/>
        <v>9</v>
      </c>
      <c r="G563" s="5">
        <v>2</v>
      </c>
      <c r="H563" s="3">
        <f t="shared" si="59"/>
        <v>3.1415926535897931</v>
      </c>
      <c r="I563" s="4">
        <v>4.2436000000000001E-2</v>
      </c>
      <c r="K563" s="3">
        <v>271.26159917098477</v>
      </c>
      <c r="L563" s="3">
        <v>218.97145</v>
      </c>
      <c r="M563" s="3">
        <v>1502.6432600000001</v>
      </c>
      <c r="N563" s="12">
        <f t="shared" si="83"/>
        <v>1.3507798330095341E-2</v>
      </c>
      <c r="O563" s="11">
        <f t="shared" si="84"/>
        <v>424.36</v>
      </c>
      <c r="P563" s="1">
        <v>10</v>
      </c>
      <c r="Q563" s="1">
        <v>1</v>
      </c>
      <c r="R563" s="3">
        <f>Q563*VLOOKUP(P563,[4]Datos!$A$2:$D$14,2)</f>
        <v>8.19</v>
      </c>
      <c r="S563" s="10">
        <f t="shared" si="60"/>
        <v>52</v>
      </c>
      <c r="T563" s="2">
        <v>55</v>
      </c>
      <c r="U563" s="3">
        <f t="shared" si="61"/>
        <v>0.1</v>
      </c>
      <c r="V563" s="3"/>
      <c r="W563" s="1">
        <v>280</v>
      </c>
      <c r="X563" s="9">
        <v>2</v>
      </c>
      <c r="Y563" s="1">
        <v>6</v>
      </c>
      <c r="Z563" s="3">
        <f>X563*VLOOKUP(Y563,[4]Datos!$A$2:$D$14,2)</f>
        <v>5.68</v>
      </c>
      <c r="AA563" s="8">
        <v>0.15</v>
      </c>
      <c r="AB563" s="7">
        <f t="shared" si="85"/>
        <v>115.05235319041492</v>
      </c>
      <c r="AC563" s="7">
        <f t="shared" si="62"/>
        <v>207.30517717217134</v>
      </c>
      <c r="AD563" s="6" t="str">
        <f t="shared" si="86"/>
        <v>Cumple</v>
      </c>
      <c r="AE563" s="6"/>
      <c r="AH563" s="3"/>
    </row>
    <row r="564" spans="1:43" ht="15" customHeight="1" x14ac:dyDescent="0.3">
      <c r="A564" s="13"/>
      <c r="B564" s="1">
        <v>10</v>
      </c>
      <c r="C564" s="1">
        <v>266</v>
      </c>
      <c r="D564" s="1">
        <v>1</v>
      </c>
      <c r="E564" s="5">
        <v>1</v>
      </c>
      <c r="F564" s="3">
        <f t="shared" si="82"/>
        <v>10</v>
      </c>
      <c r="G564" s="5">
        <v>2</v>
      </c>
      <c r="H564" s="3">
        <f t="shared" si="59"/>
        <v>3.1415926535897931</v>
      </c>
      <c r="I564" s="4">
        <v>3.1415999999999999E-2</v>
      </c>
      <c r="K564" s="3">
        <v>264.00918509968551</v>
      </c>
      <c r="L564" s="3">
        <v>213.14384000000001</v>
      </c>
      <c r="M564" s="3">
        <v>1233.6876099999999</v>
      </c>
      <c r="N564" s="12">
        <f t="shared" si="83"/>
        <v>1.0000023384349969E-2</v>
      </c>
      <c r="O564" s="11">
        <f t="shared" si="84"/>
        <v>314.15999999999997</v>
      </c>
      <c r="P564" s="1">
        <v>10</v>
      </c>
      <c r="Q564" s="1">
        <v>1</v>
      </c>
      <c r="R564" s="3">
        <f>Q564*VLOOKUP(P564,[4]Datos!$A$2:$D$14,2)</f>
        <v>8.19</v>
      </c>
      <c r="S564" s="10">
        <f t="shared" si="60"/>
        <v>39</v>
      </c>
      <c r="T564" s="2">
        <v>55</v>
      </c>
      <c r="U564" s="3">
        <f t="shared" si="61"/>
        <v>0.1</v>
      </c>
      <c r="V564" s="3"/>
      <c r="W564" s="1">
        <v>280</v>
      </c>
      <c r="X564" s="9">
        <v>2</v>
      </c>
      <c r="Y564" s="1">
        <v>6</v>
      </c>
      <c r="Z564" s="3">
        <f>X564*VLOOKUP(Y564,[4]Datos!$A$2:$D$14,2)</f>
        <v>5.68</v>
      </c>
      <c r="AA564" s="8">
        <v>0.15</v>
      </c>
      <c r="AB564" s="7">
        <f t="shared" si="85"/>
        <v>115.05235319041492</v>
      </c>
      <c r="AC564" s="7">
        <f t="shared" si="62"/>
        <v>207.30517717217134</v>
      </c>
      <c r="AD564" s="6" t="str">
        <f t="shared" si="86"/>
        <v>Cumple</v>
      </c>
      <c r="AE564" s="6"/>
      <c r="AH564" s="3"/>
    </row>
    <row r="565" spans="1:43" ht="15" customHeight="1" x14ac:dyDescent="0.3">
      <c r="A565" s="13"/>
      <c r="B565" s="1">
        <v>11</v>
      </c>
      <c r="C565" s="1">
        <v>268</v>
      </c>
      <c r="D565" s="1">
        <v>1</v>
      </c>
      <c r="E565" s="5">
        <v>1</v>
      </c>
      <c r="F565" s="3">
        <f t="shared" si="82"/>
        <v>11</v>
      </c>
      <c r="G565" s="5">
        <v>2</v>
      </c>
      <c r="H565" s="3">
        <f t="shared" si="59"/>
        <v>3.1415926535897931</v>
      </c>
      <c r="I565" s="4">
        <v>3.1415999999999999E-2</v>
      </c>
      <c r="K565" s="3">
        <v>246.93706703467993</v>
      </c>
      <c r="L565" s="3">
        <v>198.12381999999999</v>
      </c>
      <c r="M565" s="3">
        <v>971.42733999999996</v>
      </c>
      <c r="N565" s="12">
        <f t="shared" si="83"/>
        <v>1.0000023384349969E-2</v>
      </c>
      <c r="O565" s="11">
        <f t="shared" si="84"/>
        <v>314.15999999999997</v>
      </c>
      <c r="P565" s="1">
        <v>10</v>
      </c>
      <c r="Q565" s="1">
        <v>1</v>
      </c>
      <c r="R565" s="3">
        <f>Q565*VLOOKUP(P565,[4]Datos!$A$2:$D$14,2)</f>
        <v>8.19</v>
      </c>
      <c r="S565" s="10">
        <f t="shared" si="60"/>
        <v>39</v>
      </c>
      <c r="T565" s="2">
        <v>55</v>
      </c>
      <c r="U565" s="3">
        <f t="shared" si="61"/>
        <v>0.1</v>
      </c>
      <c r="V565" s="3"/>
      <c r="W565" s="1">
        <v>280</v>
      </c>
      <c r="X565" s="9">
        <v>2</v>
      </c>
      <c r="Y565" s="1">
        <v>6</v>
      </c>
      <c r="Z565" s="3">
        <f>X565*VLOOKUP(Y565,[4]Datos!$A$2:$D$14,2)</f>
        <v>5.68</v>
      </c>
      <c r="AA565" s="8">
        <v>0.15</v>
      </c>
      <c r="AB565" s="7">
        <f t="shared" si="85"/>
        <v>115.05235319041492</v>
      </c>
      <c r="AC565" s="7">
        <f t="shared" si="62"/>
        <v>207.30517717217134</v>
      </c>
      <c r="AD565" s="6" t="str">
        <f t="shared" si="86"/>
        <v>Cumple</v>
      </c>
      <c r="AE565" s="6"/>
      <c r="AH565" s="3"/>
    </row>
    <row r="566" spans="1:43" ht="15" customHeight="1" x14ac:dyDescent="0.3">
      <c r="A566" s="13"/>
      <c r="B566" s="1">
        <v>12</v>
      </c>
      <c r="C566" s="1">
        <v>270</v>
      </c>
      <c r="D566" s="1">
        <v>1</v>
      </c>
      <c r="E566" s="5">
        <v>1</v>
      </c>
      <c r="F566" s="3">
        <f t="shared" si="82"/>
        <v>12</v>
      </c>
      <c r="G566" s="5">
        <v>2</v>
      </c>
      <c r="H566" s="3">
        <f t="shared" si="59"/>
        <v>3.1415926535897931</v>
      </c>
      <c r="I566" s="4">
        <v>3.1415999999999999E-2</v>
      </c>
      <c r="K566" s="3">
        <v>223.43611164791602</v>
      </c>
      <c r="L566" s="3">
        <v>176.34258</v>
      </c>
      <c r="M566" s="3">
        <v>725.89616999999998</v>
      </c>
      <c r="N566" s="12">
        <f t="shared" si="83"/>
        <v>1.0000023384349969E-2</v>
      </c>
      <c r="O566" s="11">
        <f t="shared" si="84"/>
        <v>314.15999999999997</v>
      </c>
      <c r="P566" s="1">
        <v>10</v>
      </c>
      <c r="Q566" s="19">
        <v>1</v>
      </c>
      <c r="R566" s="3">
        <f>Q566*VLOOKUP(P566,[4]Datos!$A$2:$D$14,2)</f>
        <v>8.19</v>
      </c>
      <c r="S566" s="10">
        <f t="shared" si="60"/>
        <v>39</v>
      </c>
      <c r="T566" s="18">
        <v>55</v>
      </c>
      <c r="U566" s="3">
        <f t="shared" si="61"/>
        <v>0.1</v>
      </c>
      <c r="V566" s="3"/>
      <c r="W566" s="1">
        <v>280</v>
      </c>
      <c r="X566" s="9">
        <v>2</v>
      </c>
      <c r="Y566" s="1">
        <v>6</v>
      </c>
      <c r="Z566" s="3">
        <f>X566*VLOOKUP(Y566,[4]Datos!$A$2:$D$14,2)</f>
        <v>5.68</v>
      </c>
      <c r="AA566" s="8">
        <v>0.15</v>
      </c>
      <c r="AB566" s="7">
        <f t="shared" si="85"/>
        <v>115.05235319041492</v>
      </c>
      <c r="AC566" s="7">
        <f t="shared" si="62"/>
        <v>207.30517717217134</v>
      </c>
      <c r="AD566" s="6" t="str">
        <f t="shared" si="86"/>
        <v>Cumple</v>
      </c>
      <c r="AE566" s="6"/>
      <c r="AH566" s="3"/>
    </row>
    <row r="567" spans="1:43" ht="15" customHeight="1" x14ac:dyDescent="0.3">
      <c r="A567" s="13"/>
      <c r="B567" s="1">
        <v>13</v>
      </c>
      <c r="C567" s="1">
        <v>272</v>
      </c>
      <c r="D567" s="1">
        <v>1</v>
      </c>
      <c r="E567" s="5">
        <v>1</v>
      </c>
      <c r="F567" s="3">
        <f t="shared" si="82"/>
        <v>13</v>
      </c>
      <c r="G567" s="5">
        <v>2</v>
      </c>
      <c r="H567" s="3">
        <f t="shared" si="59"/>
        <v>3.1415926535897931</v>
      </c>
      <c r="I567" s="4">
        <v>3.1415999999999999E-2</v>
      </c>
      <c r="K567" s="3">
        <v>196.90136136553247</v>
      </c>
      <c r="L567" s="3">
        <v>150.08753999999999</v>
      </c>
      <c r="M567" s="3">
        <v>503.71472999999997</v>
      </c>
      <c r="N567" s="12">
        <f t="shared" si="83"/>
        <v>1.0000023384349969E-2</v>
      </c>
      <c r="O567" s="11">
        <f t="shared" si="84"/>
        <v>314.15999999999997</v>
      </c>
      <c r="P567" s="1">
        <v>10</v>
      </c>
      <c r="Q567" s="19">
        <v>1</v>
      </c>
      <c r="R567" s="3">
        <f>Q567*VLOOKUP(P567,[4]Datos!$A$2:$D$14,2)</f>
        <v>8.19</v>
      </c>
      <c r="S567" s="10">
        <f t="shared" si="60"/>
        <v>39</v>
      </c>
      <c r="T567" s="18">
        <v>55</v>
      </c>
      <c r="U567" s="3">
        <f t="shared" si="61"/>
        <v>0.1</v>
      </c>
      <c r="V567" s="3"/>
      <c r="W567" s="1">
        <v>280</v>
      </c>
      <c r="X567" s="9">
        <v>2</v>
      </c>
      <c r="Y567" s="1">
        <v>6</v>
      </c>
      <c r="Z567" s="3">
        <f>X567*VLOOKUP(Y567,[4]Datos!$A$2:$D$14,2)</f>
        <v>5.68</v>
      </c>
      <c r="AA567" s="8">
        <v>0.15</v>
      </c>
      <c r="AB567" s="7">
        <f t="shared" si="85"/>
        <v>115.05235319041492</v>
      </c>
      <c r="AC567" s="7">
        <f t="shared" si="62"/>
        <v>207.30517717217134</v>
      </c>
      <c r="AD567" s="6" t="str">
        <f t="shared" si="86"/>
        <v>Cumple</v>
      </c>
      <c r="AE567" s="6"/>
      <c r="AH567" s="3"/>
    </row>
    <row r="568" spans="1:43" ht="15" customHeight="1" x14ac:dyDescent="0.3">
      <c r="A568" s="13"/>
      <c r="B568" s="1">
        <v>14</v>
      </c>
      <c r="C568" s="1">
        <v>274</v>
      </c>
      <c r="D568" s="1">
        <v>1</v>
      </c>
      <c r="E568" s="5">
        <v>1</v>
      </c>
      <c r="F568" s="3">
        <f t="shared" si="82"/>
        <v>14</v>
      </c>
      <c r="G568" s="5">
        <v>2</v>
      </c>
      <c r="H568" s="3">
        <f t="shared" si="59"/>
        <v>3.1415926535897931</v>
      </c>
      <c r="I568" s="4">
        <v>3.1415999999999999E-2</v>
      </c>
      <c r="K568" s="3">
        <v>143.6055245802194</v>
      </c>
      <c r="L568" s="3">
        <v>121.32698000000001</v>
      </c>
      <c r="M568" s="3">
        <v>308.24095999999997</v>
      </c>
      <c r="N568" s="12">
        <f t="shared" si="83"/>
        <v>1.0000023384349969E-2</v>
      </c>
      <c r="O568" s="11">
        <f t="shared" si="84"/>
        <v>314.15999999999997</v>
      </c>
      <c r="P568" s="1">
        <v>10</v>
      </c>
      <c r="Q568" s="19">
        <v>1</v>
      </c>
      <c r="R568" s="3">
        <f>Q568*VLOOKUP(P568,[4]Datos!$A$2:$D$14,2)</f>
        <v>8.19</v>
      </c>
      <c r="S568" s="10">
        <f t="shared" si="60"/>
        <v>39</v>
      </c>
      <c r="T568" s="18">
        <v>55</v>
      </c>
      <c r="U568" s="3">
        <f t="shared" si="61"/>
        <v>0.1</v>
      </c>
      <c r="V568" s="3"/>
      <c r="W568" s="1">
        <v>280</v>
      </c>
      <c r="X568" s="9">
        <v>2</v>
      </c>
      <c r="Y568" s="1">
        <v>4</v>
      </c>
      <c r="Z568" s="3">
        <f>X568*VLOOKUP(Y568,[4]Datos!$A$2:$D$14,2)</f>
        <v>2.58</v>
      </c>
      <c r="AA568" s="8">
        <v>0.3</v>
      </c>
      <c r="AB568" s="7">
        <f t="shared" si="85"/>
        <v>115.05235319041492</v>
      </c>
      <c r="AC568" s="7">
        <f t="shared" si="62"/>
        <v>47.081633547905106</v>
      </c>
      <c r="AD568" s="6" t="str">
        <f t="shared" si="86"/>
        <v>Cumple</v>
      </c>
      <c r="AE568" s="6"/>
      <c r="AH568" s="3"/>
    </row>
    <row r="569" spans="1:43" ht="15" customHeight="1" x14ac:dyDescent="0.3">
      <c r="A569" s="13"/>
      <c r="B569" s="1">
        <v>15</v>
      </c>
      <c r="C569" s="1">
        <v>276</v>
      </c>
      <c r="D569" s="1">
        <v>1</v>
      </c>
      <c r="E569" s="5">
        <v>1</v>
      </c>
      <c r="F569" s="3">
        <f t="shared" si="82"/>
        <v>15</v>
      </c>
      <c r="G569" s="5">
        <v>2</v>
      </c>
      <c r="H569" s="3">
        <f t="shared" si="59"/>
        <v>3.1415926535897931</v>
      </c>
      <c r="I569" s="4">
        <v>3.1415999999999999E-2</v>
      </c>
      <c r="K569" s="3">
        <v>94.832037994182116</v>
      </c>
      <c r="L569" s="3">
        <v>92.062470000000005</v>
      </c>
      <c r="M569" s="3">
        <v>166.27515</v>
      </c>
      <c r="N569" s="12">
        <f t="shared" si="83"/>
        <v>1.0000023384349969E-2</v>
      </c>
      <c r="O569" s="11">
        <f t="shared" si="84"/>
        <v>314.15999999999997</v>
      </c>
      <c r="P569" s="1">
        <v>10</v>
      </c>
      <c r="Q569" s="1">
        <v>1</v>
      </c>
      <c r="R569" s="3">
        <f>Q569*VLOOKUP(P569,[4]Datos!$A$2:$D$14,2)</f>
        <v>8.19</v>
      </c>
      <c r="S569" s="10">
        <f t="shared" si="60"/>
        <v>39</v>
      </c>
      <c r="T569" s="2">
        <v>39</v>
      </c>
      <c r="U569" s="3">
        <f t="shared" si="61"/>
        <v>0.14000000000000001</v>
      </c>
      <c r="V569" s="3"/>
      <c r="W569" s="1">
        <v>280</v>
      </c>
      <c r="X569" s="9">
        <v>2</v>
      </c>
      <c r="Y569" s="1">
        <v>4</v>
      </c>
      <c r="Z569" s="3">
        <f>X569*VLOOKUP(Y569,[4]Datos!$A$2:$D$14,2)</f>
        <v>2.58</v>
      </c>
      <c r="AA569" s="8">
        <v>0.3</v>
      </c>
      <c r="AB569" s="7">
        <f t="shared" si="85"/>
        <v>115.05235319041492</v>
      </c>
      <c r="AC569" s="7">
        <f t="shared" si="62"/>
        <v>47.081633547905106</v>
      </c>
      <c r="AD569" s="6" t="str">
        <f t="shared" si="86"/>
        <v>Cumple</v>
      </c>
      <c r="AE569" s="6"/>
      <c r="AH569" s="3"/>
    </row>
    <row r="570" spans="1:43" ht="15" customHeight="1" x14ac:dyDescent="0.3">
      <c r="A570" s="13"/>
      <c r="B570" s="1">
        <v>16</v>
      </c>
      <c r="C570" s="1">
        <v>278</v>
      </c>
      <c r="D570" s="1">
        <v>1</v>
      </c>
      <c r="E570" s="5">
        <v>1</v>
      </c>
      <c r="F570" s="3">
        <f t="shared" si="82"/>
        <v>16</v>
      </c>
      <c r="G570" s="5">
        <v>2</v>
      </c>
      <c r="H570" s="3">
        <f t="shared" si="59"/>
        <v>3.1415926535897931</v>
      </c>
      <c r="I570" s="4">
        <v>3.1415999999999999E-2</v>
      </c>
      <c r="K570" s="3">
        <v>53.953918350106882</v>
      </c>
      <c r="L570" s="3">
        <v>64.758840000000006</v>
      </c>
      <c r="M570" s="3">
        <v>73.738330000000005</v>
      </c>
      <c r="N570" s="12">
        <f t="shared" si="83"/>
        <v>1.0000023384349969E-2</v>
      </c>
      <c r="O570" s="11">
        <f t="shared" si="84"/>
        <v>314.15999999999997</v>
      </c>
      <c r="P570" s="1">
        <v>10</v>
      </c>
      <c r="Q570" s="1">
        <v>1</v>
      </c>
      <c r="R570" s="3">
        <f>Q570*VLOOKUP(P570,[4]Datos!$A$2:$D$14,2)</f>
        <v>8.19</v>
      </c>
      <c r="S570" s="10">
        <f t="shared" si="60"/>
        <v>39</v>
      </c>
      <c r="T570" s="2">
        <v>39</v>
      </c>
      <c r="U570" s="3">
        <f t="shared" si="61"/>
        <v>0.14000000000000001</v>
      </c>
      <c r="V570" s="3"/>
      <c r="W570" s="1">
        <v>280</v>
      </c>
      <c r="X570" s="9">
        <v>2</v>
      </c>
      <c r="Y570" s="1">
        <v>4</v>
      </c>
      <c r="Z570" s="3">
        <f>X570*VLOOKUP(Y570,[4]Datos!$A$2:$D$14,2)</f>
        <v>2.58</v>
      </c>
      <c r="AA570" s="8">
        <v>0.3</v>
      </c>
      <c r="AB570" s="7">
        <f t="shared" si="85"/>
        <v>115.05235319041492</v>
      </c>
      <c r="AC570" s="7">
        <f t="shared" si="62"/>
        <v>47.081633547905106</v>
      </c>
      <c r="AD570" s="6" t="str">
        <f t="shared" si="86"/>
        <v>Cumple</v>
      </c>
      <c r="AE570" s="6"/>
      <c r="AH570" s="3"/>
    </row>
    <row r="571" spans="1:43" ht="15" customHeight="1" x14ac:dyDescent="0.3">
      <c r="A571" s="13"/>
      <c r="B571" s="1">
        <v>17</v>
      </c>
      <c r="C571" s="1">
        <v>280</v>
      </c>
      <c r="D571" s="1">
        <v>1</v>
      </c>
      <c r="E571" s="5">
        <v>1</v>
      </c>
      <c r="F571" s="3">
        <f t="shared" si="82"/>
        <v>17</v>
      </c>
      <c r="G571" s="5">
        <v>2</v>
      </c>
      <c r="H571" s="3">
        <f t="shared" si="59"/>
        <v>3.1415926535897931</v>
      </c>
      <c r="I571" s="4">
        <v>3.1415999999999999E-2</v>
      </c>
      <c r="K571" s="3">
        <v>23.667756994907652</v>
      </c>
      <c r="L571" s="3">
        <v>41.104199999999999</v>
      </c>
      <c r="M571" s="3">
        <v>29.025929999999999</v>
      </c>
      <c r="N571" s="12">
        <f t="shared" si="83"/>
        <v>1.0000023384349969E-2</v>
      </c>
      <c r="O571" s="11">
        <f t="shared" si="84"/>
        <v>314.15999999999997</v>
      </c>
      <c r="P571" s="1">
        <v>10</v>
      </c>
      <c r="Q571" s="1">
        <v>1</v>
      </c>
      <c r="R571" s="3">
        <f>Q571*VLOOKUP(P571,[4]Datos!$A$2:$D$14,2)</f>
        <v>8.19</v>
      </c>
      <c r="S571" s="10">
        <f t="shared" si="60"/>
        <v>39</v>
      </c>
      <c r="T571" s="2">
        <v>39</v>
      </c>
      <c r="U571" s="3">
        <f t="shared" si="61"/>
        <v>0.14000000000000001</v>
      </c>
      <c r="V571" s="3"/>
      <c r="W571" s="1">
        <v>280</v>
      </c>
      <c r="X571" s="9">
        <v>2</v>
      </c>
      <c r="Y571" s="1">
        <v>4</v>
      </c>
      <c r="Z571" s="3">
        <f>X571*VLOOKUP(Y571,[4]Datos!$A$2:$D$14,2)</f>
        <v>2.58</v>
      </c>
      <c r="AA571" s="8">
        <v>0.3</v>
      </c>
      <c r="AB571" s="7">
        <f t="shared" si="85"/>
        <v>115.05235319041492</v>
      </c>
      <c r="AC571" s="7">
        <f t="shared" si="62"/>
        <v>47.081633547905106</v>
      </c>
      <c r="AD571" s="6" t="str">
        <f t="shared" si="86"/>
        <v>Cumple</v>
      </c>
      <c r="AE571" s="6"/>
      <c r="AH571" s="3"/>
    </row>
    <row r="572" spans="1:43" ht="15" customHeight="1" x14ac:dyDescent="0.3">
      <c r="A572" s="13"/>
      <c r="B572" s="1">
        <v>18</v>
      </c>
      <c r="C572" s="1">
        <v>282</v>
      </c>
      <c r="D572" s="1">
        <v>1</v>
      </c>
      <c r="E572" s="5">
        <v>1</v>
      </c>
      <c r="F572" s="3">
        <f t="shared" si="82"/>
        <v>18</v>
      </c>
      <c r="G572" s="5">
        <v>2</v>
      </c>
      <c r="H572" s="3">
        <f t="shared" si="59"/>
        <v>3.1415926535897931</v>
      </c>
      <c r="I572" s="4">
        <v>3.1415999999999999E-2</v>
      </c>
      <c r="K572" s="3">
        <v>15.491658226284233</v>
      </c>
      <c r="L572" s="3">
        <v>22.16225</v>
      </c>
      <c r="M572" s="3">
        <v>16.415870000000002</v>
      </c>
      <c r="N572" s="12">
        <f t="shared" si="83"/>
        <v>1.0000023384349969E-2</v>
      </c>
      <c r="O572" s="11">
        <f t="shared" si="84"/>
        <v>314.15999999999997</v>
      </c>
      <c r="P572" s="1">
        <v>10</v>
      </c>
      <c r="Q572" s="1">
        <v>1</v>
      </c>
      <c r="R572" s="3">
        <f>Q572*VLOOKUP(P572,[4]Datos!$A$2:$D$14,2)</f>
        <v>8.19</v>
      </c>
      <c r="S572" s="10">
        <f t="shared" si="60"/>
        <v>39</v>
      </c>
      <c r="T572" s="2">
        <v>39</v>
      </c>
      <c r="U572" s="3">
        <f t="shared" si="61"/>
        <v>0.14000000000000001</v>
      </c>
      <c r="V572" s="3"/>
      <c r="W572" s="1">
        <v>280</v>
      </c>
      <c r="X572" s="9">
        <v>2</v>
      </c>
      <c r="Y572" s="1">
        <v>4</v>
      </c>
      <c r="Z572" s="3">
        <f>X572*VLOOKUP(Y572,[4]Datos!$A$2:$D$14,2)</f>
        <v>2.58</v>
      </c>
      <c r="AA572" s="8">
        <v>0.3</v>
      </c>
      <c r="AB572" s="7">
        <f t="shared" si="85"/>
        <v>115.05235319041492</v>
      </c>
      <c r="AC572" s="7">
        <f t="shared" si="62"/>
        <v>47.081633547905106</v>
      </c>
      <c r="AD572" s="6" t="str">
        <f t="shared" si="86"/>
        <v>Cumple</v>
      </c>
      <c r="AE572" s="6"/>
      <c r="AH572" s="3"/>
    </row>
    <row r="573" spans="1:43" ht="15" customHeight="1" x14ac:dyDescent="0.3">
      <c r="A573" s="13"/>
      <c r="B573" s="1">
        <v>19</v>
      </c>
      <c r="C573" s="1">
        <v>284</v>
      </c>
      <c r="D573" s="1">
        <v>1</v>
      </c>
      <c r="E573" s="5">
        <v>1</v>
      </c>
      <c r="F573" s="3">
        <f t="shared" si="82"/>
        <v>19</v>
      </c>
      <c r="G573" s="5">
        <v>2</v>
      </c>
      <c r="H573" s="3">
        <f t="shared" si="59"/>
        <v>3.1415926535897931</v>
      </c>
      <c r="I573" s="4">
        <v>3.1415999999999999E-2</v>
      </c>
      <c r="K573" s="3">
        <v>10.403918260443994</v>
      </c>
      <c r="L573" s="3">
        <v>8.4990600000000001</v>
      </c>
      <c r="M573" s="3">
        <v>8.8455200000000005</v>
      </c>
      <c r="N573" s="12">
        <f t="shared" si="83"/>
        <v>1.0000023384349969E-2</v>
      </c>
      <c r="O573" s="11">
        <f t="shared" si="84"/>
        <v>314.15999999999997</v>
      </c>
      <c r="P573" s="1">
        <v>10</v>
      </c>
      <c r="Q573" s="1">
        <v>1</v>
      </c>
      <c r="R573" s="3">
        <f>Q573*VLOOKUP(P573,[4]Datos!$A$2:$D$14,2)</f>
        <v>8.19</v>
      </c>
      <c r="S573" s="10">
        <f t="shared" si="60"/>
        <v>39</v>
      </c>
      <c r="T573" s="2">
        <v>39</v>
      </c>
      <c r="U573" s="3">
        <f t="shared" si="61"/>
        <v>0.14000000000000001</v>
      </c>
      <c r="V573" s="3"/>
      <c r="W573" s="1">
        <v>280</v>
      </c>
      <c r="X573" s="9">
        <v>2</v>
      </c>
      <c r="Y573" s="1">
        <v>4</v>
      </c>
      <c r="Z573" s="3">
        <f>X573*VLOOKUP(Y573,[4]Datos!$A$2:$D$14,2)</f>
        <v>2.58</v>
      </c>
      <c r="AA573" s="8">
        <v>0.3</v>
      </c>
      <c r="AB573" s="7">
        <f t="shared" si="85"/>
        <v>115.05235319041492</v>
      </c>
      <c r="AC573" s="7">
        <f t="shared" si="62"/>
        <v>47.081633547905106</v>
      </c>
      <c r="AD573" s="6" t="str">
        <f t="shared" si="86"/>
        <v>Cumple</v>
      </c>
      <c r="AE573" s="6"/>
      <c r="AH573" s="3"/>
    </row>
    <row r="574" spans="1:43" ht="15" customHeight="1" x14ac:dyDescent="0.3">
      <c r="A574" s="13" t="s">
        <v>13</v>
      </c>
      <c r="B574" s="1">
        <v>1</v>
      </c>
      <c r="C574" s="1">
        <v>49</v>
      </c>
      <c r="D574" s="1">
        <v>0</v>
      </c>
      <c r="E574" s="5">
        <v>1</v>
      </c>
      <c r="F574" s="3">
        <f>E574</f>
        <v>1</v>
      </c>
      <c r="G574" s="5">
        <v>2</v>
      </c>
      <c r="H574" s="3">
        <f t="shared" si="59"/>
        <v>3.1415926535897931</v>
      </c>
      <c r="I574" s="4">
        <v>4.0064000000000002E-2</v>
      </c>
      <c r="K574" s="3">
        <v>126.87313030937639</v>
      </c>
      <c r="L574" s="3">
        <v>896.63152000000002</v>
      </c>
      <c r="M574" s="3">
        <v>2246.03622</v>
      </c>
      <c r="N574" s="12">
        <f t="shared" si="83"/>
        <v>1.2752767280067391E-2</v>
      </c>
      <c r="O574" s="11">
        <f t="shared" si="84"/>
        <v>400.64000000000004</v>
      </c>
      <c r="P574" s="1">
        <v>10</v>
      </c>
      <c r="Q574" s="1">
        <v>1</v>
      </c>
      <c r="R574" s="3">
        <f>Q574*VLOOKUP(P574,[4]Datos!$A$2:$D$14,2)</f>
        <v>8.19</v>
      </c>
      <c r="S574" s="10">
        <f t="shared" si="60"/>
        <v>49</v>
      </c>
      <c r="T574" s="2">
        <v>49</v>
      </c>
      <c r="U574" s="3">
        <f t="shared" si="61"/>
        <v>0.11</v>
      </c>
      <c r="V574" s="3"/>
      <c r="W574" s="1">
        <v>280</v>
      </c>
      <c r="X574" s="9">
        <v>2</v>
      </c>
      <c r="Y574" s="1">
        <v>6</v>
      </c>
      <c r="Z574" s="3">
        <f>X574*VLOOKUP(Y574,[4]Datos!$A$2:$D$14,2)</f>
        <v>5.68</v>
      </c>
      <c r="AA574" s="8">
        <v>7.4999999999999997E-2</v>
      </c>
      <c r="AB574" s="7">
        <f t="shared" si="85"/>
        <v>207.09423574274689</v>
      </c>
      <c r="AC574" s="7">
        <f t="shared" si="62"/>
        <v>414.61035434434268</v>
      </c>
      <c r="AD574" s="6" t="str">
        <f t="shared" si="86"/>
        <v>Cumple</v>
      </c>
      <c r="AE574" s="6"/>
      <c r="AF574" s="5">
        <v>24</v>
      </c>
      <c r="AG574" s="7">
        <f>ROUNDUP(MAX(0.45,G574,AF574/6),0)</f>
        <v>4</v>
      </c>
      <c r="AH574" s="3">
        <f>PI()*(G574-0.15)^2/4</f>
        <v>2.6880252142277672</v>
      </c>
      <c r="AI574" s="7">
        <f>G574-0.15-VLOOKUP(Y574,[4]Datos!$A$2:$D$14,3)/100</f>
        <v>1.8309000000000002</v>
      </c>
      <c r="AJ574" s="7">
        <f>SQRT((PI()*AI574)^2+AA574^2)</f>
        <v>5.7524309339691264</v>
      </c>
      <c r="AK574" s="1">
        <v>0.12</v>
      </c>
      <c r="AL574" s="16">
        <f>MAX(0.45*(H574/AH574-1),AK574)*(W574/4220)</f>
        <v>7.9620853080568724E-3</v>
      </c>
      <c r="AM574" s="7">
        <f>AG574*(AJ574/AA574)</f>
        <v>306.79631647835345</v>
      </c>
      <c r="AN574" s="17">
        <f>AM574*Z574/X574/10000</f>
        <v>8.7130153879852373E-2</v>
      </c>
      <c r="AO574" s="17">
        <f>AH574*AG574</f>
        <v>10.752100856911069</v>
      </c>
      <c r="AP574" s="16">
        <f>AN574/AO574</f>
        <v>8.1035469290495175E-3</v>
      </c>
      <c r="AQ574" s="6" t="str">
        <f>+IF(AP574&gt;AL574,"Cumple","No Cumple")</f>
        <v>Cumple</v>
      </c>
    </row>
    <row r="575" spans="1:43" ht="15" customHeight="1" x14ac:dyDescent="0.3">
      <c r="A575" s="13"/>
      <c r="B575" s="1">
        <v>2</v>
      </c>
      <c r="C575" s="1">
        <v>51</v>
      </c>
      <c r="D575" s="1">
        <v>0</v>
      </c>
      <c r="E575" s="5">
        <v>1</v>
      </c>
      <c r="F575" s="3">
        <f>F574+E575</f>
        <v>2</v>
      </c>
      <c r="G575" s="5">
        <v>2</v>
      </c>
      <c r="H575" s="3">
        <f t="shared" si="59"/>
        <v>3.1415926535897931</v>
      </c>
      <c r="I575" s="4">
        <v>3.6692000000000002E-2</v>
      </c>
      <c r="K575" s="3">
        <v>126.87385480882183</v>
      </c>
      <c r="L575" s="3">
        <v>841.70191</v>
      </c>
      <c r="M575" s="3">
        <v>2155.2406900000001</v>
      </c>
      <c r="N575" s="12">
        <f t="shared" si="83"/>
        <v>1.1679426343855649E-2</v>
      </c>
      <c r="O575" s="11">
        <f t="shared" si="84"/>
        <v>366.92</v>
      </c>
      <c r="P575" s="1">
        <v>10</v>
      </c>
      <c r="Q575" s="1">
        <v>1</v>
      </c>
      <c r="R575" s="3">
        <f>Q575*VLOOKUP(P575,[4]Datos!$A$2:$D$14,2)</f>
        <v>8.19</v>
      </c>
      <c r="S575" s="10">
        <f t="shared" si="60"/>
        <v>45</v>
      </c>
      <c r="T575" s="2">
        <v>49</v>
      </c>
      <c r="U575" s="3">
        <f t="shared" si="61"/>
        <v>0.11</v>
      </c>
      <c r="V575" s="3"/>
      <c r="W575" s="1">
        <v>280</v>
      </c>
      <c r="X575" s="9">
        <v>2</v>
      </c>
      <c r="Y575" s="1">
        <v>6</v>
      </c>
      <c r="Z575" s="3">
        <f>X575*VLOOKUP(Y575,[4]Datos!$A$2:$D$14,2)</f>
        <v>5.68</v>
      </c>
      <c r="AA575" s="8">
        <v>7.4999999999999997E-2</v>
      </c>
      <c r="AB575" s="7">
        <f t="shared" si="85"/>
        <v>207.09423574274689</v>
      </c>
      <c r="AC575" s="7">
        <f t="shared" si="62"/>
        <v>414.61035434434268</v>
      </c>
      <c r="AD575" s="6" t="str">
        <f t="shared" si="86"/>
        <v>Cumple</v>
      </c>
      <c r="AE575" s="6"/>
      <c r="AF575" s="5">
        <v>24</v>
      </c>
      <c r="AG575" s="7">
        <f t="shared" ref="AG575:AG577" si="87">ROUNDUP(MAX(0.45,G575,AF575/6),0)</f>
        <v>4</v>
      </c>
      <c r="AH575" s="3">
        <f t="shared" ref="AH575:AH577" si="88">PI()*(G575-0.15)^2/4</f>
        <v>2.6880252142277672</v>
      </c>
      <c r="AI575" s="7">
        <f>G575-0.15-VLOOKUP(Y575,[4]Datos!$A$2:$D$14,3)/100</f>
        <v>1.8309000000000002</v>
      </c>
      <c r="AJ575" s="7">
        <f t="shared" ref="AJ575:AJ577" si="89">SQRT((PI()*AI575)^2+AA575^2)</f>
        <v>5.7524309339691264</v>
      </c>
      <c r="AK575" s="1">
        <v>0.12</v>
      </c>
      <c r="AL575" s="16">
        <f t="shared" ref="AL575:AL577" si="90">MAX(0.45*(H575/AH575-1),AK575)*(W575/4220)</f>
        <v>7.9620853080568724E-3</v>
      </c>
      <c r="AM575" s="7">
        <f t="shared" ref="AM575:AM577" si="91">AG575*(AJ575/AA575)</f>
        <v>306.79631647835345</v>
      </c>
      <c r="AN575" s="17">
        <f t="shared" ref="AN575:AN577" si="92">AM575*Z575/X575/10000</f>
        <v>8.7130153879852373E-2</v>
      </c>
      <c r="AO575" s="17">
        <f t="shared" ref="AO575:AO577" si="93">AH575*AG575</f>
        <v>10.752100856911069</v>
      </c>
      <c r="AP575" s="16">
        <f t="shared" ref="AP575:AP577" si="94">AN575/AO575</f>
        <v>8.1035469290495175E-3</v>
      </c>
      <c r="AQ575" s="6" t="str">
        <f t="shared" ref="AQ575:AQ577" si="95">+IF(AP575&gt;AL575,"Cumple","No Cumple")</f>
        <v>Cumple</v>
      </c>
    </row>
    <row r="576" spans="1:43" ht="15" customHeight="1" x14ac:dyDescent="0.3">
      <c r="A576" s="13"/>
      <c r="B576" s="1">
        <v>3</v>
      </c>
      <c r="C576" s="1">
        <v>53</v>
      </c>
      <c r="D576" s="1">
        <v>0</v>
      </c>
      <c r="E576" s="5">
        <v>1</v>
      </c>
      <c r="F576" s="3">
        <f t="shared" ref="F576:F621" si="96">F575+E576</f>
        <v>3</v>
      </c>
      <c r="G576" s="5">
        <v>2</v>
      </c>
      <c r="H576" s="3">
        <f t="shared" si="59"/>
        <v>3.1415926535897931</v>
      </c>
      <c r="I576" s="4">
        <v>3.3026E-2</v>
      </c>
      <c r="K576" s="3">
        <v>126.87449472060963</v>
      </c>
      <c r="L576" s="3">
        <v>786.57115999999996</v>
      </c>
      <c r="M576" s="3">
        <v>2065.1978800000002</v>
      </c>
      <c r="N576" s="12">
        <f t="shared" si="83"/>
        <v>1.0512502301105871E-2</v>
      </c>
      <c r="O576" s="11">
        <f t="shared" si="84"/>
        <v>330.26</v>
      </c>
      <c r="P576" s="1">
        <v>10</v>
      </c>
      <c r="Q576" s="1">
        <v>1</v>
      </c>
      <c r="R576" s="3">
        <f>Q576*VLOOKUP(P576,[4]Datos!$A$2:$D$14,2)</f>
        <v>8.19</v>
      </c>
      <c r="S576" s="10">
        <f t="shared" si="60"/>
        <v>41</v>
      </c>
      <c r="T576" s="2">
        <v>49</v>
      </c>
      <c r="U576" s="3">
        <f t="shared" si="61"/>
        <v>0.11</v>
      </c>
      <c r="V576" s="3"/>
      <c r="W576" s="1">
        <v>280</v>
      </c>
      <c r="X576" s="9">
        <v>2</v>
      </c>
      <c r="Y576" s="1">
        <v>6</v>
      </c>
      <c r="Z576" s="3">
        <f>X576*VLOOKUP(Y576,[4]Datos!$A$2:$D$14,2)</f>
        <v>5.68</v>
      </c>
      <c r="AA576" s="8">
        <v>7.4999999999999997E-2</v>
      </c>
      <c r="AB576" s="7">
        <f t="shared" si="85"/>
        <v>207.09423574274689</v>
      </c>
      <c r="AC576" s="7">
        <f t="shared" si="62"/>
        <v>414.61035434434268</v>
      </c>
      <c r="AD576" s="6" t="str">
        <f t="shared" si="86"/>
        <v>Cumple</v>
      </c>
      <c r="AE576" s="6"/>
      <c r="AF576" s="5">
        <v>24</v>
      </c>
      <c r="AG576" s="7">
        <f t="shared" si="87"/>
        <v>4</v>
      </c>
      <c r="AH576" s="3">
        <f t="shared" si="88"/>
        <v>2.6880252142277672</v>
      </c>
      <c r="AI576" s="7">
        <f>G576-0.15-VLOOKUP(Y576,[4]Datos!$A$2:$D$14,3)/100</f>
        <v>1.8309000000000002</v>
      </c>
      <c r="AJ576" s="7">
        <f t="shared" si="89"/>
        <v>5.7524309339691264</v>
      </c>
      <c r="AK576" s="1">
        <v>0.12</v>
      </c>
      <c r="AL576" s="16">
        <f t="shared" si="90"/>
        <v>7.9620853080568724E-3</v>
      </c>
      <c r="AM576" s="7">
        <f t="shared" si="91"/>
        <v>306.79631647835345</v>
      </c>
      <c r="AN576" s="17">
        <f t="shared" si="92"/>
        <v>8.7130153879852373E-2</v>
      </c>
      <c r="AO576" s="17">
        <f t="shared" si="93"/>
        <v>10.752100856911069</v>
      </c>
      <c r="AP576" s="16">
        <f t="shared" si="94"/>
        <v>8.1035469290495175E-3</v>
      </c>
      <c r="AQ576" s="6" t="str">
        <f t="shared" si="95"/>
        <v>Cumple</v>
      </c>
    </row>
    <row r="577" spans="1:43" ht="15" customHeight="1" x14ac:dyDescent="0.3">
      <c r="A577" s="13"/>
      <c r="B577" s="1">
        <v>4</v>
      </c>
      <c r="C577" s="1">
        <v>55</v>
      </c>
      <c r="D577" s="1">
        <v>0</v>
      </c>
      <c r="E577" s="5">
        <v>1</v>
      </c>
      <c r="F577" s="3">
        <f t="shared" si="96"/>
        <v>4</v>
      </c>
      <c r="G577" s="5">
        <v>2</v>
      </c>
      <c r="H577" s="3">
        <f t="shared" si="59"/>
        <v>3.1415926535897931</v>
      </c>
      <c r="I577" s="4">
        <v>3.1415999999999999E-2</v>
      </c>
      <c r="K577" s="3">
        <v>126.87516590810827</v>
      </c>
      <c r="L577" s="3">
        <v>731.25744999999995</v>
      </c>
      <c r="M577" s="3">
        <v>1975.72326</v>
      </c>
      <c r="N577" s="12">
        <f t="shared" si="83"/>
        <v>1.0000023384349969E-2</v>
      </c>
      <c r="O577" s="11">
        <f t="shared" si="84"/>
        <v>314.15999999999997</v>
      </c>
      <c r="P577" s="1">
        <v>10</v>
      </c>
      <c r="Q577" s="1">
        <v>1</v>
      </c>
      <c r="R577" s="3">
        <f>Q577*VLOOKUP(P577,[4]Datos!$A$2:$D$14,2)</f>
        <v>8.19</v>
      </c>
      <c r="S577" s="10">
        <f t="shared" si="60"/>
        <v>39</v>
      </c>
      <c r="T577" s="2">
        <v>49</v>
      </c>
      <c r="U577" s="3">
        <f t="shared" si="61"/>
        <v>0.11</v>
      </c>
      <c r="V577" s="3"/>
      <c r="W577" s="1">
        <v>280</v>
      </c>
      <c r="X577" s="9">
        <v>2</v>
      </c>
      <c r="Y577" s="1">
        <v>6</v>
      </c>
      <c r="Z577" s="3">
        <f>X577*VLOOKUP(Y577,[4]Datos!$A$2:$D$14,2)</f>
        <v>5.68</v>
      </c>
      <c r="AA577" s="8">
        <v>7.4999999999999997E-2</v>
      </c>
      <c r="AB577" s="7">
        <f t="shared" si="85"/>
        <v>207.09423574274689</v>
      </c>
      <c r="AC577" s="7">
        <f t="shared" si="62"/>
        <v>414.61035434434268</v>
      </c>
      <c r="AD577" s="6" t="str">
        <f t="shared" si="86"/>
        <v>Cumple</v>
      </c>
      <c r="AE577" s="6"/>
      <c r="AF577" s="5">
        <v>24</v>
      </c>
      <c r="AG577" s="7">
        <f t="shared" si="87"/>
        <v>4</v>
      </c>
      <c r="AH577" s="3">
        <f t="shared" si="88"/>
        <v>2.6880252142277672</v>
      </c>
      <c r="AI577" s="7">
        <f>G577-0.15-VLOOKUP(Y577,[4]Datos!$A$2:$D$14,3)/100</f>
        <v>1.8309000000000002</v>
      </c>
      <c r="AJ577" s="7">
        <f t="shared" si="89"/>
        <v>5.7524309339691264</v>
      </c>
      <c r="AK577" s="1">
        <v>0.12</v>
      </c>
      <c r="AL577" s="16">
        <f t="shared" si="90"/>
        <v>7.9620853080568724E-3</v>
      </c>
      <c r="AM577" s="7">
        <f t="shared" si="91"/>
        <v>306.79631647835345</v>
      </c>
      <c r="AN577" s="17">
        <f t="shared" si="92"/>
        <v>8.7130153879852373E-2</v>
      </c>
      <c r="AO577" s="17">
        <f t="shared" si="93"/>
        <v>10.752100856911069</v>
      </c>
      <c r="AP577" s="16">
        <f t="shared" si="94"/>
        <v>8.1035469290495175E-3</v>
      </c>
      <c r="AQ577" s="6" t="str">
        <f t="shared" si="95"/>
        <v>Cumple</v>
      </c>
    </row>
    <row r="578" spans="1:43" ht="15" customHeight="1" x14ac:dyDescent="0.3">
      <c r="A578" s="13"/>
      <c r="B578" s="1">
        <v>5</v>
      </c>
      <c r="C578" s="1">
        <v>57</v>
      </c>
      <c r="D578" s="1">
        <v>0</v>
      </c>
      <c r="E578" s="5">
        <v>1</v>
      </c>
      <c r="F578" s="3">
        <f t="shared" si="96"/>
        <v>5</v>
      </c>
      <c r="G578" s="5">
        <v>2</v>
      </c>
      <c r="H578" s="3">
        <f t="shared" si="59"/>
        <v>3.1415926535897931</v>
      </c>
      <c r="I578" s="4">
        <v>3.1415999999999999E-2</v>
      </c>
      <c r="K578" s="3">
        <v>126.87580583503697</v>
      </c>
      <c r="L578" s="3">
        <v>675.78026999999997</v>
      </c>
      <c r="M578" s="3">
        <v>1891.8453</v>
      </c>
      <c r="N578" s="12">
        <f t="shared" si="83"/>
        <v>1.0000023384349969E-2</v>
      </c>
      <c r="O578" s="11">
        <f t="shared" si="84"/>
        <v>314.15999999999997</v>
      </c>
      <c r="P578" s="1">
        <v>10</v>
      </c>
      <c r="Q578" s="1">
        <v>1</v>
      </c>
      <c r="R578" s="3">
        <f>Q578*VLOOKUP(P578,[4]Datos!$A$2:$D$14,2)</f>
        <v>8.19</v>
      </c>
      <c r="S578" s="10">
        <f t="shared" si="60"/>
        <v>39</v>
      </c>
      <c r="T578" s="2">
        <v>49</v>
      </c>
      <c r="U578" s="3">
        <f t="shared" si="61"/>
        <v>0.11</v>
      </c>
      <c r="V578" s="3"/>
      <c r="W578" s="1">
        <v>280</v>
      </c>
      <c r="X578" s="9">
        <v>2</v>
      </c>
      <c r="Y578" s="1">
        <v>4</v>
      </c>
      <c r="Z578" s="3">
        <f>X578*VLOOKUP(Y578,[4]Datos!$A$2:$D$14,2)</f>
        <v>2.58</v>
      </c>
      <c r="AA578" s="8">
        <v>0.3</v>
      </c>
      <c r="AB578" s="7">
        <f t="shared" si="85"/>
        <v>207.09423574274689</v>
      </c>
      <c r="AC578" s="7">
        <f t="shared" si="62"/>
        <v>47.081633547905106</v>
      </c>
      <c r="AD578" s="6" t="str">
        <f t="shared" si="86"/>
        <v>Cumple</v>
      </c>
      <c r="AE578" s="6"/>
      <c r="AH578" s="3"/>
    </row>
    <row r="579" spans="1:43" ht="15" customHeight="1" x14ac:dyDescent="0.3">
      <c r="A579" s="13"/>
      <c r="B579" s="1">
        <v>6</v>
      </c>
      <c r="C579" s="1">
        <v>59</v>
      </c>
      <c r="D579" s="1">
        <v>0</v>
      </c>
      <c r="E579" s="5">
        <v>1</v>
      </c>
      <c r="F579" s="3">
        <f t="shared" si="96"/>
        <v>6</v>
      </c>
      <c r="G579" s="5">
        <v>2</v>
      </c>
      <c r="H579" s="3">
        <f t="shared" si="59"/>
        <v>3.1415926535897931</v>
      </c>
      <c r="I579" s="4">
        <v>3.1415999999999999E-2</v>
      </c>
      <c r="K579" s="3">
        <v>126.87647703561917</v>
      </c>
      <c r="L579" s="3">
        <v>620.16093000000001</v>
      </c>
      <c r="M579" s="3">
        <v>1808.2496599999999</v>
      </c>
      <c r="N579" s="12">
        <f t="shared" si="83"/>
        <v>1.0000023384349969E-2</v>
      </c>
      <c r="O579" s="11">
        <f t="shared" si="84"/>
        <v>314.15999999999997</v>
      </c>
      <c r="P579" s="1">
        <v>10</v>
      </c>
      <c r="Q579" s="1">
        <v>1</v>
      </c>
      <c r="R579" s="3">
        <f>Q579*VLOOKUP(P579,[4]Datos!$A$2:$D$14,2)</f>
        <v>8.19</v>
      </c>
      <c r="S579" s="10">
        <f t="shared" si="60"/>
        <v>39</v>
      </c>
      <c r="T579" s="2">
        <v>49</v>
      </c>
      <c r="U579" s="3">
        <f t="shared" si="61"/>
        <v>0.11</v>
      </c>
      <c r="V579" s="3"/>
      <c r="W579" s="1">
        <v>280</v>
      </c>
      <c r="X579" s="9">
        <v>2</v>
      </c>
      <c r="Y579" s="1">
        <v>4</v>
      </c>
      <c r="Z579" s="3">
        <f>X579*VLOOKUP(Y579,[4]Datos!$A$2:$D$14,2)</f>
        <v>2.58</v>
      </c>
      <c r="AA579" s="8">
        <v>0.3</v>
      </c>
      <c r="AB579" s="7">
        <f t="shared" si="85"/>
        <v>207.09423574274689</v>
      </c>
      <c r="AC579" s="7">
        <f t="shared" si="62"/>
        <v>47.081633547905106</v>
      </c>
      <c r="AD579" s="6" t="str">
        <f t="shared" si="86"/>
        <v>Cumple</v>
      </c>
      <c r="AE579" s="6"/>
      <c r="AH579" s="3"/>
    </row>
    <row r="580" spans="1:43" ht="15" customHeight="1" x14ac:dyDescent="0.3">
      <c r="A580" s="13"/>
      <c r="B580" s="1">
        <v>7</v>
      </c>
      <c r="C580" s="1">
        <v>61</v>
      </c>
      <c r="D580" s="1">
        <v>0</v>
      </c>
      <c r="E580" s="5">
        <v>1</v>
      </c>
      <c r="F580" s="3">
        <f t="shared" si="96"/>
        <v>7</v>
      </c>
      <c r="G580" s="5">
        <v>2</v>
      </c>
      <c r="H580" s="3">
        <f t="shared" si="59"/>
        <v>3.1415926535897931</v>
      </c>
      <c r="I580" s="4">
        <v>3.1415999999999999E-2</v>
      </c>
      <c r="K580" s="3">
        <v>126.87706364887232</v>
      </c>
      <c r="L580" s="3">
        <v>564.42330000000004</v>
      </c>
      <c r="M580" s="3">
        <v>1724.5336</v>
      </c>
      <c r="N580" s="12">
        <f t="shared" si="83"/>
        <v>1.0000023384349969E-2</v>
      </c>
      <c r="O580" s="11">
        <f t="shared" si="84"/>
        <v>314.15999999999997</v>
      </c>
      <c r="P580" s="1">
        <v>10</v>
      </c>
      <c r="Q580" s="19">
        <v>1</v>
      </c>
      <c r="R580" s="3">
        <f>Q580*VLOOKUP(P580,[4]Datos!$A$2:$D$14,2)</f>
        <v>8.19</v>
      </c>
      <c r="S580" s="10">
        <f t="shared" si="60"/>
        <v>39</v>
      </c>
      <c r="T580" s="18">
        <v>49</v>
      </c>
      <c r="U580" s="3">
        <f t="shared" si="61"/>
        <v>0.11</v>
      </c>
      <c r="V580" s="3"/>
      <c r="W580" s="1">
        <v>280</v>
      </c>
      <c r="X580" s="9">
        <v>2</v>
      </c>
      <c r="Y580" s="1">
        <v>4</v>
      </c>
      <c r="Z580" s="3">
        <f>X580*VLOOKUP(Y580,[4]Datos!$A$2:$D$14,2)</f>
        <v>2.58</v>
      </c>
      <c r="AA580" s="8">
        <v>0.3</v>
      </c>
      <c r="AB580" s="7">
        <f t="shared" si="85"/>
        <v>207.09423574274689</v>
      </c>
      <c r="AC580" s="7">
        <f t="shared" si="62"/>
        <v>47.081633547905106</v>
      </c>
      <c r="AD580" s="6" t="str">
        <f t="shared" si="86"/>
        <v>Cumple</v>
      </c>
      <c r="AE580" s="6"/>
      <c r="AH580" s="3"/>
    </row>
    <row r="581" spans="1:43" ht="15" customHeight="1" x14ac:dyDescent="0.3">
      <c r="A581" s="13"/>
      <c r="B581" s="1">
        <v>8</v>
      </c>
      <c r="C581" s="1">
        <v>63</v>
      </c>
      <c r="D581" s="1">
        <v>0</v>
      </c>
      <c r="E581" s="5">
        <v>1</v>
      </c>
      <c r="F581" s="3">
        <f t="shared" si="96"/>
        <v>8</v>
      </c>
      <c r="G581" s="5">
        <v>2</v>
      </c>
      <c r="H581" s="3">
        <f t="shared" si="59"/>
        <v>3.1415926535897931</v>
      </c>
      <c r="I581" s="4">
        <v>3.1415999999999999E-2</v>
      </c>
      <c r="K581" s="3">
        <v>126.87773486195283</v>
      </c>
      <c r="L581" s="3">
        <v>508.59478000000001</v>
      </c>
      <c r="M581" s="3">
        <v>1640.45877</v>
      </c>
      <c r="N581" s="12">
        <f t="shared" si="83"/>
        <v>1.0000023384349969E-2</v>
      </c>
      <c r="O581" s="11">
        <f t="shared" si="84"/>
        <v>314.15999999999997</v>
      </c>
      <c r="P581" s="1">
        <v>10</v>
      </c>
      <c r="Q581" s="19">
        <v>1</v>
      </c>
      <c r="R581" s="3">
        <f>Q581*VLOOKUP(P581,[4]Datos!$A$2:$D$14,2)</f>
        <v>8.19</v>
      </c>
      <c r="S581" s="10">
        <f t="shared" si="60"/>
        <v>39</v>
      </c>
      <c r="T581" s="18">
        <v>49</v>
      </c>
      <c r="U581" s="3">
        <f t="shared" si="61"/>
        <v>0.11</v>
      </c>
      <c r="V581" s="3"/>
      <c r="W581" s="1">
        <v>280</v>
      </c>
      <c r="X581" s="9">
        <v>2</v>
      </c>
      <c r="Y581" s="1">
        <v>4</v>
      </c>
      <c r="Z581" s="3">
        <f>X581*VLOOKUP(Y581,[4]Datos!$A$2:$D$14,2)</f>
        <v>2.58</v>
      </c>
      <c r="AA581" s="8">
        <v>0.3</v>
      </c>
      <c r="AB581" s="7">
        <f t="shared" si="85"/>
        <v>207.09423574274689</v>
      </c>
      <c r="AC581" s="7">
        <f t="shared" si="62"/>
        <v>47.081633547905106</v>
      </c>
      <c r="AD581" s="6" t="str">
        <f t="shared" si="86"/>
        <v>Cumple</v>
      </c>
      <c r="AE581" s="6"/>
      <c r="AH581" s="3"/>
    </row>
    <row r="582" spans="1:43" ht="15" customHeight="1" x14ac:dyDescent="0.3">
      <c r="A582" s="13"/>
      <c r="B582" s="1">
        <v>9</v>
      </c>
      <c r="C582" s="1">
        <v>65</v>
      </c>
      <c r="D582" s="1">
        <v>0</v>
      </c>
      <c r="E582" s="5">
        <v>1</v>
      </c>
      <c r="F582" s="3">
        <f t="shared" si="96"/>
        <v>9</v>
      </c>
      <c r="G582" s="5">
        <v>2</v>
      </c>
      <c r="H582" s="3">
        <f t="shared" si="59"/>
        <v>3.1415926535897931</v>
      </c>
      <c r="I582" s="4">
        <v>3.1415999999999999E-2</v>
      </c>
      <c r="K582" s="3">
        <v>126.8783214884639</v>
      </c>
      <c r="L582" s="3">
        <v>452.70756999999998</v>
      </c>
      <c r="M582" s="3">
        <v>1556.01731</v>
      </c>
      <c r="N582" s="12">
        <f t="shared" si="83"/>
        <v>1.0000023384349969E-2</v>
      </c>
      <c r="O582" s="11">
        <f t="shared" si="84"/>
        <v>314.15999999999997</v>
      </c>
      <c r="P582" s="1">
        <v>10</v>
      </c>
      <c r="Q582" s="19">
        <v>1</v>
      </c>
      <c r="R582" s="3">
        <f>Q582*VLOOKUP(P582,[4]Datos!$A$2:$D$14,2)</f>
        <v>8.19</v>
      </c>
      <c r="S582" s="10">
        <f t="shared" si="60"/>
        <v>39</v>
      </c>
      <c r="T582" s="18">
        <v>49</v>
      </c>
      <c r="U582" s="3">
        <f t="shared" si="61"/>
        <v>0.11</v>
      </c>
      <c r="V582" s="3"/>
      <c r="W582" s="1">
        <v>280</v>
      </c>
      <c r="X582" s="9">
        <v>2</v>
      </c>
      <c r="Y582" s="1">
        <v>4</v>
      </c>
      <c r="Z582" s="3">
        <f>X582*VLOOKUP(Y582,[4]Datos!$A$2:$D$14,2)</f>
        <v>2.58</v>
      </c>
      <c r="AA582" s="8">
        <v>0.3</v>
      </c>
      <c r="AB582" s="7">
        <f t="shared" si="85"/>
        <v>207.09423574274689</v>
      </c>
      <c r="AC582" s="7">
        <f t="shared" si="62"/>
        <v>47.081633547905106</v>
      </c>
      <c r="AD582" s="6" t="str">
        <f t="shared" si="86"/>
        <v>Cumple</v>
      </c>
      <c r="AE582" s="6"/>
      <c r="AH582" s="3"/>
    </row>
    <row r="583" spans="1:43" ht="15" customHeight="1" x14ac:dyDescent="0.3">
      <c r="A583" s="13"/>
      <c r="B583" s="1">
        <v>10</v>
      </c>
      <c r="C583" s="1">
        <v>67</v>
      </c>
      <c r="D583" s="1">
        <v>0</v>
      </c>
      <c r="E583" s="5">
        <v>1</v>
      </c>
      <c r="F583" s="3">
        <f t="shared" si="96"/>
        <v>10</v>
      </c>
      <c r="G583" s="5">
        <v>2</v>
      </c>
      <c r="H583" s="3">
        <f t="shared" si="59"/>
        <v>3.1415926535897931</v>
      </c>
      <c r="I583" s="4">
        <v>3.1415999999999999E-2</v>
      </c>
      <c r="K583" s="3">
        <v>126.87899271404231</v>
      </c>
      <c r="L583" s="3">
        <v>396.80011000000002</v>
      </c>
      <c r="M583" s="3">
        <v>1471.2295999999999</v>
      </c>
      <c r="N583" s="12">
        <f t="shared" si="83"/>
        <v>1.0000023384349969E-2</v>
      </c>
      <c r="O583" s="11">
        <f t="shared" si="84"/>
        <v>314.15999999999997</v>
      </c>
      <c r="P583" s="1">
        <v>10</v>
      </c>
      <c r="Q583" s="1">
        <v>1</v>
      </c>
      <c r="R583" s="3">
        <f>Q583*VLOOKUP(P583,[4]Datos!$A$2:$D$14,2)</f>
        <v>8.19</v>
      </c>
      <c r="S583" s="10">
        <f t="shared" si="60"/>
        <v>39</v>
      </c>
      <c r="T583" s="2">
        <v>39</v>
      </c>
      <c r="U583" s="3">
        <f t="shared" si="61"/>
        <v>0.14000000000000001</v>
      </c>
      <c r="V583" s="3"/>
      <c r="W583" s="1">
        <v>280</v>
      </c>
      <c r="X583" s="9">
        <v>2</v>
      </c>
      <c r="Y583" s="1">
        <v>4</v>
      </c>
      <c r="Z583" s="3">
        <f>X583*VLOOKUP(Y583,[4]Datos!$A$2:$D$14,2)</f>
        <v>2.58</v>
      </c>
      <c r="AA583" s="8">
        <v>0.3</v>
      </c>
      <c r="AB583" s="7">
        <f t="shared" si="85"/>
        <v>207.09423574274689</v>
      </c>
      <c r="AC583" s="7">
        <f t="shared" si="62"/>
        <v>47.081633547905106</v>
      </c>
      <c r="AD583" s="6" t="str">
        <f t="shared" si="86"/>
        <v>Cumple</v>
      </c>
      <c r="AE583" s="6"/>
      <c r="AH583" s="3"/>
    </row>
    <row r="584" spans="1:43" ht="15" customHeight="1" x14ac:dyDescent="0.3">
      <c r="A584" s="13"/>
      <c r="B584" s="1">
        <v>11</v>
      </c>
      <c r="C584" s="1">
        <v>69</v>
      </c>
      <c r="D584" s="1">
        <v>0</v>
      </c>
      <c r="E584" s="5">
        <v>1</v>
      </c>
      <c r="F584" s="3">
        <f t="shared" si="96"/>
        <v>11</v>
      </c>
      <c r="G584" s="5">
        <v>2</v>
      </c>
      <c r="H584" s="3">
        <f t="shared" si="59"/>
        <v>3.1415926535897931</v>
      </c>
      <c r="I584" s="4">
        <v>3.1415999999999999E-2</v>
      </c>
      <c r="K584" s="3">
        <v>126.87957935381091</v>
      </c>
      <c r="L584" s="3">
        <v>340.91795999999999</v>
      </c>
      <c r="M584" s="3">
        <v>1386.2329500000001</v>
      </c>
      <c r="N584" s="12">
        <f t="shared" si="83"/>
        <v>1.0000023384349969E-2</v>
      </c>
      <c r="O584" s="11">
        <f t="shared" si="84"/>
        <v>314.15999999999997</v>
      </c>
      <c r="P584" s="1">
        <v>10</v>
      </c>
      <c r="Q584" s="1">
        <v>1</v>
      </c>
      <c r="R584" s="3">
        <f>Q584*VLOOKUP(P584,[4]Datos!$A$2:$D$14,2)</f>
        <v>8.19</v>
      </c>
      <c r="S584" s="10">
        <f t="shared" si="60"/>
        <v>39</v>
      </c>
      <c r="T584" s="2">
        <v>39</v>
      </c>
      <c r="U584" s="3">
        <f t="shared" si="61"/>
        <v>0.14000000000000001</v>
      </c>
      <c r="V584" s="3"/>
      <c r="W584" s="1">
        <v>280</v>
      </c>
      <c r="X584" s="9">
        <v>2</v>
      </c>
      <c r="Y584" s="1">
        <v>4</v>
      </c>
      <c r="Z584" s="3">
        <f>X584*VLOOKUP(Y584,[4]Datos!$A$2:$D$14,2)</f>
        <v>2.58</v>
      </c>
      <c r="AA584" s="8">
        <v>0.3</v>
      </c>
      <c r="AB584" s="7">
        <f t="shared" si="85"/>
        <v>207.09423574274689</v>
      </c>
      <c r="AC584" s="7">
        <f t="shared" si="62"/>
        <v>47.081633547905106</v>
      </c>
      <c r="AD584" s="6" t="str">
        <f t="shared" si="86"/>
        <v>Cumple</v>
      </c>
      <c r="AE584" s="6"/>
      <c r="AH584" s="3"/>
    </row>
    <row r="585" spans="1:43" ht="15" customHeight="1" x14ac:dyDescent="0.3">
      <c r="A585" s="13"/>
      <c r="B585" s="1">
        <v>12</v>
      </c>
      <c r="C585" s="1">
        <v>71</v>
      </c>
      <c r="D585" s="1">
        <v>0</v>
      </c>
      <c r="E585" s="5">
        <v>1</v>
      </c>
      <c r="F585" s="3">
        <f t="shared" si="96"/>
        <v>12</v>
      </c>
      <c r="G585" s="5">
        <v>2</v>
      </c>
      <c r="H585" s="3">
        <f t="shared" ref="H585:H648" si="97">PI()*(G585^2)/4</f>
        <v>3.1415926535897931</v>
      </c>
      <c r="I585" s="4">
        <v>3.1415999999999999E-2</v>
      </c>
      <c r="K585" s="3">
        <v>126.88025059188683</v>
      </c>
      <c r="L585" s="3">
        <v>285.11403999999999</v>
      </c>
      <c r="M585" s="3">
        <v>1301.39978</v>
      </c>
      <c r="N585" s="12">
        <f t="shared" si="83"/>
        <v>1.0000023384349969E-2</v>
      </c>
      <c r="O585" s="11">
        <f t="shared" si="84"/>
        <v>314.15999999999997</v>
      </c>
      <c r="P585" s="1">
        <v>10</v>
      </c>
      <c r="Q585" s="1">
        <v>1</v>
      </c>
      <c r="R585" s="3">
        <f>Q585*VLOOKUP(P585,[4]Datos!$A$2:$D$14,2)</f>
        <v>8.19</v>
      </c>
      <c r="S585" s="10">
        <f t="shared" ref="S585:S648" si="98">ROUNDUP(O585/R585,0)</f>
        <v>39</v>
      </c>
      <c r="T585" s="2">
        <v>39</v>
      </c>
      <c r="U585" s="3">
        <f t="shared" ref="U585:U648" si="99">ROUNDDOWN(PI()*(G585-0.185)/T585,2)</f>
        <v>0.14000000000000001</v>
      </c>
      <c r="V585" s="3"/>
      <c r="W585" s="1">
        <v>280</v>
      </c>
      <c r="X585" s="9">
        <v>2</v>
      </c>
      <c r="Y585" s="1">
        <v>4</v>
      </c>
      <c r="Z585" s="3">
        <f>X585*VLOOKUP(Y585,[4]Datos!$A$2:$D$14,2)</f>
        <v>2.58</v>
      </c>
      <c r="AA585" s="8">
        <v>0.3</v>
      </c>
      <c r="AB585" s="7">
        <f t="shared" si="85"/>
        <v>207.09423574274689</v>
      </c>
      <c r="AC585" s="7">
        <f t="shared" ref="AC585:AC648" si="100">0.9*Z585*4220*MAX(0.72*G585,0.9*((G585/2)+((G585-0.11)/PI())))/AA585/1000</f>
        <v>47.081633547905106</v>
      </c>
      <c r="AD585" s="6" t="str">
        <f t="shared" si="86"/>
        <v>Cumple</v>
      </c>
      <c r="AE585" s="6"/>
      <c r="AH585" s="3"/>
    </row>
    <row r="586" spans="1:43" ht="15" customHeight="1" x14ac:dyDescent="0.3">
      <c r="A586" s="13"/>
      <c r="B586" s="1">
        <v>13</v>
      </c>
      <c r="C586" s="1">
        <v>73</v>
      </c>
      <c r="D586" s="1">
        <v>0</v>
      </c>
      <c r="E586" s="5">
        <v>1</v>
      </c>
      <c r="F586" s="3">
        <f t="shared" si="96"/>
        <v>13</v>
      </c>
      <c r="G586" s="5">
        <v>2</v>
      </c>
      <c r="H586" s="3">
        <f t="shared" si="97"/>
        <v>3.1415926535897931</v>
      </c>
      <c r="I586" s="4">
        <v>3.1415999999999999E-2</v>
      </c>
      <c r="K586" s="3">
        <v>126.8808372449126</v>
      </c>
      <c r="L586" s="3">
        <v>229.44597999999999</v>
      </c>
      <c r="M586" s="3">
        <v>1216.2806399999999</v>
      </c>
      <c r="N586" s="12">
        <f t="shared" si="83"/>
        <v>1.0000023384349969E-2</v>
      </c>
      <c r="O586" s="11">
        <f t="shared" si="84"/>
        <v>314.15999999999997</v>
      </c>
      <c r="P586" s="1">
        <v>10</v>
      </c>
      <c r="Q586" s="1">
        <v>1</v>
      </c>
      <c r="R586" s="3">
        <f>Q586*VLOOKUP(P586,[4]Datos!$A$2:$D$14,2)</f>
        <v>8.19</v>
      </c>
      <c r="S586" s="10">
        <f t="shared" si="98"/>
        <v>39</v>
      </c>
      <c r="T586" s="2">
        <v>39</v>
      </c>
      <c r="U586" s="3">
        <f t="shared" si="99"/>
        <v>0.14000000000000001</v>
      </c>
      <c r="V586" s="3"/>
      <c r="W586" s="1">
        <v>280</v>
      </c>
      <c r="X586" s="9">
        <v>2</v>
      </c>
      <c r="Y586" s="1">
        <v>4</v>
      </c>
      <c r="Z586" s="3">
        <f>X586*VLOOKUP(Y586,[4]Datos!$A$2:$D$14,2)</f>
        <v>2.58</v>
      </c>
      <c r="AA586" s="8">
        <v>0.3</v>
      </c>
      <c r="AB586" s="7">
        <f t="shared" si="85"/>
        <v>207.09423574274689</v>
      </c>
      <c r="AC586" s="7">
        <f t="shared" si="100"/>
        <v>47.081633547905106</v>
      </c>
      <c r="AD586" s="6" t="str">
        <f t="shared" si="86"/>
        <v>Cumple</v>
      </c>
      <c r="AE586" s="6"/>
      <c r="AH586" s="3"/>
    </row>
    <row r="587" spans="1:43" ht="15" customHeight="1" x14ac:dyDescent="0.3">
      <c r="A587" s="13"/>
      <c r="B587" s="1">
        <v>14</v>
      </c>
      <c r="C587" s="1">
        <v>75</v>
      </c>
      <c r="D587" s="1">
        <v>0</v>
      </c>
      <c r="E587" s="5">
        <v>1</v>
      </c>
      <c r="F587" s="3">
        <f t="shared" si="96"/>
        <v>14</v>
      </c>
      <c r="G587" s="5">
        <v>2</v>
      </c>
      <c r="H587" s="3">
        <f t="shared" si="97"/>
        <v>3.1415926535897931</v>
      </c>
      <c r="I587" s="4">
        <v>3.1415999999999999E-2</v>
      </c>
      <c r="K587" s="3">
        <v>126.88150849548566</v>
      </c>
      <c r="L587" s="3">
        <v>173.96266</v>
      </c>
      <c r="M587" s="3">
        <v>1131.1982599999999</v>
      </c>
      <c r="N587" s="12">
        <f t="shared" si="83"/>
        <v>1.0000023384349969E-2</v>
      </c>
      <c r="O587" s="11">
        <f t="shared" si="84"/>
        <v>314.15999999999997</v>
      </c>
      <c r="P587" s="1">
        <v>10</v>
      </c>
      <c r="Q587" s="1">
        <v>1</v>
      </c>
      <c r="R587" s="3">
        <f>Q587*VLOOKUP(P587,[4]Datos!$A$2:$D$14,2)</f>
        <v>8.19</v>
      </c>
      <c r="S587" s="10">
        <f t="shared" si="98"/>
        <v>39</v>
      </c>
      <c r="T587" s="2">
        <v>39</v>
      </c>
      <c r="U587" s="3">
        <f t="shared" si="99"/>
        <v>0.14000000000000001</v>
      </c>
      <c r="V587" s="3"/>
      <c r="W587" s="1">
        <v>280</v>
      </c>
      <c r="X587" s="9">
        <v>2</v>
      </c>
      <c r="Y587" s="1">
        <v>4</v>
      </c>
      <c r="Z587" s="3">
        <f>X587*VLOOKUP(Y587,[4]Datos!$A$2:$D$14,2)</f>
        <v>2.58</v>
      </c>
      <c r="AA587" s="8">
        <v>0.3</v>
      </c>
      <c r="AB587" s="7">
        <f t="shared" si="85"/>
        <v>207.09423574274689</v>
      </c>
      <c r="AC587" s="7">
        <f t="shared" si="100"/>
        <v>47.081633547905106</v>
      </c>
      <c r="AD587" s="6" t="str">
        <f t="shared" si="86"/>
        <v>Cumple</v>
      </c>
      <c r="AE587" s="6"/>
      <c r="AH587" s="3"/>
    </row>
    <row r="588" spans="1:43" ht="15" customHeight="1" x14ac:dyDescent="0.3">
      <c r="A588" s="13"/>
      <c r="B588" s="1">
        <v>15</v>
      </c>
      <c r="C588" s="1">
        <v>77</v>
      </c>
      <c r="D588" s="1">
        <v>0</v>
      </c>
      <c r="E588" s="5">
        <v>1</v>
      </c>
      <c r="F588" s="3">
        <f t="shared" si="96"/>
        <v>15</v>
      </c>
      <c r="G588" s="5">
        <v>2</v>
      </c>
      <c r="H588" s="3">
        <f t="shared" si="97"/>
        <v>3.1415926535897931</v>
      </c>
      <c r="I588" s="4">
        <v>3.1415999999999999E-2</v>
      </c>
      <c r="K588" s="3">
        <v>126.88209516176819</v>
      </c>
      <c r="L588" s="3">
        <v>118.73662</v>
      </c>
      <c r="M588" s="3">
        <v>1046.26882</v>
      </c>
      <c r="N588" s="12">
        <f t="shared" si="83"/>
        <v>1.0000023384349969E-2</v>
      </c>
      <c r="O588" s="11">
        <f t="shared" si="84"/>
        <v>314.15999999999997</v>
      </c>
      <c r="P588" s="1">
        <v>10</v>
      </c>
      <c r="Q588" s="1">
        <v>1</v>
      </c>
      <c r="R588" s="3">
        <f>Q588*VLOOKUP(P588,[4]Datos!$A$2:$D$14,2)</f>
        <v>8.19</v>
      </c>
      <c r="S588" s="10">
        <f t="shared" si="98"/>
        <v>39</v>
      </c>
      <c r="T588" s="2">
        <v>39</v>
      </c>
      <c r="U588" s="3">
        <f t="shared" si="99"/>
        <v>0.14000000000000001</v>
      </c>
      <c r="V588" s="3"/>
      <c r="W588" s="1">
        <v>280</v>
      </c>
      <c r="X588" s="9">
        <v>2</v>
      </c>
      <c r="Y588" s="1">
        <v>4</v>
      </c>
      <c r="Z588" s="3">
        <f>X588*VLOOKUP(Y588,[4]Datos!$A$2:$D$14,2)</f>
        <v>2.58</v>
      </c>
      <c r="AA588" s="8">
        <v>0.3</v>
      </c>
      <c r="AB588" s="7">
        <f t="shared" si="85"/>
        <v>207.09423574274689</v>
      </c>
      <c r="AC588" s="7">
        <f t="shared" si="100"/>
        <v>47.081633547905106</v>
      </c>
      <c r="AD588" s="6" t="str">
        <f t="shared" si="86"/>
        <v>Cumple</v>
      </c>
      <c r="AE588" s="6"/>
      <c r="AH588" s="3"/>
    </row>
    <row r="589" spans="1:43" ht="15" customHeight="1" x14ac:dyDescent="0.3">
      <c r="A589" s="13"/>
      <c r="B589" s="1">
        <v>16</v>
      </c>
      <c r="C589" s="1">
        <v>79</v>
      </c>
      <c r="D589" s="1">
        <v>0</v>
      </c>
      <c r="E589" s="5">
        <v>1</v>
      </c>
      <c r="F589" s="3">
        <f t="shared" si="96"/>
        <v>16</v>
      </c>
      <c r="G589" s="5">
        <v>2</v>
      </c>
      <c r="H589" s="3">
        <f t="shared" si="97"/>
        <v>3.1415926535897931</v>
      </c>
      <c r="I589" s="4">
        <v>3.1415999999999999E-2</v>
      </c>
      <c r="K589" s="3">
        <v>126.88276642483801</v>
      </c>
      <c r="L589" s="3">
        <v>64.141329999999996</v>
      </c>
      <c r="M589" s="3">
        <v>961.55911000000003</v>
      </c>
      <c r="N589" s="12">
        <f t="shared" si="83"/>
        <v>1.0000023384349969E-2</v>
      </c>
      <c r="O589" s="11">
        <f t="shared" si="84"/>
        <v>314.15999999999997</v>
      </c>
      <c r="P589" s="1">
        <v>10</v>
      </c>
      <c r="Q589" s="19">
        <v>1</v>
      </c>
      <c r="R589" s="3">
        <f>Q589*VLOOKUP(P589,[4]Datos!$A$2:$D$14,2)</f>
        <v>8.19</v>
      </c>
      <c r="S589" s="10">
        <f t="shared" si="98"/>
        <v>39</v>
      </c>
      <c r="T589" s="18">
        <v>39</v>
      </c>
      <c r="U589" s="3">
        <f t="shared" si="99"/>
        <v>0.14000000000000001</v>
      </c>
      <c r="V589" s="3"/>
      <c r="W589" s="1">
        <v>280</v>
      </c>
      <c r="X589" s="9">
        <v>2</v>
      </c>
      <c r="Y589" s="1">
        <v>4</v>
      </c>
      <c r="Z589" s="3">
        <f>X589*VLOOKUP(Y589,[4]Datos!$A$2:$D$14,2)</f>
        <v>2.58</v>
      </c>
      <c r="AA589" s="8">
        <v>0.3</v>
      </c>
      <c r="AB589" s="7">
        <f t="shared" si="85"/>
        <v>207.09423574274689</v>
      </c>
      <c r="AC589" s="7">
        <f t="shared" si="100"/>
        <v>47.081633547905106</v>
      </c>
      <c r="AD589" s="6" t="str">
        <f t="shared" si="86"/>
        <v>Cumple</v>
      </c>
      <c r="AE589" s="6"/>
      <c r="AH589" s="3"/>
    </row>
    <row r="590" spans="1:43" ht="15" customHeight="1" x14ac:dyDescent="0.3">
      <c r="A590" s="13"/>
      <c r="B590" s="1">
        <v>17</v>
      </c>
      <c r="C590" s="1">
        <v>81</v>
      </c>
      <c r="D590" s="1">
        <v>0</v>
      </c>
      <c r="E590" s="5">
        <v>1</v>
      </c>
      <c r="F590" s="3">
        <f t="shared" si="96"/>
        <v>17</v>
      </c>
      <c r="G590" s="5">
        <v>2</v>
      </c>
      <c r="H590" s="3">
        <f t="shared" si="97"/>
        <v>3.1415926535897931</v>
      </c>
      <c r="I590" s="4">
        <v>3.1415999999999999E-2</v>
      </c>
      <c r="K590" s="3">
        <v>126.88340643921883</v>
      </c>
      <c r="L590" s="3">
        <v>96.267200000000003</v>
      </c>
      <c r="M590" s="3">
        <v>934.03787</v>
      </c>
      <c r="N590" s="12">
        <f t="shared" si="83"/>
        <v>1.0000023384349969E-2</v>
      </c>
      <c r="O590" s="11">
        <f t="shared" si="84"/>
        <v>314.15999999999997</v>
      </c>
      <c r="P590" s="1">
        <v>10</v>
      </c>
      <c r="Q590" s="19">
        <v>1</v>
      </c>
      <c r="R590" s="3">
        <f>Q590*VLOOKUP(P590,[4]Datos!$A$2:$D$14,2)</f>
        <v>8.19</v>
      </c>
      <c r="S590" s="10">
        <f t="shared" si="98"/>
        <v>39</v>
      </c>
      <c r="T590" s="18">
        <v>39</v>
      </c>
      <c r="U590" s="3">
        <f t="shared" si="99"/>
        <v>0.14000000000000001</v>
      </c>
      <c r="V590" s="3"/>
      <c r="W590" s="1">
        <v>280</v>
      </c>
      <c r="X590" s="9">
        <v>2</v>
      </c>
      <c r="Y590" s="1">
        <v>4</v>
      </c>
      <c r="Z590" s="3">
        <f>X590*VLOOKUP(Y590,[4]Datos!$A$2:$D$14,2)</f>
        <v>2.58</v>
      </c>
      <c r="AA590" s="8">
        <v>0.3</v>
      </c>
      <c r="AB590" s="7">
        <f t="shared" si="85"/>
        <v>207.09423574274689</v>
      </c>
      <c r="AC590" s="7">
        <f t="shared" si="100"/>
        <v>47.081633547905106</v>
      </c>
      <c r="AD590" s="6" t="str">
        <f t="shared" si="86"/>
        <v>Cumple</v>
      </c>
      <c r="AE590" s="6"/>
      <c r="AH590" s="3"/>
    </row>
    <row r="591" spans="1:43" ht="15" customHeight="1" x14ac:dyDescent="0.3">
      <c r="A591" s="13"/>
      <c r="B591" s="1">
        <v>18</v>
      </c>
      <c r="C591" s="1">
        <v>83</v>
      </c>
      <c r="D591" s="1">
        <v>0</v>
      </c>
      <c r="E591" s="5">
        <v>1</v>
      </c>
      <c r="F591" s="3">
        <f t="shared" si="96"/>
        <v>18</v>
      </c>
      <c r="G591" s="5">
        <v>2</v>
      </c>
      <c r="H591" s="3">
        <f t="shared" si="97"/>
        <v>3.1415926535897931</v>
      </c>
      <c r="I591" s="4">
        <v>3.1415999999999999E-2</v>
      </c>
      <c r="K591" s="3">
        <v>126.8840777153698</v>
      </c>
      <c r="L591" s="3">
        <v>148.92873</v>
      </c>
      <c r="M591" s="3">
        <v>918.14175999999998</v>
      </c>
      <c r="N591" s="12">
        <f t="shared" si="83"/>
        <v>1.0000023384349969E-2</v>
      </c>
      <c r="O591" s="11">
        <f t="shared" si="84"/>
        <v>314.15999999999997</v>
      </c>
      <c r="P591" s="1">
        <v>10</v>
      </c>
      <c r="Q591" s="19">
        <v>1</v>
      </c>
      <c r="R591" s="3">
        <f>Q591*VLOOKUP(P591,[4]Datos!$A$2:$D$14,2)</f>
        <v>8.19</v>
      </c>
      <c r="S591" s="10">
        <f t="shared" si="98"/>
        <v>39</v>
      </c>
      <c r="T591" s="18">
        <v>39</v>
      </c>
      <c r="U591" s="3">
        <f t="shared" si="99"/>
        <v>0.14000000000000001</v>
      </c>
      <c r="V591" s="3"/>
      <c r="W591" s="1">
        <v>280</v>
      </c>
      <c r="X591" s="9">
        <v>2</v>
      </c>
      <c r="Y591" s="1">
        <v>4</v>
      </c>
      <c r="Z591" s="3">
        <f>X591*VLOOKUP(Y591,[4]Datos!$A$2:$D$14,2)</f>
        <v>2.58</v>
      </c>
      <c r="AA591" s="8">
        <v>0.3</v>
      </c>
      <c r="AB591" s="7">
        <f t="shared" si="85"/>
        <v>207.09423574274689</v>
      </c>
      <c r="AC591" s="7">
        <f t="shared" si="100"/>
        <v>47.081633547905106</v>
      </c>
      <c r="AD591" s="6" t="str">
        <f t="shared" si="86"/>
        <v>Cumple</v>
      </c>
      <c r="AE591" s="6"/>
      <c r="AH591" s="3"/>
    </row>
    <row r="592" spans="1:43" ht="15" customHeight="1" x14ac:dyDescent="0.3">
      <c r="A592" s="13"/>
      <c r="B592" s="1">
        <v>19</v>
      </c>
      <c r="C592" s="1">
        <v>85</v>
      </c>
      <c r="D592" s="1">
        <v>0</v>
      </c>
      <c r="E592" s="5">
        <v>1</v>
      </c>
      <c r="F592" s="3">
        <f t="shared" si="96"/>
        <v>19</v>
      </c>
      <c r="G592" s="5">
        <v>2</v>
      </c>
      <c r="H592" s="3">
        <f t="shared" si="97"/>
        <v>3.1415926535897931</v>
      </c>
      <c r="I592" s="4">
        <v>3.1415999999999999E-2</v>
      </c>
      <c r="K592" s="3">
        <v>126.88466440878503</v>
      </c>
      <c r="L592" s="3">
        <v>201.76660000000001</v>
      </c>
      <c r="M592" s="3">
        <v>902.71502999999996</v>
      </c>
      <c r="N592" s="12">
        <f t="shared" si="83"/>
        <v>1.0000023384349969E-2</v>
      </c>
      <c r="O592" s="11">
        <f t="shared" si="84"/>
        <v>314.15999999999997</v>
      </c>
      <c r="P592" s="1">
        <v>10</v>
      </c>
      <c r="Q592" s="1">
        <v>1</v>
      </c>
      <c r="R592" s="3">
        <f>Q592*VLOOKUP(P592,[4]Datos!$A$2:$D$14,2)</f>
        <v>8.19</v>
      </c>
      <c r="S592" s="10">
        <f t="shared" si="98"/>
        <v>39</v>
      </c>
      <c r="T592" s="2">
        <v>39</v>
      </c>
      <c r="U592" s="3">
        <f t="shared" si="99"/>
        <v>0.14000000000000001</v>
      </c>
      <c r="V592" s="3"/>
      <c r="W592" s="1">
        <v>280</v>
      </c>
      <c r="X592" s="9">
        <v>2</v>
      </c>
      <c r="Y592" s="1">
        <v>4</v>
      </c>
      <c r="Z592" s="3">
        <f>X592*VLOOKUP(Y592,[4]Datos!$A$2:$D$14,2)</f>
        <v>2.58</v>
      </c>
      <c r="AA592" s="8">
        <v>0.3</v>
      </c>
      <c r="AB592" s="7">
        <f t="shared" si="85"/>
        <v>207.09423574274689</v>
      </c>
      <c r="AC592" s="7">
        <f t="shared" si="100"/>
        <v>47.081633547905106</v>
      </c>
      <c r="AD592" s="6" t="str">
        <f t="shared" si="86"/>
        <v>Cumple</v>
      </c>
      <c r="AE592" s="6"/>
      <c r="AH592" s="3"/>
    </row>
    <row r="593" spans="1:43" x14ac:dyDescent="0.3">
      <c r="A593" s="13"/>
      <c r="B593" s="1">
        <v>20</v>
      </c>
      <c r="C593" s="1">
        <v>87</v>
      </c>
      <c r="D593" s="1">
        <v>0</v>
      </c>
      <c r="E593" s="5">
        <v>1</v>
      </c>
      <c r="F593" s="3">
        <f t="shared" si="96"/>
        <v>20</v>
      </c>
      <c r="G593" s="5">
        <v>2</v>
      </c>
      <c r="H593" s="3">
        <f t="shared" si="97"/>
        <v>3.1415926535897931</v>
      </c>
      <c r="I593" s="4">
        <v>3.1415999999999999E-2</v>
      </c>
      <c r="K593" s="3">
        <v>126.88538903412008</v>
      </c>
      <c r="L593" s="3">
        <v>254.87755999999999</v>
      </c>
      <c r="M593" s="3">
        <v>887.67048</v>
      </c>
      <c r="N593" s="12">
        <f t="shared" si="83"/>
        <v>1.0000023384349969E-2</v>
      </c>
      <c r="O593" s="11">
        <f t="shared" si="84"/>
        <v>314.15999999999997</v>
      </c>
      <c r="P593" s="1">
        <v>10</v>
      </c>
      <c r="Q593" s="1">
        <v>1</v>
      </c>
      <c r="R593" s="3">
        <f>Q593*VLOOKUP(P593,[4]Datos!$A$2:$D$14,2)</f>
        <v>8.19</v>
      </c>
      <c r="S593" s="10">
        <f t="shared" si="98"/>
        <v>39</v>
      </c>
      <c r="T593" s="2">
        <v>39</v>
      </c>
      <c r="U593" s="3">
        <f t="shared" si="99"/>
        <v>0.14000000000000001</v>
      </c>
      <c r="V593" s="3"/>
      <c r="W593" s="1">
        <v>280</v>
      </c>
      <c r="X593" s="9">
        <v>2</v>
      </c>
      <c r="Y593" s="1">
        <v>4</v>
      </c>
      <c r="Z593" s="3">
        <f>X593*VLOOKUP(Y593,[4]Datos!$A$2:$D$14,2)</f>
        <v>2.58</v>
      </c>
      <c r="AA593" s="8">
        <v>0.3</v>
      </c>
      <c r="AB593" s="7">
        <f t="shared" si="85"/>
        <v>207.09423574274689</v>
      </c>
      <c r="AC593" s="7">
        <f t="shared" si="100"/>
        <v>47.081633547905106</v>
      </c>
      <c r="AD593" s="6" t="str">
        <f t="shared" si="86"/>
        <v>Cumple</v>
      </c>
      <c r="AE593" s="6"/>
      <c r="AH593" s="3"/>
    </row>
    <row r="594" spans="1:43" x14ac:dyDescent="0.3">
      <c r="A594" s="13"/>
      <c r="B594" s="1">
        <v>21</v>
      </c>
      <c r="C594" s="1">
        <v>88</v>
      </c>
      <c r="D594" s="1">
        <v>0</v>
      </c>
      <c r="E594" s="5">
        <v>1</v>
      </c>
      <c r="F594" s="3">
        <f t="shared" si="96"/>
        <v>21</v>
      </c>
      <c r="G594" s="5">
        <v>2</v>
      </c>
      <c r="H594" s="3">
        <f t="shared" si="97"/>
        <v>3.1415926535897931</v>
      </c>
      <c r="I594" s="4">
        <v>3.1415999999999999E-2</v>
      </c>
      <c r="K594" s="3">
        <v>126.88597574141123</v>
      </c>
      <c r="L594" s="3">
        <v>310.4529</v>
      </c>
      <c r="M594" s="3">
        <v>872.93400999999994</v>
      </c>
      <c r="N594" s="12">
        <f t="shared" si="83"/>
        <v>1.0000023384349969E-2</v>
      </c>
      <c r="O594" s="11">
        <f t="shared" si="84"/>
        <v>314.15999999999997</v>
      </c>
      <c r="P594" s="1">
        <v>10</v>
      </c>
      <c r="Q594" s="1">
        <v>1</v>
      </c>
      <c r="R594" s="3">
        <f>Q594*VLOOKUP(P594,[4]Datos!$A$2:$D$14,2)</f>
        <v>8.19</v>
      </c>
      <c r="S594" s="10">
        <f t="shared" si="98"/>
        <v>39</v>
      </c>
      <c r="T594" s="2">
        <v>39</v>
      </c>
      <c r="U594" s="3">
        <f t="shared" si="99"/>
        <v>0.14000000000000001</v>
      </c>
      <c r="V594" s="3"/>
      <c r="W594" s="1">
        <v>280</v>
      </c>
      <c r="X594" s="9">
        <v>2</v>
      </c>
      <c r="Y594" s="1">
        <v>4</v>
      </c>
      <c r="Z594" s="3">
        <f>X594*VLOOKUP(Y594,[4]Datos!$A$2:$D$14,2)</f>
        <v>2.58</v>
      </c>
      <c r="AA594" s="8">
        <v>0.3</v>
      </c>
      <c r="AB594" s="7">
        <f t="shared" si="85"/>
        <v>207.09423574274689</v>
      </c>
      <c r="AC594" s="7">
        <f t="shared" si="100"/>
        <v>47.081633547905106</v>
      </c>
      <c r="AD594" s="6" t="str">
        <f t="shared" si="86"/>
        <v>Cumple</v>
      </c>
      <c r="AE594" s="6"/>
      <c r="AH594" s="3"/>
    </row>
    <row r="595" spans="1:43" x14ac:dyDescent="0.3">
      <c r="A595" s="13"/>
      <c r="B595" s="1">
        <v>22</v>
      </c>
      <c r="C595" s="1">
        <v>89</v>
      </c>
      <c r="D595" s="1">
        <v>0</v>
      </c>
      <c r="E595" s="5">
        <v>1</v>
      </c>
      <c r="F595" s="3">
        <f t="shared" si="96"/>
        <v>22</v>
      </c>
      <c r="G595" s="5">
        <v>2</v>
      </c>
      <c r="H595" s="3">
        <f t="shared" si="97"/>
        <v>3.1415926535897931</v>
      </c>
      <c r="I595" s="4">
        <v>3.1415999999999999E-2</v>
      </c>
      <c r="K595" s="3">
        <v>126.886700381088</v>
      </c>
      <c r="L595" s="3">
        <v>365.99</v>
      </c>
      <c r="M595" s="3">
        <v>881.40571</v>
      </c>
      <c r="N595" s="12">
        <f t="shared" si="83"/>
        <v>1.0000023384349969E-2</v>
      </c>
      <c r="O595" s="11">
        <f t="shared" si="84"/>
        <v>314.15999999999997</v>
      </c>
      <c r="P595" s="1">
        <v>10</v>
      </c>
      <c r="Q595" s="1">
        <v>1</v>
      </c>
      <c r="R595" s="3">
        <f>Q595*VLOOKUP(P595,[4]Datos!$A$2:$D$14,2)</f>
        <v>8.19</v>
      </c>
      <c r="S595" s="10">
        <f t="shared" si="98"/>
        <v>39</v>
      </c>
      <c r="T595" s="2">
        <v>39</v>
      </c>
      <c r="U595" s="3">
        <f t="shared" si="99"/>
        <v>0.14000000000000001</v>
      </c>
      <c r="V595" s="3"/>
      <c r="W595" s="1">
        <v>280</v>
      </c>
      <c r="X595" s="9">
        <v>2</v>
      </c>
      <c r="Y595" s="1">
        <v>6</v>
      </c>
      <c r="Z595" s="3">
        <f>X595*VLOOKUP(Y595,[4]Datos!$A$2:$D$14,2)</f>
        <v>5.68</v>
      </c>
      <c r="AA595" s="8">
        <v>7.4999999999999997E-2</v>
      </c>
      <c r="AB595" s="7">
        <f t="shared" si="85"/>
        <v>207.09423574274689</v>
      </c>
      <c r="AC595" s="7">
        <f t="shared" si="100"/>
        <v>414.61035434434268</v>
      </c>
      <c r="AD595" s="6" t="str">
        <f t="shared" si="86"/>
        <v>Cumple</v>
      </c>
      <c r="AE595" s="6"/>
      <c r="AF595" s="5">
        <v>24</v>
      </c>
      <c r="AG595" s="7">
        <f>ROUNDUP(MAX(0.45,G595,AF595/6),0)</f>
        <v>4</v>
      </c>
      <c r="AH595" s="3">
        <f>PI()*(G595-0.15)^2/4</f>
        <v>2.6880252142277672</v>
      </c>
      <c r="AI595" s="7">
        <f>G595-0.15-VLOOKUP(Y595,[4]Datos!$A$2:$D$14,3)/100</f>
        <v>1.8309000000000002</v>
      </c>
      <c r="AJ595" s="7">
        <f>SQRT((PI()*AI595)^2+AA595^2)</f>
        <v>5.7524309339691264</v>
      </c>
      <c r="AK595" s="1">
        <v>0.12</v>
      </c>
      <c r="AL595" s="16">
        <f>MAX(0.45*(H595/AH595-1),AK595)*(W595/4220)</f>
        <v>7.9620853080568724E-3</v>
      </c>
      <c r="AM595" s="7">
        <f>AG595*(AJ595/AA595)</f>
        <v>306.79631647835345</v>
      </c>
      <c r="AN595" s="17">
        <f>AM595*Z595/X595/10000</f>
        <v>8.7130153879852373E-2</v>
      </c>
      <c r="AO595" s="17">
        <f>AH595*AG595</f>
        <v>10.752100856911069</v>
      </c>
      <c r="AP595" s="16">
        <f>AN595/AO595</f>
        <v>8.1035469290495175E-3</v>
      </c>
      <c r="AQ595" s="6" t="str">
        <f>+IF(AP595&gt;AL595,"Cumple","No Cumple")</f>
        <v>Cumple</v>
      </c>
    </row>
    <row r="596" spans="1:43" x14ac:dyDescent="0.3">
      <c r="A596" s="13"/>
      <c r="B596" s="1">
        <v>23</v>
      </c>
      <c r="C596" s="1">
        <v>90</v>
      </c>
      <c r="D596" s="1">
        <v>0</v>
      </c>
      <c r="E596" s="5">
        <v>1</v>
      </c>
      <c r="F596" s="3">
        <f t="shared" si="96"/>
        <v>23</v>
      </c>
      <c r="G596" s="5">
        <v>2</v>
      </c>
      <c r="H596" s="3">
        <f t="shared" si="97"/>
        <v>3.1415926535897931</v>
      </c>
      <c r="I596" s="4">
        <v>3.1415999999999999E-2</v>
      </c>
      <c r="K596" s="3">
        <v>126.88728710225465</v>
      </c>
      <c r="L596" s="3">
        <v>421.46303</v>
      </c>
      <c r="M596" s="3">
        <v>914.77341999999999</v>
      </c>
      <c r="N596" s="12">
        <f t="shared" si="83"/>
        <v>1.0000023384349969E-2</v>
      </c>
      <c r="O596" s="11">
        <f t="shared" si="84"/>
        <v>314.15999999999997</v>
      </c>
      <c r="P596" s="1">
        <v>10</v>
      </c>
      <c r="Q596" s="1">
        <v>1</v>
      </c>
      <c r="R596" s="3">
        <f>Q596*VLOOKUP(P596,[4]Datos!$A$2:$D$14,2)</f>
        <v>8.19</v>
      </c>
      <c r="S596" s="10">
        <f t="shared" si="98"/>
        <v>39</v>
      </c>
      <c r="T596" s="2">
        <v>39</v>
      </c>
      <c r="U596" s="3">
        <f t="shared" si="99"/>
        <v>0.14000000000000001</v>
      </c>
      <c r="V596" s="3"/>
      <c r="W596" s="1">
        <v>280</v>
      </c>
      <c r="X596" s="9">
        <v>2</v>
      </c>
      <c r="Y596" s="1">
        <v>6</v>
      </c>
      <c r="Z596" s="3">
        <f>X596*VLOOKUP(Y596,[4]Datos!$A$2:$D$14,2)</f>
        <v>5.68</v>
      </c>
      <c r="AA596" s="8">
        <v>7.4999999999999997E-2</v>
      </c>
      <c r="AB596" s="7">
        <f t="shared" si="85"/>
        <v>207.09423574274689</v>
      </c>
      <c r="AC596" s="7">
        <f t="shared" si="100"/>
        <v>414.61035434434268</v>
      </c>
      <c r="AD596" s="6" t="str">
        <f t="shared" si="86"/>
        <v>Cumple</v>
      </c>
      <c r="AE596" s="6"/>
      <c r="AF596" s="5">
        <v>24</v>
      </c>
      <c r="AG596" s="7">
        <f t="shared" ref="AG596:AG598" si="101">ROUNDUP(MAX(0.45,G596,AF596/6),0)</f>
        <v>4</v>
      </c>
      <c r="AH596" s="3">
        <f t="shared" ref="AH596:AH606" si="102">PI()*(G596-0.15)^2/4</f>
        <v>2.6880252142277672</v>
      </c>
      <c r="AI596" s="7">
        <f>G596-0.15-VLOOKUP(Y596,[4]Datos!$A$2:$D$14,3)/100</f>
        <v>1.8309000000000002</v>
      </c>
      <c r="AJ596" s="7">
        <f t="shared" ref="AJ596:AJ606" si="103">SQRT((PI()*AI596)^2+AA596^2)</f>
        <v>5.7524309339691264</v>
      </c>
      <c r="AK596" s="1">
        <v>0.12</v>
      </c>
      <c r="AL596" s="16">
        <f t="shared" ref="AL596:AL606" si="104">MAX(0.45*(H596/AH596-1),AK596)*(W596/4220)</f>
        <v>7.9620853080568724E-3</v>
      </c>
      <c r="AM596" s="7">
        <f t="shared" ref="AM596:AM606" si="105">AG596*(AJ596/AA596)</f>
        <v>306.79631647835345</v>
      </c>
      <c r="AN596" s="17">
        <f t="shared" ref="AN596:AN606" si="106">AM596*Z596/X596/10000</f>
        <v>8.7130153879852373E-2</v>
      </c>
      <c r="AO596" s="17">
        <f t="shared" ref="AO596:AO606" si="107">AH596*AG596</f>
        <v>10.752100856911069</v>
      </c>
      <c r="AP596" s="16">
        <f t="shared" ref="AP596:AP606" si="108">AN596/AO596</f>
        <v>8.1035469290495175E-3</v>
      </c>
      <c r="AQ596" s="6" t="str">
        <f t="shared" ref="AQ596:AQ606" si="109">+IF(AP596&gt;AL596,"Cumple","No Cumple")</f>
        <v>Cumple</v>
      </c>
    </row>
    <row r="597" spans="1:43" x14ac:dyDescent="0.3">
      <c r="A597" s="13"/>
      <c r="B597" s="1">
        <v>24</v>
      </c>
      <c r="C597" s="1">
        <v>91</v>
      </c>
      <c r="D597" s="1">
        <v>0</v>
      </c>
      <c r="E597" s="5">
        <v>1</v>
      </c>
      <c r="F597" s="3">
        <f t="shared" si="96"/>
        <v>24</v>
      </c>
      <c r="G597" s="5">
        <v>2</v>
      </c>
      <c r="H597" s="3">
        <f t="shared" si="97"/>
        <v>3.1415926535897931</v>
      </c>
      <c r="I597" s="4">
        <v>3.1415999999999999E-2</v>
      </c>
      <c r="K597" s="3">
        <v>126.8880117562727</v>
      </c>
      <c r="L597" s="3">
        <v>476.84998999999999</v>
      </c>
      <c r="M597" s="3">
        <v>948.22762</v>
      </c>
      <c r="N597" s="12">
        <f t="shared" si="83"/>
        <v>1.0000023384349969E-2</v>
      </c>
      <c r="O597" s="11">
        <f t="shared" si="84"/>
        <v>314.15999999999997</v>
      </c>
      <c r="P597" s="1">
        <v>10</v>
      </c>
      <c r="Q597" s="1">
        <v>1</v>
      </c>
      <c r="R597" s="3">
        <f>Q597*VLOOKUP(P597,[4]Datos!$A$2:$D$14,2)</f>
        <v>8.19</v>
      </c>
      <c r="S597" s="10">
        <f t="shared" si="98"/>
        <v>39</v>
      </c>
      <c r="T597" s="2">
        <v>39</v>
      </c>
      <c r="U597" s="3">
        <f t="shared" si="99"/>
        <v>0.14000000000000001</v>
      </c>
      <c r="V597" s="3"/>
      <c r="W597" s="1">
        <v>280</v>
      </c>
      <c r="X597" s="9">
        <v>2</v>
      </c>
      <c r="Y597" s="1">
        <v>6</v>
      </c>
      <c r="Z597" s="3">
        <f>X597*VLOOKUP(Y597,[4]Datos!$A$2:$D$14,2)</f>
        <v>5.68</v>
      </c>
      <c r="AA597" s="8">
        <v>7.4999999999999997E-2</v>
      </c>
      <c r="AB597" s="7">
        <f t="shared" si="85"/>
        <v>207.09423574274689</v>
      </c>
      <c r="AC597" s="7">
        <f t="shared" si="100"/>
        <v>414.61035434434268</v>
      </c>
      <c r="AD597" s="6" t="str">
        <f t="shared" si="86"/>
        <v>Cumple</v>
      </c>
      <c r="AE597" s="6"/>
      <c r="AF597" s="5">
        <v>24</v>
      </c>
      <c r="AG597" s="7">
        <f t="shared" si="101"/>
        <v>4</v>
      </c>
      <c r="AH597" s="3">
        <f t="shared" si="102"/>
        <v>2.6880252142277672</v>
      </c>
      <c r="AI597" s="7">
        <f>G597-0.15-VLOOKUP(Y597,[4]Datos!$A$2:$D$14,3)/100</f>
        <v>1.8309000000000002</v>
      </c>
      <c r="AJ597" s="7">
        <f t="shared" si="103"/>
        <v>5.7524309339691264</v>
      </c>
      <c r="AK597" s="1">
        <v>0.12</v>
      </c>
      <c r="AL597" s="16">
        <f t="shared" si="104"/>
        <v>7.9620853080568724E-3</v>
      </c>
      <c r="AM597" s="7">
        <f t="shared" si="105"/>
        <v>306.79631647835345</v>
      </c>
      <c r="AN597" s="17">
        <f t="shared" si="106"/>
        <v>8.7130153879852373E-2</v>
      </c>
      <c r="AO597" s="17">
        <f t="shared" si="107"/>
        <v>10.752100856911069</v>
      </c>
      <c r="AP597" s="16">
        <f t="shared" si="108"/>
        <v>8.1035469290495175E-3</v>
      </c>
      <c r="AQ597" s="6" t="str">
        <f t="shared" si="109"/>
        <v>Cumple</v>
      </c>
    </row>
    <row r="598" spans="1:43" x14ac:dyDescent="0.3">
      <c r="A598" s="13"/>
      <c r="B598" s="1">
        <v>25</v>
      </c>
      <c r="C598" s="1">
        <v>92</v>
      </c>
      <c r="D598" s="1">
        <v>0</v>
      </c>
      <c r="E598" s="5">
        <v>1</v>
      </c>
      <c r="F598" s="3">
        <f t="shared" si="96"/>
        <v>25</v>
      </c>
      <c r="G598" s="5">
        <v>2</v>
      </c>
      <c r="H598" s="3">
        <f t="shared" si="97"/>
        <v>3.1415926535897931</v>
      </c>
      <c r="I598" s="4">
        <v>3.1415999999999999E-2</v>
      </c>
      <c r="K598" s="3">
        <v>126.888651831202</v>
      </c>
      <c r="L598" s="3">
        <v>532.13115000000005</v>
      </c>
      <c r="M598" s="3">
        <v>981.72352999999998</v>
      </c>
      <c r="N598" s="12">
        <f t="shared" si="83"/>
        <v>1.0000023384349969E-2</v>
      </c>
      <c r="O598" s="11">
        <f t="shared" si="84"/>
        <v>314.15999999999997</v>
      </c>
      <c r="P598" s="1">
        <v>10</v>
      </c>
      <c r="Q598" s="19">
        <v>2</v>
      </c>
      <c r="R598" s="3">
        <f>Q598*VLOOKUP(P598,[4]Datos!$A$2:$D$14,2)</f>
        <v>16.38</v>
      </c>
      <c r="S598" s="10">
        <f t="shared" si="98"/>
        <v>20</v>
      </c>
      <c r="T598" s="18">
        <v>42</v>
      </c>
      <c r="U598" s="3">
        <f t="shared" si="99"/>
        <v>0.13</v>
      </c>
      <c r="V598" s="3"/>
      <c r="W598" s="1">
        <v>280</v>
      </c>
      <c r="X598" s="9">
        <v>2</v>
      </c>
      <c r="Y598" s="1">
        <v>6</v>
      </c>
      <c r="Z598" s="3">
        <f>X598*VLOOKUP(Y598,[4]Datos!$A$2:$D$14,2)</f>
        <v>5.68</v>
      </c>
      <c r="AA598" s="8">
        <v>7.4999999999999997E-2</v>
      </c>
      <c r="AB598" s="7">
        <f t="shared" si="85"/>
        <v>207.09423574274689</v>
      </c>
      <c r="AC598" s="7">
        <f t="shared" si="100"/>
        <v>414.61035434434268</v>
      </c>
      <c r="AD598" s="6" t="str">
        <f t="shared" si="86"/>
        <v>Cumple</v>
      </c>
      <c r="AE598" s="6"/>
      <c r="AF598" s="5">
        <v>24</v>
      </c>
      <c r="AG598" s="7">
        <f t="shared" si="101"/>
        <v>4</v>
      </c>
      <c r="AH598" s="3">
        <f t="shared" si="102"/>
        <v>2.6880252142277672</v>
      </c>
      <c r="AI598" s="7">
        <f>G598-0.15-VLOOKUP(Y598,[4]Datos!$A$2:$D$14,3)/100</f>
        <v>1.8309000000000002</v>
      </c>
      <c r="AJ598" s="7">
        <f t="shared" si="103"/>
        <v>5.7524309339691264</v>
      </c>
      <c r="AK598" s="1">
        <v>0.12</v>
      </c>
      <c r="AL598" s="16">
        <f t="shared" si="104"/>
        <v>7.9620853080568724E-3</v>
      </c>
      <c r="AM598" s="7">
        <f t="shared" si="105"/>
        <v>306.79631647835345</v>
      </c>
      <c r="AN598" s="17">
        <f t="shared" si="106"/>
        <v>8.7130153879852373E-2</v>
      </c>
      <c r="AO598" s="17">
        <f t="shared" si="107"/>
        <v>10.752100856911069</v>
      </c>
      <c r="AP598" s="16">
        <f t="shared" si="108"/>
        <v>8.1035469290495175E-3</v>
      </c>
      <c r="AQ598" s="6" t="str">
        <f t="shared" si="109"/>
        <v>Cumple</v>
      </c>
    </row>
    <row r="599" spans="1:43" x14ac:dyDescent="0.3">
      <c r="A599" s="13"/>
      <c r="B599" s="1">
        <v>26</v>
      </c>
      <c r="C599" s="1">
        <v>294</v>
      </c>
      <c r="D599" s="1">
        <v>1</v>
      </c>
      <c r="E599" s="5">
        <v>1</v>
      </c>
      <c r="F599" s="3">
        <f t="shared" si="96"/>
        <v>26</v>
      </c>
      <c r="G599" s="5">
        <v>2</v>
      </c>
      <c r="H599" s="3">
        <f t="shared" si="97"/>
        <v>3.1415926535897931</v>
      </c>
      <c r="I599" s="4">
        <v>6.5448000000000006E-2</v>
      </c>
      <c r="K599" s="3">
        <v>126.94729286050176</v>
      </c>
      <c r="L599" s="3">
        <v>1157.1134300000001</v>
      </c>
      <c r="M599" s="3">
        <v>1838.8281899999999</v>
      </c>
      <c r="N599" s="12">
        <f t="shared" si="83"/>
        <v>2.0832745430956735E-2</v>
      </c>
      <c r="O599" s="11">
        <f t="shared" si="84"/>
        <v>654.48</v>
      </c>
      <c r="P599" s="1">
        <v>10</v>
      </c>
      <c r="Q599" s="19">
        <v>2</v>
      </c>
      <c r="R599" s="3">
        <f>Q599*VLOOKUP(P599,[4]Datos!$A$2:$D$14,2)</f>
        <v>16.38</v>
      </c>
      <c r="S599" s="10">
        <f t="shared" si="98"/>
        <v>40</v>
      </c>
      <c r="T599" s="18">
        <v>42</v>
      </c>
      <c r="U599" s="3">
        <f t="shared" si="99"/>
        <v>0.13</v>
      </c>
      <c r="V599" s="3"/>
      <c r="W599" s="1">
        <v>280</v>
      </c>
      <c r="X599" s="9">
        <v>2</v>
      </c>
      <c r="Y599" s="1">
        <v>6</v>
      </c>
      <c r="Z599" s="3">
        <f>X599*VLOOKUP(Y599,[4]Datos!$A$2:$D$14,2)</f>
        <v>5.68</v>
      </c>
      <c r="AA599" s="8">
        <v>7.4999999999999997E-2</v>
      </c>
      <c r="AB599" s="7">
        <f t="shared" si="85"/>
        <v>115.05235319041492</v>
      </c>
      <c r="AC599" s="7">
        <f t="shared" si="100"/>
        <v>414.61035434434268</v>
      </c>
      <c r="AD599" s="6" t="str">
        <f t="shared" si="86"/>
        <v>Cumple</v>
      </c>
      <c r="AE599" s="6"/>
      <c r="AG599" s="7">
        <f>ROUNDUP(MAX(0.45,3*G599,),0)</f>
        <v>6</v>
      </c>
      <c r="AH599" s="3">
        <f t="shared" si="102"/>
        <v>2.6880252142277672</v>
      </c>
      <c r="AI599" s="7">
        <f>G599-0.15-VLOOKUP(Y599,[4]Datos!$A$2:$D$14,3)/100</f>
        <v>1.8309000000000002</v>
      </c>
      <c r="AJ599" s="7">
        <f t="shared" si="103"/>
        <v>5.7524309339691264</v>
      </c>
      <c r="AK599" s="1">
        <v>0.12</v>
      </c>
      <c r="AL599" s="16">
        <f t="shared" si="104"/>
        <v>7.9620853080568724E-3</v>
      </c>
      <c r="AM599" s="7">
        <f t="shared" si="105"/>
        <v>460.19447471753017</v>
      </c>
      <c r="AN599" s="17">
        <f t="shared" si="106"/>
        <v>0.13069523081977857</v>
      </c>
      <c r="AO599" s="17">
        <f t="shared" si="107"/>
        <v>16.128151285366602</v>
      </c>
      <c r="AP599" s="16">
        <f t="shared" si="108"/>
        <v>8.1035469290495193E-3</v>
      </c>
      <c r="AQ599" s="6" t="str">
        <f t="shared" si="109"/>
        <v>Cumple</v>
      </c>
    </row>
    <row r="600" spans="1:43" x14ac:dyDescent="0.3">
      <c r="A600" s="13"/>
      <c r="B600" s="1">
        <v>27</v>
      </c>
      <c r="C600" s="1">
        <v>296</v>
      </c>
      <c r="D600" s="1">
        <v>1</v>
      </c>
      <c r="E600" s="5">
        <v>1</v>
      </c>
      <c r="F600" s="3">
        <f t="shared" si="96"/>
        <v>27</v>
      </c>
      <c r="G600" s="5">
        <v>2</v>
      </c>
      <c r="H600" s="3">
        <f t="shared" si="97"/>
        <v>3.1415926535897931</v>
      </c>
      <c r="I600" s="4">
        <v>6.7569000000000004E-2</v>
      </c>
      <c r="K600" s="3">
        <v>98.749438666202053</v>
      </c>
      <c r="L600" s="3">
        <v>1241.1894600000001</v>
      </c>
      <c r="M600" s="3">
        <v>1870.9974199999999</v>
      </c>
      <c r="N600" s="12">
        <f t="shared" si="83"/>
        <v>2.1507880699552555E-2</v>
      </c>
      <c r="O600" s="11">
        <f t="shared" si="84"/>
        <v>675.69</v>
      </c>
      <c r="P600" s="1">
        <v>10</v>
      </c>
      <c r="Q600" s="19">
        <v>2</v>
      </c>
      <c r="R600" s="3">
        <f>Q600*VLOOKUP(P600,[4]Datos!$A$2:$D$14,2)</f>
        <v>16.38</v>
      </c>
      <c r="S600" s="10">
        <f t="shared" si="98"/>
        <v>42</v>
      </c>
      <c r="T600" s="18">
        <v>42</v>
      </c>
      <c r="U600" s="3">
        <f t="shared" si="99"/>
        <v>0.13</v>
      </c>
      <c r="V600" s="3"/>
      <c r="W600" s="1">
        <v>280</v>
      </c>
      <c r="X600" s="9">
        <v>2</v>
      </c>
      <c r="Y600" s="1">
        <v>6</v>
      </c>
      <c r="Z600" s="3">
        <f>X600*VLOOKUP(Y600,[4]Datos!$A$2:$D$14,2)</f>
        <v>5.68</v>
      </c>
      <c r="AA600" s="8">
        <v>7.4999999999999997E-2</v>
      </c>
      <c r="AB600" s="7">
        <f t="shared" si="85"/>
        <v>115.05235319041492</v>
      </c>
      <c r="AC600" s="7">
        <f t="shared" si="100"/>
        <v>414.61035434434268</v>
      </c>
      <c r="AD600" s="6" t="str">
        <f t="shared" si="86"/>
        <v>Cumple</v>
      </c>
      <c r="AE600" s="6"/>
      <c r="AG600" s="7">
        <f t="shared" ref="AG600:AG606" si="110">ROUNDUP(MAX(0.45,3*G600,),0)</f>
        <v>6</v>
      </c>
      <c r="AH600" s="3">
        <f t="shared" si="102"/>
        <v>2.6880252142277672</v>
      </c>
      <c r="AI600" s="7">
        <f>G600-0.15-VLOOKUP(Y600,[4]Datos!$A$2:$D$14,3)/100</f>
        <v>1.8309000000000002</v>
      </c>
      <c r="AJ600" s="7">
        <f t="shared" si="103"/>
        <v>5.7524309339691264</v>
      </c>
      <c r="AK600" s="1">
        <v>0.12</v>
      </c>
      <c r="AL600" s="16">
        <f t="shared" si="104"/>
        <v>7.9620853080568724E-3</v>
      </c>
      <c r="AM600" s="7">
        <f t="shared" si="105"/>
        <v>460.19447471753017</v>
      </c>
      <c r="AN600" s="17">
        <f t="shared" si="106"/>
        <v>0.13069523081977857</v>
      </c>
      <c r="AO600" s="17">
        <f t="shared" si="107"/>
        <v>16.128151285366602</v>
      </c>
      <c r="AP600" s="16">
        <f t="shared" si="108"/>
        <v>8.1035469290495193E-3</v>
      </c>
      <c r="AQ600" s="6" t="str">
        <f t="shared" si="109"/>
        <v>Cumple</v>
      </c>
    </row>
    <row r="601" spans="1:43" x14ac:dyDescent="0.3">
      <c r="A601" s="13"/>
      <c r="B601" s="1">
        <v>28</v>
      </c>
      <c r="C601" s="1">
        <v>298</v>
      </c>
      <c r="D601" s="1">
        <v>1</v>
      </c>
      <c r="E601" s="5">
        <v>1</v>
      </c>
      <c r="F601" s="3">
        <f t="shared" si="96"/>
        <v>28</v>
      </c>
      <c r="G601" s="5">
        <v>2</v>
      </c>
      <c r="H601" s="3">
        <f t="shared" si="97"/>
        <v>3.1415926535897931</v>
      </c>
      <c r="I601" s="4">
        <v>6.7569000000000004E-2</v>
      </c>
      <c r="K601" s="3">
        <v>61.987411791750105</v>
      </c>
      <c r="L601" s="3">
        <v>1285.6478099999999</v>
      </c>
      <c r="M601" s="3">
        <v>1870.9974199999999</v>
      </c>
      <c r="N601" s="12">
        <f t="shared" si="83"/>
        <v>2.1507880699552555E-2</v>
      </c>
      <c r="O601" s="11">
        <f t="shared" si="84"/>
        <v>675.69</v>
      </c>
      <c r="P601" s="1">
        <v>10</v>
      </c>
      <c r="Q601" s="1">
        <v>2</v>
      </c>
      <c r="R601" s="3">
        <f>Q601*VLOOKUP(P601,[4]Datos!$A$2:$D$14,2)</f>
        <v>16.38</v>
      </c>
      <c r="S601" s="10">
        <f t="shared" si="98"/>
        <v>42</v>
      </c>
      <c r="T601" s="2">
        <v>42</v>
      </c>
      <c r="U601" s="3">
        <f t="shared" si="99"/>
        <v>0.13</v>
      </c>
      <c r="V601" s="3"/>
      <c r="W601" s="1">
        <v>280</v>
      </c>
      <c r="X601" s="9">
        <v>2</v>
      </c>
      <c r="Y601" s="1">
        <v>6</v>
      </c>
      <c r="Z601" s="3">
        <f>X601*VLOOKUP(Y601,[4]Datos!$A$2:$D$14,2)</f>
        <v>5.68</v>
      </c>
      <c r="AA601" s="8">
        <v>7.4999999999999997E-2</v>
      </c>
      <c r="AB601" s="7">
        <f t="shared" si="85"/>
        <v>115.05235319041492</v>
      </c>
      <c r="AC601" s="7">
        <f t="shared" si="100"/>
        <v>414.61035434434268</v>
      </c>
      <c r="AD601" s="6" t="str">
        <f t="shared" si="86"/>
        <v>Cumple</v>
      </c>
      <c r="AE601" s="6"/>
      <c r="AG601" s="7">
        <f t="shared" si="110"/>
        <v>6</v>
      </c>
      <c r="AH601" s="3">
        <f t="shared" si="102"/>
        <v>2.6880252142277672</v>
      </c>
      <c r="AI601" s="7">
        <f>G601-0.15-VLOOKUP(Y601,[4]Datos!$A$2:$D$14,3)/100</f>
        <v>1.8309000000000002</v>
      </c>
      <c r="AJ601" s="7">
        <f t="shared" si="103"/>
        <v>5.7524309339691264</v>
      </c>
      <c r="AK601" s="1">
        <v>0.12</v>
      </c>
      <c r="AL601" s="16">
        <f t="shared" si="104"/>
        <v>7.9620853080568724E-3</v>
      </c>
      <c r="AM601" s="7">
        <f t="shared" si="105"/>
        <v>460.19447471753017</v>
      </c>
      <c r="AN601" s="17">
        <f t="shared" si="106"/>
        <v>0.13069523081977857</v>
      </c>
      <c r="AO601" s="17">
        <f t="shared" si="107"/>
        <v>16.128151285366602</v>
      </c>
      <c r="AP601" s="16">
        <f t="shared" si="108"/>
        <v>8.1035469290495193E-3</v>
      </c>
      <c r="AQ601" s="6" t="str">
        <f t="shared" si="109"/>
        <v>Cumple</v>
      </c>
    </row>
    <row r="602" spans="1:43" x14ac:dyDescent="0.3">
      <c r="A602" s="13"/>
      <c r="B602" s="1">
        <v>29</v>
      </c>
      <c r="C602" s="1">
        <v>300</v>
      </c>
      <c r="D602" s="1">
        <v>1</v>
      </c>
      <c r="E602" s="5">
        <v>1</v>
      </c>
      <c r="F602" s="3">
        <f t="shared" si="96"/>
        <v>29</v>
      </c>
      <c r="G602" s="5">
        <v>2</v>
      </c>
      <c r="H602" s="3">
        <f t="shared" si="97"/>
        <v>3.1415926535897931</v>
      </c>
      <c r="I602" s="4">
        <v>6.7066000000000001E-2</v>
      </c>
      <c r="K602" s="3">
        <v>86.606494596767973</v>
      </c>
      <c r="L602" s="3">
        <v>1285.6478099999999</v>
      </c>
      <c r="M602" s="3">
        <v>1856.96065</v>
      </c>
      <c r="N602" s="12">
        <f t="shared" si="83"/>
        <v>2.1347770826802104E-2</v>
      </c>
      <c r="O602" s="11">
        <f t="shared" si="84"/>
        <v>670.66</v>
      </c>
      <c r="P602" s="1">
        <v>10</v>
      </c>
      <c r="Q602" s="1">
        <v>2</v>
      </c>
      <c r="R602" s="3">
        <f>Q602*VLOOKUP(P602,[4]Datos!$A$2:$D$14,2)</f>
        <v>16.38</v>
      </c>
      <c r="S602" s="10">
        <f t="shared" si="98"/>
        <v>41</v>
      </c>
      <c r="T602" s="2">
        <v>42</v>
      </c>
      <c r="U602" s="3">
        <f t="shared" si="99"/>
        <v>0.13</v>
      </c>
      <c r="V602" s="3"/>
      <c r="W602" s="1">
        <v>280</v>
      </c>
      <c r="X602" s="9">
        <v>2</v>
      </c>
      <c r="Y602" s="1">
        <v>6</v>
      </c>
      <c r="Z602" s="3">
        <f>X602*VLOOKUP(Y602,[4]Datos!$A$2:$D$14,2)</f>
        <v>5.68</v>
      </c>
      <c r="AA602" s="8">
        <v>7.4999999999999997E-2</v>
      </c>
      <c r="AB602" s="7">
        <f t="shared" si="85"/>
        <v>115.05235319041492</v>
      </c>
      <c r="AC602" s="7">
        <f t="shared" si="100"/>
        <v>414.61035434434268</v>
      </c>
      <c r="AD602" s="6" t="str">
        <f t="shared" si="86"/>
        <v>Cumple</v>
      </c>
      <c r="AE602" s="6"/>
      <c r="AG602" s="7">
        <f t="shared" si="110"/>
        <v>6</v>
      </c>
      <c r="AH602" s="3">
        <f t="shared" si="102"/>
        <v>2.6880252142277672</v>
      </c>
      <c r="AI602" s="7">
        <f>G602-0.15-VLOOKUP(Y602,[4]Datos!$A$2:$D$14,3)/100</f>
        <v>1.8309000000000002</v>
      </c>
      <c r="AJ602" s="7">
        <f t="shared" si="103"/>
        <v>5.7524309339691264</v>
      </c>
      <c r="AK602" s="1">
        <v>0.12</v>
      </c>
      <c r="AL602" s="16">
        <f t="shared" si="104"/>
        <v>7.9620853080568724E-3</v>
      </c>
      <c r="AM602" s="7">
        <f t="shared" si="105"/>
        <v>460.19447471753017</v>
      </c>
      <c r="AN602" s="17">
        <f t="shared" si="106"/>
        <v>0.13069523081977857</v>
      </c>
      <c r="AO602" s="17">
        <f t="shared" si="107"/>
        <v>16.128151285366602</v>
      </c>
      <c r="AP602" s="16">
        <f t="shared" si="108"/>
        <v>8.1035469290495193E-3</v>
      </c>
      <c r="AQ602" s="6" t="str">
        <f t="shared" si="109"/>
        <v>Cumple</v>
      </c>
    </row>
    <row r="603" spans="1:43" x14ac:dyDescent="0.3">
      <c r="A603" s="13"/>
      <c r="B603" s="1">
        <v>30</v>
      </c>
      <c r="C603" s="1">
        <v>302</v>
      </c>
      <c r="D603" s="1">
        <v>1</v>
      </c>
      <c r="E603" s="5">
        <v>1</v>
      </c>
      <c r="F603" s="3">
        <f t="shared" si="96"/>
        <v>30</v>
      </c>
      <c r="G603" s="5">
        <v>2</v>
      </c>
      <c r="H603" s="3">
        <f t="shared" si="97"/>
        <v>3.1415926535897931</v>
      </c>
      <c r="I603" s="4">
        <v>6.5351000000000006E-2</v>
      </c>
      <c r="K603" s="3">
        <v>120.7120968255046</v>
      </c>
      <c r="L603" s="3">
        <v>1284.7949599999999</v>
      </c>
      <c r="M603" s="3">
        <v>1791.40281</v>
      </c>
      <c r="N603" s="12">
        <f t="shared" si="83"/>
        <v>2.0801869371996906E-2</v>
      </c>
      <c r="O603" s="11">
        <f t="shared" si="84"/>
        <v>653.5100000000001</v>
      </c>
      <c r="P603" s="1">
        <v>10</v>
      </c>
      <c r="Q603" s="1">
        <v>2</v>
      </c>
      <c r="R603" s="3">
        <f>Q603*VLOOKUP(P603,[4]Datos!$A$2:$D$14,2)</f>
        <v>16.38</v>
      </c>
      <c r="S603" s="10">
        <f t="shared" si="98"/>
        <v>40</v>
      </c>
      <c r="T603" s="2">
        <v>42</v>
      </c>
      <c r="U603" s="3">
        <f t="shared" si="99"/>
        <v>0.13</v>
      </c>
      <c r="V603" s="3"/>
      <c r="W603" s="1">
        <v>280</v>
      </c>
      <c r="X603" s="9">
        <v>2</v>
      </c>
      <c r="Y603" s="1">
        <v>6</v>
      </c>
      <c r="Z603" s="3">
        <f>X603*VLOOKUP(Y603,[4]Datos!$A$2:$D$14,2)</f>
        <v>5.68</v>
      </c>
      <c r="AA603" s="8">
        <v>7.4999999999999997E-2</v>
      </c>
      <c r="AB603" s="7">
        <f t="shared" si="85"/>
        <v>115.05235319041492</v>
      </c>
      <c r="AC603" s="7">
        <f t="shared" si="100"/>
        <v>414.61035434434268</v>
      </c>
      <c r="AD603" s="6" t="str">
        <f t="shared" si="86"/>
        <v>Cumple</v>
      </c>
      <c r="AE603" s="6"/>
      <c r="AG603" s="7">
        <f t="shared" si="110"/>
        <v>6</v>
      </c>
      <c r="AH603" s="3">
        <f t="shared" si="102"/>
        <v>2.6880252142277672</v>
      </c>
      <c r="AI603" s="7">
        <f>G603-0.15-VLOOKUP(Y603,[4]Datos!$A$2:$D$14,3)/100</f>
        <v>1.8309000000000002</v>
      </c>
      <c r="AJ603" s="7">
        <f t="shared" si="103"/>
        <v>5.7524309339691264</v>
      </c>
      <c r="AK603" s="1">
        <v>0.12</v>
      </c>
      <c r="AL603" s="16">
        <f t="shared" si="104"/>
        <v>7.9620853080568724E-3</v>
      </c>
      <c r="AM603" s="7">
        <f t="shared" si="105"/>
        <v>460.19447471753017</v>
      </c>
      <c r="AN603" s="17">
        <f t="shared" si="106"/>
        <v>0.13069523081977857</v>
      </c>
      <c r="AO603" s="17">
        <f t="shared" si="107"/>
        <v>16.128151285366602</v>
      </c>
      <c r="AP603" s="16">
        <f t="shared" si="108"/>
        <v>8.1035469290495193E-3</v>
      </c>
      <c r="AQ603" s="6" t="str">
        <f t="shared" si="109"/>
        <v>Cumple</v>
      </c>
    </row>
    <row r="604" spans="1:43" x14ac:dyDescent="0.3">
      <c r="A604" s="13"/>
      <c r="B604" s="1">
        <v>31</v>
      </c>
      <c r="C604" s="1">
        <v>304</v>
      </c>
      <c r="D604" s="1">
        <v>1</v>
      </c>
      <c r="E604" s="5">
        <v>1</v>
      </c>
      <c r="F604" s="3">
        <f t="shared" si="96"/>
        <v>31</v>
      </c>
      <c r="G604" s="5">
        <v>2</v>
      </c>
      <c r="H604" s="3">
        <f t="shared" si="97"/>
        <v>3.1415926535897931</v>
      </c>
      <c r="I604" s="4">
        <v>6.1726999999999997E-2</v>
      </c>
      <c r="K604" s="3">
        <v>161.26472128103532</v>
      </c>
      <c r="L604" s="3">
        <v>1239.6233999999999</v>
      </c>
      <c r="M604" s="3">
        <v>1677.1831</v>
      </c>
      <c r="N604" s="12">
        <f t="shared" si="83"/>
        <v>1.9648314344466847E-2</v>
      </c>
      <c r="O604" s="11">
        <f t="shared" si="84"/>
        <v>617.27</v>
      </c>
      <c r="P604" s="1">
        <v>10</v>
      </c>
      <c r="Q604" s="1">
        <v>2</v>
      </c>
      <c r="R604" s="3">
        <f>Q604*VLOOKUP(P604,[4]Datos!$A$2:$D$14,2)</f>
        <v>16.38</v>
      </c>
      <c r="S604" s="10">
        <f t="shared" si="98"/>
        <v>38</v>
      </c>
      <c r="T604" s="2">
        <v>42</v>
      </c>
      <c r="U604" s="3">
        <f t="shared" si="99"/>
        <v>0.13</v>
      </c>
      <c r="V604" s="3"/>
      <c r="W604" s="1">
        <v>280</v>
      </c>
      <c r="X604" s="9">
        <v>2</v>
      </c>
      <c r="Y604" s="1">
        <v>6</v>
      </c>
      <c r="Z604" s="3">
        <f>X604*VLOOKUP(Y604,[4]Datos!$A$2:$D$14,2)</f>
        <v>5.68</v>
      </c>
      <c r="AA604" s="8">
        <v>7.4999999999999997E-2</v>
      </c>
      <c r="AB604" s="7">
        <f t="shared" si="85"/>
        <v>115.05235319041492</v>
      </c>
      <c r="AC604" s="7">
        <f t="shared" si="100"/>
        <v>414.61035434434268</v>
      </c>
      <c r="AD604" s="6" t="str">
        <f t="shared" si="86"/>
        <v>Cumple</v>
      </c>
      <c r="AE604" s="6"/>
      <c r="AG604" s="7">
        <f t="shared" si="110"/>
        <v>6</v>
      </c>
      <c r="AH604" s="3">
        <f t="shared" si="102"/>
        <v>2.6880252142277672</v>
      </c>
      <c r="AI604" s="7">
        <f>G604-0.15-VLOOKUP(Y604,[4]Datos!$A$2:$D$14,3)/100</f>
        <v>1.8309000000000002</v>
      </c>
      <c r="AJ604" s="7">
        <f t="shared" si="103"/>
        <v>5.7524309339691264</v>
      </c>
      <c r="AK604" s="1">
        <v>0.12</v>
      </c>
      <c r="AL604" s="16">
        <f t="shared" si="104"/>
        <v>7.9620853080568724E-3</v>
      </c>
      <c r="AM604" s="7">
        <f t="shared" si="105"/>
        <v>460.19447471753017</v>
      </c>
      <c r="AN604" s="17">
        <f t="shared" si="106"/>
        <v>0.13069523081977857</v>
      </c>
      <c r="AO604" s="17">
        <f t="shared" si="107"/>
        <v>16.128151285366602</v>
      </c>
      <c r="AP604" s="16">
        <f t="shared" si="108"/>
        <v>8.1035469290495193E-3</v>
      </c>
      <c r="AQ604" s="6" t="str">
        <f t="shared" si="109"/>
        <v>Cumple</v>
      </c>
    </row>
    <row r="605" spans="1:43" x14ac:dyDescent="0.3">
      <c r="A605" s="13"/>
      <c r="B605" s="1">
        <v>32</v>
      </c>
      <c r="C605" s="1">
        <v>306</v>
      </c>
      <c r="D605" s="1">
        <v>1</v>
      </c>
      <c r="E605" s="5">
        <v>1</v>
      </c>
      <c r="F605" s="3">
        <f t="shared" si="96"/>
        <v>32</v>
      </c>
      <c r="G605" s="5">
        <v>2</v>
      </c>
      <c r="H605" s="3">
        <f t="shared" si="97"/>
        <v>3.1415926535897931</v>
      </c>
      <c r="I605" s="4">
        <v>5.6827999999999997E-2</v>
      </c>
      <c r="K605" s="3">
        <v>191.02412902421514</v>
      </c>
      <c r="L605" s="3">
        <v>1155.8646900000001</v>
      </c>
      <c r="M605" s="3">
        <v>1522.6759300000001</v>
      </c>
      <c r="N605" s="12">
        <f t="shared" si="83"/>
        <v>1.8088914212052457E-2</v>
      </c>
      <c r="O605" s="11">
        <f t="shared" si="84"/>
        <v>568.28</v>
      </c>
      <c r="P605" s="1">
        <v>10</v>
      </c>
      <c r="Q605" s="1">
        <v>2</v>
      </c>
      <c r="R605" s="3">
        <f>Q605*VLOOKUP(P605,[4]Datos!$A$2:$D$14,2)</f>
        <v>16.38</v>
      </c>
      <c r="S605" s="10">
        <f t="shared" si="98"/>
        <v>35</v>
      </c>
      <c r="T605" s="2">
        <v>42</v>
      </c>
      <c r="U605" s="3">
        <f t="shared" si="99"/>
        <v>0.13</v>
      </c>
      <c r="V605" s="3"/>
      <c r="W605" s="1">
        <v>280</v>
      </c>
      <c r="X605" s="9">
        <v>2</v>
      </c>
      <c r="Y605" s="1">
        <v>6</v>
      </c>
      <c r="Z605" s="3">
        <f>X605*VLOOKUP(Y605,[4]Datos!$A$2:$D$14,2)</f>
        <v>5.68</v>
      </c>
      <c r="AA605" s="8">
        <v>7.4999999999999997E-2</v>
      </c>
      <c r="AB605" s="7">
        <f t="shared" si="85"/>
        <v>115.05235319041492</v>
      </c>
      <c r="AC605" s="7">
        <f t="shared" si="100"/>
        <v>414.61035434434268</v>
      </c>
      <c r="AD605" s="6" t="str">
        <f t="shared" si="86"/>
        <v>Cumple</v>
      </c>
      <c r="AE605" s="6"/>
      <c r="AG605" s="7">
        <f t="shared" si="110"/>
        <v>6</v>
      </c>
      <c r="AH605" s="3">
        <f t="shared" si="102"/>
        <v>2.6880252142277672</v>
      </c>
      <c r="AI605" s="7">
        <f>G605-0.15-VLOOKUP(Y605,[4]Datos!$A$2:$D$14,3)/100</f>
        <v>1.8309000000000002</v>
      </c>
      <c r="AJ605" s="7">
        <f t="shared" si="103"/>
        <v>5.7524309339691264</v>
      </c>
      <c r="AK605" s="1">
        <v>0.12</v>
      </c>
      <c r="AL605" s="16">
        <f t="shared" si="104"/>
        <v>7.9620853080568724E-3</v>
      </c>
      <c r="AM605" s="7">
        <f t="shared" si="105"/>
        <v>460.19447471753017</v>
      </c>
      <c r="AN605" s="17">
        <f t="shared" si="106"/>
        <v>0.13069523081977857</v>
      </c>
      <c r="AO605" s="17">
        <f t="shared" si="107"/>
        <v>16.128151285366602</v>
      </c>
      <c r="AP605" s="16">
        <f t="shared" si="108"/>
        <v>8.1035469290495193E-3</v>
      </c>
      <c r="AQ605" s="6" t="str">
        <f t="shared" si="109"/>
        <v>Cumple</v>
      </c>
    </row>
    <row r="606" spans="1:43" x14ac:dyDescent="0.3">
      <c r="A606" s="13"/>
      <c r="B606" s="1">
        <v>33</v>
      </c>
      <c r="C606" s="1">
        <v>308</v>
      </c>
      <c r="D606" s="1">
        <v>1</v>
      </c>
      <c r="E606" s="5">
        <v>1</v>
      </c>
      <c r="F606" s="3">
        <f t="shared" si="96"/>
        <v>33</v>
      </c>
      <c r="G606" s="5">
        <v>2</v>
      </c>
      <c r="H606" s="3">
        <f t="shared" si="97"/>
        <v>3.1415926535897931</v>
      </c>
      <c r="I606" s="4">
        <v>5.3704000000000002E-2</v>
      </c>
      <c r="K606" s="3">
        <v>207.84610961584056</v>
      </c>
      <c r="L606" s="3">
        <v>1042.18</v>
      </c>
      <c r="M606" s="3">
        <v>1348.8439699999999</v>
      </c>
      <c r="N606" s="12">
        <f t="shared" si="83"/>
        <v>1.7094514127614296E-2</v>
      </c>
      <c r="O606" s="11">
        <f t="shared" si="84"/>
        <v>537.04</v>
      </c>
      <c r="P606" s="1">
        <v>10</v>
      </c>
      <c r="Q606" s="1">
        <v>2</v>
      </c>
      <c r="R606" s="3">
        <f>Q606*VLOOKUP(P606,[4]Datos!$A$2:$D$14,2)</f>
        <v>16.38</v>
      </c>
      <c r="S606" s="10">
        <f t="shared" si="98"/>
        <v>33</v>
      </c>
      <c r="T606" s="2">
        <v>42</v>
      </c>
      <c r="U606" s="3">
        <f t="shared" si="99"/>
        <v>0.13</v>
      </c>
      <c r="V606" s="3"/>
      <c r="W606" s="1">
        <v>280</v>
      </c>
      <c r="X606" s="9">
        <v>2</v>
      </c>
      <c r="Y606" s="1">
        <v>6</v>
      </c>
      <c r="Z606" s="3">
        <f>X606*VLOOKUP(Y606,[4]Datos!$A$2:$D$14,2)</f>
        <v>5.68</v>
      </c>
      <c r="AA606" s="8">
        <v>7.4999999999999997E-2</v>
      </c>
      <c r="AB606" s="7">
        <f t="shared" si="85"/>
        <v>115.05235319041492</v>
      </c>
      <c r="AC606" s="7">
        <f t="shared" si="100"/>
        <v>414.61035434434268</v>
      </c>
      <c r="AD606" s="6" t="str">
        <f t="shared" si="86"/>
        <v>Cumple</v>
      </c>
      <c r="AE606" s="6"/>
      <c r="AG606" s="7">
        <f t="shared" si="110"/>
        <v>6</v>
      </c>
      <c r="AH606" s="3">
        <f t="shared" si="102"/>
        <v>2.6880252142277672</v>
      </c>
      <c r="AI606" s="7">
        <f>G606-0.15-VLOOKUP(Y606,[4]Datos!$A$2:$D$14,3)/100</f>
        <v>1.8309000000000002</v>
      </c>
      <c r="AJ606" s="7">
        <f t="shared" si="103"/>
        <v>5.7524309339691264</v>
      </c>
      <c r="AK606" s="1">
        <v>0.12</v>
      </c>
      <c r="AL606" s="16">
        <f t="shared" si="104"/>
        <v>7.9620853080568724E-3</v>
      </c>
      <c r="AM606" s="7">
        <f t="shared" si="105"/>
        <v>460.19447471753017</v>
      </c>
      <c r="AN606" s="17">
        <f t="shared" si="106"/>
        <v>0.13069523081977857</v>
      </c>
      <c r="AO606" s="17">
        <f t="shared" si="107"/>
        <v>16.128151285366602</v>
      </c>
      <c r="AP606" s="16">
        <f t="shared" si="108"/>
        <v>8.1035469290495193E-3</v>
      </c>
      <c r="AQ606" s="6" t="str">
        <f t="shared" si="109"/>
        <v>Cumple</v>
      </c>
    </row>
    <row r="607" spans="1:43" x14ac:dyDescent="0.3">
      <c r="A607" s="13"/>
      <c r="B607" s="1">
        <v>34</v>
      </c>
      <c r="C607" s="1">
        <v>310</v>
      </c>
      <c r="D607" s="1">
        <v>1</v>
      </c>
      <c r="E607" s="5">
        <v>1</v>
      </c>
      <c r="F607" s="3">
        <f t="shared" si="96"/>
        <v>34</v>
      </c>
      <c r="G607" s="5">
        <v>2</v>
      </c>
      <c r="H607" s="3">
        <f t="shared" si="97"/>
        <v>3.1415926535897931</v>
      </c>
      <c r="I607" s="4">
        <v>4.9250000000000002E-2</v>
      </c>
      <c r="K607" s="3">
        <v>211.99770097960968</v>
      </c>
      <c r="L607" s="3">
        <v>908.58311000000003</v>
      </c>
      <c r="M607" s="3">
        <v>1161.3336899999999</v>
      </c>
      <c r="N607" s="12">
        <f t="shared" si="83"/>
        <v>1.5676761894551691E-2</v>
      </c>
      <c r="O607" s="11">
        <f t="shared" si="84"/>
        <v>492.5</v>
      </c>
      <c r="P607" s="1">
        <v>10</v>
      </c>
      <c r="Q607" s="19">
        <v>2</v>
      </c>
      <c r="R607" s="3">
        <f>Q607*VLOOKUP(P607,[4]Datos!$A$2:$D$14,2)</f>
        <v>16.38</v>
      </c>
      <c r="S607" s="10">
        <f t="shared" si="98"/>
        <v>31</v>
      </c>
      <c r="T607" s="18">
        <v>42</v>
      </c>
      <c r="U607" s="3">
        <f t="shared" si="99"/>
        <v>0.13</v>
      </c>
      <c r="V607" s="3"/>
      <c r="W607" s="1">
        <v>280</v>
      </c>
      <c r="X607" s="9">
        <v>2</v>
      </c>
      <c r="Y607" s="1">
        <v>6</v>
      </c>
      <c r="Z607" s="3">
        <f>X607*VLOOKUP(Y607,[4]Datos!$A$2:$D$14,2)</f>
        <v>5.68</v>
      </c>
      <c r="AA607" s="8">
        <v>0.3</v>
      </c>
      <c r="AB607" s="7">
        <f t="shared" si="85"/>
        <v>115.05235319041492</v>
      </c>
      <c r="AC607" s="7">
        <f t="shared" si="100"/>
        <v>103.65258858608567</v>
      </c>
      <c r="AD607" s="6" t="str">
        <f t="shared" si="86"/>
        <v>Cumple</v>
      </c>
      <c r="AE607" s="6"/>
      <c r="AH607" s="3"/>
    </row>
    <row r="608" spans="1:43" x14ac:dyDescent="0.3">
      <c r="A608" s="13"/>
      <c r="B608" s="1">
        <v>35</v>
      </c>
      <c r="C608" s="1">
        <v>312</v>
      </c>
      <c r="D608" s="1">
        <v>1</v>
      </c>
      <c r="E608" s="5">
        <v>1</v>
      </c>
      <c r="F608" s="3">
        <f t="shared" si="96"/>
        <v>35</v>
      </c>
      <c r="G608" s="5">
        <v>2</v>
      </c>
      <c r="H608" s="3">
        <f t="shared" si="97"/>
        <v>3.1415926535897931</v>
      </c>
      <c r="I608" s="4">
        <v>4.3081000000000001E-2</v>
      </c>
      <c r="K608" s="3">
        <v>204.9672568496002</v>
      </c>
      <c r="L608" s="3">
        <v>765.16003000000001</v>
      </c>
      <c r="M608" s="3">
        <v>965.73397999999997</v>
      </c>
      <c r="N608" s="12">
        <f t="shared" si="83"/>
        <v>1.3713108206683887E-2</v>
      </c>
      <c r="O608" s="11">
        <f t="shared" si="84"/>
        <v>430.81</v>
      </c>
      <c r="P608" s="1">
        <v>10</v>
      </c>
      <c r="Q608" s="19">
        <v>2</v>
      </c>
      <c r="R608" s="3">
        <f>Q608*VLOOKUP(P608,[4]Datos!$A$2:$D$14,2)</f>
        <v>16.38</v>
      </c>
      <c r="S608" s="10">
        <f t="shared" si="98"/>
        <v>27</v>
      </c>
      <c r="T608" s="18">
        <v>42</v>
      </c>
      <c r="U608" s="3">
        <f t="shared" si="99"/>
        <v>0.13</v>
      </c>
      <c r="V608" s="3"/>
      <c r="W608" s="1">
        <v>280</v>
      </c>
      <c r="X608" s="9">
        <v>2</v>
      </c>
      <c r="Y608" s="1">
        <v>6</v>
      </c>
      <c r="Z608" s="3">
        <f>X608*VLOOKUP(Y608,[4]Datos!$A$2:$D$14,2)</f>
        <v>5.68</v>
      </c>
      <c r="AA608" s="8">
        <v>0.3</v>
      </c>
      <c r="AB608" s="7">
        <f t="shared" si="85"/>
        <v>115.05235319041492</v>
      </c>
      <c r="AC608" s="7">
        <f t="shared" si="100"/>
        <v>103.65258858608567</v>
      </c>
      <c r="AD608" s="6" t="str">
        <f t="shared" si="86"/>
        <v>Cumple</v>
      </c>
      <c r="AE608" s="6"/>
      <c r="AH608" s="3"/>
    </row>
    <row r="609" spans="1:43" x14ac:dyDescent="0.3">
      <c r="A609" s="13"/>
      <c r="B609" s="1">
        <v>36</v>
      </c>
      <c r="C609" s="1">
        <v>314</v>
      </c>
      <c r="D609" s="1">
        <v>1</v>
      </c>
      <c r="E609" s="5">
        <v>1</v>
      </c>
      <c r="F609" s="3">
        <f t="shared" si="96"/>
        <v>36</v>
      </c>
      <c r="G609" s="5">
        <v>2</v>
      </c>
      <c r="H609" s="3">
        <f t="shared" si="97"/>
        <v>3.1415926535897931</v>
      </c>
      <c r="I609" s="4">
        <v>3.4625000000000003E-2</v>
      </c>
      <c r="K609" s="3">
        <v>188.97863878676873</v>
      </c>
      <c r="L609" s="3">
        <v>621.11568999999997</v>
      </c>
      <c r="M609" s="3">
        <v>773.40458999999998</v>
      </c>
      <c r="N609" s="12">
        <f t="shared" si="83"/>
        <v>1.1021479809113754E-2</v>
      </c>
      <c r="O609" s="11">
        <f t="shared" si="84"/>
        <v>346.25000000000006</v>
      </c>
      <c r="P609" s="1">
        <v>10</v>
      </c>
      <c r="Q609" s="19">
        <v>2</v>
      </c>
      <c r="R609" s="3">
        <f>Q609*VLOOKUP(P609,[4]Datos!$A$2:$D$14,2)</f>
        <v>16.38</v>
      </c>
      <c r="S609" s="10">
        <f t="shared" si="98"/>
        <v>22</v>
      </c>
      <c r="T609" s="18">
        <v>42</v>
      </c>
      <c r="U609" s="3">
        <f t="shared" si="99"/>
        <v>0.13</v>
      </c>
      <c r="V609" s="3"/>
      <c r="W609" s="1">
        <v>280</v>
      </c>
      <c r="X609" s="9">
        <v>2</v>
      </c>
      <c r="Y609" s="1">
        <v>6</v>
      </c>
      <c r="Z609" s="3">
        <f>X609*VLOOKUP(Y609,[4]Datos!$A$2:$D$14,2)</f>
        <v>5.68</v>
      </c>
      <c r="AA609" s="8">
        <v>0.3</v>
      </c>
      <c r="AB609" s="7">
        <f t="shared" si="85"/>
        <v>115.05235319041492</v>
      </c>
      <c r="AC609" s="7">
        <f t="shared" si="100"/>
        <v>103.65258858608567</v>
      </c>
      <c r="AD609" s="6" t="str">
        <f t="shared" si="86"/>
        <v>Cumple</v>
      </c>
      <c r="AE609" s="6"/>
      <c r="AH609" s="3"/>
    </row>
    <row r="610" spans="1:43" x14ac:dyDescent="0.3">
      <c r="A610" s="13"/>
      <c r="B610" s="1">
        <v>37</v>
      </c>
      <c r="C610" s="1">
        <v>316</v>
      </c>
      <c r="D610" s="1">
        <v>1</v>
      </c>
      <c r="E610" s="5">
        <v>1</v>
      </c>
      <c r="F610" s="3">
        <f t="shared" si="96"/>
        <v>37</v>
      </c>
      <c r="G610" s="5">
        <v>2</v>
      </c>
      <c r="H610" s="3">
        <f t="shared" si="97"/>
        <v>3.1415926535897931</v>
      </c>
      <c r="I610" s="4">
        <v>3.1415999999999999E-2</v>
      </c>
      <c r="K610" s="3">
        <v>167.6084493303664</v>
      </c>
      <c r="L610" s="3">
        <v>484.14580999999998</v>
      </c>
      <c r="M610" s="3">
        <v>593.63382000000001</v>
      </c>
      <c r="N610" s="12">
        <f t="shared" si="83"/>
        <v>1.0000023384349969E-2</v>
      </c>
      <c r="O610" s="11">
        <f t="shared" si="84"/>
        <v>314.15999999999997</v>
      </c>
      <c r="P610" s="1">
        <v>10</v>
      </c>
      <c r="Q610" s="1">
        <v>1</v>
      </c>
      <c r="R610" s="3">
        <f>Q610*VLOOKUP(P610,[4]Datos!$A$2:$D$14,2)</f>
        <v>8.19</v>
      </c>
      <c r="S610" s="10">
        <f t="shared" si="98"/>
        <v>39</v>
      </c>
      <c r="T610" s="2">
        <v>39</v>
      </c>
      <c r="U610" s="3">
        <f t="shared" si="99"/>
        <v>0.14000000000000001</v>
      </c>
      <c r="V610" s="3"/>
      <c r="W610" s="1">
        <v>280</v>
      </c>
      <c r="X610" s="9">
        <v>2</v>
      </c>
      <c r="Y610" s="1">
        <v>6</v>
      </c>
      <c r="Z610" s="3">
        <f>X610*VLOOKUP(Y610,[4]Datos!$A$2:$D$14,2)</f>
        <v>5.68</v>
      </c>
      <c r="AA610" s="8">
        <v>0.3</v>
      </c>
      <c r="AB610" s="7">
        <f t="shared" si="85"/>
        <v>115.05235319041492</v>
      </c>
      <c r="AC610" s="7">
        <f t="shared" si="100"/>
        <v>103.65258858608567</v>
      </c>
      <c r="AD610" s="6" t="str">
        <f t="shared" si="86"/>
        <v>Cumple</v>
      </c>
      <c r="AE610" s="6"/>
      <c r="AH610" s="3"/>
    </row>
    <row r="611" spans="1:43" x14ac:dyDescent="0.3">
      <c r="A611" s="13"/>
      <c r="B611" s="1">
        <v>38</v>
      </c>
      <c r="C611" s="1">
        <v>318</v>
      </c>
      <c r="D611" s="1">
        <v>1</v>
      </c>
      <c r="E611" s="5">
        <v>1</v>
      </c>
      <c r="F611" s="3">
        <f t="shared" si="96"/>
        <v>38</v>
      </c>
      <c r="G611" s="5">
        <v>2</v>
      </c>
      <c r="H611" s="3">
        <f t="shared" si="97"/>
        <v>3.1415926535897931</v>
      </c>
      <c r="I611" s="4">
        <v>3.1415999999999999E-2</v>
      </c>
      <c r="K611" s="3">
        <v>142.96537352645919</v>
      </c>
      <c r="L611" s="3">
        <v>360.10658999999998</v>
      </c>
      <c r="M611" s="3">
        <v>433.28194999999999</v>
      </c>
      <c r="N611" s="12">
        <f t="shared" si="83"/>
        <v>1.0000023384349969E-2</v>
      </c>
      <c r="O611" s="11">
        <f t="shared" si="84"/>
        <v>314.15999999999997</v>
      </c>
      <c r="P611" s="1">
        <v>10</v>
      </c>
      <c r="Q611" s="1">
        <v>1</v>
      </c>
      <c r="R611" s="3">
        <f>Q611*VLOOKUP(P611,[4]Datos!$A$2:$D$14,2)</f>
        <v>8.19</v>
      </c>
      <c r="S611" s="10">
        <f t="shared" si="98"/>
        <v>39</v>
      </c>
      <c r="T611" s="2">
        <v>39</v>
      </c>
      <c r="U611" s="3">
        <f t="shared" si="99"/>
        <v>0.14000000000000001</v>
      </c>
      <c r="V611" s="3"/>
      <c r="W611" s="1">
        <v>280</v>
      </c>
      <c r="X611" s="9">
        <v>2</v>
      </c>
      <c r="Y611" s="1">
        <v>4</v>
      </c>
      <c r="Z611" s="3">
        <f>X611*VLOOKUP(Y611,[4]Datos!$A$2:$D$14,2)</f>
        <v>2.58</v>
      </c>
      <c r="AA611" s="8">
        <v>0.3</v>
      </c>
      <c r="AB611" s="7">
        <f t="shared" si="85"/>
        <v>115.05235319041492</v>
      </c>
      <c r="AC611" s="7">
        <f t="shared" si="100"/>
        <v>47.081633547905106</v>
      </c>
      <c r="AD611" s="6" t="str">
        <f t="shared" si="86"/>
        <v>Cumple</v>
      </c>
      <c r="AE611" s="6"/>
      <c r="AH611" s="3"/>
    </row>
    <row r="612" spans="1:43" x14ac:dyDescent="0.3">
      <c r="A612" s="13"/>
      <c r="B612" s="1">
        <v>39</v>
      </c>
      <c r="C612" s="1">
        <v>320</v>
      </c>
      <c r="D612" s="1">
        <v>1</v>
      </c>
      <c r="E612" s="5">
        <v>1</v>
      </c>
      <c r="F612" s="3">
        <f t="shared" si="96"/>
        <v>39</v>
      </c>
      <c r="G612" s="5">
        <v>2</v>
      </c>
      <c r="H612" s="3">
        <f t="shared" si="97"/>
        <v>3.1415926535897931</v>
      </c>
      <c r="I612" s="4">
        <v>3.1415999999999999E-2</v>
      </c>
      <c r="K612" s="3">
        <v>116.21564083741052</v>
      </c>
      <c r="L612" s="3">
        <v>252.93735000000001</v>
      </c>
      <c r="M612" s="3">
        <v>296.74988000000002</v>
      </c>
      <c r="N612" s="12">
        <f t="shared" si="83"/>
        <v>1.0000023384349969E-2</v>
      </c>
      <c r="O612" s="11">
        <f t="shared" si="84"/>
        <v>314.15999999999997</v>
      </c>
      <c r="P612" s="1">
        <v>10</v>
      </c>
      <c r="Q612" s="1">
        <v>1</v>
      </c>
      <c r="R612" s="3">
        <f>Q612*VLOOKUP(P612,[4]Datos!$A$2:$D$14,2)</f>
        <v>8.19</v>
      </c>
      <c r="S612" s="10">
        <f t="shared" si="98"/>
        <v>39</v>
      </c>
      <c r="T612" s="2">
        <v>39</v>
      </c>
      <c r="U612" s="3">
        <f t="shared" si="99"/>
        <v>0.14000000000000001</v>
      </c>
      <c r="V612" s="3"/>
      <c r="W612" s="1">
        <v>280</v>
      </c>
      <c r="X612" s="9">
        <v>2</v>
      </c>
      <c r="Y612" s="1">
        <v>4</v>
      </c>
      <c r="Z612" s="3">
        <f>X612*VLOOKUP(Y612,[4]Datos!$A$2:$D$14,2)</f>
        <v>2.58</v>
      </c>
      <c r="AA612" s="8">
        <v>0.3</v>
      </c>
      <c r="AB612" s="7">
        <f t="shared" si="85"/>
        <v>115.05235319041492</v>
      </c>
      <c r="AC612" s="7">
        <f t="shared" si="100"/>
        <v>47.081633547905106</v>
      </c>
      <c r="AD612" s="6" t="str">
        <f t="shared" si="86"/>
        <v>Cumple</v>
      </c>
      <c r="AE612" s="6"/>
      <c r="AH612" s="3"/>
    </row>
    <row r="613" spans="1:43" x14ac:dyDescent="0.3">
      <c r="A613" s="13"/>
      <c r="B613" s="1">
        <v>40</v>
      </c>
      <c r="C613" s="1">
        <v>322</v>
      </c>
      <c r="D613" s="1">
        <v>1</v>
      </c>
      <c r="E613" s="5">
        <v>1</v>
      </c>
      <c r="F613" s="3">
        <f t="shared" si="96"/>
        <v>40</v>
      </c>
      <c r="G613" s="5">
        <v>2</v>
      </c>
      <c r="H613" s="3">
        <f t="shared" si="97"/>
        <v>3.1415926535897931</v>
      </c>
      <c r="I613" s="4">
        <v>3.1415999999999999E-2</v>
      </c>
      <c r="K613" s="3">
        <v>89.413286499993944</v>
      </c>
      <c r="L613" s="3">
        <v>164.78488999999999</v>
      </c>
      <c r="M613" s="3">
        <v>186.22519</v>
      </c>
      <c r="N613" s="12">
        <f t="shared" si="83"/>
        <v>1.0000023384349969E-2</v>
      </c>
      <c r="O613" s="11">
        <f t="shared" si="84"/>
        <v>314.15999999999997</v>
      </c>
      <c r="P613" s="1">
        <v>10</v>
      </c>
      <c r="Q613" s="1">
        <v>1</v>
      </c>
      <c r="R613" s="3">
        <f>Q613*VLOOKUP(P613,[4]Datos!$A$2:$D$14,2)</f>
        <v>8.19</v>
      </c>
      <c r="S613" s="10">
        <f t="shared" si="98"/>
        <v>39</v>
      </c>
      <c r="T613" s="2">
        <v>39</v>
      </c>
      <c r="U613" s="3">
        <f t="shared" si="99"/>
        <v>0.14000000000000001</v>
      </c>
      <c r="V613" s="3"/>
      <c r="W613" s="1">
        <v>280</v>
      </c>
      <c r="X613" s="9">
        <v>2</v>
      </c>
      <c r="Y613" s="1">
        <v>4</v>
      </c>
      <c r="Z613" s="3">
        <f>X613*VLOOKUP(Y613,[4]Datos!$A$2:$D$14,2)</f>
        <v>2.58</v>
      </c>
      <c r="AA613" s="8">
        <v>0.3</v>
      </c>
      <c r="AB613" s="7">
        <f t="shared" si="85"/>
        <v>115.05235319041492</v>
      </c>
      <c r="AC613" s="7">
        <f t="shared" si="100"/>
        <v>47.081633547905106</v>
      </c>
      <c r="AD613" s="6" t="str">
        <f t="shared" si="86"/>
        <v>Cumple</v>
      </c>
      <c r="AE613" s="6"/>
      <c r="AH613" s="3"/>
    </row>
    <row r="614" spans="1:43" x14ac:dyDescent="0.3">
      <c r="A614" s="13"/>
      <c r="B614" s="1">
        <v>41</v>
      </c>
      <c r="C614" s="1">
        <v>324</v>
      </c>
      <c r="D614" s="1">
        <v>1</v>
      </c>
      <c r="E614" s="5">
        <v>1</v>
      </c>
      <c r="F614" s="3">
        <f t="shared" si="96"/>
        <v>41</v>
      </c>
      <c r="G614" s="5">
        <v>2</v>
      </c>
      <c r="H614" s="3">
        <f t="shared" si="97"/>
        <v>3.1415926535897931</v>
      </c>
      <c r="I614" s="4">
        <v>3.1415999999999999E-2</v>
      </c>
      <c r="K614" s="3">
        <v>64.19020151526243</v>
      </c>
      <c r="L614" s="3">
        <v>96.458849999999998</v>
      </c>
      <c r="M614" s="3">
        <v>102.29723</v>
      </c>
      <c r="N614" s="12">
        <f t="shared" si="83"/>
        <v>1.0000023384349969E-2</v>
      </c>
      <c r="O614" s="11">
        <f t="shared" si="84"/>
        <v>314.15999999999997</v>
      </c>
      <c r="P614" s="1">
        <v>10</v>
      </c>
      <c r="Q614" s="19">
        <v>1</v>
      </c>
      <c r="R614" s="3">
        <f>Q614*VLOOKUP(P614,[4]Datos!$A$2:$D$14,2)</f>
        <v>8.19</v>
      </c>
      <c r="S614" s="10">
        <f t="shared" si="98"/>
        <v>39</v>
      </c>
      <c r="T614" s="18">
        <v>39</v>
      </c>
      <c r="U614" s="3">
        <f t="shared" si="99"/>
        <v>0.14000000000000001</v>
      </c>
      <c r="V614" s="3"/>
      <c r="W614" s="1">
        <v>280</v>
      </c>
      <c r="X614" s="9">
        <v>2</v>
      </c>
      <c r="Y614" s="1">
        <v>4</v>
      </c>
      <c r="Z614" s="3">
        <f>X614*VLOOKUP(Y614,[4]Datos!$A$2:$D$14,2)</f>
        <v>2.58</v>
      </c>
      <c r="AA614" s="8">
        <v>0.3</v>
      </c>
      <c r="AB614" s="7">
        <f t="shared" si="85"/>
        <v>115.05235319041492</v>
      </c>
      <c r="AC614" s="7">
        <f t="shared" si="100"/>
        <v>47.081633547905106</v>
      </c>
      <c r="AD614" s="6" t="str">
        <f t="shared" si="86"/>
        <v>Cumple</v>
      </c>
      <c r="AE614" s="6"/>
      <c r="AH614" s="3"/>
    </row>
    <row r="615" spans="1:43" x14ac:dyDescent="0.3">
      <c r="A615" s="13"/>
      <c r="B615" s="1">
        <v>42</v>
      </c>
      <c r="C615" s="1">
        <v>326</v>
      </c>
      <c r="D615" s="1">
        <v>1</v>
      </c>
      <c r="E615" s="5">
        <v>1</v>
      </c>
      <c r="F615" s="3">
        <f t="shared" si="96"/>
        <v>42</v>
      </c>
      <c r="G615" s="5">
        <v>2</v>
      </c>
      <c r="H615" s="3">
        <f t="shared" si="97"/>
        <v>3.1415926535897931</v>
      </c>
      <c r="I615" s="4">
        <v>3.1415999999999999E-2</v>
      </c>
      <c r="K615" s="3">
        <v>41.754704097263101</v>
      </c>
      <c r="L615" s="3">
        <v>47.597639999999998</v>
      </c>
      <c r="M615" s="3">
        <v>46.50864</v>
      </c>
      <c r="N615" s="12">
        <f t="shared" si="83"/>
        <v>1.0000023384349969E-2</v>
      </c>
      <c r="O615" s="11">
        <f t="shared" si="84"/>
        <v>314.15999999999997</v>
      </c>
      <c r="P615" s="1">
        <v>10</v>
      </c>
      <c r="Q615" s="19">
        <v>1</v>
      </c>
      <c r="R615" s="3">
        <f>Q615*VLOOKUP(P615,[4]Datos!$A$2:$D$14,2)</f>
        <v>8.19</v>
      </c>
      <c r="S615" s="10">
        <f t="shared" si="98"/>
        <v>39</v>
      </c>
      <c r="T615" s="18">
        <v>39</v>
      </c>
      <c r="U615" s="3">
        <f t="shared" si="99"/>
        <v>0.14000000000000001</v>
      </c>
      <c r="V615" s="3"/>
      <c r="W615" s="1">
        <v>280</v>
      </c>
      <c r="X615" s="9">
        <v>2</v>
      </c>
      <c r="Y615" s="1">
        <v>4</v>
      </c>
      <c r="Z615" s="3">
        <f>X615*VLOOKUP(Y615,[4]Datos!$A$2:$D$14,2)</f>
        <v>2.58</v>
      </c>
      <c r="AA615" s="8">
        <v>0.3</v>
      </c>
      <c r="AB615" s="7">
        <f t="shared" si="85"/>
        <v>115.05235319041492</v>
      </c>
      <c r="AC615" s="7">
        <f t="shared" si="100"/>
        <v>47.081633547905106</v>
      </c>
      <c r="AD615" s="6" t="str">
        <f t="shared" si="86"/>
        <v>Cumple</v>
      </c>
      <c r="AE615" s="6"/>
      <c r="AH615" s="3"/>
    </row>
    <row r="616" spans="1:43" x14ac:dyDescent="0.3">
      <c r="A616" s="13"/>
      <c r="B616" s="1">
        <v>43</v>
      </c>
      <c r="C616" s="1">
        <v>328</v>
      </c>
      <c r="D616" s="1">
        <v>1</v>
      </c>
      <c r="E616" s="5">
        <v>1</v>
      </c>
      <c r="F616" s="3">
        <f t="shared" si="96"/>
        <v>43</v>
      </c>
      <c r="G616" s="5">
        <v>2</v>
      </c>
      <c r="H616" s="3">
        <f t="shared" si="97"/>
        <v>3.1415926535897931</v>
      </c>
      <c r="I616" s="4">
        <v>3.1415999999999999E-2</v>
      </c>
      <c r="K616" s="3">
        <v>23.2952269053126</v>
      </c>
      <c r="L616" s="3">
        <v>19.15521</v>
      </c>
      <c r="M616" s="3">
        <v>37.919429999999998</v>
      </c>
      <c r="N616" s="12">
        <f t="shared" si="83"/>
        <v>1.0000023384349969E-2</v>
      </c>
      <c r="O616" s="11">
        <f t="shared" si="84"/>
        <v>314.15999999999997</v>
      </c>
      <c r="P616" s="1">
        <v>10</v>
      </c>
      <c r="Q616" s="19">
        <v>1</v>
      </c>
      <c r="R616" s="3">
        <f>Q616*VLOOKUP(P616,[4]Datos!$A$2:$D$14,2)</f>
        <v>8.19</v>
      </c>
      <c r="S616" s="10">
        <f t="shared" si="98"/>
        <v>39</v>
      </c>
      <c r="T616" s="18">
        <v>39</v>
      </c>
      <c r="U616" s="3">
        <f t="shared" si="99"/>
        <v>0.14000000000000001</v>
      </c>
      <c r="V616" s="3"/>
      <c r="W616" s="1">
        <v>280</v>
      </c>
      <c r="X616" s="9">
        <v>2</v>
      </c>
      <c r="Y616" s="1">
        <v>4</v>
      </c>
      <c r="Z616" s="3">
        <f>X616*VLOOKUP(Y616,[4]Datos!$A$2:$D$14,2)</f>
        <v>2.58</v>
      </c>
      <c r="AA616" s="8">
        <v>0.3</v>
      </c>
      <c r="AB616" s="7">
        <f t="shared" si="85"/>
        <v>115.05235319041492</v>
      </c>
      <c r="AC616" s="7">
        <f t="shared" si="100"/>
        <v>47.081633547905106</v>
      </c>
      <c r="AD616" s="6" t="str">
        <f t="shared" si="86"/>
        <v>Cumple</v>
      </c>
      <c r="AE616" s="6"/>
      <c r="AH616" s="3"/>
    </row>
    <row r="617" spans="1:43" x14ac:dyDescent="0.3">
      <c r="A617" s="13"/>
      <c r="B617" s="1">
        <v>44</v>
      </c>
      <c r="C617" s="1">
        <v>330</v>
      </c>
      <c r="D617" s="1">
        <v>1</v>
      </c>
      <c r="E617" s="5">
        <v>1</v>
      </c>
      <c r="F617" s="3">
        <f t="shared" si="96"/>
        <v>44</v>
      </c>
      <c r="G617" s="5">
        <v>2</v>
      </c>
      <c r="H617" s="3">
        <f t="shared" si="97"/>
        <v>3.1415926535897931</v>
      </c>
      <c r="I617" s="4">
        <v>3.1415999999999999E-2</v>
      </c>
      <c r="K617" s="3">
        <v>10.259055755770119</v>
      </c>
      <c r="L617" s="3">
        <v>22.184069999999998</v>
      </c>
      <c r="M617" s="3">
        <v>39.03593</v>
      </c>
      <c r="N617" s="12">
        <f t="shared" si="83"/>
        <v>1.0000023384349969E-2</v>
      </c>
      <c r="O617" s="11">
        <f t="shared" si="84"/>
        <v>314.15999999999997</v>
      </c>
      <c r="P617" s="1">
        <v>10</v>
      </c>
      <c r="Q617" s="1">
        <v>1</v>
      </c>
      <c r="R617" s="3">
        <f>Q617*VLOOKUP(P617,[4]Datos!$A$2:$D$14,2)</f>
        <v>8.19</v>
      </c>
      <c r="S617" s="10">
        <f t="shared" si="98"/>
        <v>39</v>
      </c>
      <c r="T617" s="2">
        <v>39</v>
      </c>
      <c r="U617" s="3">
        <f t="shared" si="99"/>
        <v>0.14000000000000001</v>
      </c>
      <c r="V617" s="3"/>
      <c r="W617" s="1">
        <v>280</v>
      </c>
      <c r="X617" s="9">
        <v>2</v>
      </c>
      <c r="Y617" s="1">
        <v>4</v>
      </c>
      <c r="Z617" s="3">
        <f>X617*VLOOKUP(Y617,[4]Datos!$A$2:$D$14,2)</f>
        <v>2.58</v>
      </c>
      <c r="AA617" s="8">
        <v>0.3</v>
      </c>
      <c r="AB617" s="7">
        <f t="shared" si="85"/>
        <v>115.05235319041492</v>
      </c>
      <c r="AC617" s="7">
        <f t="shared" si="100"/>
        <v>47.081633547905106</v>
      </c>
      <c r="AD617" s="6" t="str">
        <f t="shared" si="86"/>
        <v>Cumple</v>
      </c>
      <c r="AE617" s="6"/>
      <c r="AH617" s="3"/>
    </row>
    <row r="618" spans="1:43" x14ac:dyDescent="0.3">
      <c r="A618" s="13"/>
      <c r="B618" s="1">
        <v>45</v>
      </c>
      <c r="C618" s="1">
        <v>332</v>
      </c>
      <c r="D618" s="1">
        <v>1</v>
      </c>
      <c r="E618" s="5">
        <v>1</v>
      </c>
      <c r="F618" s="3">
        <f t="shared" si="96"/>
        <v>45</v>
      </c>
      <c r="G618" s="5">
        <v>2</v>
      </c>
      <c r="H618" s="3">
        <f t="shared" si="97"/>
        <v>3.1415926535897931</v>
      </c>
      <c r="I618" s="4">
        <v>3.1415999999999999E-2</v>
      </c>
      <c r="K618" s="3">
        <v>7.93730957251889</v>
      </c>
      <c r="L618" s="3">
        <v>22.184069999999998</v>
      </c>
      <c r="M618" s="3">
        <v>39.03593</v>
      </c>
      <c r="N618" s="12">
        <f t="shared" si="83"/>
        <v>1.0000023384349969E-2</v>
      </c>
      <c r="O618" s="11">
        <f t="shared" si="84"/>
        <v>314.15999999999997</v>
      </c>
      <c r="P618" s="1">
        <v>10</v>
      </c>
      <c r="Q618" s="1">
        <v>1</v>
      </c>
      <c r="R618" s="3">
        <f>Q618*VLOOKUP(P618,[4]Datos!$A$2:$D$14,2)</f>
        <v>8.19</v>
      </c>
      <c r="S618" s="10">
        <f t="shared" si="98"/>
        <v>39</v>
      </c>
      <c r="T618" s="2">
        <v>39</v>
      </c>
      <c r="U618" s="3">
        <f t="shared" si="99"/>
        <v>0.14000000000000001</v>
      </c>
      <c r="V618" s="3"/>
      <c r="W618" s="1">
        <v>280</v>
      </c>
      <c r="X618" s="9">
        <v>2</v>
      </c>
      <c r="Y618" s="1">
        <v>4</v>
      </c>
      <c r="Z618" s="3">
        <f>X618*VLOOKUP(Y618,[4]Datos!$A$2:$D$14,2)</f>
        <v>2.58</v>
      </c>
      <c r="AA618" s="8">
        <v>0.3</v>
      </c>
      <c r="AB618" s="7">
        <f t="shared" si="85"/>
        <v>115.05235319041492</v>
      </c>
      <c r="AC618" s="7">
        <f t="shared" si="100"/>
        <v>47.081633547905106</v>
      </c>
      <c r="AD618" s="6" t="str">
        <f t="shared" si="86"/>
        <v>Cumple</v>
      </c>
      <c r="AE618" s="6"/>
      <c r="AH618" s="3"/>
    </row>
    <row r="619" spans="1:43" x14ac:dyDescent="0.3">
      <c r="A619" s="13"/>
      <c r="B619" s="1">
        <v>46</v>
      </c>
      <c r="C619" s="1">
        <v>163</v>
      </c>
      <c r="D619" s="1">
        <v>1</v>
      </c>
      <c r="E619" s="5">
        <v>1</v>
      </c>
      <c r="F619" s="3">
        <f t="shared" si="96"/>
        <v>46</v>
      </c>
      <c r="G619" s="5">
        <v>2</v>
      </c>
      <c r="H619" s="3">
        <f t="shared" si="97"/>
        <v>3.1415926535897931</v>
      </c>
      <c r="I619" s="4">
        <v>3.1415999999999999E-2</v>
      </c>
      <c r="K619" s="3">
        <v>11.944092073071104</v>
      </c>
      <c r="L619" s="3">
        <v>20.541589999999999</v>
      </c>
      <c r="M619" s="3">
        <v>32.711460000000002</v>
      </c>
      <c r="N619" s="12">
        <f t="shared" si="83"/>
        <v>1.0000023384349969E-2</v>
      </c>
      <c r="O619" s="11">
        <f t="shared" si="84"/>
        <v>314.15999999999997</v>
      </c>
      <c r="P619" s="1">
        <v>10</v>
      </c>
      <c r="Q619" s="1">
        <v>1</v>
      </c>
      <c r="R619" s="3">
        <f>Q619*VLOOKUP(P619,[4]Datos!$A$2:$D$14,2)</f>
        <v>8.19</v>
      </c>
      <c r="S619" s="10">
        <f t="shared" si="98"/>
        <v>39</v>
      </c>
      <c r="T619" s="2">
        <v>39</v>
      </c>
      <c r="U619" s="3">
        <f t="shared" si="99"/>
        <v>0.14000000000000001</v>
      </c>
      <c r="V619" s="3"/>
      <c r="W619" s="1">
        <v>280</v>
      </c>
      <c r="X619" s="9">
        <v>2</v>
      </c>
      <c r="Y619" s="1">
        <v>4</v>
      </c>
      <c r="Z619" s="3">
        <f>X619*VLOOKUP(Y619,[4]Datos!$A$2:$D$14,2)</f>
        <v>2.58</v>
      </c>
      <c r="AA619" s="8">
        <v>0.3</v>
      </c>
      <c r="AB619" s="7">
        <f t="shared" si="85"/>
        <v>115.05235319041492</v>
      </c>
      <c r="AC619" s="7">
        <f t="shared" si="100"/>
        <v>47.081633547905106</v>
      </c>
      <c r="AD619" s="6" t="str">
        <f t="shared" si="86"/>
        <v>Cumple</v>
      </c>
      <c r="AE619" s="6"/>
      <c r="AH619" s="3"/>
    </row>
    <row r="620" spans="1:43" x14ac:dyDescent="0.3">
      <c r="A620" s="13"/>
      <c r="B620" s="1">
        <v>47</v>
      </c>
      <c r="C620" s="1">
        <v>169</v>
      </c>
      <c r="D620" s="1">
        <v>1</v>
      </c>
      <c r="E620" s="5">
        <v>1</v>
      </c>
      <c r="F620" s="3">
        <f t="shared" si="96"/>
        <v>47</v>
      </c>
      <c r="G620" s="5">
        <v>2</v>
      </c>
      <c r="H620" s="3">
        <f t="shared" si="97"/>
        <v>3.1415926535897931</v>
      </c>
      <c r="I620" s="4">
        <v>3.1415999999999999E-2</v>
      </c>
      <c r="K620" s="3">
        <v>12.965559540953102</v>
      </c>
      <c r="L620" s="3">
        <v>14.316649999999999</v>
      </c>
      <c r="M620" s="3">
        <v>21.345030000000001</v>
      </c>
      <c r="N620" s="12">
        <f t="shared" si="83"/>
        <v>1.0000023384349969E-2</v>
      </c>
      <c r="O620" s="11">
        <f t="shared" si="84"/>
        <v>314.15999999999997</v>
      </c>
      <c r="P620" s="1">
        <v>10</v>
      </c>
      <c r="Q620" s="1">
        <v>1</v>
      </c>
      <c r="R620" s="3">
        <f>Q620*VLOOKUP(P620,[4]Datos!$A$2:$D$14,2)</f>
        <v>8.19</v>
      </c>
      <c r="S620" s="10">
        <f t="shared" si="98"/>
        <v>39</v>
      </c>
      <c r="T620" s="2">
        <v>39</v>
      </c>
      <c r="U620" s="3">
        <f t="shared" si="99"/>
        <v>0.14000000000000001</v>
      </c>
      <c r="V620" s="3"/>
      <c r="W620" s="1">
        <v>280</v>
      </c>
      <c r="X620" s="9">
        <v>2</v>
      </c>
      <c r="Y620" s="1">
        <v>4</v>
      </c>
      <c r="Z620" s="3">
        <f>X620*VLOOKUP(Y620,[4]Datos!$A$2:$D$14,2)</f>
        <v>2.58</v>
      </c>
      <c r="AA620" s="8">
        <v>0.3</v>
      </c>
      <c r="AB620" s="7">
        <f t="shared" si="85"/>
        <v>115.05235319041492</v>
      </c>
      <c r="AC620" s="7">
        <f t="shared" si="100"/>
        <v>47.081633547905106</v>
      </c>
      <c r="AD620" s="6" t="str">
        <f t="shared" si="86"/>
        <v>Cumple</v>
      </c>
      <c r="AE620" s="6"/>
      <c r="AH620" s="3"/>
    </row>
    <row r="621" spans="1:43" x14ac:dyDescent="0.3">
      <c r="A621" s="13"/>
      <c r="B621" s="1">
        <v>48</v>
      </c>
      <c r="C621" s="1">
        <v>182</v>
      </c>
      <c r="D621" s="1">
        <v>1</v>
      </c>
      <c r="E621" s="5">
        <v>1</v>
      </c>
      <c r="F621" s="3">
        <f t="shared" si="96"/>
        <v>48</v>
      </c>
      <c r="G621" s="5">
        <v>2</v>
      </c>
      <c r="H621" s="3">
        <f t="shared" si="97"/>
        <v>3.1415926535897931</v>
      </c>
      <c r="I621" s="4">
        <v>3.1415999999999999E-2</v>
      </c>
      <c r="K621" s="3">
        <v>9.6546641210349726</v>
      </c>
      <c r="L621" s="3">
        <v>6.4619499999999999</v>
      </c>
      <c r="M621" s="3">
        <v>9.0758899999999993</v>
      </c>
      <c r="N621" s="12">
        <f t="shared" si="83"/>
        <v>1.0000023384349969E-2</v>
      </c>
      <c r="O621" s="11">
        <f t="shared" si="84"/>
        <v>314.15999999999997</v>
      </c>
      <c r="P621" s="1">
        <v>10</v>
      </c>
      <c r="Q621" s="1">
        <v>1</v>
      </c>
      <c r="R621" s="3">
        <f>Q621*VLOOKUP(P621,[4]Datos!$A$2:$D$14,2)</f>
        <v>8.19</v>
      </c>
      <c r="S621" s="10">
        <f t="shared" si="98"/>
        <v>39</v>
      </c>
      <c r="T621" s="2">
        <v>39</v>
      </c>
      <c r="U621" s="3">
        <f t="shared" si="99"/>
        <v>0.14000000000000001</v>
      </c>
      <c r="V621" s="3"/>
      <c r="W621" s="1">
        <v>280</v>
      </c>
      <c r="X621" s="9">
        <v>2</v>
      </c>
      <c r="Y621" s="1">
        <v>4</v>
      </c>
      <c r="Z621" s="3">
        <f>X621*VLOOKUP(Y621,[4]Datos!$A$2:$D$14,2)</f>
        <v>2.58</v>
      </c>
      <c r="AA621" s="8">
        <v>0.3</v>
      </c>
      <c r="AB621" s="7">
        <f t="shared" si="85"/>
        <v>115.05235319041492</v>
      </c>
      <c r="AC621" s="7">
        <f t="shared" si="100"/>
        <v>47.081633547905106</v>
      </c>
      <c r="AD621" s="6" t="str">
        <f t="shared" si="86"/>
        <v>Cumple</v>
      </c>
      <c r="AE621" s="6"/>
      <c r="AF621" s="5"/>
      <c r="AG621" s="7"/>
      <c r="AH621" s="3"/>
      <c r="AI621" s="7"/>
      <c r="AJ621" s="7"/>
      <c r="AL621" s="16"/>
      <c r="AM621" s="7"/>
      <c r="AN621" s="17"/>
      <c r="AO621" s="17"/>
      <c r="AP621" s="16"/>
      <c r="AQ621" s="6"/>
    </row>
    <row r="622" spans="1:43" x14ac:dyDescent="0.3">
      <c r="A622" s="13" t="s">
        <v>12</v>
      </c>
      <c r="B622" s="1">
        <v>1</v>
      </c>
      <c r="C622" s="1">
        <v>48</v>
      </c>
      <c r="D622" s="1">
        <v>0</v>
      </c>
      <c r="E622" s="5">
        <v>1</v>
      </c>
      <c r="F622" s="3">
        <f>E622</f>
        <v>1</v>
      </c>
      <c r="G622" s="5">
        <v>2</v>
      </c>
      <c r="H622" s="3">
        <f t="shared" si="97"/>
        <v>3.1415926535897931</v>
      </c>
      <c r="I622" s="4">
        <v>5.0415000000000001E-2</v>
      </c>
      <c r="K622" s="3">
        <v>211.46743286749853</v>
      </c>
      <c r="L622" s="3">
        <v>1252.5212799999999</v>
      </c>
      <c r="M622" s="3">
        <v>2538.4594000000002</v>
      </c>
      <c r="N622" s="12">
        <f t="shared" si="83"/>
        <v>1.6047592911955809E-2</v>
      </c>
      <c r="O622" s="11">
        <f t="shared" si="84"/>
        <v>504.15000000000003</v>
      </c>
      <c r="P622" s="1">
        <v>10</v>
      </c>
      <c r="Q622" s="1">
        <v>1</v>
      </c>
      <c r="R622" s="3">
        <f>Q622*VLOOKUP(P622,[4]Datos!$A$2:$D$14,2)</f>
        <v>8.19</v>
      </c>
      <c r="S622" s="10">
        <f t="shared" si="98"/>
        <v>62</v>
      </c>
      <c r="T622" s="2">
        <v>62</v>
      </c>
      <c r="U622" s="3">
        <f t="shared" si="99"/>
        <v>0.09</v>
      </c>
      <c r="V622" s="3"/>
      <c r="W622" s="1">
        <v>280</v>
      </c>
      <c r="X622" s="9">
        <v>2</v>
      </c>
      <c r="Y622" s="1">
        <v>6</v>
      </c>
      <c r="Z622" s="3">
        <f>X622*VLOOKUP(Y622,[4]Datos!$A$2:$D$14,2)</f>
        <v>5.68</v>
      </c>
      <c r="AA622" s="8">
        <v>7.4999999999999997E-2</v>
      </c>
      <c r="AB622" s="7">
        <f t="shared" si="85"/>
        <v>207.09423574274689</v>
      </c>
      <c r="AC622" s="7">
        <f t="shared" si="100"/>
        <v>414.61035434434268</v>
      </c>
      <c r="AD622" s="6" t="str">
        <f t="shared" si="86"/>
        <v>Cumple</v>
      </c>
      <c r="AE622" s="6"/>
      <c r="AF622" s="5">
        <v>20</v>
      </c>
      <c r="AG622" s="7">
        <f t="shared" ref="AG622:AG625" si="111">ROUNDUP(MAX(0.45,G622,AF622/6),0)</f>
        <v>4</v>
      </c>
      <c r="AH622" s="3">
        <f t="shared" ref="AH622:AH625" si="112">PI()*(G622-0.15)^2/4</f>
        <v>2.6880252142277672</v>
      </c>
      <c r="AI622" s="7">
        <f>G622-0.15-VLOOKUP(Y622,[4]Datos!$A$2:$D$14,3)/100</f>
        <v>1.8309000000000002</v>
      </c>
      <c r="AJ622" s="7">
        <f t="shared" ref="AJ622:AJ625" si="113">SQRT((PI()*AI622)^2+AA622^2)</f>
        <v>5.7524309339691264</v>
      </c>
      <c r="AK622" s="1">
        <v>0.12</v>
      </c>
      <c r="AL622" s="16">
        <f t="shared" ref="AL622:AL625" si="114">MAX(0.45*(H622/AH622-1),AK622)*(W622/4220)</f>
        <v>7.9620853080568724E-3</v>
      </c>
      <c r="AM622" s="7">
        <f t="shared" ref="AM622:AM625" si="115">AG622*(AJ622/AA622)</f>
        <v>306.79631647835345</v>
      </c>
      <c r="AN622" s="17">
        <f t="shared" ref="AN622:AN625" si="116">AM622*Z622/X622/10000</f>
        <v>8.7130153879852373E-2</v>
      </c>
      <c r="AO622" s="17">
        <f t="shared" ref="AO622:AO625" si="117">AH622*AG622</f>
        <v>10.752100856911069</v>
      </c>
      <c r="AP622" s="16">
        <f t="shared" ref="AP622:AP625" si="118">AN622/AO622</f>
        <v>8.1035469290495175E-3</v>
      </c>
      <c r="AQ622" s="6" t="str">
        <f t="shared" ref="AQ622:AQ625" si="119">+IF(AP622&gt;AL622,"Cumple","No Cumple")</f>
        <v>Cumple</v>
      </c>
    </row>
    <row r="623" spans="1:43" x14ac:dyDescent="0.3">
      <c r="A623" s="13"/>
      <c r="B623" s="1">
        <v>2</v>
      </c>
      <c r="C623" s="1">
        <v>50</v>
      </c>
      <c r="D623" s="1">
        <v>0</v>
      </c>
      <c r="E623" s="5">
        <v>1</v>
      </c>
      <c r="F623" s="3">
        <f>F622+E623</f>
        <v>2</v>
      </c>
      <c r="G623" s="5">
        <v>2</v>
      </c>
      <c r="H623" s="3">
        <f t="shared" si="97"/>
        <v>3.1415926535897931</v>
      </c>
      <c r="I623" s="4">
        <v>4.7455999999999998E-2</v>
      </c>
      <c r="K623" s="3">
        <v>211.46827394335065</v>
      </c>
      <c r="L623" s="3">
        <v>1162.08996</v>
      </c>
      <c r="M623" s="3">
        <v>2418.4588899999999</v>
      </c>
      <c r="N623" s="12">
        <f t="shared" si="83"/>
        <v>1.5105713958737971E-2</v>
      </c>
      <c r="O623" s="11">
        <f t="shared" si="84"/>
        <v>474.56</v>
      </c>
      <c r="P623" s="1">
        <v>10</v>
      </c>
      <c r="Q623" s="1">
        <v>1</v>
      </c>
      <c r="R623" s="3">
        <f>Q623*VLOOKUP(P623,[4]Datos!$A$2:$D$14,2)</f>
        <v>8.19</v>
      </c>
      <c r="S623" s="10">
        <f t="shared" si="98"/>
        <v>58</v>
      </c>
      <c r="T623" s="2">
        <v>62</v>
      </c>
      <c r="U623" s="3">
        <f t="shared" si="99"/>
        <v>0.09</v>
      </c>
      <c r="V623" s="3"/>
      <c r="W623" s="1">
        <v>280</v>
      </c>
      <c r="X623" s="9">
        <v>2</v>
      </c>
      <c r="Y623" s="1">
        <v>6</v>
      </c>
      <c r="Z623" s="3">
        <f>X623*VLOOKUP(Y623,[4]Datos!$A$2:$D$14,2)</f>
        <v>5.68</v>
      </c>
      <c r="AA623" s="8">
        <v>7.4999999999999997E-2</v>
      </c>
      <c r="AB623" s="7">
        <f t="shared" si="85"/>
        <v>207.09423574274689</v>
      </c>
      <c r="AC623" s="7">
        <f t="shared" si="100"/>
        <v>414.61035434434268</v>
      </c>
      <c r="AD623" s="6" t="str">
        <f t="shared" si="86"/>
        <v>Cumple</v>
      </c>
      <c r="AE623" s="6"/>
      <c r="AF623" s="5">
        <v>20</v>
      </c>
      <c r="AG623" s="7">
        <f t="shared" si="111"/>
        <v>4</v>
      </c>
      <c r="AH623" s="3">
        <f t="shared" si="112"/>
        <v>2.6880252142277672</v>
      </c>
      <c r="AI623" s="7">
        <f>G623-0.15-VLOOKUP(Y623,[4]Datos!$A$2:$D$14,3)/100</f>
        <v>1.8309000000000002</v>
      </c>
      <c r="AJ623" s="7">
        <f t="shared" si="113"/>
        <v>5.7524309339691264</v>
      </c>
      <c r="AK623" s="1">
        <v>0.12</v>
      </c>
      <c r="AL623" s="16">
        <f t="shared" si="114"/>
        <v>7.9620853080568724E-3</v>
      </c>
      <c r="AM623" s="7">
        <f t="shared" si="115"/>
        <v>306.79631647835345</v>
      </c>
      <c r="AN623" s="17">
        <f t="shared" si="116"/>
        <v>8.7130153879852373E-2</v>
      </c>
      <c r="AO623" s="17">
        <f t="shared" si="117"/>
        <v>10.752100856911069</v>
      </c>
      <c r="AP623" s="16">
        <f t="shared" si="118"/>
        <v>8.1035469290495175E-3</v>
      </c>
      <c r="AQ623" s="6" t="str">
        <f t="shared" si="119"/>
        <v>Cumple</v>
      </c>
    </row>
    <row r="624" spans="1:43" x14ac:dyDescent="0.3">
      <c r="A624" s="13"/>
      <c r="B624" s="1">
        <v>3</v>
      </c>
      <c r="C624" s="1">
        <v>52</v>
      </c>
      <c r="D624" s="1">
        <v>0</v>
      </c>
      <c r="E624" s="5">
        <v>1</v>
      </c>
      <c r="F624" s="3">
        <f t="shared" ref="F624:F669" si="120">F623+E624</f>
        <v>3</v>
      </c>
      <c r="G624" s="5">
        <v>2</v>
      </c>
      <c r="H624" s="3">
        <f t="shared" si="97"/>
        <v>3.1415926535897931</v>
      </c>
      <c r="I624" s="4">
        <v>4.3992000000000003E-2</v>
      </c>
      <c r="K624" s="3">
        <v>211.46911502517335</v>
      </c>
      <c r="L624" s="3">
        <v>1071.37573</v>
      </c>
      <c r="M624" s="3">
        <v>2297.92643</v>
      </c>
      <c r="N624" s="12">
        <f t="shared" ref="N624:N687" si="121">I624/H624</f>
        <v>1.400308851299732E-2</v>
      </c>
      <c r="O624" s="11">
        <f t="shared" ref="O624:O687" si="122">I624*10000</f>
        <v>439.92</v>
      </c>
      <c r="P624" s="1">
        <v>10</v>
      </c>
      <c r="Q624" s="1">
        <v>1</v>
      </c>
      <c r="R624" s="3">
        <f>Q624*VLOOKUP(P624,[4]Datos!$A$2:$D$14,2)</f>
        <v>8.19</v>
      </c>
      <c r="S624" s="10">
        <f t="shared" si="98"/>
        <v>54</v>
      </c>
      <c r="T624" s="2">
        <v>62</v>
      </c>
      <c r="U624" s="3">
        <f t="shared" si="99"/>
        <v>0.09</v>
      </c>
      <c r="V624" s="3"/>
      <c r="W624" s="1">
        <v>280</v>
      </c>
      <c r="X624" s="9">
        <v>2</v>
      </c>
      <c r="Y624" s="1">
        <v>6</v>
      </c>
      <c r="Z624" s="3">
        <f>X624*VLOOKUP(Y624,[4]Datos!$A$2:$D$14,2)</f>
        <v>5.68</v>
      </c>
      <c r="AA624" s="8">
        <v>7.4999999999999997E-2</v>
      </c>
      <c r="AB624" s="7">
        <f t="shared" ref="AB624:AB687" si="123">IF(D624=0,0.9,0.5)*0.9*0.53*SQRT(W624)*G624*MAX(0.72*G624,0.9*((G624/2)+((G624-0.11)/PI())))*10</f>
        <v>207.09423574274689</v>
      </c>
      <c r="AC624" s="7">
        <f t="shared" si="100"/>
        <v>414.61035434434268</v>
      </c>
      <c r="AD624" s="6" t="str">
        <f t="shared" ref="AD624:AD687" si="124">+IF(AC624&gt;K624-AB624,"Cumple","No Cumple")</f>
        <v>Cumple</v>
      </c>
      <c r="AE624" s="6"/>
      <c r="AF624" s="5">
        <v>20</v>
      </c>
      <c r="AG624" s="7">
        <f t="shared" si="111"/>
        <v>4</v>
      </c>
      <c r="AH624" s="3">
        <f t="shared" si="112"/>
        <v>2.6880252142277672</v>
      </c>
      <c r="AI624" s="7">
        <f>G624-0.15-VLOOKUP(Y624,[4]Datos!$A$2:$D$14,3)/100</f>
        <v>1.8309000000000002</v>
      </c>
      <c r="AJ624" s="7">
        <f t="shared" si="113"/>
        <v>5.7524309339691264</v>
      </c>
      <c r="AK624" s="1">
        <v>0.12</v>
      </c>
      <c r="AL624" s="16">
        <f t="shared" si="114"/>
        <v>7.9620853080568724E-3</v>
      </c>
      <c r="AM624" s="7">
        <f t="shared" si="115"/>
        <v>306.79631647835345</v>
      </c>
      <c r="AN624" s="17">
        <f t="shared" si="116"/>
        <v>8.7130153879852373E-2</v>
      </c>
      <c r="AO624" s="17">
        <f t="shared" si="117"/>
        <v>10.752100856911069</v>
      </c>
      <c r="AP624" s="16">
        <f t="shared" si="118"/>
        <v>8.1035469290495175E-3</v>
      </c>
      <c r="AQ624" s="6" t="str">
        <f t="shared" si="119"/>
        <v>Cumple</v>
      </c>
    </row>
    <row r="625" spans="1:43" x14ac:dyDescent="0.3">
      <c r="A625" s="13"/>
      <c r="B625" s="1">
        <v>4</v>
      </c>
      <c r="C625" s="1">
        <v>54</v>
      </c>
      <c r="D625" s="1">
        <v>0</v>
      </c>
      <c r="E625" s="5">
        <v>1</v>
      </c>
      <c r="F625" s="3">
        <f t="shared" si="120"/>
        <v>4</v>
      </c>
      <c r="G625" s="5">
        <v>2</v>
      </c>
      <c r="H625" s="3">
        <f t="shared" si="97"/>
        <v>3.1415926535897931</v>
      </c>
      <c r="I625" s="4">
        <v>3.9882000000000001E-2</v>
      </c>
      <c r="K625" s="3">
        <v>211.4698719909056</v>
      </c>
      <c r="L625" s="3">
        <v>980.40781000000004</v>
      </c>
      <c r="M625" s="3">
        <v>2176.88895</v>
      </c>
      <c r="N625" s="12">
        <f t="shared" si="121"/>
        <v>1.2694834880781941E-2</v>
      </c>
      <c r="O625" s="11">
        <f t="shared" si="122"/>
        <v>398.82</v>
      </c>
      <c r="P625" s="1">
        <v>10</v>
      </c>
      <c r="Q625" s="1">
        <v>1</v>
      </c>
      <c r="R625" s="3">
        <f>Q625*VLOOKUP(P625,[4]Datos!$A$2:$D$14,2)</f>
        <v>8.19</v>
      </c>
      <c r="S625" s="10">
        <f t="shared" si="98"/>
        <v>49</v>
      </c>
      <c r="T625" s="2">
        <v>62</v>
      </c>
      <c r="U625" s="3">
        <f t="shared" si="99"/>
        <v>0.09</v>
      </c>
      <c r="V625" s="3"/>
      <c r="W625" s="1">
        <v>280</v>
      </c>
      <c r="X625" s="9">
        <v>2</v>
      </c>
      <c r="Y625" s="1">
        <v>6</v>
      </c>
      <c r="Z625" s="3">
        <f>X625*VLOOKUP(Y625,[4]Datos!$A$2:$D$14,2)</f>
        <v>5.68</v>
      </c>
      <c r="AA625" s="8">
        <v>7.4999999999999997E-2</v>
      </c>
      <c r="AB625" s="7">
        <f t="shared" si="123"/>
        <v>207.09423574274689</v>
      </c>
      <c r="AC625" s="7">
        <f t="shared" si="100"/>
        <v>414.61035434434268</v>
      </c>
      <c r="AD625" s="6" t="str">
        <f t="shared" si="124"/>
        <v>Cumple</v>
      </c>
      <c r="AE625" s="6"/>
      <c r="AF625" s="5">
        <v>20</v>
      </c>
      <c r="AG625" s="7">
        <f t="shared" si="111"/>
        <v>4</v>
      </c>
      <c r="AH625" s="3">
        <f t="shared" si="112"/>
        <v>2.6880252142277672</v>
      </c>
      <c r="AI625" s="7">
        <f>G625-0.15-VLOOKUP(Y625,[4]Datos!$A$2:$D$14,3)/100</f>
        <v>1.8309000000000002</v>
      </c>
      <c r="AJ625" s="7">
        <f t="shared" si="113"/>
        <v>5.7524309339691264</v>
      </c>
      <c r="AK625" s="1">
        <v>0.12</v>
      </c>
      <c r="AL625" s="16">
        <f t="shared" si="114"/>
        <v>7.9620853080568724E-3</v>
      </c>
      <c r="AM625" s="7">
        <f t="shared" si="115"/>
        <v>306.79631647835345</v>
      </c>
      <c r="AN625" s="17">
        <f t="shared" si="116"/>
        <v>8.7130153879852373E-2</v>
      </c>
      <c r="AO625" s="17">
        <f t="shared" si="117"/>
        <v>10.752100856911069</v>
      </c>
      <c r="AP625" s="16">
        <f t="shared" si="118"/>
        <v>8.1035469290495175E-3</v>
      </c>
      <c r="AQ625" s="6" t="str">
        <f t="shared" si="119"/>
        <v>Cumple</v>
      </c>
    </row>
    <row r="626" spans="1:43" x14ac:dyDescent="0.3">
      <c r="A626" s="13"/>
      <c r="B626" s="1">
        <v>5</v>
      </c>
      <c r="C626" s="1">
        <v>56</v>
      </c>
      <c r="D626" s="1">
        <v>0</v>
      </c>
      <c r="E626" s="5">
        <v>1</v>
      </c>
      <c r="F626" s="3">
        <f t="shared" si="120"/>
        <v>5</v>
      </c>
      <c r="G626" s="5">
        <v>2</v>
      </c>
      <c r="H626" s="3">
        <f t="shared" si="97"/>
        <v>3.1415926535897931</v>
      </c>
      <c r="I626" s="4">
        <v>3.4929000000000002E-2</v>
      </c>
      <c r="K626" s="3">
        <v>211.47071308495651</v>
      </c>
      <c r="L626" s="3">
        <v>889.21813999999995</v>
      </c>
      <c r="M626" s="3">
        <v>2055.3681900000001</v>
      </c>
      <c r="N626" s="12">
        <f t="shared" si="121"/>
        <v>1.1118246014513625E-2</v>
      </c>
      <c r="O626" s="11">
        <f t="shared" si="122"/>
        <v>349.29</v>
      </c>
      <c r="P626" s="1">
        <v>10</v>
      </c>
      <c r="Q626" s="1">
        <v>1</v>
      </c>
      <c r="R626" s="3">
        <f>Q626*VLOOKUP(P626,[4]Datos!$A$2:$D$14,2)</f>
        <v>8.19</v>
      </c>
      <c r="S626" s="10">
        <f t="shared" si="98"/>
        <v>43</v>
      </c>
      <c r="T626" s="2">
        <v>62</v>
      </c>
      <c r="U626" s="3">
        <f t="shared" si="99"/>
        <v>0.09</v>
      </c>
      <c r="V626" s="3"/>
      <c r="W626" s="1">
        <v>280</v>
      </c>
      <c r="X626" s="9">
        <v>2</v>
      </c>
      <c r="Y626" s="1">
        <v>4</v>
      </c>
      <c r="Z626" s="3">
        <f>X626*VLOOKUP(Y626,[4]Datos!$A$2:$D$14,2)</f>
        <v>2.58</v>
      </c>
      <c r="AA626" s="8">
        <v>0.3</v>
      </c>
      <c r="AB626" s="7">
        <f t="shared" si="123"/>
        <v>207.09423574274689</v>
      </c>
      <c r="AC626" s="7">
        <f t="shared" si="100"/>
        <v>47.081633547905106</v>
      </c>
      <c r="AD626" s="6" t="str">
        <f t="shared" si="124"/>
        <v>Cumple</v>
      </c>
      <c r="AE626" s="6"/>
      <c r="AH626" s="3"/>
    </row>
    <row r="627" spans="1:43" x14ac:dyDescent="0.3">
      <c r="A627" s="13"/>
      <c r="B627" s="1">
        <v>6</v>
      </c>
      <c r="C627" s="1">
        <v>58</v>
      </c>
      <c r="D627" s="1">
        <v>0</v>
      </c>
      <c r="E627" s="5">
        <v>1</v>
      </c>
      <c r="F627" s="3">
        <f t="shared" si="120"/>
        <v>6</v>
      </c>
      <c r="G627" s="5">
        <v>2</v>
      </c>
      <c r="H627" s="3">
        <f t="shared" si="97"/>
        <v>3.1415926535897931</v>
      </c>
      <c r="I627" s="4">
        <v>3.1415999999999999E-2</v>
      </c>
      <c r="K627" s="3">
        <v>211.47147006350525</v>
      </c>
      <c r="L627" s="3">
        <v>797.84302000000002</v>
      </c>
      <c r="M627" s="3">
        <v>1933.39284</v>
      </c>
      <c r="N627" s="12">
        <f t="shared" si="121"/>
        <v>1.0000023384349969E-2</v>
      </c>
      <c r="O627" s="11">
        <f t="shared" si="122"/>
        <v>314.15999999999997</v>
      </c>
      <c r="P627" s="1">
        <v>10</v>
      </c>
      <c r="Q627" s="1">
        <v>1</v>
      </c>
      <c r="R627" s="3">
        <f>Q627*VLOOKUP(P627,[4]Datos!$A$2:$D$14,2)</f>
        <v>8.19</v>
      </c>
      <c r="S627" s="10">
        <f t="shared" si="98"/>
        <v>39</v>
      </c>
      <c r="T627" s="2">
        <v>62</v>
      </c>
      <c r="U627" s="3">
        <f t="shared" si="99"/>
        <v>0.09</v>
      </c>
      <c r="V627" s="3"/>
      <c r="W627" s="1">
        <v>280</v>
      </c>
      <c r="X627" s="9">
        <v>2</v>
      </c>
      <c r="Y627" s="1">
        <v>4</v>
      </c>
      <c r="Z627" s="3">
        <f>X627*VLOOKUP(Y627,[4]Datos!$A$2:$D$14,2)</f>
        <v>2.58</v>
      </c>
      <c r="AA627" s="8">
        <v>0.3</v>
      </c>
      <c r="AB627" s="7">
        <f t="shared" si="123"/>
        <v>207.09423574274689</v>
      </c>
      <c r="AC627" s="7">
        <f t="shared" si="100"/>
        <v>47.081633547905106</v>
      </c>
      <c r="AD627" s="6" t="str">
        <f t="shared" si="124"/>
        <v>Cumple</v>
      </c>
      <c r="AE627" s="6"/>
      <c r="AH627" s="3"/>
    </row>
    <row r="628" spans="1:43" x14ac:dyDescent="0.3">
      <c r="A628" s="13"/>
      <c r="B628" s="1">
        <v>7</v>
      </c>
      <c r="C628" s="1">
        <v>60</v>
      </c>
      <c r="D628" s="1">
        <v>0</v>
      </c>
      <c r="E628" s="5">
        <v>1</v>
      </c>
      <c r="F628" s="3">
        <f t="shared" si="120"/>
        <v>7</v>
      </c>
      <c r="G628" s="5">
        <v>2</v>
      </c>
      <c r="H628" s="3">
        <f t="shared" si="97"/>
        <v>3.1415926535897931</v>
      </c>
      <c r="I628" s="4">
        <v>3.1415999999999999E-2</v>
      </c>
      <c r="K628" s="3">
        <v>211.4722570992233</v>
      </c>
      <c r="L628" s="3">
        <v>706.32601</v>
      </c>
      <c r="M628" s="3">
        <v>1811.22831</v>
      </c>
      <c r="N628" s="12">
        <f t="shared" si="121"/>
        <v>1.0000023384349969E-2</v>
      </c>
      <c r="O628" s="11">
        <f t="shared" si="122"/>
        <v>314.15999999999997</v>
      </c>
      <c r="P628" s="1">
        <v>10</v>
      </c>
      <c r="Q628" s="19">
        <v>1</v>
      </c>
      <c r="R628" s="3">
        <f>Q628*VLOOKUP(P628,[4]Datos!$A$2:$D$14,2)</f>
        <v>8.19</v>
      </c>
      <c r="S628" s="10">
        <f t="shared" si="98"/>
        <v>39</v>
      </c>
      <c r="T628" s="18">
        <v>62</v>
      </c>
      <c r="U628" s="3">
        <f t="shared" si="99"/>
        <v>0.09</v>
      </c>
      <c r="V628" s="3"/>
      <c r="W628" s="1">
        <v>280</v>
      </c>
      <c r="X628" s="9">
        <v>2</v>
      </c>
      <c r="Y628" s="1">
        <v>4</v>
      </c>
      <c r="Z628" s="3">
        <f>X628*VLOOKUP(Y628,[4]Datos!$A$2:$D$14,2)</f>
        <v>2.58</v>
      </c>
      <c r="AA628" s="8">
        <v>0.3</v>
      </c>
      <c r="AB628" s="7">
        <f t="shared" si="123"/>
        <v>207.09423574274689</v>
      </c>
      <c r="AC628" s="7">
        <f t="shared" si="100"/>
        <v>47.081633547905106</v>
      </c>
      <c r="AD628" s="6" t="str">
        <f t="shared" si="124"/>
        <v>Cumple</v>
      </c>
      <c r="AE628" s="6"/>
      <c r="AH628" s="3"/>
    </row>
    <row r="629" spans="1:43" x14ac:dyDescent="0.3">
      <c r="A629" s="13"/>
      <c r="B629" s="1">
        <v>8</v>
      </c>
      <c r="C629" s="1">
        <v>62</v>
      </c>
      <c r="D629" s="1">
        <v>0</v>
      </c>
      <c r="E629" s="5">
        <v>1</v>
      </c>
      <c r="F629" s="3">
        <f t="shared" si="120"/>
        <v>8</v>
      </c>
      <c r="G629" s="5">
        <v>2</v>
      </c>
      <c r="H629" s="3">
        <f t="shared" si="97"/>
        <v>3.1415926535897931</v>
      </c>
      <c r="I629" s="4">
        <v>3.1415999999999999E-2</v>
      </c>
      <c r="K629" s="3">
        <v>211.47304414005109</v>
      </c>
      <c r="L629" s="3">
        <v>614.72330999999997</v>
      </c>
      <c r="M629" s="3">
        <v>1696.35817</v>
      </c>
      <c r="N629" s="12">
        <f t="shared" si="121"/>
        <v>1.0000023384349969E-2</v>
      </c>
      <c r="O629" s="11">
        <f t="shared" si="122"/>
        <v>314.15999999999997</v>
      </c>
      <c r="P629" s="1">
        <v>10</v>
      </c>
      <c r="Q629" s="19">
        <v>1</v>
      </c>
      <c r="R629" s="3">
        <f>Q629*VLOOKUP(P629,[4]Datos!$A$2:$D$14,2)</f>
        <v>8.19</v>
      </c>
      <c r="S629" s="10">
        <f t="shared" si="98"/>
        <v>39</v>
      </c>
      <c r="T629" s="18">
        <v>62</v>
      </c>
      <c r="U629" s="3">
        <f t="shared" si="99"/>
        <v>0.09</v>
      </c>
      <c r="V629" s="3"/>
      <c r="W629" s="1">
        <v>280</v>
      </c>
      <c r="X629" s="9">
        <v>2</v>
      </c>
      <c r="Y629" s="1">
        <v>4</v>
      </c>
      <c r="Z629" s="3">
        <f>X629*VLOOKUP(Y629,[4]Datos!$A$2:$D$14,2)</f>
        <v>2.58</v>
      </c>
      <c r="AA629" s="8">
        <v>0.3</v>
      </c>
      <c r="AB629" s="7">
        <f t="shared" si="123"/>
        <v>207.09423574274689</v>
      </c>
      <c r="AC629" s="7">
        <f t="shared" si="100"/>
        <v>47.081633547905106</v>
      </c>
      <c r="AD629" s="6" t="str">
        <f t="shared" si="124"/>
        <v>Cumple</v>
      </c>
      <c r="AE629" s="6"/>
      <c r="AH629" s="3"/>
    </row>
    <row r="630" spans="1:43" x14ac:dyDescent="0.3">
      <c r="A630" s="13"/>
      <c r="B630" s="1">
        <v>9</v>
      </c>
      <c r="C630" s="1">
        <v>64</v>
      </c>
      <c r="D630" s="1">
        <v>0</v>
      </c>
      <c r="E630" s="5">
        <v>1</v>
      </c>
      <c r="F630" s="3">
        <f t="shared" si="120"/>
        <v>9</v>
      </c>
      <c r="G630" s="5">
        <v>2</v>
      </c>
      <c r="H630" s="3">
        <f t="shared" si="97"/>
        <v>3.1415926535897931</v>
      </c>
      <c r="I630" s="4">
        <v>3.1415999999999999E-2</v>
      </c>
      <c r="K630" s="3">
        <v>211.47380113673657</v>
      </c>
      <c r="L630" s="3">
        <v>523.11323000000004</v>
      </c>
      <c r="M630" s="3">
        <v>1592.9896000000001</v>
      </c>
      <c r="N630" s="12">
        <f t="shared" si="121"/>
        <v>1.0000023384349969E-2</v>
      </c>
      <c r="O630" s="11">
        <f t="shared" si="122"/>
        <v>314.15999999999997</v>
      </c>
      <c r="P630" s="1">
        <v>10</v>
      </c>
      <c r="Q630" s="19">
        <v>1</v>
      </c>
      <c r="R630" s="3">
        <f>Q630*VLOOKUP(P630,[4]Datos!$A$2:$D$14,2)</f>
        <v>8.19</v>
      </c>
      <c r="S630" s="10">
        <f t="shared" si="98"/>
        <v>39</v>
      </c>
      <c r="T630" s="18">
        <v>62</v>
      </c>
      <c r="U630" s="3">
        <f t="shared" si="99"/>
        <v>0.09</v>
      </c>
      <c r="V630" s="3"/>
      <c r="W630" s="1">
        <v>280</v>
      </c>
      <c r="X630" s="9">
        <v>2</v>
      </c>
      <c r="Y630" s="1">
        <v>4</v>
      </c>
      <c r="Z630" s="3">
        <f>X630*VLOOKUP(Y630,[4]Datos!$A$2:$D$14,2)</f>
        <v>2.58</v>
      </c>
      <c r="AA630" s="8">
        <v>0.3</v>
      </c>
      <c r="AB630" s="7">
        <f t="shared" si="123"/>
        <v>207.09423574274689</v>
      </c>
      <c r="AC630" s="7">
        <f t="shared" si="100"/>
        <v>47.081633547905106</v>
      </c>
      <c r="AD630" s="6" t="str">
        <f t="shared" si="124"/>
        <v>Cumple</v>
      </c>
      <c r="AE630" s="6"/>
      <c r="AH630" s="3"/>
    </row>
    <row r="631" spans="1:43" x14ac:dyDescent="0.3">
      <c r="A631" s="13"/>
      <c r="B631" s="1">
        <v>10</v>
      </c>
      <c r="C631" s="1">
        <v>66</v>
      </c>
      <c r="D631" s="1">
        <v>0</v>
      </c>
      <c r="E631" s="5">
        <v>1</v>
      </c>
      <c r="F631" s="3">
        <f t="shared" si="120"/>
        <v>10</v>
      </c>
      <c r="G631" s="5">
        <v>2</v>
      </c>
      <c r="H631" s="3">
        <f t="shared" si="97"/>
        <v>3.1415926535897931</v>
      </c>
      <c r="I631" s="4">
        <v>3.1415999999999999E-2</v>
      </c>
      <c r="K631" s="3">
        <v>211.47458818846297</v>
      </c>
      <c r="L631" s="3">
        <v>431.61160000000001</v>
      </c>
      <c r="M631" s="3">
        <v>1490.10907</v>
      </c>
      <c r="N631" s="12">
        <f t="shared" si="121"/>
        <v>1.0000023384349969E-2</v>
      </c>
      <c r="O631" s="11">
        <f t="shared" si="122"/>
        <v>314.15999999999997</v>
      </c>
      <c r="P631" s="1">
        <v>10</v>
      </c>
      <c r="Q631" s="1">
        <v>1</v>
      </c>
      <c r="R631" s="3">
        <f>Q631*VLOOKUP(P631,[4]Datos!$A$2:$D$14,2)</f>
        <v>8.19</v>
      </c>
      <c r="S631" s="10">
        <f t="shared" si="98"/>
        <v>39</v>
      </c>
      <c r="T631" s="2">
        <v>39</v>
      </c>
      <c r="U631" s="3">
        <f t="shared" si="99"/>
        <v>0.14000000000000001</v>
      </c>
      <c r="V631" s="3"/>
      <c r="W631" s="1">
        <v>280</v>
      </c>
      <c r="X631" s="9">
        <v>2</v>
      </c>
      <c r="Y631" s="1">
        <v>4</v>
      </c>
      <c r="Z631" s="3">
        <f>X631*VLOOKUP(Y631,[4]Datos!$A$2:$D$14,2)</f>
        <v>2.58</v>
      </c>
      <c r="AA631" s="8">
        <v>0.3</v>
      </c>
      <c r="AB631" s="7">
        <f t="shared" si="123"/>
        <v>207.09423574274689</v>
      </c>
      <c r="AC631" s="7">
        <f t="shared" si="100"/>
        <v>47.081633547905106</v>
      </c>
      <c r="AD631" s="6" t="str">
        <f t="shared" si="124"/>
        <v>Cumple</v>
      </c>
      <c r="AE631" s="6"/>
      <c r="AH631" s="3"/>
    </row>
    <row r="632" spans="1:43" x14ac:dyDescent="0.3">
      <c r="A632" s="13"/>
      <c r="B632" s="1">
        <v>11</v>
      </c>
      <c r="C632" s="1">
        <v>68</v>
      </c>
      <c r="D632" s="1">
        <v>0</v>
      </c>
      <c r="E632" s="5">
        <v>1</v>
      </c>
      <c r="F632" s="3">
        <f t="shared" si="120"/>
        <v>11</v>
      </c>
      <c r="G632" s="5">
        <v>2</v>
      </c>
      <c r="H632" s="3">
        <f t="shared" si="97"/>
        <v>3.1415926535897931</v>
      </c>
      <c r="I632" s="4">
        <v>3.1415999999999999E-2</v>
      </c>
      <c r="K632" s="3">
        <v>211.47529112520451</v>
      </c>
      <c r="L632" s="3">
        <v>340.38693000000001</v>
      </c>
      <c r="M632" s="3">
        <v>1387.03755</v>
      </c>
      <c r="N632" s="12">
        <f t="shared" si="121"/>
        <v>1.0000023384349969E-2</v>
      </c>
      <c r="O632" s="11">
        <f t="shared" si="122"/>
        <v>314.15999999999997</v>
      </c>
      <c r="P632" s="1">
        <v>10</v>
      </c>
      <c r="Q632" s="1">
        <v>1</v>
      </c>
      <c r="R632" s="3">
        <f>Q632*VLOOKUP(P632,[4]Datos!$A$2:$D$14,2)</f>
        <v>8.19</v>
      </c>
      <c r="S632" s="10">
        <f t="shared" si="98"/>
        <v>39</v>
      </c>
      <c r="T632" s="2">
        <v>39</v>
      </c>
      <c r="U632" s="3">
        <f t="shared" si="99"/>
        <v>0.14000000000000001</v>
      </c>
      <c r="V632" s="3"/>
      <c r="W632" s="1">
        <v>280</v>
      </c>
      <c r="X632" s="9">
        <v>2</v>
      </c>
      <c r="Y632" s="1">
        <v>4</v>
      </c>
      <c r="Z632" s="3">
        <f>X632*VLOOKUP(Y632,[4]Datos!$A$2:$D$14,2)</f>
        <v>2.58</v>
      </c>
      <c r="AA632" s="8">
        <v>0.3</v>
      </c>
      <c r="AB632" s="7">
        <f t="shared" si="123"/>
        <v>207.09423574274689</v>
      </c>
      <c r="AC632" s="7">
        <f t="shared" si="100"/>
        <v>47.081633547905106</v>
      </c>
      <c r="AD632" s="6" t="str">
        <f t="shared" si="124"/>
        <v>Cumple</v>
      </c>
      <c r="AE632" s="6"/>
      <c r="AH632" s="3"/>
    </row>
    <row r="633" spans="1:43" x14ac:dyDescent="0.3">
      <c r="A633" s="13"/>
      <c r="B633" s="1">
        <v>12</v>
      </c>
      <c r="C633" s="1">
        <v>70</v>
      </c>
      <c r="D633" s="1">
        <v>0</v>
      </c>
      <c r="E633" s="5">
        <v>1</v>
      </c>
      <c r="F633" s="3">
        <f t="shared" si="120"/>
        <v>12</v>
      </c>
      <c r="G633" s="5">
        <v>2</v>
      </c>
      <c r="H633" s="3">
        <f t="shared" si="97"/>
        <v>3.1415926535897931</v>
      </c>
      <c r="I633" s="4">
        <v>3.1415999999999999E-2</v>
      </c>
      <c r="K633" s="3">
        <v>211.47613226012058</v>
      </c>
      <c r="L633" s="3">
        <v>249.64823000000001</v>
      </c>
      <c r="M633" s="3">
        <v>1284.68911</v>
      </c>
      <c r="N633" s="12">
        <f t="shared" si="121"/>
        <v>1.0000023384349969E-2</v>
      </c>
      <c r="O633" s="11">
        <f t="shared" si="122"/>
        <v>314.15999999999997</v>
      </c>
      <c r="P633" s="1">
        <v>10</v>
      </c>
      <c r="Q633" s="1">
        <v>1</v>
      </c>
      <c r="R633" s="3">
        <f>Q633*VLOOKUP(P633,[4]Datos!$A$2:$D$14,2)</f>
        <v>8.19</v>
      </c>
      <c r="S633" s="10">
        <f t="shared" si="98"/>
        <v>39</v>
      </c>
      <c r="T633" s="2">
        <v>39</v>
      </c>
      <c r="U633" s="3">
        <f t="shared" si="99"/>
        <v>0.14000000000000001</v>
      </c>
      <c r="V633" s="3"/>
      <c r="W633" s="1">
        <v>280</v>
      </c>
      <c r="X633" s="9">
        <v>2</v>
      </c>
      <c r="Y633" s="1">
        <v>4</v>
      </c>
      <c r="Z633" s="3">
        <f>X633*VLOOKUP(Y633,[4]Datos!$A$2:$D$14,2)</f>
        <v>2.58</v>
      </c>
      <c r="AA633" s="8">
        <v>0.3</v>
      </c>
      <c r="AB633" s="7">
        <f t="shared" si="123"/>
        <v>207.09423574274689</v>
      </c>
      <c r="AC633" s="7">
        <f t="shared" si="100"/>
        <v>47.081633547905106</v>
      </c>
      <c r="AD633" s="6" t="str">
        <f t="shared" si="124"/>
        <v>Cumple</v>
      </c>
      <c r="AE633" s="6"/>
      <c r="AH633" s="3"/>
    </row>
    <row r="634" spans="1:43" x14ac:dyDescent="0.3">
      <c r="A634" s="13"/>
      <c r="B634" s="1">
        <v>13</v>
      </c>
      <c r="C634" s="1">
        <v>72</v>
      </c>
      <c r="D634" s="1">
        <v>0</v>
      </c>
      <c r="E634" s="5">
        <v>1</v>
      </c>
      <c r="F634" s="3">
        <f t="shared" si="120"/>
        <v>13</v>
      </c>
      <c r="G634" s="5">
        <v>2</v>
      </c>
      <c r="H634" s="3">
        <f t="shared" si="97"/>
        <v>3.1415926535897931</v>
      </c>
      <c r="I634" s="4">
        <v>3.1415999999999999E-2</v>
      </c>
      <c r="K634" s="3">
        <v>211.47683520832726</v>
      </c>
      <c r="L634" s="3">
        <v>159.57577000000001</v>
      </c>
      <c r="M634" s="3">
        <v>1182.6307400000001</v>
      </c>
      <c r="N634" s="12">
        <f t="shared" si="121"/>
        <v>1.0000023384349969E-2</v>
      </c>
      <c r="O634" s="11">
        <f t="shared" si="122"/>
        <v>314.15999999999997</v>
      </c>
      <c r="P634" s="1">
        <v>10</v>
      </c>
      <c r="Q634" s="1">
        <v>1</v>
      </c>
      <c r="R634" s="3">
        <f>Q634*VLOOKUP(P634,[4]Datos!$A$2:$D$14,2)</f>
        <v>8.19</v>
      </c>
      <c r="S634" s="10">
        <f t="shared" si="98"/>
        <v>39</v>
      </c>
      <c r="T634" s="2">
        <v>39</v>
      </c>
      <c r="U634" s="3">
        <f t="shared" si="99"/>
        <v>0.14000000000000001</v>
      </c>
      <c r="V634" s="3"/>
      <c r="W634" s="1">
        <v>280</v>
      </c>
      <c r="X634" s="9">
        <v>2</v>
      </c>
      <c r="Y634" s="1">
        <v>4</v>
      </c>
      <c r="Z634" s="3">
        <f>X634*VLOOKUP(Y634,[4]Datos!$A$2:$D$14,2)</f>
        <v>2.58</v>
      </c>
      <c r="AA634" s="8">
        <v>0.3</v>
      </c>
      <c r="AB634" s="7">
        <f t="shared" si="123"/>
        <v>207.09423574274689</v>
      </c>
      <c r="AC634" s="7">
        <f t="shared" si="100"/>
        <v>47.081633547905106</v>
      </c>
      <c r="AD634" s="6" t="str">
        <f t="shared" si="124"/>
        <v>Cumple</v>
      </c>
      <c r="AE634" s="6"/>
      <c r="AH634" s="3"/>
    </row>
    <row r="635" spans="1:43" x14ac:dyDescent="0.3">
      <c r="A635" s="13"/>
      <c r="B635" s="1">
        <v>14</v>
      </c>
      <c r="C635" s="1">
        <v>74</v>
      </c>
      <c r="D635" s="1">
        <v>0</v>
      </c>
      <c r="E635" s="5">
        <v>1</v>
      </c>
      <c r="F635" s="3">
        <f t="shared" si="120"/>
        <v>14</v>
      </c>
      <c r="G635" s="5">
        <v>2</v>
      </c>
      <c r="H635" s="3">
        <f t="shared" si="97"/>
        <v>3.1415926535897931</v>
      </c>
      <c r="I635" s="4">
        <v>3.1415999999999999E-2</v>
      </c>
      <c r="K635" s="3">
        <v>211.47762228143668</v>
      </c>
      <c r="L635" s="3">
        <v>79.256169999999997</v>
      </c>
      <c r="M635" s="3">
        <v>1084.6219000000001</v>
      </c>
      <c r="N635" s="12">
        <f t="shared" si="121"/>
        <v>1.0000023384349969E-2</v>
      </c>
      <c r="O635" s="11">
        <f t="shared" si="122"/>
        <v>314.15999999999997</v>
      </c>
      <c r="P635" s="1">
        <v>10</v>
      </c>
      <c r="Q635" s="1">
        <v>1</v>
      </c>
      <c r="R635" s="3">
        <f>Q635*VLOOKUP(P635,[4]Datos!$A$2:$D$14,2)</f>
        <v>8.19</v>
      </c>
      <c r="S635" s="10">
        <f t="shared" si="98"/>
        <v>39</v>
      </c>
      <c r="T635" s="2">
        <v>39</v>
      </c>
      <c r="U635" s="3">
        <f t="shared" si="99"/>
        <v>0.14000000000000001</v>
      </c>
      <c r="V635" s="3"/>
      <c r="W635" s="1">
        <v>280</v>
      </c>
      <c r="X635" s="9">
        <v>2</v>
      </c>
      <c r="Y635" s="1">
        <v>4</v>
      </c>
      <c r="Z635" s="3">
        <f>X635*VLOOKUP(Y635,[4]Datos!$A$2:$D$14,2)</f>
        <v>2.58</v>
      </c>
      <c r="AA635" s="8">
        <v>0.3</v>
      </c>
      <c r="AB635" s="7">
        <f t="shared" si="123"/>
        <v>207.09423574274689</v>
      </c>
      <c r="AC635" s="7">
        <f t="shared" si="100"/>
        <v>47.081633547905106</v>
      </c>
      <c r="AD635" s="6" t="str">
        <f t="shared" si="124"/>
        <v>Cumple</v>
      </c>
      <c r="AE635" s="6"/>
      <c r="AH635" s="3"/>
    </row>
    <row r="636" spans="1:43" x14ac:dyDescent="0.3">
      <c r="A636" s="13"/>
      <c r="B636" s="1">
        <v>15</v>
      </c>
      <c r="C636" s="1">
        <v>76</v>
      </c>
      <c r="D636" s="1">
        <v>0</v>
      </c>
      <c r="E636" s="5">
        <v>1</v>
      </c>
      <c r="F636" s="3">
        <f t="shared" si="120"/>
        <v>15</v>
      </c>
      <c r="G636" s="5">
        <v>2</v>
      </c>
      <c r="H636" s="3">
        <f t="shared" si="97"/>
        <v>3.1415926535897931</v>
      </c>
      <c r="I636" s="4">
        <v>3.1415999999999999E-2</v>
      </c>
      <c r="K636" s="3">
        <v>211.47846343365555</v>
      </c>
      <c r="L636" s="3">
        <v>166.57637</v>
      </c>
      <c r="M636" s="3">
        <v>1099.4318699999999</v>
      </c>
      <c r="N636" s="12">
        <f t="shared" si="121"/>
        <v>1.0000023384349969E-2</v>
      </c>
      <c r="O636" s="11">
        <f t="shared" si="122"/>
        <v>314.15999999999997</v>
      </c>
      <c r="P636" s="1">
        <v>10</v>
      </c>
      <c r="Q636" s="19">
        <v>1</v>
      </c>
      <c r="R636" s="3">
        <f>Q636*VLOOKUP(P636,[4]Datos!$A$2:$D$14,2)</f>
        <v>8.19</v>
      </c>
      <c r="S636" s="10">
        <f t="shared" si="98"/>
        <v>39</v>
      </c>
      <c r="T636" s="18">
        <v>46</v>
      </c>
      <c r="U636" s="3">
        <f t="shared" si="99"/>
        <v>0.12</v>
      </c>
      <c r="V636" s="3"/>
      <c r="W636" s="1">
        <v>280</v>
      </c>
      <c r="X636" s="9">
        <v>2</v>
      </c>
      <c r="Y636" s="1">
        <v>4</v>
      </c>
      <c r="Z636" s="3">
        <f>X636*VLOOKUP(Y636,[4]Datos!$A$2:$D$14,2)</f>
        <v>2.58</v>
      </c>
      <c r="AA636" s="8">
        <v>0.3</v>
      </c>
      <c r="AB636" s="7">
        <f t="shared" si="123"/>
        <v>207.09423574274689</v>
      </c>
      <c r="AC636" s="7">
        <f t="shared" si="100"/>
        <v>47.081633547905106</v>
      </c>
      <c r="AD636" s="6" t="str">
        <f t="shared" si="124"/>
        <v>Cumple</v>
      </c>
      <c r="AE636" s="6"/>
      <c r="AH636" s="3"/>
    </row>
    <row r="637" spans="1:43" x14ac:dyDescent="0.3">
      <c r="A637" s="13"/>
      <c r="B637" s="1">
        <v>16</v>
      </c>
      <c r="C637" s="1">
        <v>78</v>
      </c>
      <c r="D637" s="1">
        <v>0</v>
      </c>
      <c r="E637" s="5">
        <v>1</v>
      </c>
      <c r="F637" s="3">
        <f t="shared" si="120"/>
        <v>16</v>
      </c>
      <c r="G637" s="5">
        <v>2</v>
      </c>
      <c r="H637" s="3">
        <f t="shared" si="97"/>
        <v>3.1415926535897931</v>
      </c>
      <c r="I637" s="4">
        <v>3.1415999999999999E-2</v>
      </c>
      <c r="K637" s="3">
        <v>211.47916639870226</v>
      </c>
      <c r="L637" s="3">
        <v>254.51132999999999</v>
      </c>
      <c r="M637" s="3">
        <v>1115.2726700000001</v>
      </c>
      <c r="N637" s="12">
        <f t="shared" si="121"/>
        <v>1.0000023384349969E-2</v>
      </c>
      <c r="O637" s="11">
        <f t="shared" si="122"/>
        <v>314.15999999999997</v>
      </c>
      <c r="P637" s="1">
        <v>10</v>
      </c>
      <c r="Q637" s="19">
        <v>1</v>
      </c>
      <c r="R637" s="3">
        <f>Q637*VLOOKUP(P637,[4]Datos!$A$2:$D$14,2)</f>
        <v>8.19</v>
      </c>
      <c r="S637" s="10">
        <f t="shared" si="98"/>
        <v>39</v>
      </c>
      <c r="T637" s="18">
        <v>46</v>
      </c>
      <c r="U637" s="3">
        <f t="shared" si="99"/>
        <v>0.12</v>
      </c>
      <c r="V637" s="3"/>
      <c r="W637" s="1">
        <v>280</v>
      </c>
      <c r="X637" s="9">
        <v>2</v>
      </c>
      <c r="Y637" s="1">
        <v>4</v>
      </c>
      <c r="Z637" s="3">
        <f>X637*VLOOKUP(Y637,[4]Datos!$A$2:$D$14,2)</f>
        <v>2.58</v>
      </c>
      <c r="AA637" s="8">
        <v>0.3</v>
      </c>
      <c r="AB637" s="7">
        <f t="shared" si="123"/>
        <v>207.09423574274689</v>
      </c>
      <c r="AC637" s="7">
        <f t="shared" si="100"/>
        <v>47.081633547905106</v>
      </c>
      <c r="AD637" s="6" t="str">
        <f t="shared" si="124"/>
        <v>Cumple</v>
      </c>
      <c r="AE637" s="6"/>
      <c r="AH637" s="3"/>
    </row>
    <row r="638" spans="1:43" x14ac:dyDescent="0.3">
      <c r="A638" s="13"/>
      <c r="B638" s="1">
        <v>17</v>
      </c>
      <c r="C638" s="1">
        <v>80</v>
      </c>
      <c r="D638" s="1">
        <v>0</v>
      </c>
      <c r="E638" s="5">
        <v>1</v>
      </c>
      <c r="F638" s="3">
        <f t="shared" si="120"/>
        <v>17</v>
      </c>
      <c r="G638" s="5">
        <v>2</v>
      </c>
      <c r="H638" s="3">
        <f t="shared" si="97"/>
        <v>3.1415926535897931</v>
      </c>
      <c r="I638" s="4">
        <v>3.1415999999999999E-2</v>
      </c>
      <c r="K638" s="3">
        <v>211.47995348781879</v>
      </c>
      <c r="L638" s="3">
        <v>343.50761</v>
      </c>
      <c r="M638" s="3">
        <v>1131.8284799999999</v>
      </c>
      <c r="N638" s="12">
        <f t="shared" si="121"/>
        <v>1.0000023384349969E-2</v>
      </c>
      <c r="O638" s="11">
        <f t="shared" si="122"/>
        <v>314.15999999999997</v>
      </c>
      <c r="P638" s="1">
        <v>10</v>
      </c>
      <c r="Q638" s="19">
        <v>1</v>
      </c>
      <c r="R638" s="3">
        <f>Q638*VLOOKUP(P638,[4]Datos!$A$2:$D$14,2)</f>
        <v>8.19</v>
      </c>
      <c r="S638" s="10">
        <f t="shared" si="98"/>
        <v>39</v>
      </c>
      <c r="T638" s="18">
        <v>46</v>
      </c>
      <c r="U638" s="3">
        <f t="shared" si="99"/>
        <v>0.12</v>
      </c>
      <c r="V638" s="3"/>
      <c r="W638" s="1">
        <v>280</v>
      </c>
      <c r="X638" s="9">
        <v>2</v>
      </c>
      <c r="Y638" s="1">
        <v>6</v>
      </c>
      <c r="Z638" s="3">
        <f>X638*VLOOKUP(Y638,[4]Datos!$A$2:$D$14,2)</f>
        <v>5.68</v>
      </c>
      <c r="AA638" s="8">
        <v>7.4999999999999997E-2</v>
      </c>
      <c r="AB638" s="7">
        <f t="shared" si="123"/>
        <v>207.09423574274689</v>
      </c>
      <c r="AC638" s="7">
        <f t="shared" si="100"/>
        <v>414.61035434434268</v>
      </c>
      <c r="AD638" s="6" t="str">
        <f t="shared" si="124"/>
        <v>Cumple</v>
      </c>
      <c r="AE638" s="6"/>
      <c r="AF638" s="5">
        <v>20</v>
      </c>
      <c r="AG638" s="7">
        <f t="shared" ref="AG638:AG641" si="125">ROUNDUP(MAX(0.45,G638,AF638/6),0)</f>
        <v>4</v>
      </c>
      <c r="AH638" s="3">
        <f t="shared" ref="AH638:AH649" si="126">PI()*(G638-0.15)^2/4</f>
        <v>2.6880252142277672</v>
      </c>
      <c r="AI638" s="7">
        <f>G638-0.15-VLOOKUP(Y638,[4]Datos!$A$2:$D$14,3)/100</f>
        <v>1.8309000000000002</v>
      </c>
      <c r="AJ638" s="7">
        <f t="shared" ref="AJ638:AJ649" si="127">SQRT((PI()*AI638)^2+AA638^2)</f>
        <v>5.7524309339691264</v>
      </c>
      <c r="AK638" s="1">
        <v>0.12</v>
      </c>
      <c r="AL638" s="16">
        <f t="shared" ref="AL638:AL649" si="128">MAX(0.45*(H638/AH638-1),AK638)*(W638/4220)</f>
        <v>7.9620853080568724E-3</v>
      </c>
      <c r="AM638" s="7">
        <f t="shared" ref="AM638:AM649" si="129">AG638*(AJ638/AA638)</f>
        <v>306.79631647835345</v>
      </c>
      <c r="AN638" s="17">
        <f t="shared" ref="AN638:AN649" si="130">AM638*Z638/X638/10000</f>
        <v>8.7130153879852373E-2</v>
      </c>
      <c r="AO638" s="17">
        <f t="shared" ref="AO638:AO649" si="131">AH638*AG638</f>
        <v>10.752100856911069</v>
      </c>
      <c r="AP638" s="16">
        <f t="shared" ref="AP638:AP649" si="132">AN638/AO638</f>
        <v>8.1035469290495175E-3</v>
      </c>
      <c r="AQ638" s="6" t="str">
        <f t="shared" ref="AQ638:AQ649" si="133">+IF(AP638&gt;AL638,"Cumple","No Cumple")</f>
        <v>Cumple</v>
      </c>
    </row>
    <row r="639" spans="1:43" x14ac:dyDescent="0.3">
      <c r="A639" s="13"/>
      <c r="B639" s="1">
        <v>18</v>
      </c>
      <c r="C639" s="1">
        <v>82</v>
      </c>
      <c r="D639" s="1">
        <v>0</v>
      </c>
      <c r="E639" s="5">
        <v>1</v>
      </c>
      <c r="F639" s="3">
        <f t="shared" si="120"/>
        <v>18</v>
      </c>
      <c r="G639" s="5">
        <v>2</v>
      </c>
      <c r="H639" s="3">
        <f t="shared" si="97"/>
        <v>3.1415926535897931</v>
      </c>
      <c r="I639" s="4">
        <v>3.1415999999999999E-2</v>
      </c>
      <c r="K639" s="3">
        <v>211.48071053921205</v>
      </c>
      <c r="L639" s="3">
        <v>435.51497999999998</v>
      </c>
      <c r="M639" s="3">
        <v>1152.4583500000001</v>
      </c>
      <c r="N639" s="12">
        <f t="shared" si="121"/>
        <v>1.0000023384349969E-2</v>
      </c>
      <c r="O639" s="11">
        <f t="shared" si="122"/>
        <v>314.15999999999997</v>
      </c>
      <c r="P639" s="1">
        <v>10</v>
      </c>
      <c r="Q639" s="1">
        <v>1</v>
      </c>
      <c r="R639" s="3">
        <f>Q639*VLOOKUP(P639,[4]Datos!$A$2:$D$14,2)</f>
        <v>8.19</v>
      </c>
      <c r="S639" s="10">
        <f t="shared" si="98"/>
        <v>39</v>
      </c>
      <c r="T639" s="2">
        <v>46</v>
      </c>
      <c r="U639" s="3">
        <f t="shared" si="99"/>
        <v>0.12</v>
      </c>
      <c r="V639" s="3"/>
      <c r="W639" s="1">
        <v>280</v>
      </c>
      <c r="X639" s="9">
        <v>2</v>
      </c>
      <c r="Y639" s="1">
        <v>6</v>
      </c>
      <c r="Z639" s="3">
        <f>X639*VLOOKUP(Y639,[4]Datos!$A$2:$D$14,2)</f>
        <v>5.68</v>
      </c>
      <c r="AA639" s="8">
        <v>7.4999999999999997E-2</v>
      </c>
      <c r="AB639" s="7">
        <f t="shared" si="123"/>
        <v>207.09423574274689</v>
      </c>
      <c r="AC639" s="7">
        <f t="shared" si="100"/>
        <v>414.61035434434268</v>
      </c>
      <c r="AD639" s="6" t="str">
        <f t="shared" si="124"/>
        <v>Cumple</v>
      </c>
      <c r="AE639" s="6"/>
      <c r="AF639" s="5">
        <v>20</v>
      </c>
      <c r="AG639" s="7">
        <f t="shared" si="125"/>
        <v>4</v>
      </c>
      <c r="AH639" s="3">
        <f t="shared" si="126"/>
        <v>2.6880252142277672</v>
      </c>
      <c r="AI639" s="7">
        <f>G639-0.15-VLOOKUP(Y639,[4]Datos!$A$2:$D$14,3)/100</f>
        <v>1.8309000000000002</v>
      </c>
      <c r="AJ639" s="7">
        <f t="shared" si="127"/>
        <v>5.7524309339691264</v>
      </c>
      <c r="AK639" s="1">
        <v>0.12</v>
      </c>
      <c r="AL639" s="16">
        <f t="shared" si="128"/>
        <v>7.9620853080568724E-3</v>
      </c>
      <c r="AM639" s="7">
        <f t="shared" si="129"/>
        <v>306.79631647835345</v>
      </c>
      <c r="AN639" s="17">
        <f t="shared" si="130"/>
        <v>8.7130153879852373E-2</v>
      </c>
      <c r="AO639" s="17">
        <f t="shared" si="131"/>
        <v>10.752100856911069</v>
      </c>
      <c r="AP639" s="16">
        <f t="shared" si="132"/>
        <v>8.1035469290495175E-3</v>
      </c>
      <c r="AQ639" s="6" t="str">
        <f t="shared" si="133"/>
        <v>Cumple</v>
      </c>
    </row>
    <row r="640" spans="1:43" x14ac:dyDescent="0.3">
      <c r="A640" s="13"/>
      <c r="B640" s="1">
        <v>19</v>
      </c>
      <c r="C640" s="1">
        <v>84</v>
      </c>
      <c r="D640" s="1">
        <v>0</v>
      </c>
      <c r="E640" s="5">
        <v>1</v>
      </c>
      <c r="F640" s="3">
        <f t="shared" si="120"/>
        <v>19</v>
      </c>
      <c r="G640" s="5">
        <v>2</v>
      </c>
      <c r="H640" s="3">
        <f t="shared" si="97"/>
        <v>3.1415926535897931</v>
      </c>
      <c r="I640" s="4">
        <v>3.2143999999999999E-2</v>
      </c>
      <c r="K640" s="3">
        <v>211.48149763922609</v>
      </c>
      <c r="L640" s="3">
        <v>527.46703000000002</v>
      </c>
      <c r="M640" s="3">
        <v>1236.9111700000001</v>
      </c>
      <c r="N640" s="12">
        <f t="shared" si="121"/>
        <v>1.0231752981491768E-2</v>
      </c>
      <c r="O640" s="11">
        <f t="shared" si="122"/>
        <v>321.44</v>
      </c>
      <c r="P640" s="1">
        <v>10</v>
      </c>
      <c r="Q640" s="1">
        <v>1</v>
      </c>
      <c r="R640" s="3">
        <f>Q640*VLOOKUP(P640,[4]Datos!$A$2:$D$14,2)</f>
        <v>8.19</v>
      </c>
      <c r="S640" s="10">
        <f t="shared" si="98"/>
        <v>40</v>
      </c>
      <c r="T640" s="2">
        <v>46</v>
      </c>
      <c r="U640" s="3">
        <f t="shared" si="99"/>
        <v>0.12</v>
      </c>
      <c r="V640" s="3"/>
      <c r="W640" s="1">
        <v>280</v>
      </c>
      <c r="X640" s="9">
        <v>2</v>
      </c>
      <c r="Y640" s="1">
        <v>6</v>
      </c>
      <c r="Z640" s="3">
        <f>X640*VLOOKUP(Y640,[4]Datos!$A$2:$D$14,2)</f>
        <v>5.68</v>
      </c>
      <c r="AA640" s="8">
        <v>7.4999999999999997E-2</v>
      </c>
      <c r="AB640" s="7">
        <f t="shared" si="123"/>
        <v>207.09423574274689</v>
      </c>
      <c r="AC640" s="7">
        <f t="shared" si="100"/>
        <v>414.61035434434268</v>
      </c>
      <c r="AD640" s="6" t="str">
        <f t="shared" si="124"/>
        <v>Cumple</v>
      </c>
      <c r="AE640" s="6"/>
      <c r="AF640" s="5">
        <v>20</v>
      </c>
      <c r="AG640" s="7">
        <f t="shared" si="125"/>
        <v>4</v>
      </c>
      <c r="AH640" s="3">
        <f t="shared" si="126"/>
        <v>2.6880252142277672</v>
      </c>
      <c r="AI640" s="7">
        <f>G640-0.15-VLOOKUP(Y640,[4]Datos!$A$2:$D$14,3)/100</f>
        <v>1.8309000000000002</v>
      </c>
      <c r="AJ640" s="7">
        <f t="shared" si="127"/>
        <v>5.7524309339691264</v>
      </c>
      <c r="AK640" s="1">
        <v>0.12</v>
      </c>
      <c r="AL640" s="16">
        <f t="shared" si="128"/>
        <v>7.9620853080568724E-3</v>
      </c>
      <c r="AM640" s="7">
        <f t="shared" si="129"/>
        <v>306.79631647835345</v>
      </c>
      <c r="AN640" s="17">
        <f t="shared" si="130"/>
        <v>8.7130153879852373E-2</v>
      </c>
      <c r="AO640" s="17">
        <f t="shared" si="131"/>
        <v>10.752100856911069</v>
      </c>
      <c r="AP640" s="16">
        <f t="shared" si="132"/>
        <v>8.1035469290495175E-3</v>
      </c>
      <c r="AQ640" s="6" t="str">
        <f t="shared" si="133"/>
        <v>Cumple</v>
      </c>
    </row>
    <row r="641" spans="1:43" x14ac:dyDescent="0.3">
      <c r="A641" s="13"/>
      <c r="B641" s="1">
        <v>20</v>
      </c>
      <c r="C641" s="1">
        <v>86</v>
      </c>
      <c r="D641" s="1">
        <v>0</v>
      </c>
      <c r="E641" s="5">
        <v>1</v>
      </c>
      <c r="F641" s="3">
        <f t="shared" si="120"/>
        <v>20</v>
      </c>
      <c r="G641" s="5">
        <v>2</v>
      </c>
      <c r="H641" s="3">
        <f t="shared" si="97"/>
        <v>3.1415926535897931</v>
      </c>
      <c r="I641" s="4">
        <v>3.7482000000000001E-2</v>
      </c>
      <c r="K641" s="3">
        <v>211.48233882052656</v>
      </c>
      <c r="L641" s="3">
        <v>619.32084999999995</v>
      </c>
      <c r="M641" s="3">
        <v>1321.5392300000001</v>
      </c>
      <c r="N641" s="12">
        <f t="shared" si="121"/>
        <v>1.1930891153940843E-2</v>
      </c>
      <c r="O641" s="11">
        <f t="shared" si="122"/>
        <v>374.82</v>
      </c>
      <c r="P641" s="1">
        <v>10</v>
      </c>
      <c r="Q641" s="1">
        <v>1</v>
      </c>
      <c r="R641" s="3">
        <f>Q641*VLOOKUP(P641,[4]Datos!$A$2:$D$14,2)</f>
        <v>8.19</v>
      </c>
      <c r="S641" s="10">
        <f t="shared" si="98"/>
        <v>46</v>
      </c>
      <c r="T641" s="2">
        <v>46</v>
      </c>
      <c r="U641" s="3">
        <f t="shared" si="99"/>
        <v>0.12</v>
      </c>
      <c r="V641" s="3"/>
      <c r="W641" s="1">
        <v>280</v>
      </c>
      <c r="X641" s="9">
        <v>2</v>
      </c>
      <c r="Y641" s="1">
        <v>6</v>
      </c>
      <c r="Z641" s="3">
        <f>X641*VLOOKUP(Y641,[4]Datos!$A$2:$D$14,2)</f>
        <v>5.68</v>
      </c>
      <c r="AA641" s="8">
        <v>7.4999999999999997E-2</v>
      </c>
      <c r="AB641" s="7">
        <f t="shared" si="123"/>
        <v>207.09423574274689</v>
      </c>
      <c r="AC641" s="7">
        <f t="shared" si="100"/>
        <v>414.61035434434268</v>
      </c>
      <c r="AD641" s="6" t="str">
        <f t="shared" si="124"/>
        <v>Cumple</v>
      </c>
      <c r="AE641" s="6"/>
      <c r="AF641" s="5">
        <v>20</v>
      </c>
      <c r="AG641" s="7">
        <f t="shared" si="125"/>
        <v>4</v>
      </c>
      <c r="AH641" s="3">
        <f t="shared" si="126"/>
        <v>2.6880252142277672</v>
      </c>
      <c r="AI641" s="7">
        <f>G641-0.15-VLOOKUP(Y641,[4]Datos!$A$2:$D$14,3)/100</f>
        <v>1.8309000000000002</v>
      </c>
      <c r="AJ641" s="7">
        <f t="shared" si="127"/>
        <v>5.7524309339691264</v>
      </c>
      <c r="AK641" s="1">
        <v>0.12</v>
      </c>
      <c r="AL641" s="16">
        <f t="shared" si="128"/>
        <v>7.9620853080568724E-3</v>
      </c>
      <c r="AM641" s="7">
        <f t="shared" si="129"/>
        <v>306.79631647835345</v>
      </c>
      <c r="AN641" s="17">
        <f t="shared" si="130"/>
        <v>8.7130153879852373E-2</v>
      </c>
      <c r="AO641" s="17">
        <f t="shared" si="131"/>
        <v>10.752100856911069</v>
      </c>
      <c r="AP641" s="16">
        <f t="shared" si="132"/>
        <v>8.1035469290495175E-3</v>
      </c>
      <c r="AQ641" s="6" t="str">
        <f t="shared" si="133"/>
        <v>Cumple</v>
      </c>
    </row>
    <row r="642" spans="1:43" x14ac:dyDescent="0.3">
      <c r="A642" s="13"/>
      <c r="B642" s="1">
        <v>21</v>
      </c>
      <c r="C642" s="1">
        <v>288</v>
      </c>
      <c r="D642" s="1">
        <v>1</v>
      </c>
      <c r="E642" s="5">
        <v>1</v>
      </c>
      <c r="F642" s="3">
        <f t="shared" si="120"/>
        <v>21</v>
      </c>
      <c r="G642" s="5">
        <v>2</v>
      </c>
      <c r="H642" s="3">
        <f t="shared" si="97"/>
        <v>3.1415926535897931</v>
      </c>
      <c r="I642" s="4">
        <v>9.2765E-2</v>
      </c>
      <c r="K642" s="3">
        <v>211.60121302518567</v>
      </c>
      <c r="L642" s="3">
        <v>1398.93352</v>
      </c>
      <c r="M642" s="3">
        <v>2540.5390499999999</v>
      </c>
      <c r="N642" s="12">
        <f t="shared" si="121"/>
        <v>2.9528016591839342E-2</v>
      </c>
      <c r="O642" s="11">
        <f t="shared" si="122"/>
        <v>927.65</v>
      </c>
      <c r="P642" s="1">
        <v>10</v>
      </c>
      <c r="Q642" s="19">
        <v>2</v>
      </c>
      <c r="R642" s="3">
        <f>Q642*VLOOKUP(P642,[4]Datos!$A$2:$D$14,2)</f>
        <v>16.38</v>
      </c>
      <c r="S642" s="10">
        <f t="shared" si="98"/>
        <v>57</v>
      </c>
      <c r="T642" s="18">
        <v>62</v>
      </c>
      <c r="U642" s="3">
        <f t="shared" si="99"/>
        <v>0.09</v>
      </c>
      <c r="V642" s="3"/>
      <c r="W642" s="1">
        <v>280</v>
      </c>
      <c r="X642" s="9">
        <v>2</v>
      </c>
      <c r="Y642" s="1">
        <v>6</v>
      </c>
      <c r="Z642" s="3">
        <f>X642*VLOOKUP(Y642,[4]Datos!$A$2:$D$14,2)</f>
        <v>5.68</v>
      </c>
      <c r="AA642" s="8">
        <v>7.4999999999999997E-2</v>
      </c>
      <c r="AB642" s="7">
        <f t="shared" si="123"/>
        <v>115.05235319041492</v>
      </c>
      <c r="AC642" s="7">
        <f t="shared" si="100"/>
        <v>414.61035434434268</v>
      </c>
      <c r="AD642" s="6" t="str">
        <f t="shared" si="124"/>
        <v>Cumple</v>
      </c>
      <c r="AE642" s="6"/>
      <c r="AG642" s="7">
        <f>ROUNDUP(MAX(0.45,3*G642,),0)</f>
        <v>6</v>
      </c>
      <c r="AH642" s="3">
        <f t="shared" si="126"/>
        <v>2.6880252142277672</v>
      </c>
      <c r="AI642" s="7">
        <f>G642-0.15-VLOOKUP(Y642,[4]Datos!$A$2:$D$14,3)/100</f>
        <v>1.8309000000000002</v>
      </c>
      <c r="AJ642" s="7">
        <f t="shared" si="127"/>
        <v>5.7524309339691264</v>
      </c>
      <c r="AK642" s="1">
        <v>0.12</v>
      </c>
      <c r="AL642" s="16">
        <f t="shared" si="128"/>
        <v>7.9620853080568724E-3</v>
      </c>
      <c r="AM642" s="7">
        <f t="shared" si="129"/>
        <v>460.19447471753017</v>
      </c>
      <c r="AN642" s="17">
        <f t="shared" si="130"/>
        <v>0.13069523081977857</v>
      </c>
      <c r="AO642" s="17">
        <f t="shared" si="131"/>
        <v>16.128151285366602</v>
      </c>
      <c r="AP642" s="16">
        <f t="shared" si="132"/>
        <v>8.1035469290495193E-3</v>
      </c>
      <c r="AQ642" s="6" t="str">
        <f t="shared" si="133"/>
        <v>Cumple</v>
      </c>
    </row>
    <row r="643" spans="1:43" x14ac:dyDescent="0.3">
      <c r="A643" s="13"/>
      <c r="B643" s="1">
        <v>22</v>
      </c>
      <c r="C643" s="1">
        <v>289</v>
      </c>
      <c r="D643" s="1">
        <v>1</v>
      </c>
      <c r="E643" s="5">
        <v>1</v>
      </c>
      <c r="F643" s="3">
        <f t="shared" si="120"/>
        <v>22</v>
      </c>
      <c r="G643" s="5">
        <v>2</v>
      </c>
      <c r="H643" s="3">
        <f t="shared" si="97"/>
        <v>3.1415926535897931</v>
      </c>
      <c r="I643" s="4">
        <v>9.8012000000000002E-2</v>
      </c>
      <c r="K643" s="3">
        <v>171.41829387763724</v>
      </c>
      <c r="L643" s="3">
        <v>1545.8090299999999</v>
      </c>
      <c r="M643" s="3">
        <v>2647.98216</v>
      </c>
      <c r="N643" s="12">
        <f t="shared" si="121"/>
        <v>3.1198188564645693E-2</v>
      </c>
      <c r="O643" s="11">
        <f t="shared" si="122"/>
        <v>980.12</v>
      </c>
      <c r="P643" s="1">
        <v>10</v>
      </c>
      <c r="Q643" s="19">
        <v>2</v>
      </c>
      <c r="R643" s="3">
        <f>Q643*VLOOKUP(P643,[4]Datos!$A$2:$D$14,2)</f>
        <v>16.38</v>
      </c>
      <c r="S643" s="10">
        <f t="shared" si="98"/>
        <v>60</v>
      </c>
      <c r="T643" s="18">
        <v>62</v>
      </c>
      <c r="U643" s="3">
        <f t="shared" si="99"/>
        <v>0.09</v>
      </c>
      <c r="V643" s="3"/>
      <c r="W643" s="1">
        <v>280</v>
      </c>
      <c r="X643" s="9">
        <v>2</v>
      </c>
      <c r="Y643" s="1">
        <v>6</v>
      </c>
      <c r="Z643" s="3">
        <f>X643*VLOOKUP(Y643,[4]Datos!$A$2:$D$14,2)</f>
        <v>5.68</v>
      </c>
      <c r="AA643" s="8">
        <v>7.4999999999999997E-2</v>
      </c>
      <c r="AB643" s="7">
        <f t="shared" si="123"/>
        <v>115.05235319041492</v>
      </c>
      <c r="AC643" s="7">
        <f t="shared" si="100"/>
        <v>414.61035434434268</v>
      </c>
      <c r="AD643" s="6" t="str">
        <f t="shared" si="124"/>
        <v>Cumple</v>
      </c>
      <c r="AE643" s="6"/>
      <c r="AG643" s="7">
        <f t="shared" ref="AG643:AG649" si="134">ROUNDUP(MAX(0.45,3*G643,),0)</f>
        <v>6</v>
      </c>
      <c r="AH643" s="3">
        <f t="shared" si="126"/>
        <v>2.6880252142277672</v>
      </c>
      <c r="AI643" s="7">
        <f>G643-0.15-VLOOKUP(Y643,[4]Datos!$A$2:$D$14,3)/100</f>
        <v>1.8309000000000002</v>
      </c>
      <c r="AJ643" s="7">
        <f t="shared" si="127"/>
        <v>5.7524309339691264</v>
      </c>
      <c r="AK643" s="1">
        <v>0.12</v>
      </c>
      <c r="AL643" s="16">
        <f t="shared" si="128"/>
        <v>7.9620853080568724E-3</v>
      </c>
      <c r="AM643" s="7">
        <f t="shared" si="129"/>
        <v>460.19447471753017</v>
      </c>
      <c r="AN643" s="17">
        <f t="shared" si="130"/>
        <v>0.13069523081977857</v>
      </c>
      <c r="AO643" s="17">
        <f t="shared" si="131"/>
        <v>16.128151285366602</v>
      </c>
      <c r="AP643" s="16">
        <f t="shared" si="132"/>
        <v>8.1035469290495193E-3</v>
      </c>
      <c r="AQ643" s="6" t="str">
        <f t="shared" si="133"/>
        <v>Cumple</v>
      </c>
    </row>
    <row r="644" spans="1:43" x14ac:dyDescent="0.3">
      <c r="A644" s="13"/>
      <c r="B644" s="1">
        <v>23</v>
      </c>
      <c r="C644" s="1">
        <v>290</v>
      </c>
      <c r="D644" s="1">
        <v>1</v>
      </c>
      <c r="E644" s="5">
        <v>1</v>
      </c>
      <c r="F644" s="3">
        <f t="shared" si="120"/>
        <v>23</v>
      </c>
      <c r="G644" s="5">
        <v>2</v>
      </c>
      <c r="H644" s="3">
        <f t="shared" si="97"/>
        <v>3.1415926535897931</v>
      </c>
      <c r="I644" s="4">
        <v>0.10025100000000001</v>
      </c>
      <c r="K644" s="3">
        <v>108.78813692420695</v>
      </c>
      <c r="L644" s="3">
        <v>1637.5015599999999</v>
      </c>
      <c r="M644" s="3">
        <v>2681.3845500000002</v>
      </c>
      <c r="N644" s="12">
        <f t="shared" si="121"/>
        <v>3.1910884399811205E-2</v>
      </c>
      <c r="O644" s="11">
        <f t="shared" si="122"/>
        <v>1002.5100000000001</v>
      </c>
      <c r="P644" s="1">
        <v>10</v>
      </c>
      <c r="Q644" s="19">
        <v>2</v>
      </c>
      <c r="R644" s="3">
        <f>Q644*VLOOKUP(P644,[4]Datos!$A$2:$D$14,2)</f>
        <v>16.38</v>
      </c>
      <c r="S644" s="10">
        <f t="shared" si="98"/>
        <v>62</v>
      </c>
      <c r="T644" s="18">
        <v>62</v>
      </c>
      <c r="U644" s="3">
        <f t="shared" si="99"/>
        <v>0.09</v>
      </c>
      <c r="V644" s="3"/>
      <c r="W644" s="1">
        <v>280</v>
      </c>
      <c r="X644" s="9">
        <v>2</v>
      </c>
      <c r="Y644" s="1">
        <v>6</v>
      </c>
      <c r="Z644" s="3">
        <f>X644*VLOOKUP(Y644,[4]Datos!$A$2:$D$14,2)</f>
        <v>5.68</v>
      </c>
      <c r="AA644" s="8">
        <v>7.4999999999999997E-2</v>
      </c>
      <c r="AB644" s="7">
        <f t="shared" si="123"/>
        <v>115.05235319041492</v>
      </c>
      <c r="AC644" s="7">
        <f t="shared" si="100"/>
        <v>414.61035434434268</v>
      </c>
      <c r="AD644" s="6" t="str">
        <f t="shared" si="124"/>
        <v>Cumple</v>
      </c>
      <c r="AE644" s="6"/>
      <c r="AG644" s="7">
        <f t="shared" si="134"/>
        <v>6</v>
      </c>
      <c r="AH644" s="3">
        <f t="shared" si="126"/>
        <v>2.6880252142277672</v>
      </c>
      <c r="AI644" s="7">
        <f>G644-0.15-VLOOKUP(Y644,[4]Datos!$A$2:$D$14,3)/100</f>
        <v>1.8309000000000002</v>
      </c>
      <c r="AJ644" s="7">
        <f t="shared" si="127"/>
        <v>5.7524309339691264</v>
      </c>
      <c r="AK644" s="1">
        <v>0.12</v>
      </c>
      <c r="AL644" s="16">
        <f t="shared" si="128"/>
        <v>7.9620853080568724E-3</v>
      </c>
      <c r="AM644" s="7">
        <f t="shared" si="129"/>
        <v>460.19447471753017</v>
      </c>
      <c r="AN644" s="17">
        <f t="shared" si="130"/>
        <v>0.13069523081977857</v>
      </c>
      <c r="AO644" s="17">
        <f t="shared" si="131"/>
        <v>16.128151285366602</v>
      </c>
      <c r="AP644" s="16">
        <f t="shared" si="132"/>
        <v>8.1035469290495193E-3</v>
      </c>
      <c r="AQ644" s="6" t="str">
        <f t="shared" si="133"/>
        <v>Cumple</v>
      </c>
    </row>
    <row r="645" spans="1:43" x14ac:dyDescent="0.3">
      <c r="A645" s="13"/>
      <c r="B645" s="1">
        <v>24</v>
      </c>
      <c r="C645" s="1">
        <v>291</v>
      </c>
      <c r="D645" s="1">
        <v>1</v>
      </c>
      <c r="E645" s="5">
        <v>1</v>
      </c>
      <c r="F645" s="3">
        <f t="shared" si="120"/>
        <v>24</v>
      </c>
      <c r="G645" s="5">
        <v>2</v>
      </c>
      <c r="H645" s="3">
        <f t="shared" si="97"/>
        <v>3.1415926535897931</v>
      </c>
      <c r="I645" s="4">
        <v>0.10025199999999999</v>
      </c>
      <c r="K645" s="3">
        <v>89.12594064311466</v>
      </c>
      <c r="L645" s="3">
        <v>1665.32241</v>
      </c>
      <c r="M645" s="3">
        <v>2681.3845500000002</v>
      </c>
      <c r="N645" s="12">
        <f t="shared" si="121"/>
        <v>3.1911202709697384E-2</v>
      </c>
      <c r="O645" s="11">
        <f t="shared" si="122"/>
        <v>1002.52</v>
      </c>
      <c r="P645" s="1">
        <v>10</v>
      </c>
      <c r="Q645" s="1">
        <v>2</v>
      </c>
      <c r="R645" s="3">
        <f>Q645*VLOOKUP(P645,[4]Datos!$A$2:$D$14,2)</f>
        <v>16.38</v>
      </c>
      <c r="S645" s="10">
        <f t="shared" si="98"/>
        <v>62</v>
      </c>
      <c r="T645" s="2">
        <v>62</v>
      </c>
      <c r="U645" s="3">
        <f t="shared" si="99"/>
        <v>0.09</v>
      </c>
      <c r="V645" s="3"/>
      <c r="W645" s="1">
        <v>280</v>
      </c>
      <c r="X645" s="9">
        <v>2</v>
      </c>
      <c r="Y645" s="1">
        <v>6</v>
      </c>
      <c r="Z645" s="3">
        <f>X645*VLOOKUP(Y645,[4]Datos!$A$2:$D$14,2)</f>
        <v>5.68</v>
      </c>
      <c r="AA645" s="8">
        <v>7.4999999999999997E-2</v>
      </c>
      <c r="AB645" s="7">
        <f t="shared" si="123"/>
        <v>115.05235319041492</v>
      </c>
      <c r="AC645" s="7">
        <f t="shared" si="100"/>
        <v>414.61035434434268</v>
      </c>
      <c r="AD645" s="6" t="str">
        <f t="shared" si="124"/>
        <v>Cumple</v>
      </c>
      <c r="AE645" s="6"/>
      <c r="AG645" s="7">
        <f t="shared" si="134"/>
        <v>6</v>
      </c>
      <c r="AH645" s="3">
        <f t="shared" si="126"/>
        <v>2.6880252142277672</v>
      </c>
      <c r="AI645" s="7">
        <f>G645-0.15-VLOOKUP(Y645,[4]Datos!$A$2:$D$14,3)/100</f>
        <v>1.8309000000000002</v>
      </c>
      <c r="AJ645" s="7">
        <f t="shared" si="127"/>
        <v>5.7524309339691264</v>
      </c>
      <c r="AK645" s="1">
        <v>0.12</v>
      </c>
      <c r="AL645" s="16">
        <f t="shared" si="128"/>
        <v>7.9620853080568724E-3</v>
      </c>
      <c r="AM645" s="7">
        <f t="shared" si="129"/>
        <v>460.19447471753017</v>
      </c>
      <c r="AN645" s="17">
        <f t="shared" si="130"/>
        <v>0.13069523081977857</v>
      </c>
      <c r="AO645" s="17">
        <f t="shared" si="131"/>
        <v>16.128151285366602</v>
      </c>
      <c r="AP645" s="16">
        <f t="shared" si="132"/>
        <v>8.1035469290495193E-3</v>
      </c>
      <c r="AQ645" s="6" t="str">
        <f t="shared" si="133"/>
        <v>Cumple</v>
      </c>
    </row>
    <row r="646" spans="1:43" x14ac:dyDescent="0.3">
      <c r="A646" s="13"/>
      <c r="B646" s="1">
        <v>25</v>
      </c>
      <c r="C646" s="1">
        <v>292</v>
      </c>
      <c r="D646" s="1">
        <v>1</v>
      </c>
      <c r="E646" s="5">
        <v>1</v>
      </c>
      <c r="F646" s="3">
        <f t="shared" si="120"/>
        <v>25</v>
      </c>
      <c r="G646" s="5">
        <v>2</v>
      </c>
      <c r="H646" s="3">
        <f t="shared" si="97"/>
        <v>3.1415926535897931</v>
      </c>
      <c r="I646" s="4">
        <v>9.7541000000000003E-2</v>
      </c>
      <c r="K646" s="3">
        <v>147.82343792247562</v>
      </c>
      <c r="L646" s="3">
        <v>1665.32241</v>
      </c>
      <c r="M646" s="3">
        <v>2630.93325</v>
      </c>
      <c r="N646" s="12">
        <f t="shared" si="121"/>
        <v>3.1048264608253127E-2</v>
      </c>
      <c r="O646" s="11">
        <f t="shared" si="122"/>
        <v>975.41000000000008</v>
      </c>
      <c r="P646" s="1">
        <v>10</v>
      </c>
      <c r="Q646" s="1">
        <v>2</v>
      </c>
      <c r="R646" s="3">
        <f>Q646*VLOOKUP(P646,[4]Datos!$A$2:$D$14,2)</f>
        <v>16.38</v>
      </c>
      <c r="S646" s="10">
        <f t="shared" si="98"/>
        <v>60</v>
      </c>
      <c r="T646" s="2">
        <v>62</v>
      </c>
      <c r="U646" s="3">
        <f t="shared" si="99"/>
        <v>0.09</v>
      </c>
      <c r="V646" s="3"/>
      <c r="W646" s="1">
        <v>280</v>
      </c>
      <c r="X646" s="9">
        <v>2</v>
      </c>
      <c r="Y646" s="1">
        <v>6</v>
      </c>
      <c r="Z646" s="3">
        <f>X646*VLOOKUP(Y646,[4]Datos!$A$2:$D$14,2)</f>
        <v>5.68</v>
      </c>
      <c r="AA646" s="8">
        <v>7.4999999999999997E-2</v>
      </c>
      <c r="AB646" s="7">
        <f t="shared" si="123"/>
        <v>115.05235319041492</v>
      </c>
      <c r="AC646" s="7">
        <f t="shared" si="100"/>
        <v>414.61035434434268</v>
      </c>
      <c r="AD646" s="6" t="str">
        <f t="shared" si="124"/>
        <v>Cumple</v>
      </c>
      <c r="AE646" s="6"/>
      <c r="AG646" s="7">
        <f t="shared" si="134"/>
        <v>6</v>
      </c>
      <c r="AH646" s="3">
        <f t="shared" si="126"/>
        <v>2.6880252142277672</v>
      </c>
      <c r="AI646" s="7">
        <f>G646-0.15-VLOOKUP(Y646,[4]Datos!$A$2:$D$14,3)/100</f>
        <v>1.8309000000000002</v>
      </c>
      <c r="AJ646" s="7">
        <f t="shared" si="127"/>
        <v>5.7524309339691264</v>
      </c>
      <c r="AK646" s="1">
        <v>0.12</v>
      </c>
      <c r="AL646" s="16">
        <f t="shared" si="128"/>
        <v>7.9620853080568724E-3</v>
      </c>
      <c r="AM646" s="7">
        <f t="shared" si="129"/>
        <v>460.19447471753017</v>
      </c>
      <c r="AN646" s="17">
        <f t="shared" si="130"/>
        <v>0.13069523081977857</v>
      </c>
      <c r="AO646" s="17">
        <f t="shared" si="131"/>
        <v>16.128151285366602</v>
      </c>
      <c r="AP646" s="16">
        <f t="shared" si="132"/>
        <v>8.1035469290495193E-3</v>
      </c>
      <c r="AQ646" s="6" t="str">
        <f t="shared" si="133"/>
        <v>Cumple</v>
      </c>
    </row>
    <row r="647" spans="1:43" x14ac:dyDescent="0.3">
      <c r="A647" s="13"/>
      <c r="B647" s="1">
        <v>26</v>
      </c>
      <c r="C647" s="1">
        <v>293</v>
      </c>
      <c r="D647" s="1">
        <v>1</v>
      </c>
      <c r="E647" s="5">
        <v>1</v>
      </c>
      <c r="F647" s="3">
        <f t="shared" si="120"/>
        <v>26</v>
      </c>
      <c r="G647" s="5">
        <v>2</v>
      </c>
      <c r="H647" s="3">
        <f t="shared" si="97"/>
        <v>3.1415926535897931</v>
      </c>
      <c r="I647" s="4">
        <v>9.2081999999999997E-2</v>
      </c>
      <c r="K647" s="3">
        <v>207.79174798441829</v>
      </c>
      <c r="L647" s="3">
        <v>1629.8093699999999</v>
      </c>
      <c r="M647" s="3">
        <v>2499.6785599999998</v>
      </c>
      <c r="N647" s="12">
        <f t="shared" si="121"/>
        <v>2.9310610939575814E-2</v>
      </c>
      <c r="O647" s="11">
        <f t="shared" si="122"/>
        <v>920.81999999999994</v>
      </c>
      <c r="P647" s="1">
        <v>10</v>
      </c>
      <c r="Q647" s="1">
        <v>2</v>
      </c>
      <c r="R647" s="3">
        <f>Q647*VLOOKUP(P647,[4]Datos!$A$2:$D$14,2)</f>
        <v>16.38</v>
      </c>
      <c r="S647" s="10">
        <f t="shared" si="98"/>
        <v>57</v>
      </c>
      <c r="T647" s="2">
        <v>62</v>
      </c>
      <c r="U647" s="3">
        <f t="shared" si="99"/>
        <v>0.09</v>
      </c>
      <c r="V647" s="3"/>
      <c r="W647" s="1">
        <v>280</v>
      </c>
      <c r="X647" s="9">
        <v>2</v>
      </c>
      <c r="Y647" s="1">
        <v>6</v>
      </c>
      <c r="Z647" s="3">
        <f>X647*VLOOKUP(Y647,[4]Datos!$A$2:$D$14,2)</f>
        <v>5.68</v>
      </c>
      <c r="AA647" s="8">
        <v>7.4999999999999997E-2</v>
      </c>
      <c r="AB647" s="7">
        <f t="shared" si="123"/>
        <v>115.05235319041492</v>
      </c>
      <c r="AC647" s="7">
        <f t="shared" si="100"/>
        <v>414.61035434434268</v>
      </c>
      <c r="AD647" s="6" t="str">
        <f t="shared" si="124"/>
        <v>Cumple</v>
      </c>
      <c r="AE647" s="6"/>
      <c r="AG647" s="7">
        <f t="shared" si="134"/>
        <v>6</v>
      </c>
      <c r="AH647" s="3">
        <f t="shared" si="126"/>
        <v>2.6880252142277672</v>
      </c>
      <c r="AI647" s="7">
        <f>G647-0.15-VLOOKUP(Y647,[4]Datos!$A$2:$D$14,3)/100</f>
        <v>1.8309000000000002</v>
      </c>
      <c r="AJ647" s="7">
        <f t="shared" si="127"/>
        <v>5.7524309339691264</v>
      </c>
      <c r="AK647" s="1">
        <v>0.12</v>
      </c>
      <c r="AL647" s="16">
        <f t="shared" si="128"/>
        <v>7.9620853080568724E-3</v>
      </c>
      <c r="AM647" s="7">
        <f t="shared" si="129"/>
        <v>460.19447471753017</v>
      </c>
      <c r="AN647" s="17">
        <f t="shared" si="130"/>
        <v>0.13069523081977857</v>
      </c>
      <c r="AO647" s="17">
        <f t="shared" si="131"/>
        <v>16.128151285366602</v>
      </c>
      <c r="AP647" s="16">
        <f t="shared" si="132"/>
        <v>8.1035469290495193E-3</v>
      </c>
      <c r="AQ647" s="6" t="str">
        <f t="shared" si="133"/>
        <v>Cumple</v>
      </c>
    </row>
    <row r="648" spans="1:43" x14ac:dyDescent="0.3">
      <c r="A648" s="13"/>
      <c r="B648" s="1">
        <v>27</v>
      </c>
      <c r="C648" s="1">
        <v>295</v>
      </c>
      <c r="D648" s="1">
        <v>1</v>
      </c>
      <c r="E648" s="5">
        <v>1</v>
      </c>
      <c r="F648" s="3">
        <f t="shared" si="120"/>
        <v>27</v>
      </c>
      <c r="G648" s="5">
        <v>2</v>
      </c>
      <c r="H648" s="3">
        <f t="shared" si="97"/>
        <v>3.1415926535897931</v>
      </c>
      <c r="I648" s="4">
        <v>8.5620000000000002E-2</v>
      </c>
      <c r="K648" s="3">
        <v>260.68871752519328</v>
      </c>
      <c r="L648" s="3">
        <v>1538.1586400000001</v>
      </c>
      <c r="M648" s="3">
        <v>2299.5718400000001</v>
      </c>
      <c r="N648" s="12">
        <f t="shared" si="121"/>
        <v>2.7253692455056159E-2</v>
      </c>
      <c r="O648" s="11">
        <f t="shared" si="122"/>
        <v>856.2</v>
      </c>
      <c r="P648" s="1">
        <v>10</v>
      </c>
      <c r="Q648" s="1">
        <v>2</v>
      </c>
      <c r="R648" s="3">
        <f>Q648*VLOOKUP(P648,[4]Datos!$A$2:$D$14,2)</f>
        <v>16.38</v>
      </c>
      <c r="S648" s="10">
        <f t="shared" si="98"/>
        <v>53</v>
      </c>
      <c r="T648" s="2">
        <v>62</v>
      </c>
      <c r="U648" s="3">
        <f t="shared" si="99"/>
        <v>0.09</v>
      </c>
      <c r="V648" s="3"/>
      <c r="W648" s="1">
        <v>280</v>
      </c>
      <c r="X648" s="9">
        <v>2</v>
      </c>
      <c r="Y648" s="1">
        <v>6</v>
      </c>
      <c r="Z648" s="3">
        <f>X648*VLOOKUP(Y648,[4]Datos!$A$2:$D$14,2)</f>
        <v>5.68</v>
      </c>
      <c r="AA648" s="8">
        <v>7.4999999999999997E-2</v>
      </c>
      <c r="AB648" s="7">
        <f t="shared" si="123"/>
        <v>115.05235319041492</v>
      </c>
      <c r="AC648" s="7">
        <f t="shared" si="100"/>
        <v>414.61035434434268</v>
      </c>
      <c r="AD648" s="6" t="str">
        <f t="shared" si="124"/>
        <v>Cumple</v>
      </c>
      <c r="AE648" s="6"/>
      <c r="AG648" s="7">
        <f t="shared" si="134"/>
        <v>6</v>
      </c>
      <c r="AH648" s="3">
        <f t="shared" si="126"/>
        <v>2.6880252142277672</v>
      </c>
      <c r="AI648" s="7">
        <f>G648-0.15-VLOOKUP(Y648,[4]Datos!$A$2:$D$14,3)/100</f>
        <v>1.8309000000000002</v>
      </c>
      <c r="AJ648" s="7">
        <f t="shared" si="127"/>
        <v>5.7524309339691264</v>
      </c>
      <c r="AK648" s="1">
        <v>0.12</v>
      </c>
      <c r="AL648" s="16">
        <f t="shared" si="128"/>
        <v>7.9620853080568724E-3</v>
      </c>
      <c r="AM648" s="7">
        <f t="shared" si="129"/>
        <v>460.19447471753017</v>
      </c>
      <c r="AN648" s="17">
        <f t="shared" si="130"/>
        <v>0.13069523081977857</v>
      </c>
      <c r="AO648" s="17">
        <f t="shared" si="131"/>
        <v>16.128151285366602</v>
      </c>
      <c r="AP648" s="16">
        <f t="shared" si="132"/>
        <v>8.1035469290495193E-3</v>
      </c>
      <c r="AQ648" s="6" t="str">
        <f t="shared" si="133"/>
        <v>Cumple</v>
      </c>
    </row>
    <row r="649" spans="1:43" x14ac:dyDescent="0.3">
      <c r="A649" s="13"/>
      <c r="B649" s="1">
        <v>28</v>
      </c>
      <c r="C649" s="1">
        <v>297</v>
      </c>
      <c r="D649" s="1">
        <v>1</v>
      </c>
      <c r="E649" s="5">
        <v>1</v>
      </c>
      <c r="F649" s="3">
        <f t="shared" si="120"/>
        <v>28</v>
      </c>
      <c r="G649" s="5">
        <v>2</v>
      </c>
      <c r="H649" s="3">
        <f t="shared" ref="H649:H712" si="135">PI()*(G649^2)/4</f>
        <v>3.1415926535897931</v>
      </c>
      <c r="I649" s="4">
        <v>7.5567999999999996E-2</v>
      </c>
      <c r="K649" s="3">
        <v>293.85414988679332</v>
      </c>
      <c r="L649" s="3">
        <v>1401.796</v>
      </c>
      <c r="M649" s="3">
        <v>2047.8619200000001</v>
      </c>
      <c r="N649" s="12">
        <f t="shared" si="121"/>
        <v>2.4054041479136694E-2</v>
      </c>
      <c r="O649" s="11">
        <f t="shared" si="122"/>
        <v>755.68</v>
      </c>
      <c r="P649" s="1">
        <v>10</v>
      </c>
      <c r="Q649" s="1">
        <v>2</v>
      </c>
      <c r="R649" s="3">
        <f>Q649*VLOOKUP(P649,[4]Datos!$A$2:$D$14,2)</f>
        <v>16.38</v>
      </c>
      <c r="S649" s="10">
        <f t="shared" ref="S649:S712" si="136">ROUNDUP(O649/R649,0)</f>
        <v>47</v>
      </c>
      <c r="T649" s="2">
        <v>62</v>
      </c>
      <c r="U649" s="3">
        <f t="shared" ref="U649:U712" si="137">ROUNDDOWN(PI()*(G649-0.185)/T649,2)</f>
        <v>0.09</v>
      </c>
      <c r="V649" s="3"/>
      <c r="W649" s="1">
        <v>280</v>
      </c>
      <c r="X649" s="9">
        <v>2</v>
      </c>
      <c r="Y649" s="1">
        <v>6</v>
      </c>
      <c r="Z649" s="3">
        <f>X649*VLOOKUP(Y649,[4]Datos!$A$2:$D$14,2)</f>
        <v>5.68</v>
      </c>
      <c r="AA649" s="8">
        <v>7.4999999999999997E-2</v>
      </c>
      <c r="AB649" s="7">
        <f t="shared" si="123"/>
        <v>115.05235319041492</v>
      </c>
      <c r="AC649" s="7">
        <f t="shared" ref="AC649:AC712" si="138">0.9*Z649*4220*MAX(0.72*G649,0.9*((G649/2)+((G649-0.11)/PI())))/AA649/1000</f>
        <v>414.61035434434268</v>
      </c>
      <c r="AD649" s="6" t="str">
        <f t="shared" si="124"/>
        <v>Cumple</v>
      </c>
      <c r="AE649" s="6"/>
      <c r="AG649" s="7">
        <f t="shared" si="134"/>
        <v>6</v>
      </c>
      <c r="AH649" s="3">
        <f t="shared" si="126"/>
        <v>2.6880252142277672</v>
      </c>
      <c r="AI649" s="7">
        <f>G649-0.15-VLOOKUP(Y649,[4]Datos!$A$2:$D$14,3)/100</f>
        <v>1.8309000000000002</v>
      </c>
      <c r="AJ649" s="7">
        <f t="shared" si="127"/>
        <v>5.7524309339691264</v>
      </c>
      <c r="AK649" s="1">
        <v>0.12</v>
      </c>
      <c r="AL649" s="16">
        <f t="shared" si="128"/>
        <v>7.9620853080568724E-3</v>
      </c>
      <c r="AM649" s="7">
        <f t="shared" si="129"/>
        <v>460.19447471753017</v>
      </c>
      <c r="AN649" s="17">
        <f t="shared" si="130"/>
        <v>0.13069523081977857</v>
      </c>
      <c r="AO649" s="17">
        <f t="shared" si="131"/>
        <v>16.128151285366602</v>
      </c>
      <c r="AP649" s="16">
        <f t="shared" si="132"/>
        <v>8.1035469290495193E-3</v>
      </c>
      <c r="AQ649" s="6" t="str">
        <f t="shared" si="133"/>
        <v>Cumple</v>
      </c>
    </row>
    <row r="650" spans="1:43" x14ac:dyDescent="0.3">
      <c r="A650" s="13"/>
      <c r="B650" s="1">
        <v>29</v>
      </c>
      <c r="C650" s="1">
        <v>299</v>
      </c>
      <c r="D650" s="1">
        <v>1</v>
      </c>
      <c r="E650" s="5">
        <v>1</v>
      </c>
      <c r="F650" s="3">
        <f t="shared" si="120"/>
        <v>29</v>
      </c>
      <c r="G650" s="5">
        <v>2</v>
      </c>
      <c r="H650" s="3">
        <f t="shared" si="135"/>
        <v>3.1415926535897931</v>
      </c>
      <c r="I650" s="4">
        <v>6.1575999999999999E-2</v>
      </c>
      <c r="K650" s="3">
        <v>307.32887126016976</v>
      </c>
      <c r="L650" s="3">
        <v>1234.2270900000001</v>
      </c>
      <c r="M650" s="3">
        <v>1763.9904200000001</v>
      </c>
      <c r="N650" s="12">
        <f t="shared" si="121"/>
        <v>1.9600249551653095E-2</v>
      </c>
      <c r="O650" s="11">
        <f t="shared" si="122"/>
        <v>615.76</v>
      </c>
      <c r="P650" s="1">
        <v>10</v>
      </c>
      <c r="Q650" s="1">
        <v>2</v>
      </c>
      <c r="R650" s="3">
        <f>Q650*VLOOKUP(P650,[4]Datos!$A$2:$D$14,2)</f>
        <v>16.38</v>
      </c>
      <c r="S650" s="10">
        <f t="shared" si="136"/>
        <v>38</v>
      </c>
      <c r="T650" s="2">
        <v>62</v>
      </c>
      <c r="U650" s="3">
        <f t="shared" si="137"/>
        <v>0.09</v>
      </c>
      <c r="V650" s="3"/>
      <c r="W650" s="1">
        <v>280</v>
      </c>
      <c r="X650" s="9">
        <v>2</v>
      </c>
      <c r="Y650" s="1">
        <v>6</v>
      </c>
      <c r="Z650" s="3">
        <f>X650*VLOOKUP(Y650,[4]Datos!$A$2:$D$14,2)</f>
        <v>5.68</v>
      </c>
      <c r="AA650" s="8">
        <v>0.15</v>
      </c>
      <c r="AB650" s="7">
        <f t="shared" si="123"/>
        <v>115.05235319041492</v>
      </c>
      <c r="AC650" s="7">
        <f t="shared" si="138"/>
        <v>207.30517717217134</v>
      </c>
      <c r="AD650" s="6" t="str">
        <f t="shared" si="124"/>
        <v>Cumple</v>
      </c>
      <c r="AE650" s="6"/>
      <c r="AH650" s="3"/>
    </row>
    <row r="651" spans="1:43" x14ac:dyDescent="0.3">
      <c r="A651" s="13"/>
      <c r="B651" s="1">
        <v>30</v>
      </c>
      <c r="C651" s="1">
        <v>301</v>
      </c>
      <c r="D651" s="1">
        <v>1</v>
      </c>
      <c r="E651" s="5">
        <v>1</v>
      </c>
      <c r="F651" s="3">
        <f t="shared" si="120"/>
        <v>30</v>
      </c>
      <c r="G651" s="5">
        <v>2</v>
      </c>
      <c r="H651" s="3">
        <f t="shared" si="135"/>
        <v>3.1415926535897931</v>
      </c>
      <c r="I651" s="4">
        <v>5.4205000000000003E-2</v>
      </c>
      <c r="K651" s="3">
        <v>303.12514923161689</v>
      </c>
      <c r="L651" s="3">
        <v>1049.2643</v>
      </c>
      <c r="M651" s="3">
        <v>1467.1466800000001</v>
      </c>
      <c r="N651" s="12">
        <f t="shared" si="121"/>
        <v>1.7253987380592375E-2</v>
      </c>
      <c r="O651" s="11">
        <f t="shared" si="122"/>
        <v>542.05000000000007</v>
      </c>
      <c r="P651" s="1">
        <v>10</v>
      </c>
      <c r="Q651" s="19">
        <v>2</v>
      </c>
      <c r="R651" s="3">
        <f>Q651*VLOOKUP(P651,[4]Datos!$A$2:$D$14,2)</f>
        <v>16.38</v>
      </c>
      <c r="S651" s="10">
        <f t="shared" si="136"/>
        <v>34</v>
      </c>
      <c r="T651" s="18">
        <v>62</v>
      </c>
      <c r="U651" s="3">
        <f t="shared" si="137"/>
        <v>0.09</v>
      </c>
      <c r="V651" s="3"/>
      <c r="W651" s="1">
        <v>280</v>
      </c>
      <c r="X651" s="9">
        <v>2</v>
      </c>
      <c r="Y651" s="1">
        <v>6</v>
      </c>
      <c r="Z651" s="3">
        <f>X651*VLOOKUP(Y651,[4]Datos!$A$2:$D$14,2)</f>
        <v>5.68</v>
      </c>
      <c r="AA651" s="8">
        <v>0.15</v>
      </c>
      <c r="AB651" s="7">
        <f t="shared" si="123"/>
        <v>115.05235319041492</v>
      </c>
      <c r="AC651" s="7">
        <f t="shared" si="138"/>
        <v>207.30517717217134</v>
      </c>
      <c r="AD651" s="6" t="str">
        <f t="shared" si="124"/>
        <v>Cumple</v>
      </c>
      <c r="AE651" s="6"/>
      <c r="AH651" s="3"/>
    </row>
    <row r="652" spans="1:43" x14ac:dyDescent="0.3">
      <c r="A652" s="13"/>
      <c r="B652" s="1">
        <v>31</v>
      </c>
      <c r="C652" s="1">
        <v>303</v>
      </c>
      <c r="D652" s="1">
        <v>1</v>
      </c>
      <c r="E652" s="5">
        <v>1</v>
      </c>
      <c r="F652" s="3">
        <f t="shared" si="120"/>
        <v>31</v>
      </c>
      <c r="G652" s="5">
        <v>2</v>
      </c>
      <c r="H652" s="3">
        <f t="shared" si="135"/>
        <v>3.1415926535897931</v>
      </c>
      <c r="I652" s="4">
        <v>4.7753999999999998E-2</v>
      </c>
      <c r="K652" s="3">
        <v>284.47787156082984</v>
      </c>
      <c r="L652" s="3">
        <v>859.68152999999995</v>
      </c>
      <c r="M652" s="3">
        <v>1174.48873</v>
      </c>
      <c r="N652" s="12">
        <f t="shared" si="121"/>
        <v>1.520057030482074E-2</v>
      </c>
      <c r="O652" s="11">
        <f t="shared" si="122"/>
        <v>477.53999999999996</v>
      </c>
      <c r="P652" s="1">
        <v>10</v>
      </c>
      <c r="Q652" s="19">
        <v>2</v>
      </c>
      <c r="R652" s="3">
        <f>Q652*VLOOKUP(P652,[4]Datos!$A$2:$D$14,2)</f>
        <v>16.38</v>
      </c>
      <c r="S652" s="10">
        <f t="shared" si="136"/>
        <v>30</v>
      </c>
      <c r="T652" s="18">
        <v>62</v>
      </c>
      <c r="U652" s="3">
        <f t="shared" si="137"/>
        <v>0.09</v>
      </c>
      <c r="V652" s="3"/>
      <c r="W652" s="1">
        <v>280</v>
      </c>
      <c r="X652" s="9">
        <v>2</v>
      </c>
      <c r="Y652" s="1">
        <v>6</v>
      </c>
      <c r="Z652" s="3">
        <f>X652*VLOOKUP(Y652,[4]Datos!$A$2:$D$14,2)</f>
        <v>5.68</v>
      </c>
      <c r="AA652" s="8">
        <v>0.15</v>
      </c>
      <c r="AB652" s="7">
        <f t="shared" si="123"/>
        <v>115.05235319041492</v>
      </c>
      <c r="AC652" s="7">
        <f t="shared" si="138"/>
        <v>207.30517717217134</v>
      </c>
      <c r="AD652" s="6" t="str">
        <f t="shared" si="124"/>
        <v>Cumple</v>
      </c>
      <c r="AE652" s="6"/>
      <c r="AH652" s="3"/>
    </row>
    <row r="653" spans="1:43" x14ac:dyDescent="0.3">
      <c r="A653" s="13"/>
      <c r="B653" s="1">
        <v>32</v>
      </c>
      <c r="C653" s="1">
        <v>305</v>
      </c>
      <c r="D653" s="1">
        <v>1</v>
      </c>
      <c r="E653" s="5">
        <v>1</v>
      </c>
      <c r="F653" s="3">
        <f t="shared" si="120"/>
        <v>32</v>
      </c>
      <c r="G653" s="5">
        <v>2</v>
      </c>
      <c r="H653" s="3">
        <f t="shared" si="135"/>
        <v>3.1415926535897931</v>
      </c>
      <c r="I653" s="4">
        <v>3.8691000000000003E-2</v>
      </c>
      <c r="K653" s="3">
        <v>255.22018358966048</v>
      </c>
      <c r="L653" s="3">
        <v>676.30370000000005</v>
      </c>
      <c r="M653" s="3">
        <v>900.00226999999995</v>
      </c>
      <c r="N653" s="12">
        <f t="shared" si="121"/>
        <v>1.2315727806337046E-2</v>
      </c>
      <c r="O653" s="11">
        <f t="shared" si="122"/>
        <v>386.91</v>
      </c>
      <c r="P653" s="1">
        <v>10</v>
      </c>
      <c r="Q653" s="19">
        <v>2</v>
      </c>
      <c r="R653" s="3">
        <f>Q653*VLOOKUP(P653,[4]Datos!$A$2:$D$14,2)</f>
        <v>16.38</v>
      </c>
      <c r="S653" s="10">
        <f t="shared" si="136"/>
        <v>24</v>
      </c>
      <c r="T653" s="18">
        <v>62</v>
      </c>
      <c r="U653" s="3">
        <f t="shared" si="137"/>
        <v>0.09</v>
      </c>
      <c r="V653" s="3"/>
      <c r="W653" s="1">
        <v>280</v>
      </c>
      <c r="X653" s="9">
        <v>2</v>
      </c>
      <c r="Y653" s="1">
        <v>6</v>
      </c>
      <c r="Z653" s="3">
        <f>X653*VLOOKUP(Y653,[4]Datos!$A$2:$D$14,2)</f>
        <v>5.68</v>
      </c>
      <c r="AA653" s="8">
        <v>0.15</v>
      </c>
      <c r="AB653" s="7">
        <f t="shared" si="123"/>
        <v>115.05235319041492</v>
      </c>
      <c r="AC653" s="7">
        <f t="shared" si="138"/>
        <v>207.30517717217134</v>
      </c>
      <c r="AD653" s="6" t="str">
        <f t="shared" si="124"/>
        <v>Cumple</v>
      </c>
      <c r="AE653" s="6"/>
      <c r="AH653" s="3"/>
    </row>
    <row r="654" spans="1:43" x14ac:dyDescent="0.3">
      <c r="A654" s="13"/>
      <c r="B654" s="1">
        <v>33</v>
      </c>
      <c r="C654" s="1">
        <v>307</v>
      </c>
      <c r="D654" s="1">
        <v>1</v>
      </c>
      <c r="E654" s="5">
        <v>1</v>
      </c>
      <c r="F654" s="3">
        <f t="shared" si="120"/>
        <v>33</v>
      </c>
      <c r="G654" s="5">
        <v>2</v>
      </c>
      <c r="H654" s="3">
        <f t="shared" si="135"/>
        <v>3.1415926535897931</v>
      </c>
      <c r="I654" s="4">
        <v>3.1415999999999999E-2</v>
      </c>
      <c r="K654" s="3">
        <v>219.27248888604336</v>
      </c>
      <c r="L654" s="3">
        <v>507.50184999999999</v>
      </c>
      <c r="M654" s="3">
        <v>656.70983999999999</v>
      </c>
      <c r="N654" s="12">
        <f t="shared" si="121"/>
        <v>1.0000023384349969E-2</v>
      </c>
      <c r="O654" s="11">
        <f t="shared" si="122"/>
        <v>314.15999999999997</v>
      </c>
      <c r="P654" s="1">
        <v>10</v>
      </c>
      <c r="Q654" s="1">
        <v>1</v>
      </c>
      <c r="R654" s="3">
        <f>Q654*VLOOKUP(P654,[4]Datos!$A$2:$D$14,2)</f>
        <v>8.19</v>
      </c>
      <c r="S654" s="10">
        <f t="shared" si="136"/>
        <v>39</v>
      </c>
      <c r="T654" s="2">
        <v>39</v>
      </c>
      <c r="U654" s="3">
        <f t="shared" si="137"/>
        <v>0.14000000000000001</v>
      </c>
      <c r="V654" s="3"/>
      <c r="W654" s="1">
        <v>280</v>
      </c>
      <c r="X654" s="9">
        <v>2</v>
      </c>
      <c r="Y654" s="1">
        <v>6</v>
      </c>
      <c r="Z654" s="3">
        <f>X654*VLOOKUP(Y654,[4]Datos!$A$2:$D$14,2)</f>
        <v>5.68</v>
      </c>
      <c r="AA654" s="8">
        <v>0.15</v>
      </c>
      <c r="AB654" s="7">
        <f t="shared" si="123"/>
        <v>115.05235319041492</v>
      </c>
      <c r="AC654" s="7">
        <f t="shared" si="138"/>
        <v>207.30517717217134</v>
      </c>
      <c r="AD654" s="6" t="str">
        <f t="shared" si="124"/>
        <v>Cumple</v>
      </c>
      <c r="AE654" s="6"/>
      <c r="AH654" s="3"/>
    </row>
    <row r="655" spans="1:43" x14ac:dyDescent="0.3">
      <c r="A655" s="13"/>
      <c r="B655" s="1">
        <v>34</v>
      </c>
      <c r="C655" s="1">
        <v>309</v>
      </c>
      <c r="D655" s="1">
        <v>1</v>
      </c>
      <c r="E655" s="5">
        <v>1</v>
      </c>
      <c r="F655" s="3">
        <f t="shared" si="120"/>
        <v>34</v>
      </c>
      <c r="G655" s="5">
        <v>2</v>
      </c>
      <c r="H655" s="3">
        <f t="shared" si="135"/>
        <v>3.1415926535897931</v>
      </c>
      <c r="I655" s="4">
        <v>3.1415999999999999E-2</v>
      </c>
      <c r="K655" s="3">
        <v>180.26324679934066</v>
      </c>
      <c r="L655" s="3">
        <v>359.03899999999999</v>
      </c>
      <c r="M655" s="3">
        <v>454.05036000000001</v>
      </c>
      <c r="N655" s="12">
        <f t="shared" si="121"/>
        <v>1.0000023384349969E-2</v>
      </c>
      <c r="O655" s="11">
        <f t="shared" si="122"/>
        <v>314.15999999999997</v>
      </c>
      <c r="P655" s="1">
        <v>10</v>
      </c>
      <c r="Q655" s="1">
        <v>1</v>
      </c>
      <c r="R655" s="3">
        <f>Q655*VLOOKUP(P655,[4]Datos!$A$2:$D$14,2)</f>
        <v>8.19</v>
      </c>
      <c r="S655" s="10">
        <f t="shared" si="136"/>
        <v>39</v>
      </c>
      <c r="T655" s="2">
        <v>39</v>
      </c>
      <c r="U655" s="3">
        <f t="shared" si="137"/>
        <v>0.14000000000000001</v>
      </c>
      <c r="V655" s="3"/>
      <c r="W655" s="1">
        <v>280</v>
      </c>
      <c r="X655" s="9">
        <v>2</v>
      </c>
      <c r="Y655" s="1">
        <v>6</v>
      </c>
      <c r="Z655" s="3">
        <f>X655*VLOOKUP(Y655,[4]Datos!$A$2:$D$14,2)</f>
        <v>5.68</v>
      </c>
      <c r="AA655" s="8">
        <v>0.15</v>
      </c>
      <c r="AB655" s="7">
        <f t="shared" si="123"/>
        <v>115.05235319041492</v>
      </c>
      <c r="AC655" s="7">
        <f t="shared" si="138"/>
        <v>207.30517717217134</v>
      </c>
      <c r="AD655" s="6" t="str">
        <f t="shared" si="124"/>
        <v>Cumple</v>
      </c>
      <c r="AE655" s="6"/>
      <c r="AH655" s="3"/>
    </row>
    <row r="656" spans="1:43" x14ac:dyDescent="0.3">
      <c r="A656" s="13"/>
      <c r="B656" s="1">
        <v>35</v>
      </c>
      <c r="C656" s="1">
        <v>311</v>
      </c>
      <c r="D656" s="1">
        <v>1</v>
      </c>
      <c r="E656" s="5">
        <v>1</v>
      </c>
      <c r="F656" s="3">
        <f t="shared" si="120"/>
        <v>35</v>
      </c>
      <c r="G656" s="5">
        <v>2</v>
      </c>
      <c r="H656" s="3">
        <f t="shared" si="135"/>
        <v>3.1415926535897931</v>
      </c>
      <c r="I656" s="4">
        <v>3.1415999999999999E-2</v>
      </c>
      <c r="K656" s="3">
        <v>141.27346262231984</v>
      </c>
      <c r="L656" s="3">
        <v>234.20141000000001</v>
      </c>
      <c r="M656" s="3">
        <v>285.95459</v>
      </c>
      <c r="N656" s="12">
        <f t="shared" si="121"/>
        <v>1.0000023384349969E-2</v>
      </c>
      <c r="O656" s="11">
        <f t="shared" si="122"/>
        <v>314.15999999999997</v>
      </c>
      <c r="P656" s="1">
        <v>10</v>
      </c>
      <c r="Q656" s="1">
        <v>1</v>
      </c>
      <c r="R656" s="3">
        <f>Q656*VLOOKUP(P656,[4]Datos!$A$2:$D$14,2)</f>
        <v>8.19</v>
      </c>
      <c r="S656" s="10">
        <f t="shared" si="136"/>
        <v>39</v>
      </c>
      <c r="T656" s="2">
        <v>39</v>
      </c>
      <c r="U656" s="3">
        <f t="shared" si="137"/>
        <v>0.14000000000000001</v>
      </c>
      <c r="V656" s="3"/>
      <c r="W656" s="1">
        <v>280</v>
      </c>
      <c r="X656" s="9">
        <v>2</v>
      </c>
      <c r="Y656" s="1">
        <v>4</v>
      </c>
      <c r="Z656" s="3">
        <f>X656*VLOOKUP(Y656,[4]Datos!$A$2:$D$14,2)</f>
        <v>2.58</v>
      </c>
      <c r="AA656" s="8">
        <v>0.3</v>
      </c>
      <c r="AB656" s="7">
        <f t="shared" si="123"/>
        <v>115.05235319041492</v>
      </c>
      <c r="AC656" s="7">
        <f t="shared" si="138"/>
        <v>47.081633547905106</v>
      </c>
      <c r="AD656" s="6" t="str">
        <f t="shared" si="124"/>
        <v>Cumple</v>
      </c>
      <c r="AE656" s="6"/>
      <c r="AH656" s="3"/>
    </row>
    <row r="657" spans="1:43" x14ac:dyDescent="0.3">
      <c r="A657" s="13"/>
      <c r="B657" s="1">
        <v>36</v>
      </c>
      <c r="C657" s="1">
        <v>313</v>
      </c>
      <c r="D657" s="1">
        <v>1</v>
      </c>
      <c r="E657" s="5">
        <v>1</v>
      </c>
      <c r="F657" s="3">
        <f t="shared" si="120"/>
        <v>36</v>
      </c>
      <c r="G657" s="5">
        <v>2</v>
      </c>
      <c r="H657" s="3">
        <f t="shared" si="135"/>
        <v>3.1415926535897931</v>
      </c>
      <c r="I657" s="4">
        <v>3.1415999999999999E-2</v>
      </c>
      <c r="K657" s="3">
        <v>104.69730950545004</v>
      </c>
      <c r="L657" s="3">
        <v>134.17257000000001</v>
      </c>
      <c r="M657" s="3">
        <v>153.39178000000001</v>
      </c>
      <c r="N657" s="12">
        <f t="shared" si="121"/>
        <v>1.0000023384349969E-2</v>
      </c>
      <c r="O657" s="11">
        <f t="shared" si="122"/>
        <v>314.15999999999997</v>
      </c>
      <c r="P657" s="1">
        <v>10</v>
      </c>
      <c r="Q657" s="1">
        <v>1</v>
      </c>
      <c r="R657" s="3">
        <f>Q657*VLOOKUP(P657,[4]Datos!$A$2:$D$14,2)</f>
        <v>8.19</v>
      </c>
      <c r="S657" s="10">
        <f t="shared" si="136"/>
        <v>39</v>
      </c>
      <c r="T657" s="2">
        <v>39</v>
      </c>
      <c r="U657" s="3">
        <f t="shared" si="137"/>
        <v>0.14000000000000001</v>
      </c>
      <c r="V657" s="3"/>
      <c r="W657" s="1">
        <v>280</v>
      </c>
      <c r="X657" s="9">
        <v>2</v>
      </c>
      <c r="Y657" s="1">
        <v>4</v>
      </c>
      <c r="Z657" s="3">
        <f>X657*VLOOKUP(Y657,[4]Datos!$A$2:$D$14,2)</f>
        <v>2.58</v>
      </c>
      <c r="AA657" s="8">
        <v>0.3</v>
      </c>
      <c r="AB657" s="7">
        <f t="shared" si="123"/>
        <v>115.05235319041492</v>
      </c>
      <c r="AC657" s="7">
        <f t="shared" si="138"/>
        <v>47.081633547905106</v>
      </c>
      <c r="AD657" s="6" t="str">
        <f t="shared" si="124"/>
        <v>Cumple</v>
      </c>
      <c r="AE657" s="6"/>
      <c r="AH657" s="3"/>
    </row>
    <row r="658" spans="1:43" x14ac:dyDescent="0.3">
      <c r="A658" s="13"/>
      <c r="B658" s="1">
        <v>37</v>
      </c>
      <c r="C658" s="1">
        <v>315</v>
      </c>
      <c r="D658" s="1">
        <v>1</v>
      </c>
      <c r="E658" s="5">
        <v>1</v>
      </c>
      <c r="F658" s="3">
        <f t="shared" si="120"/>
        <v>37</v>
      </c>
      <c r="G658" s="5">
        <v>2</v>
      </c>
      <c r="H658" s="3">
        <f t="shared" si="135"/>
        <v>3.1415926535897931</v>
      </c>
      <c r="I658" s="4">
        <v>3.1415999999999999E-2</v>
      </c>
      <c r="K658" s="3">
        <v>73.185577241489312</v>
      </c>
      <c r="L658" s="3">
        <v>59.251530000000002</v>
      </c>
      <c r="M658" s="3">
        <v>57.812460000000002</v>
      </c>
      <c r="N658" s="12">
        <f t="shared" si="121"/>
        <v>1.0000023384349969E-2</v>
      </c>
      <c r="O658" s="11">
        <f t="shared" si="122"/>
        <v>314.15999999999997</v>
      </c>
      <c r="P658" s="1">
        <v>10</v>
      </c>
      <c r="Q658" s="1">
        <v>1</v>
      </c>
      <c r="R658" s="3">
        <f>Q658*VLOOKUP(P658,[4]Datos!$A$2:$D$14,2)</f>
        <v>8.19</v>
      </c>
      <c r="S658" s="10">
        <f t="shared" si="136"/>
        <v>39</v>
      </c>
      <c r="T658" s="2">
        <v>39</v>
      </c>
      <c r="U658" s="3">
        <f t="shared" si="137"/>
        <v>0.14000000000000001</v>
      </c>
      <c r="V658" s="3"/>
      <c r="W658" s="1">
        <v>280</v>
      </c>
      <c r="X658" s="9">
        <v>2</v>
      </c>
      <c r="Y658" s="1">
        <v>4</v>
      </c>
      <c r="Z658" s="3">
        <f>X658*VLOOKUP(Y658,[4]Datos!$A$2:$D$14,2)</f>
        <v>2.58</v>
      </c>
      <c r="AA658" s="8">
        <v>0.3</v>
      </c>
      <c r="AB658" s="7">
        <f t="shared" si="123"/>
        <v>115.05235319041492</v>
      </c>
      <c r="AC658" s="7">
        <f t="shared" si="138"/>
        <v>47.081633547905106</v>
      </c>
      <c r="AD658" s="6" t="str">
        <f t="shared" si="124"/>
        <v>Cumple</v>
      </c>
      <c r="AE658" s="6"/>
      <c r="AH658" s="3"/>
    </row>
    <row r="659" spans="1:43" x14ac:dyDescent="0.3">
      <c r="A659" s="13"/>
      <c r="B659" s="1">
        <v>38</v>
      </c>
      <c r="C659" s="1">
        <v>317</v>
      </c>
      <c r="D659" s="1">
        <v>1</v>
      </c>
      <c r="E659" s="5">
        <v>1</v>
      </c>
      <c r="F659" s="3">
        <f t="shared" si="120"/>
        <v>38</v>
      </c>
      <c r="G659" s="5">
        <v>2</v>
      </c>
      <c r="H659" s="3">
        <f t="shared" si="135"/>
        <v>3.1415926535897931</v>
      </c>
      <c r="I659" s="4">
        <v>3.1415999999999999E-2</v>
      </c>
      <c r="K659" s="3">
        <v>46.694161746411091</v>
      </c>
      <c r="L659" s="3">
        <v>38.426169999999999</v>
      </c>
      <c r="M659" s="3">
        <v>81.947590000000005</v>
      </c>
      <c r="N659" s="12">
        <f t="shared" si="121"/>
        <v>1.0000023384349969E-2</v>
      </c>
      <c r="O659" s="11">
        <f t="shared" si="122"/>
        <v>314.15999999999997</v>
      </c>
      <c r="P659" s="1">
        <v>10</v>
      </c>
      <c r="Q659" s="19">
        <v>1</v>
      </c>
      <c r="R659" s="3">
        <f>Q659*VLOOKUP(P659,[4]Datos!$A$2:$D$14,2)</f>
        <v>8.19</v>
      </c>
      <c r="S659" s="10">
        <f t="shared" si="136"/>
        <v>39</v>
      </c>
      <c r="T659" s="18">
        <v>39</v>
      </c>
      <c r="U659" s="3">
        <f t="shared" si="137"/>
        <v>0.14000000000000001</v>
      </c>
      <c r="V659" s="3"/>
      <c r="W659" s="1">
        <v>280</v>
      </c>
      <c r="X659" s="9">
        <v>2</v>
      </c>
      <c r="Y659" s="1">
        <v>4</v>
      </c>
      <c r="Z659" s="3">
        <f>X659*VLOOKUP(Y659,[4]Datos!$A$2:$D$14,2)</f>
        <v>2.58</v>
      </c>
      <c r="AA659" s="8">
        <v>0.3</v>
      </c>
      <c r="AB659" s="7">
        <f t="shared" si="123"/>
        <v>115.05235319041492</v>
      </c>
      <c r="AC659" s="7">
        <f t="shared" si="138"/>
        <v>47.081633547905106</v>
      </c>
      <c r="AD659" s="6" t="str">
        <f t="shared" si="124"/>
        <v>Cumple</v>
      </c>
      <c r="AE659" s="6"/>
      <c r="AH659" s="3"/>
    </row>
    <row r="660" spans="1:43" x14ac:dyDescent="0.3">
      <c r="A660" s="13"/>
      <c r="B660" s="1">
        <v>39</v>
      </c>
      <c r="C660" s="1">
        <v>319</v>
      </c>
      <c r="D660" s="1">
        <v>1</v>
      </c>
      <c r="E660" s="5">
        <v>1</v>
      </c>
      <c r="F660" s="3">
        <f t="shared" si="120"/>
        <v>39</v>
      </c>
      <c r="G660" s="5">
        <v>2</v>
      </c>
      <c r="H660" s="3">
        <f t="shared" si="135"/>
        <v>3.1415926535897931</v>
      </c>
      <c r="I660" s="4">
        <v>3.1415999999999999E-2</v>
      </c>
      <c r="K660" s="3">
        <v>25.247033235808125</v>
      </c>
      <c r="L660" s="3">
        <v>57.602679999999999</v>
      </c>
      <c r="M660" s="3">
        <v>102.50722</v>
      </c>
      <c r="N660" s="12">
        <f t="shared" si="121"/>
        <v>1.0000023384349969E-2</v>
      </c>
      <c r="O660" s="11">
        <f t="shared" si="122"/>
        <v>314.15999999999997</v>
      </c>
      <c r="P660" s="1">
        <v>10</v>
      </c>
      <c r="Q660" s="19">
        <v>1</v>
      </c>
      <c r="R660" s="3">
        <f>Q660*VLOOKUP(P660,[4]Datos!$A$2:$D$14,2)</f>
        <v>8.19</v>
      </c>
      <c r="S660" s="10">
        <f t="shared" si="136"/>
        <v>39</v>
      </c>
      <c r="T660" s="18">
        <v>39</v>
      </c>
      <c r="U660" s="3">
        <f t="shared" si="137"/>
        <v>0.14000000000000001</v>
      </c>
      <c r="V660" s="3"/>
      <c r="W660" s="1">
        <v>280</v>
      </c>
      <c r="X660" s="9">
        <v>2</v>
      </c>
      <c r="Y660" s="1">
        <v>4</v>
      </c>
      <c r="Z660" s="3">
        <f>X660*VLOOKUP(Y660,[4]Datos!$A$2:$D$14,2)</f>
        <v>2.58</v>
      </c>
      <c r="AA660" s="8">
        <v>0.3</v>
      </c>
      <c r="AB660" s="7">
        <f t="shared" si="123"/>
        <v>115.05235319041492</v>
      </c>
      <c r="AC660" s="7">
        <f t="shared" si="138"/>
        <v>47.081633547905106</v>
      </c>
      <c r="AD660" s="6" t="str">
        <f t="shared" si="124"/>
        <v>Cumple</v>
      </c>
      <c r="AE660" s="6"/>
      <c r="AH660" s="3"/>
    </row>
    <row r="661" spans="1:43" x14ac:dyDescent="0.3">
      <c r="A661" s="13"/>
      <c r="B661" s="1">
        <v>40</v>
      </c>
      <c r="C661" s="1">
        <v>321</v>
      </c>
      <c r="D661" s="1">
        <v>1</v>
      </c>
      <c r="E661" s="5">
        <v>1</v>
      </c>
      <c r="F661" s="3">
        <f t="shared" si="120"/>
        <v>40</v>
      </c>
      <c r="G661" s="5">
        <v>2</v>
      </c>
      <c r="H661" s="3">
        <f t="shared" si="135"/>
        <v>3.1415926535897931</v>
      </c>
      <c r="I661" s="4">
        <v>3.1415999999999999E-2</v>
      </c>
      <c r="K661" s="3">
        <v>10.333756603481621</v>
      </c>
      <c r="L661" s="3">
        <v>65.492130000000003</v>
      </c>
      <c r="M661" s="3">
        <v>107.38408</v>
      </c>
      <c r="N661" s="12">
        <f t="shared" si="121"/>
        <v>1.0000023384349969E-2</v>
      </c>
      <c r="O661" s="11">
        <f t="shared" si="122"/>
        <v>314.15999999999997</v>
      </c>
      <c r="P661" s="1">
        <v>10</v>
      </c>
      <c r="Q661" s="19">
        <v>1</v>
      </c>
      <c r="R661" s="3">
        <f>Q661*VLOOKUP(P661,[4]Datos!$A$2:$D$14,2)</f>
        <v>8.19</v>
      </c>
      <c r="S661" s="10">
        <f t="shared" si="136"/>
        <v>39</v>
      </c>
      <c r="T661" s="18">
        <v>39</v>
      </c>
      <c r="U661" s="3">
        <f t="shared" si="137"/>
        <v>0.14000000000000001</v>
      </c>
      <c r="V661" s="3"/>
      <c r="W661" s="1">
        <v>280</v>
      </c>
      <c r="X661" s="9">
        <v>2</v>
      </c>
      <c r="Y661" s="1">
        <v>4</v>
      </c>
      <c r="Z661" s="3">
        <f>X661*VLOOKUP(Y661,[4]Datos!$A$2:$D$14,2)</f>
        <v>2.58</v>
      </c>
      <c r="AA661" s="8">
        <v>0.3</v>
      </c>
      <c r="AB661" s="7">
        <f t="shared" si="123"/>
        <v>115.05235319041492</v>
      </c>
      <c r="AC661" s="7">
        <f t="shared" si="138"/>
        <v>47.081633547905106</v>
      </c>
      <c r="AD661" s="6" t="str">
        <f t="shared" si="124"/>
        <v>Cumple</v>
      </c>
      <c r="AE661" s="6"/>
      <c r="AH661" s="3"/>
    </row>
    <row r="662" spans="1:43" x14ac:dyDescent="0.3">
      <c r="A662" s="13"/>
      <c r="B662" s="1">
        <v>41</v>
      </c>
      <c r="C662" s="1">
        <v>323</v>
      </c>
      <c r="D662" s="1">
        <v>1</v>
      </c>
      <c r="E662" s="5">
        <v>1</v>
      </c>
      <c r="F662" s="3">
        <f t="shared" si="120"/>
        <v>41</v>
      </c>
      <c r="G662" s="5">
        <v>2</v>
      </c>
      <c r="H662" s="3">
        <f t="shared" si="135"/>
        <v>3.1415926535897931</v>
      </c>
      <c r="I662" s="4">
        <v>3.1415999999999999E-2</v>
      </c>
      <c r="K662" s="3">
        <v>8.0009552329706235</v>
      </c>
      <c r="L662" s="3">
        <v>65.492130000000003</v>
      </c>
      <c r="M662" s="3">
        <v>107.38408</v>
      </c>
      <c r="N662" s="12">
        <f t="shared" si="121"/>
        <v>1.0000023384349969E-2</v>
      </c>
      <c r="O662" s="11">
        <f t="shared" si="122"/>
        <v>314.15999999999997</v>
      </c>
      <c r="P662" s="1">
        <v>10</v>
      </c>
      <c r="Q662" s="1">
        <v>1</v>
      </c>
      <c r="R662" s="3">
        <f>Q662*VLOOKUP(P662,[4]Datos!$A$2:$D$14,2)</f>
        <v>8.19</v>
      </c>
      <c r="S662" s="10">
        <f t="shared" si="136"/>
        <v>39</v>
      </c>
      <c r="T662" s="2">
        <v>39</v>
      </c>
      <c r="U662" s="3">
        <f t="shared" si="137"/>
        <v>0.14000000000000001</v>
      </c>
      <c r="V662" s="3"/>
      <c r="W662" s="1">
        <v>280</v>
      </c>
      <c r="X662" s="9">
        <v>2</v>
      </c>
      <c r="Y662" s="1">
        <v>4</v>
      </c>
      <c r="Z662" s="3">
        <f>X662*VLOOKUP(Y662,[4]Datos!$A$2:$D$14,2)</f>
        <v>2.58</v>
      </c>
      <c r="AA662" s="8">
        <v>0.3</v>
      </c>
      <c r="AB662" s="7">
        <f t="shared" si="123"/>
        <v>115.05235319041492</v>
      </c>
      <c r="AC662" s="7">
        <f t="shared" si="138"/>
        <v>47.081633547905106</v>
      </c>
      <c r="AD662" s="6" t="str">
        <f t="shared" si="124"/>
        <v>Cumple</v>
      </c>
      <c r="AE662" s="6"/>
      <c r="AH662" s="3"/>
    </row>
    <row r="663" spans="1:43" x14ac:dyDescent="0.3">
      <c r="A663" s="13"/>
      <c r="B663" s="1">
        <v>42</v>
      </c>
      <c r="C663" s="1">
        <v>325</v>
      </c>
      <c r="D663" s="1">
        <v>1</v>
      </c>
      <c r="E663" s="5">
        <v>1</v>
      </c>
      <c r="F663" s="3">
        <f t="shared" si="120"/>
        <v>42</v>
      </c>
      <c r="G663" s="5">
        <v>2</v>
      </c>
      <c r="H663" s="3">
        <f t="shared" si="135"/>
        <v>3.1415926535897931</v>
      </c>
      <c r="I663" s="4">
        <v>3.1415999999999999E-2</v>
      </c>
      <c r="K663" s="3">
        <v>14.099273749026933</v>
      </c>
      <c r="L663" s="3">
        <v>64.673190000000005</v>
      </c>
      <c r="M663" s="3">
        <v>101.01045000000001</v>
      </c>
      <c r="N663" s="12">
        <f t="shared" si="121"/>
        <v>1.0000023384349969E-2</v>
      </c>
      <c r="O663" s="11">
        <f t="shared" si="122"/>
        <v>314.15999999999997</v>
      </c>
      <c r="P663" s="1">
        <v>10</v>
      </c>
      <c r="Q663" s="1">
        <v>1</v>
      </c>
      <c r="R663" s="3">
        <f>Q663*VLOOKUP(P663,[4]Datos!$A$2:$D$14,2)</f>
        <v>8.19</v>
      </c>
      <c r="S663" s="10">
        <f t="shared" si="136"/>
        <v>39</v>
      </c>
      <c r="T663" s="2">
        <v>39</v>
      </c>
      <c r="U663" s="3">
        <f t="shared" si="137"/>
        <v>0.14000000000000001</v>
      </c>
      <c r="V663" s="3"/>
      <c r="W663" s="1">
        <v>280</v>
      </c>
      <c r="X663" s="9">
        <v>2</v>
      </c>
      <c r="Y663" s="1">
        <v>4</v>
      </c>
      <c r="Z663" s="3">
        <f>X663*VLOOKUP(Y663,[4]Datos!$A$2:$D$14,2)</f>
        <v>2.58</v>
      </c>
      <c r="AA663" s="8">
        <v>0.3</v>
      </c>
      <c r="AB663" s="7">
        <f t="shared" si="123"/>
        <v>115.05235319041492</v>
      </c>
      <c r="AC663" s="7">
        <f t="shared" si="138"/>
        <v>47.081633547905106</v>
      </c>
      <c r="AD663" s="6" t="str">
        <f t="shared" si="124"/>
        <v>Cumple</v>
      </c>
      <c r="AE663" s="6"/>
      <c r="AH663" s="3"/>
    </row>
    <row r="664" spans="1:43" x14ac:dyDescent="0.3">
      <c r="A664" s="13"/>
      <c r="B664" s="1">
        <v>43</v>
      </c>
      <c r="C664" s="1">
        <v>327</v>
      </c>
      <c r="D664" s="1">
        <v>1</v>
      </c>
      <c r="E664" s="5">
        <v>1</v>
      </c>
      <c r="F664" s="3">
        <f t="shared" si="120"/>
        <v>43</v>
      </c>
      <c r="G664" s="5">
        <v>2</v>
      </c>
      <c r="H664" s="3">
        <f t="shared" si="135"/>
        <v>3.1415926535897931</v>
      </c>
      <c r="I664" s="4">
        <v>3.1415999999999999E-2</v>
      </c>
      <c r="K664" s="3">
        <v>18.118073152518178</v>
      </c>
      <c r="L664" s="3">
        <v>57.879649999999998</v>
      </c>
      <c r="M664" s="3">
        <v>87.396789999999996</v>
      </c>
      <c r="N664" s="12">
        <f t="shared" si="121"/>
        <v>1.0000023384349969E-2</v>
      </c>
      <c r="O664" s="11">
        <f t="shared" si="122"/>
        <v>314.15999999999997</v>
      </c>
      <c r="P664" s="1">
        <v>10</v>
      </c>
      <c r="Q664" s="1">
        <v>1</v>
      </c>
      <c r="R664" s="3">
        <f>Q664*VLOOKUP(P664,[4]Datos!$A$2:$D$14,2)</f>
        <v>8.19</v>
      </c>
      <c r="S664" s="10">
        <f t="shared" si="136"/>
        <v>39</v>
      </c>
      <c r="T664" s="2">
        <v>39</v>
      </c>
      <c r="U664" s="3">
        <f t="shared" si="137"/>
        <v>0.14000000000000001</v>
      </c>
      <c r="V664" s="3"/>
      <c r="W664" s="1">
        <v>280</v>
      </c>
      <c r="X664" s="9">
        <v>2</v>
      </c>
      <c r="Y664" s="1">
        <v>4</v>
      </c>
      <c r="Z664" s="3">
        <f>X664*VLOOKUP(Y664,[4]Datos!$A$2:$D$14,2)</f>
        <v>2.58</v>
      </c>
      <c r="AA664" s="8">
        <v>0.3</v>
      </c>
      <c r="AB664" s="7">
        <f t="shared" si="123"/>
        <v>115.05235319041492</v>
      </c>
      <c r="AC664" s="7">
        <f t="shared" si="138"/>
        <v>47.081633547905106</v>
      </c>
      <c r="AD664" s="6" t="str">
        <f t="shared" si="124"/>
        <v>Cumple</v>
      </c>
      <c r="AE664" s="6"/>
      <c r="AH664" s="3"/>
    </row>
    <row r="665" spans="1:43" x14ac:dyDescent="0.3">
      <c r="A665" s="13"/>
      <c r="B665" s="1">
        <v>44</v>
      </c>
      <c r="C665" s="1">
        <v>329</v>
      </c>
      <c r="D665" s="1">
        <v>1</v>
      </c>
      <c r="E665" s="5">
        <v>1</v>
      </c>
      <c r="F665" s="3">
        <f t="shared" si="120"/>
        <v>44</v>
      </c>
      <c r="G665" s="5">
        <v>2</v>
      </c>
      <c r="H665" s="3">
        <f t="shared" si="135"/>
        <v>3.1415926535897931</v>
      </c>
      <c r="I665" s="4">
        <v>3.1415999999999999E-2</v>
      </c>
      <c r="K665" s="3">
        <v>19.402258265727731</v>
      </c>
      <c r="L665" s="3">
        <v>47.519680000000001</v>
      </c>
      <c r="M665" s="3">
        <v>69.902680000000004</v>
      </c>
      <c r="N665" s="12">
        <f t="shared" si="121"/>
        <v>1.0000023384349969E-2</v>
      </c>
      <c r="O665" s="11">
        <f t="shared" si="122"/>
        <v>314.15999999999997</v>
      </c>
      <c r="P665" s="1">
        <v>10</v>
      </c>
      <c r="Q665" s="1">
        <v>1</v>
      </c>
      <c r="R665" s="3">
        <f>Q665*VLOOKUP(P665,[4]Datos!$A$2:$D$14,2)</f>
        <v>8.19</v>
      </c>
      <c r="S665" s="10">
        <f t="shared" si="136"/>
        <v>39</v>
      </c>
      <c r="T665" s="2">
        <v>39</v>
      </c>
      <c r="U665" s="3">
        <f t="shared" si="137"/>
        <v>0.14000000000000001</v>
      </c>
      <c r="V665" s="3"/>
      <c r="W665" s="1">
        <v>280</v>
      </c>
      <c r="X665" s="9">
        <v>2</v>
      </c>
      <c r="Y665" s="1">
        <v>4</v>
      </c>
      <c r="Z665" s="3">
        <f>X665*VLOOKUP(Y665,[4]Datos!$A$2:$D$14,2)</f>
        <v>2.58</v>
      </c>
      <c r="AA665" s="8">
        <v>0.3</v>
      </c>
      <c r="AB665" s="7">
        <f t="shared" si="123"/>
        <v>115.05235319041492</v>
      </c>
      <c r="AC665" s="7">
        <f t="shared" si="138"/>
        <v>47.081633547905106</v>
      </c>
      <c r="AD665" s="6" t="str">
        <f t="shared" si="124"/>
        <v>Cumple</v>
      </c>
      <c r="AE665" s="6"/>
      <c r="AH665" s="3"/>
    </row>
    <row r="666" spans="1:43" x14ac:dyDescent="0.3">
      <c r="A666" s="13"/>
      <c r="B666" s="1">
        <v>45</v>
      </c>
      <c r="C666" s="1">
        <v>331</v>
      </c>
      <c r="D666" s="1">
        <v>1</v>
      </c>
      <c r="E666" s="5">
        <v>1</v>
      </c>
      <c r="F666" s="3">
        <f t="shared" si="120"/>
        <v>45</v>
      </c>
      <c r="G666" s="5">
        <v>2</v>
      </c>
      <c r="H666" s="3">
        <f t="shared" si="135"/>
        <v>3.1415926535897931</v>
      </c>
      <c r="I666" s="4">
        <v>3.1415999999999999E-2</v>
      </c>
      <c r="K666" s="3">
        <v>18.521074053088821</v>
      </c>
      <c r="L666" s="3">
        <v>35.602139999999999</v>
      </c>
      <c r="M666" s="3">
        <v>51.223730000000003</v>
      </c>
      <c r="N666" s="12">
        <f t="shared" si="121"/>
        <v>1.0000023384349969E-2</v>
      </c>
      <c r="O666" s="11">
        <f t="shared" si="122"/>
        <v>314.15999999999997</v>
      </c>
      <c r="P666" s="1">
        <v>10</v>
      </c>
      <c r="Q666" s="1">
        <v>1</v>
      </c>
      <c r="R666" s="3">
        <f>Q666*VLOOKUP(P666,[4]Datos!$A$2:$D$14,2)</f>
        <v>8.19</v>
      </c>
      <c r="S666" s="10">
        <f t="shared" si="136"/>
        <v>39</v>
      </c>
      <c r="T666" s="2">
        <v>39</v>
      </c>
      <c r="U666" s="3">
        <f t="shared" si="137"/>
        <v>0.14000000000000001</v>
      </c>
      <c r="V666" s="3"/>
      <c r="W666" s="1">
        <v>280</v>
      </c>
      <c r="X666" s="9">
        <v>2</v>
      </c>
      <c r="Y666" s="1">
        <v>4</v>
      </c>
      <c r="Z666" s="3">
        <f>X666*VLOOKUP(Y666,[4]Datos!$A$2:$D$14,2)</f>
        <v>2.58</v>
      </c>
      <c r="AA666" s="8">
        <v>0.3</v>
      </c>
      <c r="AB666" s="7">
        <f t="shared" si="123"/>
        <v>115.05235319041492</v>
      </c>
      <c r="AC666" s="7">
        <f t="shared" si="138"/>
        <v>47.081633547905106</v>
      </c>
      <c r="AD666" s="6" t="str">
        <f t="shared" si="124"/>
        <v>Cumple</v>
      </c>
      <c r="AE666" s="6"/>
      <c r="AH666" s="3"/>
    </row>
    <row r="667" spans="1:43" x14ac:dyDescent="0.3">
      <c r="A667" s="13"/>
      <c r="B667" s="1">
        <v>46</v>
      </c>
      <c r="C667" s="1">
        <v>160</v>
      </c>
      <c r="D667" s="1">
        <v>1</v>
      </c>
      <c r="E667" s="5">
        <v>1</v>
      </c>
      <c r="F667" s="3">
        <f t="shared" si="120"/>
        <v>46</v>
      </c>
      <c r="G667" s="5">
        <v>2</v>
      </c>
      <c r="H667" s="3">
        <f t="shared" si="135"/>
        <v>3.1415926535897931</v>
      </c>
      <c r="I667" s="4">
        <v>3.1415999999999999E-2</v>
      </c>
      <c r="K667" s="3">
        <v>15.938715883658885</v>
      </c>
      <c r="L667" s="3">
        <v>23.76304</v>
      </c>
      <c r="M667" s="3">
        <v>33.471170000000001</v>
      </c>
      <c r="N667" s="12">
        <f t="shared" si="121"/>
        <v>1.0000023384349969E-2</v>
      </c>
      <c r="O667" s="11">
        <f t="shared" si="122"/>
        <v>314.15999999999997</v>
      </c>
      <c r="P667" s="1">
        <v>10</v>
      </c>
      <c r="Q667" s="1">
        <v>1</v>
      </c>
      <c r="R667" s="3">
        <f>Q667*VLOOKUP(P667,[4]Datos!$A$2:$D$14,2)</f>
        <v>8.19</v>
      </c>
      <c r="S667" s="10">
        <f t="shared" si="136"/>
        <v>39</v>
      </c>
      <c r="T667" s="2">
        <v>39</v>
      </c>
      <c r="U667" s="3">
        <f t="shared" si="137"/>
        <v>0.14000000000000001</v>
      </c>
      <c r="V667" s="3"/>
      <c r="W667" s="1">
        <v>280</v>
      </c>
      <c r="X667" s="9">
        <v>2</v>
      </c>
      <c r="Y667" s="1">
        <v>4</v>
      </c>
      <c r="Z667" s="3">
        <f>X667*VLOOKUP(Y667,[4]Datos!$A$2:$D$14,2)</f>
        <v>2.58</v>
      </c>
      <c r="AA667" s="8">
        <v>0.3</v>
      </c>
      <c r="AB667" s="7">
        <f t="shared" si="123"/>
        <v>115.05235319041492</v>
      </c>
      <c r="AC667" s="7">
        <f t="shared" si="138"/>
        <v>47.081633547905106</v>
      </c>
      <c r="AD667" s="6" t="str">
        <f t="shared" si="124"/>
        <v>Cumple</v>
      </c>
      <c r="AE667" s="6"/>
      <c r="AH667" s="3"/>
    </row>
    <row r="668" spans="1:43" x14ac:dyDescent="0.3">
      <c r="A668" s="13"/>
      <c r="B668" s="1">
        <v>47</v>
      </c>
      <c r="C668" s="1">
        <v>166</v>
      </c>
      <c r="D668" s="1">
        <v>1</v>
      </c>
      <c r="E668" s="5">
        <v>1</v>
      </c>
      <c r="F668" s="3">
        <f t="shared" si="120"/>
        <v>47</v>
      </c>
      <c r="G668" s="5">
        <v>2</v>
      </c>
      <c r="H668" s="3">
        <f t="shared" si="135"/>
        <v>3.1415926535897931</v>
      </c>
      <c r="I668" s="4">
        <v>3.1415999999999999E-2</v>
      </c>
      <c r="K668" s="3">
        <v>12.018432427317633</v>
      </c>
      <c r="L668" s="3">
        <v>13.3239</v>
      </c>
      <c r="M668" s="3">
        <v>18.293759999999999</v>
      </c>
      <c r="N668" s="12">
        <f t="shared" si="121"/>
        <v>1.0000023384349969E-2</v>
      </c>
      <c r="O668" s="11">
        <f t="shared" si="122"/>
        <v>314.15999999999997</v>
      </c>
      <c r="P668" s="1">
        <v>10</v>
      </c>
      <c r="Q668" s="1">
        <v>1</v>
      </c>
      <c r="R668" s="3">
        <f>Q668*VLOOKUP(P668,[4]Datos!$A$2:$D$14,2)</f>
        <v>8.19</v>
      </c>
      <c r="S668" s="10">
        <f t="shared" si="136"/>
        <v>39</v>
      </c>
      <c r="T668" s="2">
        <v>39</v>
      </c>
      <c r="U668" s="3">
        <f t="shared" si="137"/>
        <v>0.14000000000000001</v>
      </c>
      <c r="V668" s="3"/>
      <c r="W668" s="1">
        <v>280</v>
      </c>
      <c r="X668" s="9">
        <v>2</v>
      </c>
      <c r="Y668" s="1">
        <v>4</v>
      </c>
      <c r="Z668" s="3">
        <f>X668*VLOOKUP(Y668,[4]Datos!$A$2:$D$14,2)</f>
        <v>2.58</v>
      </c>
      <c r="AA668" s="8">
        <v>0.3</v>
      </c>
      <c r="AB668" s="7">
        <f t="shared" si="123"/>
        <v>115.05235319041492</v>
      </c>
      <c r="AC668" s="7">
        <f t="shared" si="138"/>
        <v>47.081633547905106</v>
      </c>
      <c r="AD668" s="6" t="str">
        <f t="shared" si="124"/>
        <v>Cumple</v>
      </c>
      <c r="AE668" s="6"/>
      <c r="AH668" s="3"/>
    </row>
    <row r="669" spans="1:43" x14ac:dyDescent="0.3">
      <c r="A669" s="13"/>
      <c r="B669" s="1">
        <v>48</v>
      </c>
      <c r="C669" s="1">
        <v>179</v>
      </c>
      <c r="D669" s="1">
        <v>1</v>
      </c>
      <c r="E669" s="5">
        <v>1</v>
      </c>
      <c r="F669" s="3">
        <f t="shared" si="120"/>
        <v>48</v>
      </c>
      <c r="G669" s="5">
        <v>2</v>
      </c>
      <c r="H669" s="3">
        <f t="shared" si="135"/>
        <v>3.1415926535897931</v>
      </c>
      <c r="I669" s="4">
        <v>3.1415999999999999E-2</v>
      </c>
      <c r="K669" s="3">
        <v>7.3414235029727033</v>
      </c>
      <c r="L669" s="3">
        <v>5.2939400000000001</v>
      </c>
      <c r="M669" s="3">
        <v>6.9535900000000002</v>
      </c>
      <c r="N669" s="12">
        <f t="shared" si="121"/>
        <v>1.0000023384349969E-2</v>
      </c>
      <c r="O669" s="11">
        <f t="shared" si="122"/>
        <v>314.15999999999997</v>
      </c>
      <c r="P669" s="1">
        <v>10</v>
      </c>
      <c r="Q669" s="1">
        <v>1</v>
      </c>
      <c r="R669" s="3">
        <f>Q669*VLOOKUP(P669,[4]Datos!$A$2:$D$14,2)</f>
        <v>8.19</v>
      </c>
      <c r="S669" s="10">
        <f t="shared" si="136"/>
        <v>39</v>
      </c>
      <c r="T669" s="2">
        <v>39</v>
      </c>
      <c r="U669" s="3">
        <f t="shared" si="137"/>
        <v>0.14000000000000001</v>
      </c>
      <c r="V669" s="3"/>
      <c r="W669" s="1">
        <v>280</v>
      </c>
      <c r="X669" s="9">
        <v>2</v>
      </c>
      <c r="Y669" s="1">
        <v>4</v>
      </c>
      <c r="Z669" s="3">
        <f>X669*VLOOKUP(Y669,[4]Datos!$A$2:$D$14,2)</f>
        <v>2.58</v>
      </c>
      <c r="AA669" s="8">
        <v>0.3</v>
      </c>
      <c r="AB669" s="7">
        <f t="shared" si="123"/>
        <v>115.05235319041492</v>
      </c>
      <c r="AC669" s="7">
        <f t="shared" si="138"/>
        <v>47.081633547905106</v>
      </c>
      <c r="AD669" s="6" t="str">
        <f t="shared" si="124"/>
        <v>Cumple</v>
      </c>
      <c r="AE669" s="6"/>
      <c r="AH669" s="3"/>
    </row>
    <row r="670" spans="1:43" ht="15" customHeight="1" x14ac:dyDescent="0.3">
      <c r="A670" s="13" t="s">
        <v>11</v>
      </c>
      <c r="B670" s="1">
        <v>1</v>
      </c>
      <c r="C670" s="1">
        <v>94</v>
      </c>
      <c r="D670" s="1">
        <v>0</v>
      </c>
      <c r="E670" s="5">
        <v>1</v>
      </c>
      <c r="F670" s="3">
        <f>E670</f>
        <v>1</v>
      </c>
      <c r="G670" s="5">
        <v>2</v>
      </c>
      <c r="H670" s="3">
        <f t="shared" si="135"/>
        <v>3.1415926535897931</v>
      </c>
      <c r="I670" s="4">
        <v>4.4670000000000001E-2</v>
      </c>
      <c r="K670" s="3">
        <v>141.01402771299033</v>
      </c>
      <c r="L670" s="3">
        <v>666.59113000000002</v>
      </c>
      <c r="M670" s="3">
        <v>2360.6043500000001</v>
      </c>
      <c r="N670" s="12">
        <f t="shared" si="121"/>
        <v>1.4218902615829931E-2</v>
      </c>
      <c r="O670" s="11">
        <f t="shared" si="122"/>
        <v>446.7</v>
      </c>
      <c r="P670" s="1">
        <v>10</v>
      </c>
      <c r="Q670" s="1">
        <v>1</v>
      </c>
      <c r="R670" s="3">
        <f>Q670*VLOOKUP(P670,[4]Datos!$A$2:$D$14,2)</f>
        <v>8.19</v>
      </c>
      <c r="S670" s="10">
        <f t="shared" si="136"/>
        <v>55</v>
      </c>
      <c r="T670" s="2">
        <v>55</v>
      </c>
      <c r="U670" s="3">
        <f t="shared" si="137"/>
        <v>0.1</v>
      </c>
      <c r="V670" s="3"/>
      <c r="W670" s="1">
        <v>280</v>
      </c>
      <c r="X670" s="9">
        <v>2</v>
      </c>
      <c r="Y670" s="1">
        <v>6</v>
      </c>
      <c r="Z670" s="3">
        <f>X670*VLOOKUP(Y670,[4]Datos!$A$2:$D$14,2)</f>
        <v>5.68</v>
      </c>
      <c r="AA670" s="8">
        <v>7.4999999999999997E-2</v>
      </c>
      <c r="AB670" s="7">
        <f t="shared" si="123"/>
        <v>207.09423574274689</v>
      </c>
      <c r="AC670" s="7">
        <f t="shared" si="138"/>
        <v>414.61035434434268</v>
      </c>
      <c r="AD670" s="6" t="str">
        <f t="shared" si="124"/>
        <v>Cumple</v>
      </c>
      <c r="AE670" s="6"/>
      <c r="AF670" s="5">
        <v>22</v>
      </c>
      <c r="AG670" s="7">
        <f t="shared" ref="AG670:AG673" si="139">ROUNDUP(MAX(0.45,G670,AF670/6),0)</f>
        <v>4</v>
      </c>
      <c r="AH670" s="3">
        <f t="shared" ref="AH670:AH673" si="140">PI()*(G670-0.15)^2/4</f>
        <v>2.6880252142277672</v>
      </c>
      <c r="AI670" s="7">
        <f>G670-0.15-VLOOKUP(Y670,[4]Datos!$A$2:$D$14,3)/100</f>
        <v>1.8309000000000002</v>
      </c>
      <c r="AJ670" s="7">
        <f t="shared" ref="AJ670:AJ673" si="141">SQRT((PI()*AI670)^2+AA670^2)</f>
        <v>5.7524309339691264</v>
      </c>
      <c r="AK670" s="1">
        <v>0.12</v>
      </c>
      <c r="AL670" s="16">
        <f t="shared" ref="AL670:AL673" si="142">MAX(0.45*(H670/AH670-1),AK670)*(W670/4220)</f>
        <v>7.9620853080568724E-3</v>
      </c>
      <c r="AM670" s="7">
        <f t="shared" ref="AM670:AM673" si="143">AG670*(AJ670/AA670)</f>
        <v>306.79631647835345</v>
      </c>
      <c r="AN670" s="17">
        <f t="shared" ref="AN670:AN673" si="144">AM670*Z670/X670/10000</f>
        <v>8.7130153879852373E-2</v>
      </c>
      <c r="AO670" s="17">
        <f t="shared" ref="AO670:AO673" si="145">AH670*AG670</f>
        <v>10.752100856911069</v>
      </c>
      <c r="AP670" s="16">
        <f t="shared" ref="AP670:AP673" si="146">AN670/AO670</f>
        <v>8.1035469290495175E-3</v>
      </c>
      <c r="AQ670" s="6" t="str">
        <f t="shared" ref="AQ670:AQ673" si="147">+IF(AP670&gt;AL670,"Cumple","No Cumple")</f>
        <v>Cumple</v>
      </c>
    </row>
    <row r="671" spans="1:43" ht="15" customHeight="1" x14ac:dyDescent="0.3">
      <c r="A671" s="13"/>
      <c r="B671" s="1">
        <v>2</v>
      </c>
      <c r="C671" s="1">
        <v>96</v>
      </c>
      <c r="D671" s="1">
        <v>0</v>
      </c>
      <c r="E671" s="5">
        <v>1</v>
      </c>
      <c r="F671" s="3">
        <f>F670+E671</f>
        <v>2</v>
      </c>
      <c r="G671" s="5">
        <v>2</v>
      </c>
      <c r="H671" s="3">
        <f t="shared" si="135"/>
        <v>3.1415926535897931</v>
      </c>
      <c r="I671" s="4">
        <v>4.1325000000000001E-2</v>
      </c>
      <c r="K671" s="3">
        <v>141.01576710981647</v>
      </c>
      <c r="L671" s="3">
        <v>624.32538</v>
      </c>
      <c r="M671" s="3">
        <v>2250.9997499999999</v>
      </c>
      <c r="N671" s="12">
        <f t="shared" si="121"/>
        <v>1.315415604654515E-2</v>
      </c>
      <c r="O671" s="11">
        <f t="shared" si="122"/>
        <v>413.25</v>
      </c>
      <c r="P671" s="1">
        <v>10</v>
      </c>
      <c r="Q671" s="1">
        <v>1</v>
      </c>
      <c r="R671" s="3">
        <f>Q671*VLOOKUP(P671,[4]Datos!$A$2:$D$14,2)</f>
        <v>8.19</v>
      </c>
      <c r="S671" s="10">
        <f t="shared" si="136"/>
        <v>51</v>
      </c>
      <c r="T671" s="2">
        <v>55</v>
      </c>
      <c r="U671" s="3">
        <f t="shared" si="137"/>
        <v>0.1</v>
      </c>
      <c r="V671" s="3"/>
      <c r="W671" s="1">
        <v>280</v>
      </c>
      <c r="X671" s="9">
        <v>2</v>
      </c>
      <c r="Y671" s="1">
        <v>6</v>
      </c>
      <c r="Z671" s="3">
        <f>X671*VLOOKUP(Y671,[4]Datos!$A$2:$D$14,2)</f>
        <v>5.68</v>
      </c>
      <c r="AA671" s="8">
        <v>7.4999999999999997E-2</v>
      </c>
      <c r="AB671" s="7">
        <f t="shared" si="123"/>
        <v>207.09423574274689</v>
      </c>
      <c r="AC671" s="7">
        <f t="shared" si="138"/>
        <v>414.61035434434268</v>
      </c>
      <c r="AD671" s="6" t="str">
        <f t="shared" si="124"/>
        <v>Cumple</v>
      </c>
      <c r="AE671" s="6"/>
      <c r="AF671" s="5">
        <v>22</v>
      </c>
      <c r="AG671" s="7">
        <f t="shared" si="139"/>
        <v>4</v>
      </c>
      <c r="AH671" s="3">
        <f t="shared" si="140"/>
        <v>2.6880252142277672</v>
      </c>
      <c r="AI671" s="7">
        <f>G671-0.15-VLOOKUP(Y671,[4]Datos!$A$2:$D$14,3)/100</f>
        <v>1.8309000000000002</v>
      </c>
      <c r="AJ671" s="7">
        <f t="shared" si="141"/>
        <v>5.7524309339691264</v>
      </c>
      <c r="AK671" s="1">
        <v>0.12</v>
      </c>
      <c r="AL671" s="16">
        <f t="shared" si="142"/>
        <v>7.9620853080568724E-3</v>
      </c>
      <c r="AM671" s="7">
        <f t="shared" si="143"/>
        <v>306.79631647835345</v>
      </c>
      <c r="AN671" s="17">
        <f t="shared" si="144"/>
        <v>8.7130153879852373E-2</v>
      </c>
      <c r="AO671" s="17">
        <f t="shared" si="145"/>
        <v>10.752100856911069</v>
      </c>
      <c r="AP671" s="16">
        <f t="shared" si="146"/>
        <v>8.1035469290495175E-3</v>
      </c>
      <c r="AQ671" s="6" t="str">
        <f t="shared" si="147"/>
        <v>Cumple</v>
      </c>
    </row>
    <row r="672" spans="1:43" ht="15" customHeight="1" x14ac:dyDescent="0.3">
      <c r="A672" s="13"/>
      <c r="B672" s="1">
        <v>3</v>
      </c>
      <c r="C672" s="1">
        <v>98</v>
      </c>
      <c r="D672" s="1">
        <v>0</v>
      </c>
      <c r="E672" s="5">
        <v>1</v>
      </c>
      <c r="F672" s="3">
        <f t="shared" ref="F672:F710" si="148">F671+E672</f>
        <v>3</v>
      </c>
      <c r="G672" s="5">
        <v>2</v>
      </c>
      <c r="H672" s="3">
        <f t="shared" si="135"/>
        <v>3.1415926535897931</v>
      </c>
      <c r="I672" s="4">
        <v>3.7421000000000003E-2</v>
      </c>
      <c r="K672" s="3">
        <v>141.01748561880544</v>
      </c>
      <c r="L672" s="3">
        <v>581.94046000000003</v>
      </c>
      <c r="M672" s="3">
        <v>2140.9616599999999</v>
      </c>
      <c r="N672" s="12">
        <f t="shared" si="121"/>
        <v>1.1911474250883632E-2</v>
      </c>
      <c r="O672" s="11">
        <f t="shared" si="122"/>
        <v>374.21000000000004</v>
      </c>
      <c r="P672" s="1">
        <v>10</v>
      </c>
      <c r="Q672" s="1">
        <v>1</v>
      </c>
      <c r="R672" s="3">
        <f>Q672*VLOOKUP(P672,[4]Datos!$A$2:$D$14,2)</f>
        <v>8.19</v>
      </c>
      <c r="S672" s="10">
        <f t="shared" si="136"/>
        <v>46</v>
      </c>
      <c r="T672" s="2">
        <v>55</v>
      </c>
      <c r="U672" s="3">
        <f t="shared" si="137"/>
        <v>0.1</v>
      </c>
      <c r="V672" s="3"/>
      <c r="W672" s="1">
        <v>280</v>
      </c>
      <c r="X672" s="9">
        <v>2</v>
      </c>
      <c r="Y672" s="1">
        <v>6</v>
      </c>
      <c r="Z672" s="3">
        <f>X672*VLOOKUP(Y672,[4]Datos!$A$2:$D$14,2)</f>
        <v>5.68</v>
      </c>
      <c r="AA672" s="8">
        <v>7.4999999999999997E-2</v>
      </c>
      <c r="AB672" s="7">
        <f t="shared" si="123"/>
        <v>207.09423574274689</v>
      </c>
      <c r="AC672" s="7">
        <f t="shared" si="138"/>
        <v>414.61035434434268</v>
      </c>
      <c r="AD672" s="6" t="str">
        <f t="shared" si="124"/>
        <v>Cumple</v>
      </c>
      <c r="AE672" s="6"/>
      <c r="AF672" s="5">
        <v>22</v>
      </c>
      <c r="AG672" s="7">
        <f t="shared" si="139"/>
        <v>4</v>
      </c>
      <c r="AH672" s="3">
        <f t="shared" si="140"/>
        <v>2.6880252142277672</v>
      </c>
      <c r="AI672" s="7">
        <f>G672-0.15-VLOOKUP(Y672,[4]Datos!$A$2:$D$14,3)/100</f>
        <v>1.8309000000000002</v>
      </c>
      <c r="AJ672" s="7">
        <f t="shared" si="141"/>
        <v>5.7524309339691264</v>
      </c>
      <c r="AK672" s="1">
        <v>0.12</v>
      </c>
      <c r="AL672" s="16">
        <f t="shared" si="142"/>
        <v>7.9620853080568724E-3</v>
      </c>
      <c r="AM672" s="7">
        <f t="shared" si="143"/>
        <v>306.79631647835345</v>
      </c>
      <c r="AN672" s="17">
        <f t="shared" si="144"/>
        <v>8.7130153879852373E-2</v>
      </c>
      <c r="AO672" s="17">
        <f t="shared" si="145"/>
        <v>10.752100856911069</v>
      </c>
      <c r="AP672" s="16">
        <f t="shared" si="146"/>
        <v>8.1035469290495175E-3</v>
      </c>
      <c r="AQ672" s="6" t="str">
        <f t="shared" si="147"/>
        <v>Cumple</v>
      </c>
    </row>
    <row r="673" spans="1:43" ht="15" customHeight="1" x14ac:dyDescent="0.3">
      <c r="A673" s="13"/>
      <c r="B673" s="1">
        <v>4</v>
      </c>
      <c r="C673" s="1">
        <v>100</v>
      </c>
      <c r="D673" s="1">
        <v>0</v>
      </c>
      <c r="E673" s="5">
        <v>1</v>
      </c>
      <c r="F673" s="3">
        <f t="shared" si="148"/>
        <v>4</v>
      </c>
      <c r="G673" s="5">
        <v>2</v>
      </c>
      <c r="H673" s="3">
        <f t="shared" si="135"/>
        <v>3.1415926535897931</v>
      </c>
      <c r="I673" s="4">
        <v>3.2840000000000001E-2</v>
      </c>
      <c r="K673" s="3">
        <v>141.0192250191441</v>
      </c>
      <c r="L673" s="3">
        <v>539.45210999999995</v>
      </c>
      <c r="M673" s="3">
        <v>2030.99314</v>
      </c>
      <c r="N673" s="12">
        <f t="shared" si="121"/>
        <v>1.0453296662275686E-2</v>
      </c>
      <c r="O673" s="11">
        <f t="shared" si="122"/>
        <v>328.40000000000003</v>
      </c>
      <c r="P673" s="1">
        <v>10</v>
      </c>
      <c r="Q673" s="19">
        <v>1</v>
      </c>
      <c r="R673" s="3">
        <f>Q673*VLOOKUP(P673,[4]Datos!$A$2:$D$14,2)</f>
        <v>8.19</v>
      </c>
      <c r="S673" s="10">
        <f t="shared" si="136"/>
        <v>41</v>
      </c>
      <c r="T673" s="18">
        <v>55</v>
      </c>
      <c r="U673" s="3">
        <f t="shared" si="137"/>
        <v>0.1</v>
      </c>
      <c r="V673" s="3"/>
      <c r="W673" s="1">
        <v>280</v>
      </c>
      <c r="X673" s="9">
        <v>2</v>
      </c>
      <c r="Y673" s="1">
        <v>6</v>
      </c>
      <c r="Z673" s="3">
        <f>X673*VLOOKUP(Y673,[4]Datos!$A$2:$D$14,2)</f>
        <v>5.68</v>
      </c>
      <c r="AA673" s="8">
        <v>7.4999999999999997E-2</v>
      </c>
      <c r="AB673" s="7">
        <f t="shared" si="123"/>
        <v>207.09423574274689</v>
      </c>
      <c r="AC673" s="7">
        <f t="shared" si="138"/>
        <v>414.61035434434268</v>
      </c>
      <c r="AD673" s="6" t="str">
        <f t="shared" si="124"/>
        <v>Cumple</v>
      </c>
      <c r="AE673" s="6"/>
      <c r="AF673" s="5">
        <v>22</v>
      </c>
      <c r="AG673" s="7">
        <f t="shared" si="139"/>
        <v>4</v>
      </c>
      <c r="AH673" s="3">
        <f t="shared" si="140"/>
        <v>2.6880252142277672</v>
      </c>
      <c r="AI673" s="7">
        <f>G673-0.15-VLOOKUP(Y673,[4]Datos!$A$2:$D$14,3)/100</f>
        <v>1.8309000000000002</v>
      </c>
      <c r="AJ673" s="7">
        <f t="shared" si="141"/>
        <v>5.7524309339691264</v>
      </c>
      <c r="AK673" s="1">
        <v>0.12</v>
      </c>
      <c r="AL673" s="16">
        <f t="shared" si="142"/>
        <v>7.9620853080568724E-3</v>
      </c>
      <c r="AM673" s="7">
        <f t="shared" si="143"/>
        <v>306.79631647835345</v>
      </c>
      <c r="AN673" s="17">
        <f t="shared" si="144"/>
        <v>8.7130153879852373E-2</v>
      </c>
      <c r="AO673" s="17">
        <f t="shared" si="145"/>
        <v>10.752100856911069</v>
      </c>
      <c r="AP673" s="16">
        <f t="shared" si="146"/>
        <v>8.1035469290495175E-3</v>
      </c>
      <c r="AQ673" s="6" t="str">
        <f t="shared" si="147"/>
        <v>Cumple</v>
      </c>
    </row>
    <row r="674" spans="1:43" ht="15" customHeight="1" x14ac:dyDescent="0.3">
      <c r="A674" s="13"/>
      <c r="B674" s="1">
        <v>5</v>
      </c>
      <c r="C674" s="1">
        <v>102</v>
      </c>
      <c r="D674" s="1">
        <v>0</v>
      </c>
      <c r="E674" s="5">
        <v>1</v>
      </c>
      <c r="F674" s="3">
        <f t="shared" si="148"/>
        <v>5</v>
      </c>
      <c r="G674" s="5">
        <v>2</v>
      </c>
      <c r="H674" s="3">
        <f t="shared" si="135"/>
        <v>3.1415926535897931</v>
      </c>
      <c r="I674" s="4">
        <v>3.1415999999999999E-2</v>
      </c>
      <c r="K674" s="3">
        <v>141.02094353237038</v>
      </c>
      <c r="L674" s="3">
        <v>496.87666000000002</v>
      </c>
      <c r="M674" s="3">
        <v>1923.67031</v>
      </c>
      <c r="N674" s="12">
        <f t="shared" si="121"/>
        <v>1.0000023384349969E-2</v>
      </c>
      <c r="O674" s="11">
        <f t="shared" si="122"/>
        <v>314.15999999999997</v>
      </c>
      <c r="P674" s="1">
        <v>10</v>
      </c>
      <c r="Q674" s="19">
        <v>1</v>
      </c>
      <c r="R674" s="3">
        <f>Q674*VLOOKUP(P674,[4]Datos!$A$2:$D$14,2)</f>
        <v>8.19</v>
      </c>
      <c r="S674" s="10">
        <f t="shared" si="136"/>
        <v>39</v>
      </c>
      <c r="T674" s="18">
        <v>55</v>
      </c>
      <c r="U674" s="3">
        <f t="shared" si="137"/>
        <v>0.1</v>
      </c>
      <c r="V674" s="3"/>
      <c r="W674" s="1">
        <v>280</v>
      </c>
      <c r="X674" s="9">
        <v>2</v>
      </c>
      <c r="Y674" s="1">
        <v>4</v>
      </c>
      <c r="Z674" s="3">
        <f>X674*VLOOKUP(Y674,[4]Datos!$A$2:$D$14,2)</f>
        <v>2.58</v>
      </c>
      <c r="AA674" s="8">
        <v>0.3</v>
      </c>
      <c r="AB674" s="7">
        <f t="shared" si="123"/>
        <v>207.09423574274689</v>
      </c>
      <c r="AC674" s="7">
        <f t="shared" si="138"/>
        <v>47.081633547905106</v>
      </c>
      <c r="AD674" s="6" t="str">
        <f t="shared" si="124"/>
        <v>Cumple</v>
      </c>
      <c r="AE674" s="6"/>
      <c r="AG674" s="7"/>
      <c r="AH674" s="3"/>
      <c r="AI674" s="7"/>
      <c r="AJ674" s="7"/>
      <c r="AL674" s="16"/>
      <c r="AM674" s="7"/>
      <c r="AN674" s="17"/>
      <c r="AO674" s="17"/>
      <c r="AP674" s="16"/>
      <c r="AQ674" s="6"/>
    </row>
    <row r="675" spans="1:43" ht="15" customHeight="1" x14ac:dyDescent="0.3">
      <c r="A675" s="13"/>
      <c r="B675" s="1">
        <v>6</v>
      </c>
      <c r="C675" s="1">
        <v>104</v>
      </c>
      <c r="D675" s="1">
        <v>0</v>
      </c>
      <c r="E675" s="5">
        <v>1</v>
      </c>
      <c r="F675" s="3">
        <f t="shared" si="148"/>
        <v>6</v>
      </c>
      <c r="G675" s="5">
        <v>2</v>
      </c>
      <c r="H675" s="3">
        <f t="shared" si="135"/>
        <v>3.1415926535897931</v>
      </c>
      <c r="I675" s="4">
        <v>3.1415999999999999E-2</v>
      </c>
      <c r="K675" s="3">
        <v>141.02268293622129</v>
      </c>
      <c r="L675" s="3">
        <v>454.23106000000001</v>
      </c>
      <c r="M675" s="3">
        <v>1818.73371</v>
      </c>
      <c r="N675" s="12">
        <f t="shared" si="121"/>
        <v>1.0000023384349969E-2</v>
      </c>
      <c r="O675" s="11">
        <f t="shared" si="122"/>
        <v>314.15999999999997</v>
      </c>
      <c r="P675" s="1">
        <v>10</v>
      </c>
      <c r="Q675" s="19">
        <v>1</v>
      </c>
      <c r="R675" s="3">
        <f>Q675*VLOOKUP(P675,[4]Datos!$A$2:$D$14,2)</f>
        <v>8.19</v>
      </c>
      <c r="S675" s="10">
        <f t="shared" si="136"/>
        <v>39</v>
      </c>
      <c r="T675" s="18">
        <v>55</v>
      </c>
      <c r="U675" s="3">
        <f t="shared" si="137"/>
        <v>0.1</v>
      </c>
      <c r="V675" s="3"/>
      <c r="W675" s="1">
        <v>280</v>
      </c>
      <c r="X675" s="9">
        <v>2</v>
      </c>
      <c r="Y675" s="1">
        <v>4</v>
      </c>
      <c r="Z675" s="3">
        <f>X675*VLOOKUP(Y675,[4]Datos!$A$2:$D$14,2)</f>
        <v>2.58</v>
      </c>
      <c r="AA675" s="8">
        <v>0.3</v>
      </c>
      <c r="AB675" s="7">
        <f t="shared" si="123"/>
        <v>207.09423574274689</v>
      </c>
      <c r="AC675" s="7">
        <f t="shared" si="138"/>
        <v>47.081633547905106</v>
      </c>
      <c r="AD675" s="6" t="str">
        <f t="shared" si="124"/>
        <v>Cumple</v>
      </c>
      <c r="AE675" s="6"/>
      <c r="AG675" s="7"/>
      <c r="AH675" s="3"/>
      <c r="AI675" s="7"/>
      <c r="AJ675" s="7"/>
      <c r="AL675" s="16"/>
      <c r="AM675" s="7"/>
      <c r="AN675" s="17"/>
      <c r="AO675" s="17"/>
      <c r="AP675" s="16"/>
      <c r="AQ675" s="6"/>
    </row>
    <row r="676" spans="1:43" ht="15" customHeight="1" x14ac:dyDescent="0.3">
      <c r="A676" s="13"/>
      <c r="B676" s="1">
        <v>7</v>
      </c>
      <c r="C676" s="1">
        <v>106</v>
      </c>
      <c r="D676" s="1">
        <v>0</v>
      </c>
      <c r="E676" s="5">
        <v>1</v>
      </c>
      <c r="F676" s="3">
        <f t="shared" si="148"/>
        <v>7</v>
      </c>
      <c r="G676" s="5">
        <v>2</v>
      </c>
      <c r="H676" s="3">
        <f t="shared" si="135"/>
        <v>3.1415926535897931</v>
      </c>
      <c r="I676" s="4">
        <v>3.1415999999999999E-2</v>
      </c>
      <c r="K676" s="3">
        <v>141.02430365954658</v>
      </c>
      <c r="L676" s="3">
        <v>411.53286000000003</v>
      </c>
      <c r="M676" s="3">
        <v>1717.48101</v>
      </c>
      <c r="N676" s="12">
        <f t="shared" si="121"/>
        <v>1.0000023384349969E-2</v>
      </c>
      <c r="O676" s="11">
        <f t="shared" si="122"/>
        <v>314.15999999999997</v>
      </c>
      <c r="P676" s="1">
        <v>10</v>
      </c>
      <c r="Q676" s="1">
        <v>1</v>
      </c>
      <c r="R676" s="3">
        <f>Q676*VLOOKUP(P676,[4]Datos!$A$2:$D$14,2)</f>
        <v>8.19</v>
      </c>
      <c r="S676" s="10">
        <f t="shared" si="136"/>
        <v>39</v>
      </c>
      <c r="T676" s="2">
        <v>39</v>
      </c>
      <c r="U676" s="3">
        <f t="shared" si="137"/>
        <v>0.14000000000000001</v>
      </c>
      <c r="V676" s="3"/>
      <c r="W676" s="1">
        <v>280</v>
      </c>
      <c r="X676" s="9">
        <v>2</v>
      </c>
      <c r="Y676" s="1">
        <v>4</v>
      </c>
      <c r="Z676" s="3">
        <f>X676*VLOOKUP(Y676,[4]Datos!$A$2:$D$14,2)</f>
        <v>2.58</v>
      </c>
      <c r="AA676" s="8">
        <v>0.3</v>
      </c>
      <c r="AB676" s="7">
        <f t="shared" si="123"/>
        <v>207.09423574274689</v>
      </c>
      <c r="AC676" s="7">
        <f t="shared" si="138"/>
        <v>47.081633547905106</v>
      </c>
      <c r="AD676" s="6" t="str">
        <f t="shared" si="124"/>
        <v>Cumple</v>
      </c>
      <c r="AE676" s="6"/>
      <c r="AG676" s="7"/>
      <c r="AH676" s="3"/>
      <c r="AI676" s="7"/>
      <c r="AJ676" s="7"/>
      <c r="AL676" s="16"/>
      <c r="AM676" s="7"/>
      <c r="AN676" s="17"/>
      <c r="AO676" s="17"/>
      <c r="AP676" s="16"/>
      <c r="AQ676" s="6"/>
    </row>
    <row r="677" spans="1:43" ht="15" customHeight="1" x14ac:dyDescent="0.3">
      <c r="A677" s="13"/>
      <c r="B677" s="1">
        <v>8</v>
      </c>
      <c r="C677" s="1">
        <v>108</v>
      </c>
      <c r="D677" s="1">
        <v>0</v>
      </c>
      <c r="E677" s="5">
        <v>1</v>
      </c>
      <c r="F677" s="3">
        <f t="shared" si="148"/>
        <v>8</v>
      </c>
      <c r="G677" s="5">
        <v>2</v>
      </c>
      <c r="H677" s="3">
        <f t="shared" si="135"/>
        <v>3.1415926535897931</v>
      </c>
      <c r="I677" s="4">
        <v>3.1415999999999999E-2</v>
      </c>
      <c r="K677" s="3">
        <v>141.02604306683926</v>
      </c>
      <c r="L677" s="3">
        <v>368.80031000000002</v>
      </c>
      <c r="M677" s="3">
        <v>1617.1931400000001</v>
      </c>
      <c r="N677" s="12">
        <f t="shared" si="121"/>
        <v>1.0000023384349969E-2</v>
      </c>
      <c r="O677" s="11">
        <f t="shared" si="122"/>
        <v>314.15999999999997</v>
      </c>
      <c r="P677" s="1">
        <v>10</v>
      </c>
      <c r="Q677" s="1">
        <v>1</v>
      </c>
      <c r="R677" s="3">
        <f>Q677*VLOOKUP(P677,[4]Datos!$A$2:$D$14,2)</f>
        <v>8.19</v>
      </c>
      <c r="S677" s="10">
        <f t="shared" si="136"/>
        <v>39</v>
      </c>
      <c r="T677" s="2">
        <v>39</v>
      </c>
      <c r="U677" s="3">
        <f t="shared" si="137"/>
        <v>0.14000000000000001</v>
      </c>
      <c r="V677" s="3"/>
      <c r="W677" s="1">
        <v>280</v>
      </c>
      <c r="X677" s="9">
        <v>2</v>
      </c>
      <c r="Y677" s="1">
        <v>4</v>
      </c>
      <c r="Z677" s="3">
        <f>X677*VLOOKUP(Y677,[4]Datos!$A$2:$D$14,2)</f>
        <v>2.58</v>
      </c>
      <c r="AA677" s="8">
        <v>0.3</v>
      </c>
      <c r="AB677" s="7">
        <f t="shared" si="123"/>
        <v>207.09423574274689</v>
      </c>
      <c r="AC677" s="7">
        <f t="shared" si="138"/>
        <v>47.081633547905106</v>
      </c>
      <c r="AD677" s="6" t="str">
        <f t="shared" si="124"/>
        <v>Cumple</v>
      </c>
      <c r="AE677" s="6"/>
      <c r="AG677" s="7"/>
      <c r="AH677" s="3"/>
      <c r="AI677" s="7"/>
      <c r="AJ677" s="7"/>
      <c r="AL677" s="16"/>
      <c r="AM677" s="7"/>
      <c r="AN677" s="17"/>
      <c r="AO677" s="17"/>
      <c r="AP677" s="16"/>
      <c r="AQ677" s="6"/>
    </row>
    <row r="678" spans="1:43" ht="15" customHeight="1" x14ac:dyDescent="0.3">
      <c r="A678" s="13"/>
      <c r="B678" s="1">
        <v>9</v>
      </c>
      <c r="C678" s="1">
        <v>110</v>
      </c>
      <c r="D678" s="1">
        <v>0</v>
      </c>
      <c r="E678" s="5">
        <v>1</v>
      </c>
      <c r="F678" s="3">
        <f t="shared" si="148"/>
        <v>9</v>
      </c>
      <c r="G678" s="5">
        <v>2</v>
      </c>
      <c r="H678" s="3">
        <f t="shared" si="135"/>
        <v>3.1415926535897931</v>
      </c>
      <c r="I678" s="4">
        <v>3.1415999999999999E-2</v>
      </c>
      <c r="K678" s="3">
        <v>141.02776158845464</v>
      </c>
      <c r="L678" s="3">
        <v>326.05257999999998</v>
      </c>
      <c r="M678" s="3">
        <v>1516.66013</v>
      </c>
      <c r="N678" s="12">
        <f t="shared" si="121"/>
        <v>1.0000023384349969E-2</v>
      </c>
      <c r="O678" s="11">
        <f t="shared" si="122"/>
        <v>314.15999999999997</v>
      </c>
      <c r="P678" s="1">
        <v>10</v>
      </c>
      <c r="Q678" s="1">
        <v>1</v>
      </c>
      <c r="R678" s="3">
        <f>Q678*VLOOKUP(P678,[4]Datos!$A$2:$D$14,2)</f>
        <v>8.19</v>
      </c>
      <c r="S678" s="10">
        <f t="shared" si="136"/>
        <v>39</v>
      </c>
      <c r="T678" s="2">
        <v>39</v>
      </c>
      <c r="U678" s="3">
        <f t="shared" si="137"/>
        <v>0.14000000000000001</v>
      </c>
      <c r="V678" s="3"/>
      <c r="W678" s="1">
        <v>280</v>
      </c>
      <c r="X678" s="9">
        <v>2</v>
      </c>
      <c r="Y678" s="1">
        <v>4</v>
      </c>
      <c r="Z678" s="3">
        <f>X678*VLOOKUP(Y678,[4]Datos!$A$2:$D$14,2)</f>
        <v>2.58</v>
      </c>
      <c r="AA678" s="8">
        <v>0.3</v>
      </c>
      <c r="AB678" s="7">
        <f t="shared" si="123"/>
        <v>207.09423574274689</v>
      </c>
      <c r="AC678" s="7">
        <f t="shared" si="138"/>
        <v>47.081633547905106</v>
      </c>
      <c r="AD678" s="6" t="str">
        <f t="shared" si="124"/>
        <v>Cumple</v>
      </c>
      <c r="AE678" s="6"/>
      <c r="AG678" s="7"/>
      <c r="AH678" s="3"/>
      <c r="AI678" s="7"/>
      <c r="AJ678" s="7"/>
      <c r="AL678" s="16"/>
      <c r="AM678" s="7"/>
      <c r="AN678" s="17"/>
      <c r="AO678" s="17"/>
      <c r="AP678" s="16"/>
      <c r="AQ678" s="6"/>
    </row>
    <row r="679" spans="1:43" ht="15" customHeight="1" x14ac:dyDescent="0.3">
      <c r="A679" s="13"/>
      <c r="B679" s="1">
        <v>10</v>
      </c>
      <c r="C679" s="1">
        <v>112</v>
      </c>
      <c r="D679" s="1">
        <v>0</v>
      </c>
      <c r="E679" s="5">
        <v>1</v>
      </c>
      <c r="F679" s="3">
        <f t="shared" si="148"/>
        <v>10</v>
      </c>
      <c r="G679" s="5">
        <v>2</v>
      </c>
      <c r="H679" s="3">
        <f t="shared" si="135"/>
        <v>3.1415926535897931</v>
      </c>
      <c r="I679" s="4">
        <v>3.1415999999999999E-2</v>
      </c>
      <c r="K679" s="3">
        <v>141.02950099925903</v>
      </c>
      <c r="L679" s="3">
        <v>283.31038000000001</v>
      </c>
      <c r="M679" s="3">
        <v>1415.8329699999999</v>
      </c>
      <c r="N679" s="12">
        <f t="shared" si="121"/>
        <v>1.0000023384349969E-2</v>
      </c>
      <c r="O679" s="11">
        <f t="shared" si="122"/>
        <v>314.15999999999997</v>
      </c>
      <c r="P679" s="1">
        <v>10</v>
      </c>
      <c r="Q679" s="1">
        <v>1</v>
      </c>
      <c r="R679" s="3">
        <f>Q679*VLOOKUP(P679,[4]Datos!$A$2:$D$14,2)</f>
        <v>8.19</v>
      </c>
      <c r="S679" s="10">
        <f t="shared" si="136"/>
        <v>39</v>
      </c>
      <c r="T679" s="2">
        <v>39</v>
      </c>
      <c r="U679" s="3">
        <f t="shared" si="137"/>
        <v>0.14000000000000001</v>
      </c>
      <c r="V679" s="3"/>
      <c r="W679" s="1">
        <v>280</v>
      </c>
      <c r="X679" s="9">
        <v>2</v>
      </c>
      <c r="Y679" s="1">
        <v>4</v>
      </c>
      <c r="Z679" s="3">
        <f>X679*VLOOKUP(Y679,[4]Datos!$A$2:$D$14,2)</f>
        <v>2.58</v>
      </c>
      <c r="AA679" s="8">
        <v>0.3</v>
      </c>
      <c r="AB679" s="7">
        <f t="shared" si="123"/>
        <v>207.09423574274689</v>
      </c>
      <c r="AC679" s="7">
        <f t="shared" si="138"/>
        <v>47.081633547905106</v>
      </c>
      <c r="AD679" s="6" t="str">
        <f t="shared" si="124"/>
        <v>Cumple</v>
      </c>
      <c r="AE679" s="6"/>
      <c r="AG679" s="7"/>
      <c r="AH679" s="3"/>
      <c r="AI679" s="7"/>
      <c r="AJ679" s="7"/>
      <c r="AL679" s="16"/>
      <c r="AM679" s="7"/>
      <c r="AN679" s="17"/>
      <c r="AO679" s="17"/>
      <c r="AP679" s="16"/>
      <c r="AQ679" s="6"/>
    </row>
    <row r="680" spans="1:43" ht="15" customHeight="1" x14ac:dyDescent="0.3">
      <c r="A680" s="13"/>
      <c r="B680" s="1">
        <v>11</v>
      </c>
      <c r="C680" s="1">
        <v>114</v>
      </c>
      <c r="D680" s="1">
        <v>0</v>
      </c>
      <c r="E680" s="5">
        <v>1</v>
      </c>
      <c r="F680" s="3">
        <f t="shared" si="148"/>
        <v>11</v>
      </c>
      <c r="G680" s="5">
        <v>2</v>
      </c>
      <c r="H680" s="3">
        <f t="shared" si="135"/>
        <v>3.1415926535897931</v>
      </c>
      <c r="I680" s="4">
        <v>3.1415999999999999E-2</v>
      </c>
      <c r="K680" s="3">
        <v>141.03121952511083</v>
      </c>
      <c r="L680" s="3">
        <v>240.59777</v>
      </c>
      <c r="M680" s="3">
        <v>1314.70334</v>
      </c>
      <c r="N680" s="12">
        <f t="shared" si="121"/>
        <v>1.0000023384349969E-2</v>
      </c>
      <c r="O680" s="11">
        <f t="shared" si="122"/>
        <v>314.15999999999997</v>
      </c>
      <c r="P680" s="1">
        <v>10</v>
      </c>
      <c r="Q680" s="1">
        <v>1</v>
      </c>
      <c r="R680" s="3">
        <f>Q680*VLOOKUP(P680,[4]Datos!$A$2:$D$14,2)</f>
        <v>8.19</v>
      </c>
      <c r="S680" s="10">
        <f t="shared" si="136"/>
        <v>39</v>
      </c>
      <c r="T680" s="2">
        <v>39</v>
      </c>
      <c r="U680" s="3">
        <f t="shared" si="137"/>
        <v>0.14000000000000001</v>
      </c>
      <c r="V680" s="3"/>
      <c r="W680" s="1">
        <v>280</v>
      </c>
      <c r="X680" s="9">
        <v>2</v>
      </c>
      <c r="Y680" s="1">
        <v>4</v>
      </c>
      <c r="Z680" s="3">
        <f>X680*VLOOKUP(Y680,[4]Datos!$A$2:$D$14,2)</f>
        <v>2.58</v>
      </c>
      <c r="AA680" s="8">
        <v>0.3</v>
      </c>
      <c r="AB680" s="7">
        <f t="shared" si="123"/>
        <v>207.09423574274689</v>
      </c>
      <c r="AC680" s="7">
        <f t="shared" si="138"/>
        <v>47.081633547905106</v>
      </c>
      <c r="AD680" s="6" t="str">
        <f t="shared" si="124"/>
        <v>Cumple</v>
      </c>
      <c r="AE680" s="6"/>
      <c r="AH680" s="3"/>
    </row>
    <row r="681" spans="1:43" ht="15" customHeight="1" x14ac:dyDescent="0.3">
      <c r="A681" s="13"/>
      <c r="B681" s="1">
        <v>12</v>
      </c>
      <c r="C681" s="1">
        <v>116</v>
      </c>
      <c r="D681" s="1">
        <v>0</v>
      </c>
      <c r="E681" s="5">
        <v>1</v>
      </c>
      <c r="F681" s="3">
        <f t="shared" si="148"/>
        <v>12</v>
      </c>
      <c r="G681" s="5">
        <v>2</v>
      </c>
      <c r="H681" s="3">
        <f t="shared" si="135"/>
        <v>3.1415926535897931</v>
      </c>
      <c r="I681" s="4">
        <v>3.1415999999999999E-2</v>
      </c>
      <c r="K681" s="3">
        <v>141.03295893942663</v>
      </c>
      <c r="L681" s="3">
        <v>197.94718</v>
      </c>
      <c r="M681" s="3">
        <v>1214.0249899999999</v>
      </c>
      <c r="N681" s="12">
        <f t="shared" si="121"/>
        <v>1.0000023384349969E-2</v>
      </c>
      <c r="O681" s="11">
        <f t="shared" si="122"/>
        <v>314.15999999999997</v>
      </c>
      <c r="P681" s="1">
        <v>10</v>
      </c>
      <c r="Q681" s="1">
        <v>1</v>
      </c>
      <c r="R681" s="3">
        <f>Q681*VLOOKUP(P681,[4]Datos!$A$2:$D$14,2)</f>
        <v>8.19</v>
      </c>
      <c r="S681" s="10">
        <f t="shared" si="136"/>
        <v>39</v>
      </c>
      <c r="T681" s="2">
        <v>39</v>
      </c>
      <c r="U681" s="3">
        <f t="shared" si="137"/>
        <v>0.14000000000000001</v>
      </c>
      <c r="V681" s="3"/>
      <c r="W681" s="1">
        <v>280</v>
      </c>
      <c r="X681" s="9">
        <v>2</v>
      </c>
      <c r="Y681" s="1">
        <v>4</v>
      </c>
      <c r="Z681" s="3">
        <f>X681*VLOOKUP(Y681,[4]Datos!$A$2:$D$14,2)</f>
        <v>2.58</v>
      </c>
      <c r="AA681" s="8">
        <v>0.3</v>
      </c>
      <c r="AB681" s="7">
        <f t="shared" si="123"/>
        <v>207.09423574274689</v>
      </c>
      <c r="AC681" s="7">
        <f t="shared" si="138"/>
        <v>47.081633547905106</v>
      </c>
      <c r="AD681" s="6" t="str">
        <f t="shared" si="124"/>
        <v>Cumple</v>
      </c>
      <c r="AE681" s="6"/>
      <c r="AH681" s="3"/>
    </row>
    <row r="682" spans="1:43" ht="15" customHeight="1" x14ac:dyDescent="0.3">
      <c r="A682" s="13"/>
      <c r="B682" s="1">
        <v>13</v>
      </c>
      <c r="C682" s="1">
        <v>118</v>
      </c>
      <c r="D682" s="1">
        <v>0</v>
      </c>
      <c r="E682" s="5">
        <v>1</v>
      </c>
      <c r="F682" s="3">
        <f t="shared" si="148"/>
        <v>13</v>
      </c>
      <c r="G682" s="5">
        <v>2</v>
      </c>
      <c r="H682" s="3">
        <f t="shared" si="135"/>
        <v>3.1415926535897931</v>
      </c>
      <c r="I682" s="4">
        <v>3.1415999999999999E-2</v>
      </c>
      <c r="K682" s="3">
        <v>141.03467746951455</v>
      </c>
      <c r="L682" s="3">
        <v>155.41618</v>
      </c>
      <c r="M682" s="3">
        <v>1113.0944500000001</v>
      </c>
      <c r="N682" s="12">
        <f t="shared" si="121"/>
        <v>1.0000023384349969E-2</v>
      </c>
      <c r="O682" s="11">
        <f t="shared" si="122"/>
        <v>314.15999999999997</v>
      </c>
      <c r="P682" s="1">
        <v>10</v>
      </c>
      <c r="Q682" s="19">
        <v>1</v>
      </c>
      <c r="R682" s="3">
        <f>Q682*VLOOKUP(P682,[4]Datos!$A$2:$D$14,2)</f>
        <v>8.19</v>
      </c>
      <c r="S682" s="10">
        <f t="shared" si="136"/>
        <v>39</v>
      </c>
      <c r="T682" s="18">
        <v>39</v>
      </c>
      <c r="U682" s="3">
        <f t="shared" si="137"/>
        <v>0.14000000000000001</v>
      </c>
      <c r="V682" s="3"/>
      <c r="W682" s="1">
        <v>280</v>
      </c>
      <c r="X682" s="9">
        <v>2</v>
      </c>
      <c r="Y682" s="1">
        <v>4</v>
      </c>
      <c r="Z682" s="3">
        <f>X682*VLOOKUP(Y682,[4]Datos!$A$2:$D$14,2)</f>
        <v>2.58</v>
      </c>
      <c r="AA682" s="8">
        <v>0.3</v>
      </c>
      <c r="AB682" s="7">
        <f t="shared" si="123"/>
        <v>207.09423574274689</v>
      </c>
      <c r="AC682" s="7">
        <f t="shared" si="138"/>
        <v>47.081633547905106</v>
      </c>
      <c r="AD682" s="6" t="str">
        <f t="shared" si="124"/>
        <v>Cumple</v>
      </c>
      <c r="AE682" s="6"/>
      <c r="AH682" s="3"/>
    </row>
    <row r="683" spans="1:43" ht="15" customHeight="1" x14ac:dyDescent="0.3">
      <c r="A683" s="13"/>
      <c r="B683" s="1">
        <v>14</v>
      </c>
      <c r="C683" s="1">
        <v>120</v>
      </c>
      <c r="D683" s="1">
        <v>0</v>
      </c>
      <c r="E683" s="5">
        <v>1</v>
      </c>
      <c r="F683" s="3">
        <f t="shared" si="148"/>
        <v>14</v>
      </c>
      <c r="G683" s="5">
        <v>2</v>
      </c>
      <c r="H683" s="3">
        <f t="shared" si="135"/>
        <v>3.1415926535897931</v>
      </c>
      <c r="I683" s="4">
        <v>3.1415999999999999E-2</v>
      </c>
      <c r="K683" s="3">
        <v>141.03641688734155</v>
      </c>
      <c r="L683" s="3">
        <v>113.16068</v>
      </c>
      <c r="M683" s="3">
        <v>1011.98831</v>
      </c>
      <c r="N683" s="12">
        <f t="shared" si="121"/>
        <v>1.0000023384349969E-2</v>
      </c>
      <c r="O683" s="11">
        <f t="shared" si="122"/>
        <v>314.15999999999997</v>
      </c>
      <c r="P683" s="1">
        <v>10</v>
      </c>
      <c r="Q683" s="19">
        <v>1</v>
      </c>
      <c r="R683" s="3">
        <f>Q683*VLOOKUP(P683,[4]Datos!$A$2:$D$14,2)</f>
        <v>8.19</v>
      </c>
      <c r="S683" s="10">
        <f t="shared" si="136"/>
        <v>39</v>
      </c>
      <c r="T683" s="18">
        <v>39</v>
      </c>
      <c r="U683" s="3">
        <f t="shared" si="137"/>
        <v>0.14000000000000001</v>
      </c>
      <c r="V683" s="3"/>
      <c r="W683" s="1">
        <v>280</v>
      </c>
      <c r="X683" s="9">
        <v>2</v>
      </c>
      <c r="Y683" s="1">
        <v>4</v>
      </c>
      <c r="Z683" s="3">
        <f>X683*VLOOKUP(Y683,[4]Datos!$A$2:$D$14,2)</f>
        <v>2.58</v>
      </c>
      <c r="AA683" s="8">
        <v>0.3</v>
      </c>
      <c r="AB683" s="7">
        <f t="shared" si="123"/>
        <v>207.09423574274689</v>
      </c>
      <c r="AC683" s="7">
        <f t="shared" si="138"/>
        <v>47.081633547905106</v>
      </c>
      <c r="AD683" s="6" t="str">
        <f t="shared" si="124"/>
        <v>Cumple</v>
      </c>
      <c r="AE683" s="6"/>
      <c r="AH683" s="3"/>
    </row>
    <row r="684" spans="1:43" ht="15" customHeight="1" x14ac:dyDescent="0.3">
      <c r="A684" s="13"/>
      <c r="B684" s="1">
        <v>15</v>
      </c>
      <c r="C684" s="1">
        <v>122</v>
      </c>
      <c r="D684" s="1">
        <v>0</v>
      </c>
      <c r="E684" s="5">
        <v>1</v>
      </c>
      <c r="F684" s="3">
        <f t="shared" si="148"/>
        <v>15</v>
      </c>
      <c r="G684" s="5">
        <v>2</v>
      </c>
      <c r="H684" s="3">
        <f t="shared" si="135"/>
        <v>3.1415926535897931</v>
      </c>
      <c r="I684" s="4">
        <v>3.1415999999999999E-2</v>
      </c>
      <c r="K684" s="3">
        <v>141.03815630675976</v>
      </c>
      <c r="L684" s="3">
        <v>79.819010000000006</v>
      </c>
      <c r="M684" s="3">
        <v>911.57132999999999</v>
      </c>
      <c r="N684" s="12">
        <f t="shared" si="121"/>
        <v>1.0000023384349969E-2</v>
      </c>
      <c r="O684" s="11">
        <f t="shared" si="122"/>
        <v>314.15999999999997</v>
      </c>
      <c r="P684" s="1">
        <v>10</v>
      </c>
      <c r="Q684" s="19">
        <v>1</v>
      </c>
      <c r="R684" s="3">
        <f>Q684*VLOOKUP(P684,[4]Datos!$A$2:$D$14,2)</f>
        <v>8.19</v>
      </c>
      <c r="S684" s="10">
        <f t="shared" si="136"/>
        <v>39</v>
      </c>
      <c r="T684" s="18">
        <v>39</v>
      </c>
      <c r="U684" s="3">
        <f t="shared" si="137"/>
        <v>0.14000000000000001</v>
      </c>
      <c r="V684" s="3"/>
      <c r="W684" s="1">
        <v>280</v>
      </c>
      <c r="X684" s="9">
        <v>2</v>
      </c>
      <c r="Y684" s="1">
        <v>4</v>
      </c>
      <c r="Z684" s="3">
        <f>X684*VLOOKUP(Y684,[4]Datos!$A$2:$D$14,2)</f>
        <v>2.58</v>
      </c>
      <c r="AA684" s="8">
        <v>0.3</v>
      </c>
      <c r="AB684" s="7">
        <f t="shared" si="123"/>
        <v>207.09423574274689</v>
      </c>
      <c r="AC684" s="7">
        <f t="shared" si="138"/>
        <v>47.081633547905106</v>
      </c>
      <c r="AD684" s="6" t="str">
        <f t="shared" si="124"/>
        <v>Cumple</v>
      </c>
      <c r="AE684" s="6"/>
      <c r="AH684" s="3"/>
    </row>
    <row r="685" spans="1:43" ht="15" customHeight="1" x14ac:dyDescent="0.3">
      <c r="A685" s="13"/>
      <c r="B685" s="1">
        <v>16</v>
      </c>
      <c r="C685" s="1">
        <v>124</v>
      </c>
      <c r="D685" s="1">
        <v>0</v>
      </c>
      <c r="E685" s="5">
        <v>1</v>
      </c>
      <c r="F685" s="3">
        <f t="shared" si="148"/>
        <v>16</v>
      </c>
      <c r="G685" s="5">
        <v>2</v>
      </c>
      <c r="H685" s="3">
        <f t="shared" si="135"/>
        <v>3.1415926535897931</v>
      </c>
      <c r="I685" s="4">
        <v>3.1415999999999999E-2</v>
      </c>
      <c r="K685" s="3">
        <v>141.03987484300319</v>
      </c>
      <c r="L685" s="3">
        <v>84.217669999999998</v>
      </c>
      <c r="M685" s="3">
        <v>877.30920000000003</v>
      </c>
      <c r="N685" s="12">
        <f t="shared" si="121"/>
        <v>1.0000023384349969E-2</v>
      </c>
      <c r="O685" s="11">
        <f t="shared" si="122"/>
        <v>314.15999999999997</v>
      </c>
      <c r="P685" s="1">
        <v>10</v>
      </c>
      <c r="Q685" s="1">
        <v>1</v>
      </c>
      <c r="R685" s="3">
        <f>Q685*VLOOKUP(P685,[4]Datos!$A$2:$D$14,2)</f>
        <v>8.19</v>
      </c>
      <c r="S685" s="10">
        <f t="shared" si="136"/>
        <v>39</v>
      </c>
      <c r="T685" s="2">
        <v>39</v>
      </c>
      <c r="U685" s="3">
        <f t="shared" si="137"/>
        <v>0.14000000000000001</v>
      </c>
      <c r="V685" s="3"/>
      <c r="W685" s="1">
        <v>280</v>
      </c>
      <c r="X685" s="9">
        <v>2</v>
      </c>
      <c r="Y685" s="1">
        <v>4</v>
      </c>
      <c r="Z685" s="3">
        <f>X685*VLOOKUP(Y685,[4]Datos!$A$2:$D$14,2)</f>
        <v>2.58</v>
      </c>
      <c r="AA685" s="8">
        <v>0.3</v>
      </c>
      <c r="AB685" s="7">
        <f t="shared" si="123"/>
        <v>207.09423574274689</v>
      </c>
      <c r="AC685" s="7">
        <f t="shared" si="138"/>
        <v>47.081633547905106</v>
      </c>
      <c r="AD685" s="6" t="str">
        <f t="shared" si="124"/>
        <v>Cumple</v>
      </c>
      <c r="AE685" s="6"/>
      <c r="AH685" s="3"/>
    </row>
    <row r="686" spans="1:43" ht="15" customHeight="1" x14ac:dyDescent="0.3">
      <c r="A686" s="13"/>
      <c r="B686" s="1">
        <v>17</v>
      </c>
      <c r="C686" s="1">
        <v>126</v>
      </c>
      <c r="D686" s="1">
        <v>0</v>
      </c>
      <c r="E686" s="5">
        <v>1</v>
      </c>
      <c r="F686" s="3">
        <f t="shared" si="148"/>
        <v>17</v>
      </c>
      <c r="G686" s="5">
        <v>2</v>
      </c>
      <c r="H686" s="3">
        <f t="shared" si="135"/>
        <v>3.1415926535897931</v>
      </c>
      <c r="I686" s="4">
        <v>3.1415999999999999E-2</v>
      </c>
      <c r="K686" s="3">
        <v>141.04161426593217</v>
      </c>
      <c r="L686" s="3">
        <v>119.83936</v>
      </c>
      <c r="M686" s="3">
        <v>862.27239999999995</v>
      </c>
      <c r="N686" s="12">
        <f t="shared" si="121"/>
        <v>1.0000023384349969E-2</v>
      </c>
      <c r="O686" s="11">
        <f t="shared" si="122"/>
        <v>314.15999999999997</v>
      </c>
      <c r="P686" s="1">
        <v>10</v>
      </c>
      <c r="Q686" s="1">
        <v>1</v>
      </c>
      <c r="R686" s="3">
        <f>Q686*VLOOKUP(P686,[4]Datos!$A$2:$D$14,2)</f>
        <v>8.19</v>
      </c>
      <c r="S686" s="10">
        <f t="shared" si="136"/>
        <v>39</v>
      </c>
      <c r="T686" s="2">
        <v>39</v>
      </c>
      <c r="U686" s="3">
        <f t="shared" si="137"/>
        <v>0.14000000000000001</v>
      </c>
      <c r="V686" s="3"/>
      <c r="W686" s="1">
        <v>280</v>
      </c>
      <c r="X686" s="9">
        <v>2</v>
      </c>
      <c r="Y686" s="1">
        <v>4</v>
      </c>
      <c r="Z686" s="3">
        <f>X686*VLOOKUP(Y686,[4]Datos!$A$2:$D$14,2)</f>
        <v>2.58</v>
      </c>
      <c r="AA686" s="8">
        <v>0.3</v>
      </c>
      <c r="AB686" s="7">
        <f t="shared" si="123"/>
        <v>207.09423574274689</v>
      </c>
      <c r="AC686" s="7">
        <f t="shared" si="138"/>
        <v>47.081633547905106</v>
      </c>
      <c r="AD686" s="6" t="str">
        <f t="shared" si="124"/>
        <v>Cumple</v>
      </c>
      <c r="AE686" s="6"/>
      <c r="AH686" s="3"/>
    </row>
    <row r="687" spans="1:43" ht="15" customHeight="1" x14ac:dyDescent="0.3">
      <c r="A687" s="13"/>
      <c r="B687" s="1">
        <v>18</v>
      </c>
      <c r="C687" s="1">
        <v>128</v>
      </c>
      <c r="D687" s="1">
        <v>0</v>
      </c>
      <c r="E687" s="5">
        <v>1</v>
      </c>
      <c r="F687" s="3">
        <f t="shared" si="148"/>
        <v>18</v>
      </c>
      <c r="G687" s="5">
        <v>2</v>
      </c>
      <c r="H687" s="3">
        <f t="shared" si="135"/>
        <v>3.1415926535897931</v>
      </c>
      <c r="I687" s="4">
        <v>3.1415999999999999E-2</v>
      </c>
      <c r="K687" s="3">
        <v>141.04343060139314</v>
      </c>
      <c r="L687" s="3">
        <v>155.94754</v>
      </c>
      <c r="M687" s="3">
        <v>884.49612999999999</v>
      </c>
      <c r="N687" s="12">
        <f t="shared" si="121"/>
        <v>1.0000023384349969E-2</v>
      </c>
      <c r="O687" s="11">
        <f t="shared" si="122"/>
        <v>314.15999999999997</v>
      </c>
      <c r="P687" s="1">
        <v>10</v>
      </c>
      <c r="Q687" s="1">
        <v>1</v>
      </c>
      <c r="R687" s="3">
        <f>Q687*VLOOKUP(P687,[4]Datos!$A$2:$D$14,2)</f>
        <v>8.19</v>
      </c>
      <c r="S687" s="10">
        <f t="shared" si="136"/>
        <v>39</v>
      </c>
      <c r="T687" s="2">
        <v>39</v>
      </c>
      <c r="U687" s="3">
        <f t="shared" si="137"/>
        <v>0.14000000000000001</v>
      </c>
      <c r="V687" s="3"/>
      <c r="W687" s="1">
        <v>280</v>
      </c>
      <c r="X687" s="9">
        <v>2</v>
      </c>
      <c r="Y687" s="1">
        <v>4</v>
      </c>
      <c r="Z687" s="3">
        <f>X687*VLOOKUP(Y687,[4]Datos!$A$2:$D$14,2)</f>
        <v>2.58</v>
      </c>
      <c r="AA687" s="8">
        <v>0.3</v>
      </c>
      <c r="AB687" s="7">
        <f t="shared" si="123"/>
        <v>207.09423574274689</v>
      </c>
      <c r="AC687" s="7">
        <f t="shared" si="138"/>
        <v>47.081633547905106</v>
      </c>
      <c r="AD687" s="6" t="str">
        <f t="shared" si="124"/>
        <v>Cumple</v>
      </c>
      <c r="AE687" s="6"/>
      <c r="AH687" s="3"/>
    </row>
    <row r="688" spans="1:43" ht="15" customHeight="1" x14ac:dyDescent="0.3">
      <c r="A688" s="13"/>
      <c r="B688" s="1">
        <v>19</v>
      </c>
      <c r="C688" s="1">
        <v>130</v>
      </c>
      <c r="D688" s="1">
        <v>0</v>
      </c>
      <c r="E688" s="5">
        <v>1</v>
      </c>
      <c r="F688" s="3">
        <f t="shared" si="148"/>
        <v>19</v>
      </c>
      <c r="G688" s="5">
        <v>2</v>
      </c>
      <c r="H688" s="3">
        <f t="shared" si="135"/>
        <v>3.1415926535897931</v>
      </c>
      <c r="I688" s="4">
        <v>3.1415999999999999E-2</v>
      </c>
      <c r="K688" s="3">
        <v>141.04517002790277</v>
      </c>
      <c r="L688" s="3">
        <v>193.65967000000001</v>
      </c>
      <c r="M688" s="3">
        <v>938.81227000000001</v>
      </c>
      <c r="N688" s="12">
        <f t="shared" ref="N688:N751" si="149">I688/H688</f>
        <v>1.0000023384349969E-2</v>
      </c>
      <c r="O688" s="11">
        <f t="shared" ref="O688:O751" si="150">I688*10000</f>
        <v>314.15999999999997</v>
      </c>
      <c r="P688" s="1">
        <v>10</v>
      </c>
      <c r="Q688" s="1">
        <v>1</v>
      </c>
      <c r="R688" s="3">
        <f>Q688*VLOOKUP(P688,[4]Datos!$A$2:$D$14,2)</f>
        <v>8.19</v>
      </c>
      <c r="S688" s="10">
        <f t="shared" si="136"/>
        <v>39</v>
      </c>
      <c r="T688" s="2">
        <v>39</v>
      </c>
      <c r="U688" s="3">
        <f t="shared" si="137"/>
        <v>0.14000000000000001</v>
      </c>
      <c r="V688" s="3"/>
      <c r="W688" s="1">
        <v>280</v>
      </c>
      <c r="X688" s="9">
        <v>2</v>
      </c>
      <c r="Y688" s="1">
        <v>6</v>
      </c>
      <c r="Z688" s="3">
        <f>X688*VLOOKUP(Y688,[4]Datos!$A$2:$D$14,2)</f>
        <v>5.68</v>
      </c>
      <c r="AA688" s="8">
        <v>7.4999999999999997E-2</v>
      </c>
      <c r="AB688" s="7">
        <f t="shared" ref="AB688:AB751" si="151">IF(D688=0,0.9,0.5)*0.9*0.53*SQRT(W688)*G688*MAX(0.72*G688,0.9*((G688/2)+((G688-0.11)/PI())))*10</f>
        <v>207.09423574274689</v>
      </c>
      <c r="AC688" s="7">
        <f t="shared" si="138"/>
        <v>414.61035434434268</v>
      </c>
      <c r="AD688" s="6" t="str">
        <f t="shared" ref="AD688:AD751" si="152">+IF(AC688&gt;K688-AB688,"Cumple","No Cumple")</f>
        <v>Cumple</v>
      </c>
      <c r="AE688" s="6"/>
      <c r="AF688" s="5">
        <v>22</v>
      </c>
      <c r="AG688" s="7">
        <f t="shared" ref="AG688:AG691" si="153">ROUNDUP(MAX(0.45,G688,AF688/6),0)</f>
        <v>4</v>
      </c>
      <c r="AH688" s="3">
        <f t="shared" ref="AH688:AH698" si="154">PI()*(G688-0.15)^2/4</f>
        <v>2.6880252142277672</v>
      </c>
      <c r="AI688" s="7">
        <f>G688-0.15-VLOOKUP(Y688,[4]Datos!$A$2:$D$14,3)/100</f>
        <v>1.8309000000000002</v>
      </c>
      <c r="AJ688" s="7">
        <f t="shared" ref="AJ688:AJ698" si="155">SQRT((PI()*AI688)^2+AA688^2)</f>
        <v>5.7524309339691264</v>
      </c>
      <c r="AK688" s="1">
        <v>0.12</v>
      </c>
      <c r="AL688" s="16">
        <f t="shared" ref="AL688:AL698" si="156">MAX(0.45*(H688/AH688-1),AK688)*(W688/4220)</f>
        <v>7.9620853080568724E-3</v>
      </c>
      <c r="AM688" s="7">
        <f t="shared" ref="AM688:AM698" si="157">AG688*(AJ688/AA688)</f>
        <v>306.79631647835345</v>
      </c>
      <c r="AN688" s="17">
        <f t="shared" ref="AN688:AN698" si="158">AM688*Z688/X688/10000</f>
        <v>8.7130153879852373E-2</v>
      </c>
      <c r="AO688" s="17">
        <f t="shared" ref="AO688:AO698" si="159">AH688*AG688</f>
        <v>10.752100856911069</v>
      </c>
      <c r="AP688" s="16">
        <f t="shared" ref="AP688:AP698" si="160">AN688/AO688</f>
        <v>8.1035469290495175E-3</v>
      </c>
      <c r="AQ688" s="6" t="str">
        <f t="shared" ref="AQ688:AQ698" si="161">+IF(AP688&gt;AL688,"Cumple","No Cumple")</f>
        <v>Cumple</v>
      </c>
    </row>
    <row r="689" spans="1:43" ht="15" customHeight="1" x14ac:dyDescent="0.3">
      <c r="A689" s="13"/>
      <c r="B689" s="1">
        <v>20</v>
      </c>
      <c r="C689" s="1">
        <v>132</v>
      </c>
      <c r="D689" s="1">
        <v>0</v>
      </c>
      <c r="E689" s="5">
        <v>1</v>
      </c>
      <c r="F689" s="3">
        <f t="shared" si="148"/>
        <v>20</v>
      </c>
      <c r="G689" s="5">
        <v>2</v>
      </c>
      <c r="H689" s="3">
        <f t="shared" si="135"/>
        <v>3.1415926535897931</v>
      </c>
      <c r="I689" s="4">
        <v>3.1415999999999999E-2</v>
      </c>
      <c r="K689" s="3">
        <v>141.04698636784124</v>
      </c>
      <c r="L689" s="3">
        <v>233.59433999999999</v>
      </c>
      <c r="M689" s="3">
        <v>993.33698000000004</v>
      </c>
      <c r="N689" s="12">
        <f t="shared" si="149"/>
        <v>1.0000023384349969E-2</v>
      </c>
      <c r="O689" s="11">
        <f t="shared" si="150"/>
        <v>314.15999999999997</v>
      </c>
      <c r="P689" s="1">
        <v>10</v>
      </c>
      <c r="Q689" s="1">
        <v>1</v>
      </c>
      <c r="R689" s="3">
        <f>Q689*VLOOKUP(P689,[4]Datos!$A$2:$D$14,2)</f>
        <v>8.19</v>
      </c>
      <c r="S689" s="10">
        <f t="shared" si="136"/>
        <v>39</v>
      </c>
      <c r="T689" s="2">
        <v>39</v>
      </c>
      <c r="U689" s="3">
        <f t="shared" si="137"/>
        <v>0.14000000000000001</v>
      </c>
      <c r="V689" s="3"/>
      <c r="W689" s="1">
        <v>280</v>
      </c>
      <c r="X689" s="9">
        <v>2</v>
      </c>
      <c r="Y689" s="1">
        <v>6</v>
      </c>
      <c r="Z689" s="3">
        <f>X689*VLOOKUP(Y689,[4]Datos!$A$2:$D$14,2)</f>
        <v>5.68</v>
      </c>
      <c r="AA689" s="8">
        <v>7.4999999999999997E-2</v>
      </c>
      <c r="AB689" s="7">
        <f t="shared" si="151"/>
        <v>207.09423574274689</v>
      </c>
      <c r="AC689" s="7">
        <f t="shared" si="138"/>
        <v>414.61035434434268</v>
      </c>
      <c r="AD689" s="6" t="str">
        <f t="shared" si="152"/>
        <v>Cumple</v>
      </c>
      <c r="AE689" s="6"/>
      <c r="AF689" s="5">
        <v>22</v>
      </c>
      <c r="AG689" s="7">
        <f t="shared" si="153"/>
        <v>4</v>
      </c>
      <c r="AH689" s="3">
        <f t="shared" si="154"/>
        <v>2.6880252142277672</v>
      </c>
      <c r="AI689" s="7">
        <f>G689-0.15-VLOOKUP(Y689,[4]Datos!$A$2:$D$14,3)/100</f>
        <v>1.8309000000000002</v>
      </c>
      <c r="AJ689" s="7">
        <f t="shared" si="155"/>
        <v>5.7524309339691264</v>
      </c>
      <c r="AK689" s="1">
        <v>0.12</v>
      </c>
      <c r="AL689" s="16">
        <f t="shared" si="156"/>
        <v>7.9620853080568724E-3</v>
      </c>
      <c r="AM689" s="7">
        <f t="shared" si="157"/>
        <v>306.79631647835345</v>
      </c>
      <c r="AN689" s="17">
        <f t="shared" si="158"/>
        <v>8.7130153879852373E-2</v>
      </c>
      <c r="AO689" s="17">
        <f t="shared" si="159"/>
        <v>10.752100856911069</v>
      </c>
      <c r="AP689" s="16">
        <f t="shared" si="160"/>
        <v>8.1035469290495175E-3</v>
      </c>
      <c r="AQ689" s="6" t="str">
        <f t="shared" si="161"/>
        <v>Cumple</v>
      </c>
    </row>
    <row r="690" spans="1:43" ht="15" customHeight="1" x14ac:dyDescent="0.3">
      <c r="A690" s="13"/>
      <c r="B690" s="1">
        <v>21</v>
      </c>
      <c r="C690" s="1">
        <v>134</v>
      </c>
      <c r="D690" s="1">
        <v>0</v>
      </c>
      <c r="E690" s="5">
        <v>1</v>
      </c>
      <c r="F690" s="3">
        <f t="shared" si="148"/>
        <v>21</v>
      </c>
      <c r="G690" s="5">
        <v>2</v>
      </c>
      <c r="H690" s="3">
        <f t="shared" si="135"/>
        <v>3.1415926535897931</v>
      </c>
      <c r="I690" s="4">
        <v>3.1415999999999999E-2</v>
      </c>
      <c r="K690" s="3">
        <v>141.04872579793124</v>
      </c>
      <c r="L690" s="3">
        <v>273.54734000000002</v>
      </c>
      <c r="M690" s="3">
        <v>1047.9929099999999</v>
      </c>
      <c r="N690" s="12">
        <f t="shared" si="149"/>
        <v>1.0000023384349969E-2</v>
      </c>
      <c r="O690" s="11">
        <f t="shared" si="150"/>
        <v>314.15999999999997</v>
      </c>
      <c r="P690" s="1">
        <v>10</v>
      </c>
      <c r="Q690" s="1">
        <v>1</v>
      </c>
      <c r="R690" s="3">
        <f>Q690*VLOOKUP(P690,[4]Datos!$A$2:$D$14,2)</f>
        <v>8.19</v>
      </c>
      <c r="S690" s="10">
        <f t="shared" si="136"/>
        <v>39</v>
      </c>
      <c r="T690" s="2">
        <v>39</v>
      </c>
      <c r="U690" s="3">
        <f t="shared" si="137"/>
        <v>0.14000000000000001</v>
      </c>
      <c r="V690" s="3"/>
      <c r="W690" s="1">
        <v>280</v>
      </c>
      <c r="X690" s="9">
        <v>2</v>
      </c>
      <c r="Y690" s="1">
        <v>6</v>
      </c>
      <c r="Z690" s="3">
        <f>X690*VLOOKUP(Y690,[4]Datos!$A$2:$D$14,2)</f>
        <v>5.68</v>
      </c>
      <c r="AA690" s="8">
        <v>7.4999999999999997E-2</v>
      </c>
      <c r="AB690" s="7">
        <f t="shared" si="151"/>
        <v>207.09423574274689</v>
      </c>
      <c r="AC690" s="7">
        <f t="shared" si="138"/>
        <v>414.61035434434268</v>
      </c>
      <c r="AD690" s="6" t="str">
        <f t="shared" si="152"/>
        <v>Cumple</v>
      </c>
      <c r="AE690" s="6"/>
      <c r="AF690" s="5">
        <v>22</v>
      </c>
      <c r="AG690" s="7">
        <f t="shared" si="153"/>
        <v>4</v>
      </c>
      <c r="AH690" s="3">
        <f t="shared" si="154"/>
        <v>2.6880252142277672</v>
      </c>
      <c r="AI690" s="7">
        <f>G690-0.15-VLOOKUP(Y690,[4]Datos!$A$2:$D$14,3)/100</f>
        <v>1.8309000000000002</v>
      </c>
      <c r="AJ690" s="7">
        <f t="shared" si="155"/>
        <v>5.7524309339691264</v>
      </c>
      <c r="AK690" s="1">
        <v>0.12</v>
      </c>
      <c r="AL690" s="16">
        <f t="shared" si="156"/>
        <v>7.9620853080568724E-3</v>
      </c>
      <c r="AM690" s="7">
        <f t="shared" si="157"/>
        <v>306.79631647835345</v>
      </c>
      <c r="AN690" s="17">
        <f t="shared" si="158"/>
        <v>8.7130153879852373E-2</v>
      </c>
      <c r="AO690" s="17">
        <f t="shared" si="159"/>
        <v>10.752100856911069</v>
      </c>
      <c r="AP690" s="16">
        <f t="shared" si="160"/>
        <v>8.1035469290495175E-3</v>
      </c>
      <c r="AQ690" s="6" t="str">
        <f t="shared" si="161"/>
        <v>Cumple</v>
      </c>
    </row>
    <row r="691" spans="1:43" ht="15" customHeight="1" x14ac:dyDescent="0.3">
      <c r="A691" s="13"/>
      <c r="B691" s="1">
        <v>22</v>
      </c>
      <c r="C691" s="1">
        <v>135</v>
      </c>
      <c r="D691" s="1">
        <v>0</v>
      </c>
      <c r="E691" s="5">
        <v>1</v>
      </c>
      <c r="F691" s="3">
        <f t="shared" si="148"/>
        <v>22</v>
      </c>
      <c r="G691" s="5">
        <v>2</v>
      </c>
      <c r="H691" s="3">
        <f t="shared" si="135"/>
        <v>3.1415926535897931</v>
      </c>
      <c r="I691" s="4">
        <v>3.1415999999999999E-2</v>
      </c>
      <c r="K691" s="3">
        <v>141.05054214234696</v>
      </c>
      <c r="L691" s="3">
        <v>313.49065000000002</v>
      </c>
      <c r="M691" s="3">
        <v>1102.7149300000001</v>
      </c>
      <c r="N691" s="12">
        <f t="shared" si="149"/>
        <v>1.0000023384349969E-2</v>
      </c>
      <c r="O691" s="11">
        <f t="shared" si="150"/>
        <v>314.15999999999997</v>
      </c>
      <c r="P691" s="1">
        <v>10</v>
      </c>
      <c r="Q691" s="19">
        <v>2</v>
      </c>
      <c r="R691" s="3">
        <f>Q691*VLOOKUP(P691,[4]Datos!$A$2:$D$14,2)</f>
        <v>16.38</v>
      </c>
      <c r="S691" s="10">
        <f t="shared" si="136"/>
        <v>20</v>
      </c>
      <c r="T691" s="18">
        <v>52</v>
      </c>
      <c r="U691" s="3">
        <f t="shared" si="137"/>
        <v>0.1</v>
      </c>
      <c r="V691" s="3"/>
      <c r="W691" s="1">
        <v>280</v>
      </c>
      <c r="X691" s="9">
        <v>2</v>
      </c>
      <c r="Y691" s="1">
        <v>6</v>
      </c>
      <c r="Z691" s="3">
        <f>X691*VLOOKUP(Y691,[4]Datos!$A$2:$D$14,2)</f>
        <v>5.68</v>
      </c>
      <c r="AA691" s="8">
        <v>7.4999999999999997E-2</v>
      </c>
      <c r="AB691" s="7">
        <f t="shared" si="151"/>
        <v>207.09423574274689</v>
      </c>
      <c r="AC691" s="7">
        <f t="shared" si="138"/>
        <v>414.61035434434268</v>
      </c>
      <c r="AD691" s="6" t="str">
        <f t="shared" si="152"/>
        <v>Cumple</v>
      </c>
      <c r="AE691" s="6"/>
      <c r="AF691" s="5">
        <v>22</v>
      </c>
      <c r="AG691" s="7">
        <f t="shared" si="153"/>
        <v>4</v>
      </c>
      <c r="AH691" s="3">
        <f t="shared" si="154"/>
        <v>2.6880252142277672</v>
      </c>
      <c r="AI691" s="7">
        <f>G691-0.15-VLOOKUP(Y691,[4]Datos!$A$2:$D$14,3)/100</f>
        <v>1.8309000000000002</v>
      </c>
      <c r="AJ691" s="7">
        <f t="shared" si="155"/>
        <v>5.7524309339691264</v>
      </c>
      <c r="AK691" s="1">
        <v>0.12</v>
      </c>
      <c r="AL691" s="16">
        <f t="shared" si="156"/>
        <v>7.9620853080568724E-3</v>
      </c>
      <c r="AM691" s="7">
        <f t="shared" si="157"/>
        <v>306.79631647835345</v>
      </c>
      <c r="AN691" s="17">
        <f t="shared" si="158"/>
        <v>8.7130153879852373E-2</v>
      </c>
      <c r="AO691" s="17">
        <f t="shared" si="159"/>
        <v>10.752100856911069</v>
      </c>
      <c r="AP691" s="16">
        <f t="shared" si="160"/>
        <v>8.1035469290495175E-3</v>
      </c>
      <c r="AQ691" s="6" t="str">
        <f t="shared" si="161"/>
        <v>Cumple</v>
      </c>
    </row>
    <row r="692" spans="1:43" ht="15" customHeight="1" x14ac:dyDescent="0.3">
      <c r="A692" s="13"/>
      <c r="B692" s="1">
        <v>23</v>
      </c>
      <c r="C692" s="1">
        <v>335</v>
      </c>
      <c r="D692" s="1">
        <v>1</v>
      </c>
      <c r="E692" s="5">
        <v>1</v>
      </c>
      <c r="F692" s="3">
        <f t="shared" si="148"/>
        <v>23</v>
      </c>
      <c r="G692" s="5">
        <v>2</v>
      </c>
      <c r="H692" s="3">
        <f t="shared" si="135"/>
        <v>3.1415926535897931</v>
      </c>
      <c r="I692" s="4">
        <v>7.7667E-2</v>
      </c>
      <c r="K692" s="3">
        <v>141.07760637563996</v>
      </c>
      <c r="L692" s="3">
        <v>694.66480000000001</v>
      </c>
      <c r="M692" s="3">
        <v>2072.1221399999999</v>
      </c>
      <c r="N692" s="12">
        <f t="shared" si="149"/>
        <v>2.4722173930236471E-2</v>
      </c>
      <c r="O692" s="11">
        <f t="shared" si="150"/>
        <v>776.67</v>
      </c>
      <c r="P692" s="1">
        <v>10</v>
      </c>
      <c r="Q692" s="19">
        <v>2</v>
      </c>
      <c r="R692" s="3">
        <f>Q692*VLOOKUP(P692,[4]Datos!$A$2:$D$14,2)</f>
        <v>16.38</v>
      </c>
      <c r="S692" s="10">
        <f t="shared" si="136"/>
        <v>48</v>
      </c>
      <c r="T692" s="18">
        <v>52</v>
      </c>
      <c r="U692" s="3">
        <f t="shared" si="137"/>
        <v>0.1</v>
      </c>
      <c r="V692" s="3"/>
      <c r="W692" s="1">
        <v>280</v>
      </c>
      <c r="X692" s="9">
        <v>2</v>
      </c>
      <c r="Y692" s="1">
        <v>6</v>
      </c>
      <c r="Z692" s="3">
        <f>X692*VLOOKUP(Y692,[4]Datos!$A$2:$D$14,2)</f>
        <v>5.68</v>
      </c>
      <c r="AA692" s="8">
        <v>7.4999999999999997E-2</v>
      </c>
      <c r="AB692" s="7">
        <f t="shared" si="151"/>
        <v>115.05235319041492</v>
      </c>
      <c r="AC692" s="7">
        <f t="shared" si="138"/>
        <v>414.61035434434268</v>
      </c>
      <c r="AD692" s="6" t="str">
        <f t="shared" si="152"/>
        <v>Cumple</v>
      </c>
      <c r="AE692" s="6"/>
      <c r="AG692" s="7">
        <f>ROUNDUP(MAX(0.45,3*G692,),0)</f>
        <v>6</v>
      </c>
      <c r="AH692" s="3">
        <f t="shared" si="154"/>
        <v>2.6880252142277672</v>
      </c>
      <c r="AI692" s="7">
        <f>G692-0.15-VLOOKUP(Y692,[4]Datos!$A$2:$D$14,3)/100</f>
        <v>1.8309000000000002</v>
      </c>
      <c r="AJ692" s="7">
        <f t="shared" si="155"/>
        <v>5.7524309339691264</v>
      </c>
      <c r="AK692" s="1">
        <v>0.12</v>
      </c>
      <c r="AL692" s="16">
        <f t="shared" si="156"/>
        <v>7.9620853080568724E-3</v>
      </c>
      <c r="AM692" s="7">
        <f t="shared" si="157"/>
        <v>460.19447471753017</v>
      </c>
      <c r="AN692" s="17">
        <f t="shared" si="158"/>
        <v>0.13069523081977857</v>
      </c>
      <c r="AO692" s="17">
        <f t="shared" si="159"/>
        <v>16.128151285366602</v>
      </c>
      <c r="AP692" s="16">
        <f t="shared" si="160"/>
        <v>8.1035469290495193E-3</v>
      </c>
      <c r="AQ692" s="6" t="str">
        <f t="shared" si="161"/>
        <v>Cumple</v>
      </c>
    </row>
    <row r="693" spans="1:43" ht="15" customHeight="1" x14ac:dyDescent="0.3">
      <c r="A693" s="13"/>
      <c r="B693" s="1">
        <v>24</v>
      </c>
      <c r="C693" s="1">
        <v>337</v>
      </c>
      <c r="D693" s="1">
        <v>1</v>
      </c>
      <c r="E693" s="5">
        <v>1</v>
      </c>
      <c r="F693" s="3">
        <f t="shared" si="148"/>
        <v>24</v>
      </c>
      <c r="G693" s="5">
        <v>2</v>
      </c>
      <c r="H693" s="3">
        <f t="shared" si="135"/>
        <v>3.1415926535897931</v>
      </c>
      <c r="I693" s="4">
        <v>8.1327999999999998E-2</v>
      </c>
      <c r="K693" s="3">
        <v>132.61077406278122</v>
      </c>
      <c r="L693" s="3">
        <v>769.83797000000004</v>
      </c>
      <c r="M693" s="3">
        <v>2159.66966</v>
      </c>
      <c r="N693" s="12">
        <f t="shared" si="149"/>
        <v>2.5887506423555327E-2</v>
      </c>
      <c r="O693" s="11">
        <f t="shared" si="150"/>
        <v>813.28</v>
      </c>
      <c r="P693" s="1">
        <v>10</v>
      </c>
      <c r="Q693" s="19">
        <v>2</v>
      </c>
      <c r="R693" s="3">
        <f>Q693*VLOOKUP(P693,[4]Datos!$A$2:$D$14,2)</f>
        <v>16.38</v>
      </c>
      <c r="S693" s="10">
        <f t="shared" si="136"/>
        <v>50</v>
      </c>
      <c r="T693" s="18">
        <v>52</v>
      </c>
      <c r="U693" s="3">
        <f t="shared" si="137"/>
        <v>0.1</v>
      </c>
      <c r="V693" s="3"/>
      <c r="W693" s="1">
        <v>280</v>
      </c>
      <c r="X693" s="9">
        <v>2</v>
      </c>
      <c r="Y693" s="1">
        <v>6</v>
      </c>
      <c r="Z693" s="3">
        <f>X693*VLOOKUP(Y693,[4]Datos!$A$2:$D$14,2)</f>
        <v>5.68</v>
      </c>
      <c r="AA693" s="8">
        <v>7.4999999999999997E-2</v>
      </c>
      <c r="AB693" s="7">
        <f t="shared" si="151"/>
        <v>115.05235319041492</v>
      </c>
      <c r="AC693" s="7">
        <f t="shared" si="138"/>
        <v>414.61035434434268</v>
      </c>
      <c r="AD693" s="6" t="str">
        <f t="shared" si="152"/>
        <v>Cumple</v>
      </c>
      <c r="AE693" s="6"/>
      <c r="AG693" s="7">
        <f t="shared" ref="AG693:AG698" si="162">ROUNDUP(MAX(0.45,3*G693,),0)</f>
        <v>6</v>
      </c>
      <c r="AH693" s="3">
        <f t="shared" si="154"/>
        <v>2.6880252142277672</v>
      </c>
      <c r="AI693" s="7">
        <f>G693-0.15-VLOOKUP(Y693,[4]Datos!$A$2:$D$14,3)/100</f>
        <v>1.8309000000000002</v>
      </c>
      <c r="AJ693" s="7">
        <f t="shared" si="155"/>
        <v>5.7524309339691264</v>
      </c>
      <c r="AK693" s="1">
        <v>0.12</v>
      </c>
      <c r="AL693" s="16">
        <f t="shared" si="156"/>
        <v>7.9620853080568724E-3</v>
      </c>
      <c r="AM693" s="7">
        <f t="shared" si="157"/>
        <v>460.19447471753017</v>
      </c>
      <c r="AN693" s="17">
        <f t="shared" si="158"/>
        <v>0.13069523081977857</v>
      </c>
      <c r="AO693" s="17">
        <f t="shared" si="159"/>
        <v>16.128151285366602</v>
      </c>
      <c r="AP693" s="16">
        <f t="shared" si="160"/>
        <v>8.1035469290495193E-3</v>
      </c>
      <c r="AQ693" s="6" t="str">
        <f t="shared" si="161"/>
        <v>Cumple</v>
      </c>
    </row>
    <row r="694" spans="1:43" ht="15" customHeight="1" x14ac:dyDescent="0.3">
      <c r="A694" s="13"/>
      <c r="B694" s="1">
        <v>25</v>
      </c>
      <c r="C694" s="1">
        <v>339</v>
      </c>
      <c r="D694" s="1">
        <v>1</v>
      </c>
      <c r="E694" s="5">
        <v>1</v>
      </c>
      <c r="F694" s="3">
        <f t="shared" si="148"/>
        <v>25</v>
      </c>
      <c r="G694" s="5">
        <v>2</v>
      </c>
      <c r="H694" s="3">
        <f t="shared" si="135"/>
        <v>3.1415926535897931</v>
      </c>
      <c r="I694" s="4">
        <v>8.4170999999999996E-2</v>
      </c>
      <c r="K694" s="3">
        <v>119.61702899813221</v>
      </c>
      <c r="L694" s="3">
        <v>838.63822000000005</v>
      </c>
      <c r="M694" s="3">
        <v>2233.5750400000002</v>
      </c>
      <c r="N694" s="12">
        <f t="shared" si="149"/>
        <v>2.6792461429975843E-2</v>
      </c>
      <c r="O694" s="11">
        <f t="shared" si="150"/>
        <v>841.70999999999992</v>
      </c>
      <c r="P694" s="1">
        <v>10</v>
      </c>
      <c r="Q694" s="1">
        <v>2</v>
      </c>
      <c r="R694" s="3">
        <f>Q694*VLOOKUP(P694,[4]Datos!$A$2:$D$14,2)</f>
        <v>16.38</v>
      </c>
      <c r="S694" s="10">
        <f t="shared" si="136"/>
        <v>52</v>
      </c>
      <c r="T694" s="2">
        <v>52</v>
      </c>
      <c r="U694" s="3">
        <f t="shared" si="137"/>
        <v>0.1</v>
      </c>
      <c r="V694" s="3"/>
      <c r="W694" s="1">
        <v>280</v>
      </c>
      <c r="X694" s="9">
        <v>2</v>
      </c>
      <c r="Y694" s="1">
        <v>6</v>
      </c>
      <c r="Z694" s="3">
        <f>X694*VLOOKUP(Y694,[4]Datos!$A$2:$D$14,2)</f>
        <v>5.68</v>
      </c>
      <c r="AA694" s="8">
        <v>7.4999999999999997E-2</v>
      </c>
      <c r="AB694" s="7">
        <f t="shared" si="151"/>
        <v>115.05235319041492</v>
      </c>
      <c r="AC694" s="7">
        <f t="shared" si="138"/>
        <v>414.61035434434268</v>
      </c>
      <c r="AD694" s="6" t="str">
        <f t="shared" si="152"/>
        <v>Cumple</v>
      </c>
      <c r="AE694" s="6"/>
      <c r="AG694" s="7">
        <f t="shared" si="162"/>
        <v>6</v>
      </c>
      <c r="AH694" s="3">
        <f t="shared" si="154"/>
        <v>2.6880252142277672</v>
      </c>
      <c r="AI694" s="7">
        <f>G694-0.15-VLOOKUP(Y694,[4]Datos!$A$2:$D$14,3)/100</f>
        <v>1.8309000000000002</v>
      </c>
      <c r="AJ694" s="7">
        <f t="shared" si="155"/>
        <v>5.7524309339691264</v>
      </c>
      <c r="AK694" s="1">
        <v>0.12</v>
      </c>
      <c r="AL694" s="16">
        <f t="shared" si="156"/>
        <v>7.9620853080568724E-3</v>
      </c>
      <c r="AM694" s="7">
        <f t="shared" si="157"/>
        <v>460.19447471753017</v>
      </c>
      <c r="AN694" s="17">
        <f t="shared" si="158"/>
        <v>0.13069523081977857</v>
      </c>
      <c r="AO694" s="17">
        <f t="shared" si="159"/>
        <v>16.128151285366602</v>
      </c>
      <c r="AP694" s="16">
        <f t="shared" si="160"/>
        <v>8.1035469290495193E-3</v>
      </c>
      <c r="AQ694" s="6" t="str">
        <f t="shared" si="161"/>
        <v>Cumple</v>
      </c>
    </row>
    <row r="695" spans="1:43" ht="15" customHeight="1" x14ac:dyDescent="0.3">
      <c r="A695" s="13"/>
      <c r="B695" s="1">
        <v>26</v>
      </c>
      <c r="C695" s="1">
        <v>341</v>
      </c>
      <c r="D695" s="1">
        <v>1</v>
      </c>
      <c r="E695" s="5">
        <v>1</v>
      </c>
      <c r="F695" s="3">
        <f t="shared" si="148"/>
        <v>26</v>
      </c>
      <c r="G695" s="5">
        <v>2</v>
      </c>
      <c r="H695" s="3">
        <f t="shared" si="135"/>
        <v>3.1415926535897931</v>
      </c>
      <c r="I695" s="4">
        <v>8.4170999999999996E-2</v>
      </c>
      <c r="K695" s="3">
        <v>67.17630577108271</v>
      </c>
      <c r="L695" s="3">
        <v>871.82203000000004</v>
      </c>
      <c r="M695" s="3">
        <v>2249.0625100000002</v>
      </c>
      <c r="N695" s="12">
        <f t="shared" si="149"/>
        <v>2.6792461429975843E-2</v>
      </c>
      <c r="O695" s="11">
        <f t="shared" si="150"/>
        <v>841.70999999999992</v>
      </c>
      <c r="P695" s="1">
        <v>10</v>
      </c>
      <c r="Q695" s="1">
        <v>2</v>
      </c>
      <c r="R695" s="3">
        <f>Q695*VLOOKUP(P695,[4]Datos!$A$2:$D$14,2)</f>
        <v>16.38</v>
      </c>
      <c r="S695" s="10">
        <f t="shared" si="136"/>
        <v>52</v>
      </c>
      <c r="T695" s="2">
        <v>52</v>
      </c>
      <c r="U695" s="3">
        <f t="shared" si="137"/>
        <v>0.1</v>
      </c>
      <c r="V695" s="3"/>
      <c r="W695" s="1">
        <v>280</v>
      </c>
      <c r="X695" s="9">
        <v>2</v>
      </c>
      <c r="Y695" s="1">
        <v>6</v>
      </c>
      <c r="Z695" s="3">
        <f>X695*VLOOKUP(Y695,[4]Datos!$A$2:$D$14,2)</f>
        <v>5.68</v>
      </c>
      <c r="AA695" s="8">
        <v>7.4999999999999997E-2</v>
      </c>
      <c r="AB695" s="7">
        <f t="shared" si="151"/>
        <v>115.05235319041492</v>
      </c>
      <c r="AC695" s="7">
        <f t="shared" si="138"/>
        <v>414.61035434434268</v>
      </c>
      <c r="AD695" s="6" t="str">
        <f t="shared" si="152"/>
        <v>Cumple</v>
      </c>
      <c r="AE695" s="6"/>
      <c r="AG695" s="7">
        <f t="shared" si="162"/>
        <v>6</v>
      </c>
      <c r="AH695" s="3">
        <f t="shared" si="154"/>
        <v>2.6880252142277672</v>
      </c>
      <c r="AI695" s="7">
        <f>G695-0.15-VLOOKUP(Y695,[4]Datos!$A$2:$D$14,3)/100</f>
        <v>1.8309000000000002</v>
      </c>
      <c r="AJ695" s="7">
        <f t="shared" si="155"/>
        <v>5.7524309339691264</v>
      </c>
      <c r="AK695" s="1">
        <v>0.12</v>
      </c>
      <c r="AL695" s="16">
        <f t="shared" si="156"/>
        <v>7.9620853080568724E-3</v>
      </c>
      <c r="AM695" s="7">
        <f t="shared" si="157"/>
        <v>460.19447471753017</v>
      </c>
      <c r="AN695" s="17">
        <f t="shared" si="158"/>
        <v>0.13069523081977857</v>
      </c>
      <c r="AO695" s="17">
        <f t="shared" si="159"/>
        <v>16.128151285366602</v>
      </c>
      <c r="AP695" s="16">
        <f t="shared" si="160"/>
        <v>8.1035469290495193E-3</v>
      </c>
      <c r="AQ695" s="6" t="str">
        <f t="shared" si="161"/>
        <v>Cumple</v>
      </c>
    </row>
    <row r="696" spans="1:43" ht="15" customHeight="1" x14ac:dyDescent="0.3">
      <c r="A696" s="13"/>
      <c r="B696" s="1">
        <v>27</v>
      </c>
      <c r="C696" s="1">
        <v>343</v>
      </c>
      <c r="D696" s="1">
        <v>1</v>
      </c>
      <c r="E696" s="5">
        <v>1</v>
      </c>
      <c r="F696" s="3">
        <f t="shared" si="148"/>
        <v>27</v>
      </c>
      <c r="G696" s="5">
        <v>2</v>
      </c>
      <c r="H696" s="3">
        <f t="shared" si="135"/>
        <v>3.1415926535897931</v>
      </c>
      <c r="I696" s="4">
        <v>8.3919999999999995E-2</v>
      </c>
      <c r="K696" s="3">
        <v>95.30175351471766</v>
      </c>
      <c r="L696" s="3">
        <v>871.82203000000004</v>
      </c>
      <c r="M696" s="3">
        <v>2249.0625100000002</v>
      </c>
      <c r="N696" s="12">
        <f t="shared" si="149"/>
        <v>2.6712565648543712E-2</v>
      </c>
      <c r="O696" s="11">
        <f t="shared" si="150"/>
        <v>839.19999999999993</v>
      </c>
      <c r="P696" s="1">
        <v>10</v>
      </c>
      <c r="Q696" s="1">
        <v>2</v>
      </c>
      <c r="R696" s="3">
        <f>Q696*VLOOKUP(P696,[4]Datos!$A$2:$D$14,2)</f>
        <v>16.38</v>
      </c>
      <c r="S696" s="10">
        <f t="shared" si="136"/>
        <v>52</v>
      </c>
      <c r="T696" s="2">
        <v>52</v>
      </c>
      <c r="U696" s="3">
        <f t="shared" si="137"/>
        <v>0.1</v>
      </c>
      <c r="V696" s="3"/>
      <c r="W696" s="1">
        <v>280</v>
      </c>
      <c r="X696" s="9">
        <v>2</v>
      </c>
      <c r="Y696" s="1">
        <v>6</v>
      </c>
      <c r="Z696" s="3">
        <f>X696*VLOOKUP(Y696,[4]Datos!$A$2:$D$14,2)</f>
        <v>5.68</v>
      </c>
      <c r="AA696" s="8">
        <v>7.4999999999999997E-2</v>
      </c>
      <c r="AB696" s="7">
        <f t="shared" si="151"/>
        <v>115.05235319041492</v>
      </c>
      <c r="AC696" s="7">
        <f t="shared" si="138"/>
        <v>414.61035434434268</v>
      </c>
      <c r="AD696" s="6" t="str">
        <f t="shared" si="152"/>
        <v>Cumple</v>
      </c>
      <c r="AE696" s="6"/>
      <c r="AG696" s="7">
        <f t="shared" si="162"/>
        <v>6</v>
      </c>
      <c r="AH696" s="3">
        <f t="shared" si="154"/>
        <v>2.6880252142277672</v>
      </c>
      <c r="AI696" s="7">
        <f>G696-0.15-VLOOKUP(Y696,[4]Datos!$A$2:$D$14,3)/100</f>
        <v>1.8309000000000002</v>
      </c>
      <c r="AJ696" s="7">
        <f t="shared" si="155"/>
        <v>5.7524309339691264</v>
      </c>
      <c r="AK696" s="1">
        <v>0.12</v>
      </c>
      <c r="AL696" s="16">
        <f t="shared" si="156"/>
        <v>7.9620853080568724E-3</v>
      </c>
      <c r="AM696" s="7">
        <f t="shared" si="157"/>
        <v>460.19447471753017</v>
      </c>
      <c r="AN696" s="17">
        <f t="shared" si="158"/>
        <v>0.13069523081977857</v>
      </c>
      <c r="AO696" s="17">
        <f t="shared" si="159"/>
        <v>16.128151285366602</v>
      </c>
      <c r="AP696" s="16">
        <f t="shared" si="160"/>
        <v>8.1035469290495193E-3</v>
      </c>
      <c r="AQ696" s="6" t="str">
        <f t="shared" si="161"/>
        <v>Cumple</v>
      </c>
    </row>
    <row r="697" spans="1:43" ht="15" customHeight="1" x14ac:dyDescent="0.3">
      <c r="A697" s="13"/>
      <c r="B697" s="1">
        <v>28</v>
      </c>
      <c r="C697" s="1">
        <v>345</v>
      </c>
      <c r="D697" s="1">
        <v>1</v>
      </c>
      <c r="E697" s="5">
        <v>1</v>
      </c>
      <c r="F697" s="3">
        <f t="shared" si="148"/>
        <v>28</v>
      </c>
      <c r="G697" s="5">
        <v>2</v>
      </c>
      <c r="H697" s="3">
        <f t="shared" si="135"/>
        <v>3.1415926535897931</v>
      </c>
      <c r="I697" s="4">
        <v>8.0581E-2</v>
      </c>
      <c r="K697" s="3">
        <v>151.98508505919258</v>
      </c>
      <c r="L697" s="3">
        <v>869.61167999999998</v>
      </c>
      <c r="M697" s="3">
        <v>2194.3988599999998</v>
      </c>
      <c r="N697" s="12">
        <f t="shared" si="149"/>
        <v>2.5649728938576036E-2</v>
      </c>
      <c r="O697" s="11">
        <f t="shared" si="150"/>
        <v>805.81</v>
      </c>
      <c r="P697" s="1">
        <v>10</v>
      </c>
      <c r="Q697" s="1">
        <v>2</v>
      </c>
      <c r="R697" s="3">
        <f>Q697*VLOOKUP(P697,[4]Datos!$A$2:$D$14,2)</f>
        <v>16.38</v>
      </c>
      <c r="S697" s="10">
        <f t="shared" si="136"/>
        <v>50</v>
      </c>
      <c r="T697" s="2">
        <v>52</v>
      </c>
      <c r="U697" s="3">
        <f t="shared" si="137"/>
        <v>0.1</v>
      </c>
      <c r="V697" s="3"/>
      <c r="W697" s="1">
        <v>280</v>
      </c>
      <c r="X697" s="9">
        <v>2</v>
      </c>
      <c r="Y697" s="1">
        <v>6</v>
      </c>
      <c r="Z697" s="3">
        <f>X697*VLOOKUP(Y697,[4]Datos!$A$2:$D$14,2)</f>
        <v>5.68</v>
      </c>
      <c r="AA697" s="8">
        <v>7.4999999999999997E-2</v>
      </c>
      <c r="AB697" s="7">
        <f t="shared" si="151"/>
        <v>115.05235319041492</v>
      </c>
      <c r="AC697" s="7">
        <f t="shared" si="138"/>
        <v>414.61035434434268</v>
      </c>
      <c r="AD697" s="6" t="str">
        <f t="shared" si="152"/>
        <v>Cumple</v>
      </c>
      <c r="AE697" s="6"/>
      <c r="AG697" s="7">
        <f t="shared" si="162"/>
        <v>6</v>
      </c>
      <c r="AH697" s="3">
        <f t="shared" si="154"/>
        <v>2.6880252142277672</v>
      </c>
      <c r="AI697" s="7">
        <f>G697-0.15-VLOOKUP(Y697,[4]Datos!$A$2:$D$14,3)/100</f>
        <v>1.8309000000000002</v>
      </c>
      <c r="AJ697" s="7">
        <f t="shared" si="155"/>
        <v>5.7524309339691264</v>
      </c>
      <c r="AK697" s="1">
        <v>0.12</v>
      </c>
      <c r="AL697" s="16">
        <f t="shared" si="156"/>
        <v>7.9620853080568724E-3</v>
      </c>
      <c r="AM697" s="7">
        <f t="shared" si="157"/>
        <v>460.19447471753017</v>
      </c>
      <c r="AN697" s="17">
        <f t="shared" si="158"/>
        <v>0.13069523081977857</v>
      </c>
      <c r="AO697" s="17">
        <f t="shared" si="159"/>
        <v>16.128151285366602</v>
      </c>
      <c r="AP697" s="16">
        <f t="shared" si="160"/>
        <v>8.1035469290495193E-3</v>
      </c>
      <c r="AQ697" s="6" t="str">
        <f t="shared" si="161"/>
        <v>Cumple</v>
      </c>
    </row>
    <row r="698" spans="1:43" ht="15" customHeight="1" x14ac:dyDescent="0.3">
      <c r="A698" s="13"/>
      <c r="B698" s="1">
        <v>29</v>
      </c>
      <c r="C698" s="1">
        <v>347</v>
      </c>
      <c r="D698" s="1">
        <v>1</v>
      </c>
      <c r="E698" s="5">
        <v>1</v>
      </c>
      <c r="F698" s="3">
        <f t="shared" si="148"/>
        <v>29</v>
      </c>
      <c r="G698" s="5">
        <v>2</v>
      </c>
      <c r="H698" s="3">
        <f t="shared" si="135"/>
        <v>3.1415926535897931</v>
      </c>
      <c r="I698" s="4">
        <v>7.3805999999999997E-2</v>
      </c>
      <c r="K698" s="3">
        <v>202.9742107333343</v>
      </c>
      <c r="L698" s="3">
        <v>833.82352000000003</v>
      </c>
      <c r="M698" s="3">
        <v>2065.78908</v>
      </c>
      <c r="N698" s="12">
        <f t="shared" si="149"/>
        <v>2.3493179459680855E-2</v>
      </c>
      <c r="O698" s="11">
        <f t="shared" si="150"/>
        <v>738.06</v>
      </c>
      <c r="P698" s="1">
        <v>10</v>
      </c>
      <c r="Q698" s="1">
        <v>2</v>
      </c>
      <c r="R698" s="3">
        <f>Q698*VLOOKUP(P698,[4]Datos!$A$2:$D$14,2)</f>
        <v>16.38</v>
      </c>
      <c r="S698" s="10">
        <f t="shared" si="136"/>
        <v>46</v>
      </c>
      <c r="T698" s="2">
        <v>52</v>
      </c>
      <c r="U698" s="3">
        <f t="shared" si="137"/>
        <v>0.1</v>
      </c>
      <c r="V698" s="3"/>
      <c r="W698" s="1">
        <v>280</v>
      </c>
      <c r="X698" s="9">
        <v>2</v>
      </c>
      <c r="Y698" s="1">
        <v>6</v>
      </c>
      <c r="Z698" s="3">
        <f>X698*VLOOKUP(Y698,[4]Datos!$A$2:$D$14,2)</f>
        <v>5.68</v>
      </c>
      <c r="AA698" s="8">
        <v>7.4999999999999997E-2</v>
      </c>
      <c r="AB698" s="7">
        <f t="shared" si="151"/>
        <v>115.05235319041492</v>
      </c>
      <c r="AC698" s="7">
        <f t="shared" si="138"/>
        <v>414.61035434434268</v>
      </c>
      <c r="AD698" s="6" t="str">
        <f t="shared" si="152"/>
        <v>Cumple</v>
      </c>
      <c r="AE698" s="6"/>
      <c r="AG698" s="7">
        <f t="shared" si="162"/>
        <v>6</v>
      </c>
      <c r="AH698" s="3">
        <f t="shared" si="154"/>
        <v>2.6880252142277672</v>
      </c>
      <c r="AI698" s="7">
        <f>G698-0.15-VLOOKUP(Y698,[4]Datos!$A$2:$D$14,3)/100</f>
        <v>1.8309000000000002</v>
      </c>
      <c r="AJ698" s="7">
        <f t="shared" si="155"/>
        <v>5.7524309339691264</v>
      </c>
      <c r="AK698" s="1">
        <v>0.12</v>
      </c>
      <c r="AL698" s="16">
        <f t="shared" si="156"/>
        <v>7.9620853080568724E-3</v>
      </c>
      <c r="AM698" s="7">
        <f t="shared" si="157"/>
        <v>460.19447471753017</v>
      </c>
      <c r="AN698" s="17">
        <f t="shared" si="158"/>
        <v>0.13069523081977857</v>
      </c>
      <c r="AO698" s="17">
        <f t="shared" si="159"/>
        <v>16.128151285366602</v>
      </c>
      <c r="AP698" s="16">
        <f t="shared" si="160"/>
        <v>8.1035469290495193E-3</v>
      </c>
      <c r="AQ698" s="6" t="str">
        <f t="shared" si="161"/>
        <v>Cumple</v>
      </c>
    </row>
    <row r="699" spans="1:43" ht="15" customHeight="1" x14ac:dyDescent="0.3">
      <c r="A699" s="13"/>
      <c r="B699" s="1">
        <v>30</v>
      </c>
      <c r="C699" s="1">
        <v>349</v>
      </c>
      <c r="D699" s="1">
        <v>1</v>
      </c>
      <c r="E699" s="5">
        <v>1</v>
      </c>
      <c r="F699" s="3">
        <f t="shared" si="148"/>
        <v>30</v>
      </c>
      <c r="G699" s="5">
        <v>2</v>
      </c>
      <c r="H699" s="3">
        <f t="shared" si="135"/>
        <v>3.1415926535897931</v>
      </c>
      <c r="I699" s="4">
        <v>6.2757999999999994E-2</v>
      </c>
      <c r="K699" s="3">
        <v>236.8270002183028</v>
      </c>
      <c r="L699" s="3">
        <v>770.58243000000004</v>
      </c>
      <c r="M699" s="3">
        <v>1878.6536799999999</v>
      </c>
      <c r="N699" s="12">
        <f t="shared" si="149"/>
        <v>1.9976491837122332E-2</v>
      </c>
      <c r="O699" s="11">
        <f t="shared" si="150"/>
        <v>627.57999999999993</v>
      </c>
      <c r="P699" s="1">
        <v>10</v>
      </c>
      <c r="Q699" s="1">
        <v>2</v>
      </c>
      <c r="R699" s="3">
        <f>Q699*VLOOKUP(P699,[4]Datos!$A$2:$D$14,2)</f>
        <v>16.38</v>
      </c>
      <c r="S699" s="10">
        <f t="shared" si="136"/>
        <v>39</v>
      </c>
      <c r="T699" s="2">
        <v>52</v>
      </c>
      <c r="U699" s="3">
        <f t="shared" si="137"/>
        <v>0.1</v>
      </c>
      <c r="V699" s="3"/>
      <c r="W699" s="1">
        <v>280</v>
      </c>
      <c r="X699" s="9">
        <v>2</v>
      </c>
      <c r="Y699" s="1">
        <v>6</v>
      </c>
      <c r="Z699" s="3">
        <f>X699*VLOOKUP(Y699,[4]Datos!$A$2:$D$14,2)</f>
        <v>5.68</v>
      </c>
      <c r="AA699" s="8">
        <v>0.2</v>
      </c>
      <c r="AB699" s="7">
        <f t="shared" si="151"/>
        <v>115.05235319041492</v>
      </c>
      <c r="AC699" s="7">
        <f t="shared" si="138"/>
        <v>155.47888287912846</v>
      </c>
      <c r="AD699" s="6" t="str">
        <f t="shared" si="152"/>
        <v>Cumple</v>
      </c>
      <c r="AE699" s="6"/>
      <c r="AH699" s="3"/>
    </row>
    <row r="700" spans="1:43" ht="15" customHeight="1" x14ac:dyDescent="0.3">
      <c r="A700" s="13"/>
      <c r="B700" s="1">
        <v>31</v>
      </c>
      <c r="C700" s="1">
        <v>351</v>
      </c>
      <c r="D700" s="1">
        <v>1</v>
      </c>
      <c r="E700" s="5">
        <v>1</v>
      </c>
      <c r="F700" s="3">
        <f t="shared" si="148"/>
        <v>31</v>
      </c>
      <c r="G700" s="5">
        <v>2</v>
      </c>
      <c r="H700" s="3">
        <f t="shared" si="135"/>
        <v>3.1415926535897931</v>
      </c>
      <c r="I700" s="4">
        <v>5.3685999999999998E-2</v>
      </c>
      <c r="K700" s="3">
        <v>254.16339294780434</v>
      </c>
      <c r="L700" s="3">
        <v>687.35835999999995</v>
      </c>
      <c r="M700" s="3">
        <v>1651.1771699999999</v>
      </c>
      <c r="N700" s="12">
        <f t="shared" si="149"/>
        <v>1.7088784549662984E-2</v>
      </c>
      <c r="O700" s="11">
        <f t="shared" si="150"/>
        <v>536.86</v>
      </c>
      <c r="P700" s="1">
        <v>10</v>
      </c>
      <c r="Q700" s="19">
        <v>2</v>
      </c>
      <c r="R700" s="3">
        <f>Q700*VLOOKUP(P700,[4]Datos!$A$2:$D$14,2)</f>
        <v>16.38</v>
      </c>
      <c r="S700" s="10">
        <f t="shared" si="136"/>
        <v>33</v>
      </c>
      <c r="T700" s="18">
        <v>52</v>
      </c>
      <c r="U700" s="3">
        <f t="shared" si="137"/>
        <v>0.1</v>
      </c>
      <c r="V700" s="3"/>
      <c r="W700" s="1">
        <v>280</v>
      </c>
      <c r="X700" s="9">
        <v>2</v>
      </c>
      <c r="Y700" s="1">
        <v>6</v>
      </c>
      <c r="Z700" s="3">
        <f>X700*VLOOKUP(Y700,[4]Datos!$A$2:$D$14,2)</f>
        <v>5.68</v>
      </c>
      <c r="AA700" s="8">
        <v>0.2</v>
      </c>
      <c r="AB700" s="7">
        <f t="shared" si="151"/>
        <v>115.05235319041492</v>
      </c>
      <c r="AC700" s="7">
        <f t="shared" si="138"/>
        <v>155.47888287912846</v>
      </c>
      <c r="AD700" s="6" t="str">
        <f t="shared" si="152"/>
        <v>Cumple</v>
      </c>
      <c r="AE700" s="6"/>
      <c r="AH700" s="3"/>
    </row>
    <row r="701" spans="1:43" ht="15" customHeight="1" x14ac:dyDescent="0.3">
      <c r="A701" s="13"/>
      <c r="B701" s="1">
        <v>32</v>
      </c>
      <c r="C701" s="1">
        <v>353</v>
      </c>
      <c r="D701" s="1">
        <v>1</v>
      </c>
      <c r="E701" s="5">
        <v>1</v>
      </c>
      <c r="F701" s="3">
        <f t="shared" si="148"/>
        <v>32</v>
      </c>
      <c r="G701" s="5">
        <v>2</v>
      </c>
      <c r="H701" s="3">
        <f t="shared" si="135"/>
        <v>3.1415926535897931</v>
      </c>
      <c r="I701" s="4">
        <v>4.4826999999999999E-2</v>
      </c>
      <c r="K701" s="3">
        <v>258.41904689449655</v>
      </c>
      <c r="L701" s="3">
        <v>591.96545000000003</v>
      </c>
      <c r="M701" s="3">
        <v>1401.9376199999999</v>
      </c>
      <c r="N701" s="12">
        <f t="shared" si="149"/>
        <v>1.4268877267960785E-2</v>
      </c>
      <c r="O701" s="11">
        <f t="shared" si="150"/>
        <v>448.27</v>
      </c>
      <c r="P701" s="1">
        <v>10</v>
      </c>
      <c r="Q701" s="19">
        <v>2</v>
      </c>
      <c r="R701" s="3">
        <f>Q701*VLOOKUP(P701,[4]Datos!$A$2:$D$14,2)</f>
        <v>16.38</v>
      </c>
      <c r="S701" s="10">
        <f t="shared" si="136"/>
        <v>28</v>
      </c>
      <c r="T701" s="18">
        <v>52</v>
      </c>
      <c r="U701" s="3">
        <f t="shared" si="137"/>
        <v>0.1</v>
      </c>
      <c r="V701" s="3"/>
      <c r="W701" s="1">
        <v>280</v>
      </c>
      <c r="X701" s="9">
        <v>2</v>
      </c>
      <c r="Y701" s="1">
        <v>6</v>
      </c>
      <c r="Z701" s="3">
        <f>X701*VLOOKUP(Y701,[4]Datos!$A$2:$D$14,2)</f>
        <v>5.68</v>
      </c>
      <c r="AA701" s="8">
        <v>0.2</v>
      </c>
      <c r="AB701" s="7">
        <f t="shared" si="151"/>
        <v>115.05235319041492</v>
      </c>
      <c r="AC701" s="7">
        <f t="shared" si="138"/>
        <v>155.47888287912846</v>
      </c>
      <c r="AD701" s="6" t="str">
        <f t="shared" si="152"/>
        <v>Cumple</v>
      </c>
      <c r="AE701" s="6"/>
      <c r="AH701" s="3"/>
    </row>
    <row r="702" spans="1:43" ht="15" customHeight="1" x14ac:dyDescent="0.3">
      <c r="A702" s="13"/>
      <c r="B702" s="1">
        <v>33</v>
      </c>
      <c r="C702" s="1">
        <v>355</v>
      </c>
      <c r="D702" s="1">
        <v>1</v>
      </c>
      <c r="E702" s="5">
        <v>1</v>
      </c>
      <c r="F702" s="3">
        <f t="shared" si="148"/>
        <v>33</v>
      </c>
      <c r="G702" s="5">
        <v>2</v>
      </c>
      <c r="H702" s="3">
        <f t="shared" si="135"/>
        <v>3.1415926535897931</v>
      </c>
      <c r="I702" s="4">
        <v>3.1415999999999999E-2</v>
      </c>
      <c r="K702" s="3">
        <v>248.00134894895231</v>
      </c>
      <c r="L702" s="3">
        <v>491.78478000000001</v>
      </c>
      <c r="M702" s="3">
        <v>1148.11364</v>
      </c>
      <c r="N702" s="12">
        <f t="shared" si="149"/>
        <v>1.0000023384349969E-2</v>
      </c>
      <c r="O702" s="11">
        <f t="shared" si="150"/>
        <v>314.15999999999997</v>
      </c>
      <c r="P702" s="1">
        <v>10</v>
      </c>
      <c r="Q702" s="19">
        <v>2</v>
      </c>
      <c r="R702" s="3">
        <f>Q702*VLOOKUP(P702,[4]Datos!$A$2:$D$14,2)</f>
        <v>16.38</v>
      </c>
      <c r="S702" s="10">
        <f t="shared" si="136"/>
        <v>20</v>
      </c>
      <c r="T702" s="18">
        <v>52</v>
      </c>
      <c r="U702" s="3">
        <f t="shared" si="137"/>
        <v>0.1</v>
      </c>
      <c r="V702" s="3"/>
      <c r="W702" s="1">
        <v>280</v>
      </c>
      <c r="X702" s="9">
        <v>2</v>
      </c>
      <c r="Y702" s="1">
        <v>6</v>
      </c>
      <c r="Z702" s="3">
        <f>X702*VLOOKUP(Y702,[4]Datos!$A$2:$D$14,2)</f>
        <v>5.68</v>
      </c>
      <c r="AA702" s="8">
        <v>0.2</v>
      </c>
      <c r="AB702" s="7">
        <f t="shared" si="151"/>
        <v>115.05235319041492</v>
      </c>
      <c r="AC702" s="7">
        <f t="shared" si="138"/>
        <v>155.47888287912846</v>
      </c>
      <c r="AD702" s="6" t="str">
        <f t="shared" si="152"/>
        <v>Cumple</v>
      </c>
      <c r="AE702" s="6"/>
      <c r="AH702" s="3"/>
    </row>
    <row r="703" spans="1:43" ht="15" customHeight="1" x14ac:dyDescent="0.3">
      <c r="A703" s="13"/>
      <c r="B703" s="1">
        <v>34</v>
      </c>
      <c r="C703" s="1">
        <v>357</v>
      </c>
      <c r="D703" s="1">
        <v>1</v>
      </c>
      <c r="E703" s="5">
        <v>1</v>
      </c>
      <c r="F703" s="3">
        <f t="shared" si="148"/>
        <v>34</v>
      </c>
      <c r="G703" s="5">
        <v>2</v>
      </c>
      <c r="H703" s="3">
        <f t="shared" si="135"/>
        <v>3.1415926535897931</v>
      </c>
      <c r="I703" s="4">
        <v>3.1415999999999999E-2</v>
      </c>
      <c r="K703" s="3">
        <v>226.22391412797191</v>
      </c>
      <c r="L703" s="3">
        <v>393.22097000000002</v>
      </c>
      <c r="M703" s="3">
        <v>904.27281000000005</v>
      </c>
      <c r="N703" s="12">
        <f t="shared" si="149"/>
        <v>1.0000023384349969E-2</v>
      </c>
      <c r="O703" s="11">
        <f t="shared" si="150"/>
        <v>314.15999999999997</v>
      </c>
      <c r="P703" s="1">
        <v>10</v>
      </c>
      <c r="Q703" s="1">
        <v>1</v>
      </c>
      <c r="R703" s="3">
        <f>Q703*VLOOKUP(P703,[4]Datos!$A$2:$D$14,2)</f>
        <v>8.19</v>
      </c>
      <c r="S703" s="10">
        <f t="shared" si="136"/>
        <v>39</v>
      </c>
      <c r="T703" s="2">
        <v>39</v>
      </c>
      <c r="U703" s="3">
        <f t="shared" si="137"/>
        <v>0.14000000000000001</v>
      </c>
      <c r="V703" s="3"/>
      <c r="W703" s="1">
        <v>280</v>
      </c>
      <c r="X703" s="9">
        <v>2</v>
      </c>
      <c r="Y703" s="1">
        <v>6</v>
      </c>
      <c r="Z703" s="3">
        <f>X703*VLOOKUP(Y703,[4]Datos!$A$2:$D$14,2)</f>
        <v>5.68</v>
      </c>
      <c r="AA703" s="8">
        <v>0.2</v>
      </c>
      <c r="AB703" s="7">
        <f t="shared" si="151"/>
        <v>115.05235319041492</v>
      </c>
      <c r="AC703" s="7">
        <f t="shared" si="138"/>
        <v>155.47888287912846</v>
      </c>
      <c r="AD703" s="6" t="str">
        <f t="shared" si="152"/>
        <v>Cumple</v>
      </c>
      <c r="AE703" s="6"/>
      <c r="AH703" s="3"/>
    </row>
    <row r="704" spans="1:43" ht="15" customHeight="1" x14ac:dyDescent="0.3">
      <c r="A704" s="13"/>
      <c r="B704" s="1">
        <v>35</v>
      </c>
      <c r="C704" s="1">
        <v>359</v>
      </c>
      <c r="D704" s="1">
        <v>1</v>
      </c>
      <c r="E704" s="5">
        <v>1</v>
      </c>
      <c r="F704" s="3">
        <f t="shared" si="148"/>
        <v>35</v>
      </c>
      <c r="G704" s="5">
        <v>2</v>
      </c>
      <c r="H704" s="3">
        <f t="shared" si="135"/>
        <v>3.1415926535897931</v>
      </c>
      <c r="I704" s="4">
        <v>3.1415999999999999E-2</v>
      </c>
      <c r="K704" s="3">
        <v>196.62919867506963</v>
      </c>
      <c r="L704" s="3">
        <v>301.38083</v>
      </c>
      <c r="M704" s="3">
        <v>681.69618000000003</v>
      </c>
      <c r="N704" s="12">
        <f t="shared" si="149"/>
        <v>1.0000023384349969E-2</v>
      </c>
      <c r="O704" s="11">
        <f t="shared" si="150"/>
        <v>314.15999999999997</v>
      </c>
      <c r="P704" s="1">
        <v>10</v>
      </c>
      <c r="Q704" s="1">
        <v>1</v>
      </c>
      <c r="R704" s="3">
        <f>Q704*VLOOKUP(P704,[4]Datos!$A$2:$D$14,2)</f>
        <v>8.19</v>
      </c>
      <c r="S704" s="10">
        <f t="shared" si="136"/>
        <v>39</v>
      </c>
      <c r="T704" s="2">
        <v>39</v>
      </c>
      <c r="U704" s="3">
        <f t="shared" si="137"/>
        <v>0.14000000000000001</v>
      </c>
      <c r="V704" s="3"/>
      <c r="W704" s="1">
        <v>280</v>
      </c>
      <c r="X704" s="9">
        <v>2</v>
      </c>
      <c r="Y704" s="1">
        <v>6</v>
      </c>
      <c r="Z704" s="3">
        <f>X704*VLOOKUP(Y704,[4]Datos!$A$2:$D$14,2)</f>
        <v>5.68</v>
      </c>
      <c r="AA704" s="8">
        <v>0.2</v>
      </c>
      <c r="AB704" s="7">
        <f t="shared" si="151"/>
        <v>115.05235319041492</v>
      </c>
      <c r="AC704" s="7">
        <f t="shared" si="138"/>
        <v>155.47888287912846</v>
      </c>
      <c r="AD704" s="6" t="str">
        <f t="shared" si="152"/>
        <v>Cumple</v>
      </c>
      <c r="AE704" s="6"/>
      <c r="AH704" s="3"/>
    </row>
    <row r="705" spans="1:43" ht="15" customHeight="1" x14ac:dyDescent="0.3">
      <c r="A705" s="13"/>
      <c r="B705" s="1">
        <v>36</v>
      </c>
      <c r="C705" s="1">
        <v>361</v>
      </c>
      <c r="D705" s="1">
        <v>1</v>
      </c>
      <c r="E705" s="5">
        <v>1</v>
      </c>
      <c r="F705" s="3">
        <f t="shared" si="148"/>
        <v>36</v>
      </c>
      <c r="G705" s="5">
        <v>2</v>
      </c>
      <c r="H705" s="3">
        <f t="shared" si="135"/>
        <v>3.1415926535897931</v>
      </c>
      <c r="I705" s="4">
        <v>3.1415999999999999E-2</v>
      </c>
      <c r="K705" s="3">
        <v>162.63012924455296</v>
      </c>
      <c r="L705" s="3">
        <v>219.94533999999999</v>
      </c>
      <c r="M705" s="3">
        <v>488.15751999999998</v>
      </c>
      <c r="N705" s="12">
        <f t="shared" si="149"/>
        <v>1.0000023384349969E-2</v>
      </c>
      <c r="O705" s="11">
        <f t="shared" si="150"/>
        <v>314.15999999999997</v>
      </c>
      <c r="P705" s="1">
        <v>10</v>
      </c>
      <c r="Q705" s="1">
        <v>1</v>
      </c>
      <c r="R705" s="3">
        <f>Q705*VLOOKUP(P705,[4]Datos!$A$2:$D$14,2)</f>
        <v>8.19</v>
      </c>
      <c r="S705" s="10">
        <f t="shared" si="136"/>
        <v>39</v>
      </c>
      <c r="T705" s="2">
        <v>39</v>
      </c>
      <c r="U705" s="3">
        <f t="shared" si="137"/>
        <v>0.14000000000000001</v>
      </c>
      <c r="V705" s="3"/>
      <c r="W705" s="1">
        <v>280</v>
      </c>
      <c r="X705" s="9">
        <v>2</v>
      </c>
      <c r="Y705" s="1">
        <v>6</v>
      </c>
      <c r="Z705" s="3">
        <f>X705*VLOOKUP(Y705,[4]Datos!$A$2:$D$14,2)</f>
        <v>5.68</v>
      </c>
      <c r="AA705" s="8">
        <v>0.2</v>
      </c>
      <c r="AB705" s="7">
        <f t="shared" si="151"/>
        <v>115.05235319041492</v>
      </c>
      <c r="AC705" s="7">
        <f t="shared" si="138"/>
        <v>155.47888287912846</v>
      </c>
      <c r="AD705" s="6" t="str">
        <f t="shared" si="152"/>
        <v>Cumple</v>
      </c>
      <c r="AE705" s="6"/>
      <c r="AH705" s="3"/>
    </row>
    <row r="706" spans="1:43" ht="15" customHeight="1" x14ac:dyDescent="0.3">
      <c r="A706" s="13"/>
      <c r="B706" s="1">
        <v>37</v>
      </c>
      <c r="C706" s="1">
        <v>363</v>
      </c>
      <c r="D706" s="1">
        <v>1</v>
      </c>
      <c r="E706" s="5">
        <v>1</v>
      </c>
      <c r="F706" s="3">
        <f t="shared" si="148"/>
        <v>37</v>
      </c>
      <c r="G706" s="5">
        <v>2</v>
      </c>
      <c r="H706" s="3">
        <f t="shared" si="135"/>
        <v>3.1415926535897931</v>
      </c>
      <c r="I706" s="4">
        <v>3.1415999999999999E-2</v>
      </c>
      <c r="K706" s="3">
        <v>127.26601157025389</v>
      </c>
      <c r="L706" s="3">
        <v>151.19560999999999</v>
      </c>
      <c r="M706" s="3">
        <v>328.05381</v>
      </c>
      <c r="N706" s="12">
        <f t="shared" si="149"/>
        <v>1.0000023384349969E-2</v>
      </c>
      <c r="O706" s="11">
        <f t="shared" si="150"/>
        <v>314.15999999999997</v>
      </c>
      <c r="P706" s="1">
        <v>10</v>
      </c>
      <c r="Q706" s="1">
        <v>1</v>
      </c>
      <c r="R706" s="3">
        <f>Q706*VLOOKUP(P706,[4]Datos!$A$2:$D$14,2)</f>
        <v>8.19</v>
      </c>
      <c r="S706" s="10">
        <f t="shared" si="136"/>
        <v>39</v>
      </c>
      <c r="T706" s="2">
        <v>39</v>
      </c>
      <c r="U706" s="3">
        <f t="shared" si="137"/>
        <v>0.14000000000000001</v>
      </c>
      <c r="V706" s="3"/>
      <c r="W706" s="1">
        <v>280</v>
      </c>
      <c r="X706" s="9">
        <v>2</v>
      </c>
      <c r="Y706" s="1">
        <v>4</v>
      </c>
      <c r="Z706" s="3">
        <f>X706*VLOOKUP(Y706,[4]Datos!$A$2:$D$14,2)</f>
        <v>2.58</v>
      </c>
      <c r="AA706" s="8">
        <v>0.3</v>
      </c>
      <c r="AB706" s="7">
        <f t="shared" si="151"/>
        <v>115.05235319041492</v>
      </c>
      <c r="AC706" s="7">
        <f t="shared" si="138"/>
        <v>47.081633547905106</v>
      </c>
      <c r="AD706" s="6" t="str">
        <f t="shared" si="152"/>
        <v>Cumple</v>
      </c>
      <c r="AE706" s="6"/>
      <c r="AH706" s="3"/>
    </row>
    <row r="707" spans="1:43" ht="15" customHeight="1" x14ac:dyDescent="0.3">
      <c r="A707" s="13"/>
      <c r="B707" s="1">
        <v>38</v>
      </c>
      <c r="C707" s="1">
        <v>365</v>
      </c>
      <c r="D707" s="1">
        <v>1</v>
      </c>
      <c r="E707" s="5">
        <v>1</v>
      </c>
      <c r="F707" s="3">
        <f t="shared" si="148"/>
        <v>38</v>
      </c>
      <c r="G707" s="5">
        <v>2</v>
      </c>
      <c r="H707" s="3">
        <f t="shared" si="135"/>
        <v>3.1415926535897931</v>
      </c>
      <c r="I707" s="4">
        <v>3.1415999999999999E-2</v>
      </c>
      <c r="K707" s="3">
        <v>93.071439796158742</v>
      </c>
      <c r="L707" s="3">
        <v>96.148269999999997</v>
      </c>
      <c r="M707" s="3">
        <v>202.77485999999999</v>
      </c>
      <c r="N707" s="12">
        <f t="shared" si="149"/>
        <v>1.0000023384349969E-2</v>
      </c>
      <c r="O707" s="11">
        <f t="shared" si="150"/>
        <v>314.15999999999997</v>
      </c>
      <c r="P707" s="1">
        <v>10</v>
      </c>
      <c r="Q707" s="1">
        <v>1</v>
      </c>
      <c r="R707" s="3">
        <f>Q707*VLOOKUP(P707,[4]Datos!$A$2:$D$14,2)</f>
        <v>8.19</v>
      </c>
      <c r="S707" s="10">
        <f t="shared" si="136"/>
        <v>39</v>
      </c>
      <c r="T707" s="2">
        <v>39</v>
      </c>
      <c r="U707" s="3">
        <f t="shared" si="137"/>
        <v>0.14000000000000001</v>
      </c>
      <c r="V707" s="3"/>
      <c r="W707" s="1">
        <v>280</v>
      </c>
      <c r="X707" s="9">
        <v>2</v>
      </c>
      <c r="Y707" s="1">
        <v>4</v>
      </c>
      <c r="Z707" s="3">
        <f>X707*VLOOKUP(Y707,[4]Datos!$A$2:$D$14,2)</f>
        <v>2.58</v>
      </c>
      <c r="AA707" s="8">
        <v>0.3</v>
      </c>
      <c r="AB707" s="7">
        <f t="shared" si="151"/>
        <v>115.05235319041492</v>
      </c>
      <c r="AC707" s="7">
        <f t="shared" si="138"/>
        <v>47.081633547905106</v>
      </c>
      <c r="AD707" s="6" t="str">
        <f t="shared" si="152"/>
        <v>Cumple</v>
      </c>
      <c r="AE707" s="6"/>
      <c r="AH707" s="3"/>
    </row>
    <row r="708" spans="1:43" ht="15" customHeight="1" x14ac:dyDescent="0.3">
      <c r="A708" s="13"/>
      <c r="B708" s="1">
        <v>39</v>
      </c>
      <c r="C708" s="1">
        <v>367</v>
      </c>
      <c r="D708" s="1">
        <v>1</v>
      </c>
      <c r="E708" s="5">
        <v>1</v>
      </c>
      <c r="F708" s="3">
        <f t="shared" si="148"/>
        <v>39</v>
      </c>
      <c r="G708" s="5">
        <v>2</v>
      </c>
      <c r="H708" s="3">
        <f t="shared" si="135"/>
        <v>3.1415926535897931</v>
      </c>
      <c r="I708" s="4">
        <v>3.1415999999999999E-2</v>
      </c>
      <c r="K708" s="3">
        <v>62.046538636736216</v>
      </c>
      <c r="L708" s="3">
        <v>54.754260000000002</v>
      </c>
      <c r="M708" s="3">
        <v>111.20217</v>
      </c>
      <c r="N708" s="12">
        <f t="shared" si="149"/>
        <v>1.0000023384349969E-2</v>
      </c>
      <c r="O708" s="11">
        <f t="shared" si="150"/>
        <v>314.15999999999997</v>
      </c>
      <c r="P708" s="1">
        <v>10</v>
      </c>
      <c r="Q708" s="1">
        <v>1</v>
      </c>
      <c r="R708" s="3">
        <f>Q708*VLOOKUP(P708,[4]Datos!$A$2:$D$14,2)</f>
        <v>8.19</v>
      </c>
      <c r="S708" s="10">
        <f t="shared" si="136"/>
        <v>39</v>
      </c>
      <c r="T708" s="2">
        <v>39</v>
      </c>
      <c r="U708" s="3">
        <f t="shared" si="137"/>
        <v>0.14000000000000001</v>
      </c>
      <c r="V708" s="3"/>
      <c r="W708" s="1">
        <v>280</v>
      </c>
      <c r="X708" s="9">
        <v>2</v>
      </c>
      <c r="Y708" s="1">
        <v>4</v>
      </c>
      <c r="Z708" s="3">
        <f>X708*VLOOKUP(Y708,[4]Datos!$A$2:$D$14,2)</f>
        <v>2.58</v>
      </c>
      <c r="AA708" s="8">
        <v>0.3</v>
      </c>
      <c r="AB708" s="7">
        <f t="shared" si="151"/>
        <v>115.05235319041492</v>
      </c>
      <c r="AC708" s="7">
        <f t="shared" si="138"/>
        <v>47.081633547905106</v>
      </c>
      <c r="AD708" s="6" t="str">
        <f t="shared" si="152"/>
        <v>Cumple</v>
      </c>
      <c r="AE708" s="6"/>
      <c r="AH708" s="3"/>
    </row>
    <row r="709" spans="1:43" ht="15" customHeight="1" x14ac:dyDescent="0.3">
      <c r="A709" s="13"/>
      <c r="B709" s="1">
        <v>40</v>
      </c>
      <c r="C709" s="1">
        <v>187</v>
      </c>
      <c r="D709" s="1">
        <v>1</v>
      </c>
      <c r="E709" s="5">
        <v>1</v>
      </c>
      <c r="F709" s="3">
        <f t="shared" si="148"/>
        <v>40</v>
      </c>
      <c r="G709" s="5">
        <v>2</v>
      </c>
      <c r="H709" s="3">
        <f t="shared" si="135"/>
        <v>3.1415926535897931</v>
      </c>
      <c r="I709" s="4">
        <v>3.1415999999999999E-2</v>
      </c>
      <c r="K709" s="3">
        <v>35.726235484024897</v>
      </c>
      <c r="L709" s="3">
        <v>26.114889999999999</v>
      </c>
      <c r="M709" s="3">
        <v>50.233890000000002</v>
      </c>
      <c r="N709" s="12">
        <f t="shared" si="149"/>
        <v>1.0000023384349969E-2</v>
      </c>
      <c r="O709" s="11">
        <f t="shared" si="150"/>
        <v>314.15999999999997</v>
      </c>
      <c r="P709" s="1">
        <v>10</v>
      </c>
      <c r="Q709" s="1">
        <v>1</v>
      </c>
      <c r="R709" s="3">
        <f>Q709*VLOOKUP(P709,[4]Datos!$A$2:$D$14,2)</f>
        <v>8.19</v>
      </c>
      <c r="S709" s="10">
        <f t="shared" si="136"/>
        <v>39</v>
      </c>
      <c r="T709" s="2">
        <v>39</v>
      </c>
      <c r="U709" s="3">
        <f t="shared" si="137"/>
        <v>0.14000000000000001</v>
      </c>
      <c r="V709" s="3"/>
      <c r="W709" s="1">
        <v>280</v>
      </c>
      <c r="X709" s="9">
        <v>2</v>
      </c>
      <c r="Y709" s="1">
        <v>4</v>
      </c>
      <c r="Z709" s="3">
        <f>X709*VLOOKUP(Y709,[4]Datos!$A$2:$D$14,2)</f>
        <v>2.58</v>
      </c>
      <c r="AA709" s="8">
        <v>0.3</v>
      </c>
      <c r="AB709" s="7">
        <f t="shared" si="151"/>
        <v>115.05235319041492</v>
      </c>
      <c r="AC709" s="7">
        <f t="shared" si="138"/>
        <v>47.081633547905106</v>
      </c>
      <c r="AD709" s="6" t="str">
        <f t="shared" si="152"/>
        <v>Cumple</v>
      </c>
      <c r="AE709" s="6"/>
      <c r="AH709" s="3"/>
    </row>
    <row r="710" spans="1:43" ht="15" customHeight="1" x14ac:dyDescent="0.3">
      <c r="A710" s="13"/>
      <c r="B710" s="1">
        <v>41</v>
      </c>
      <c r="C710" s="1">
        <v>287</v>
      </c>
      <c r="D710" s="1">
        <v>1</v>
      </c>
      <c r="E710" s="5">
        <v>1</v>
      </c>
      <c r="F710" s="3">
        <f t="shared" si="148"/>
        <v>41</v>
      </c>
      <c r="G710" s="5">
        <v>2</v>
      </c>
      <c r="H710" s="3">
        <f t="shared" si="135"/>
        <v>3.1415926535897931</v>
      </c>
      <c r="I710" s="4">
        <v>3.1415999999999999E-2</v>
      </c>
      <c r="K710" s="3">
        <v>15.471391725374936</v>
      </c>
      <c r="L710" s="3">
        <v>8.6497700000000002</v>
      </c>
      <c r="M710" s="3">
        <v>15.22082</v>
      </c>
      <c r="N710" s="12">
        <f t="shared" si="149"/>
        <v>1.0000023384349969E-2</v>
      </c>
      <c r="O710" s="11">
        <f t="shared" si="150"/>
        <v>314.15999999999997</v>
      </c>
      <c r="P710" s="1">
        <v>10</v>
      </c>
      <c r="Q710" s="1">
        <v>1</v>
      </c>
      <c r="R710" s="3">
        <f>Q710*VLOOKUP(P710,[4]Datos!$A$2:$D$14,2)</f>
        <v>8.19</v>
      </c>
      <c r="S710" s="10">
        <f t="shared" si="136"/>
        <v>39</v>
      </c>
      <c r="T710" s="2">
        <v>39</v>
      </c>
      <c r="U710" s="3">
        <f t="shared" si="137"/>
        <v>0.14000000000000001</v>
      </c>
      <c r="V710" s="3"/>
      <c r="W710" s="1">
        <v>280</v>
      </c>
      <c r="X710" s="9">
        <v>2</v>
      </c>
      <c r="Y710" s="1">
        <v>4</v>
      </c>
      <c r="Z710" s="3">
        <f>X710*VLOOKUP(Y710,[4]Datos!$A$2:$D$14,2)</f>
        <v>2.58</v>
      </c>
      <c r="AA710" s="8">
        <v>0.3</v>
      </c>
      <c r="AB710" s="7">
        <f t="shared" si="151"/>
        <v>115.05235319041492</v>
      </c>
      <c r="AC710" s="7">
        <f t="shared" si="138"/>
        <v>47.081633547905106</v>
      </c>
      <c r="AD710" s="6" t="str">
        <f t="shared" si="152"/>
        <v>Cumple</v>
      </c>
      <c r="AE710" s="6"/>
      <c r="AH710" s="3"/>
    </row>
    <row r="711" spans="1:43" ht="15" customHeight="1" x14ac:dyDescent="0.3">
      <c r="A711" s="13" t="s">
        <v>10</v>
      </c>
      <c r="B711" s="1">
        <v>1</v>
      </c>
      <c r="C711" s="1">
        <v>93</v>
      </c>
      <c r="D711" s="1">
        <v>0</v>
      </c>
      <c r="E711" s="5">
        <v>1</v>
      </c>
      <c r="F711" s="3">
        <f>E711</f>
        <v>1</v>
      </c>
      <c r="G711" s="5">
        <v>2</v>
      </c>
      <c r="H711" s="3">
        <f t="shared" si="135"/>
        <v>3.1415926535897931</v>
      </c>
      <c r="I711" s="4">
        <v>4.7345999999999999E-2</v>
      </c>
      <c r="K711" s="3">
        <v>162.03319414120057</v>
      </c>
      <c r="L711" s="3">
        <v>705.73814000000004</v>
      </c>
      <c r="M711" s="3">
        <v>2433.6129599999999</v>
      </c>
      <c r="N711" s="12">
        <f t="shared" si="149"/>
        <v>1.5070699871257753E-2</v>
      </c>
      <c r="O711" s="11">
        <f t="shared" si="150"/>
        <v>473.46</v>
      </c>
      <c r="P711" s="1">
        <v>10</v>
      </c>
      <c r="Q711" s="1">
        <v>1</v>
      </c>
      <c r="R711" s="3">
        <f>Q711*VLOOKUP(P711,[4]Datos!$A$2:$D$14,2)</f>
        <v>8.19</v>
      </c>
      <c r="S711" s="10">
        <f t="shared" si="136"/>
        <v>58</v>
      </c>
      <c r="T711" s="2">
        <v>58</v>
      </c>
      <c r="U711" s="3">
        <f t="shared" si="137"/>
        <v>0.09</v>
      </c>
      <c r="V711" s="3"/>
      <c r="W711" s="1">
        <v>280</v>
      </c>
      <c r="X711" s="9">
        <v>2</v>
      </c>
      <c r="Y711" s="1">
        <v>6</v>
      </c>
      <c r="Z711" s="3">
        <f>X711*VLOOKUP(Y711,[4]Datos!$A$2:$D$14,2)</f>
        <v>5.68</v>
      </c>
      <c r="AA711" s="8">
        <v>7.4999999999999997E-2</v>
      </c>
      <c r="AB711" s="7">
        <f t="shared" si="151"/>
        <v>207.09423574274689</v>
      </c>
      <c r="AC711" s="7">
        <f t="shared" si="138"/>
        <v>414.61035434434268</v>
      </c>
      <c r="AD711" s="6" t="str">
        <f t="shared" si="152"/>
        <v>Cumple</v>
      </c>
      <c r="AE711" s="6"/>
      <c r="AF711" s="5">
        <v>21</v>
      </c>
      <c r="AG711" s="7">
        <f t="shared" ref="AG711:AG714" si="163">ROUNDUP(MAX(0.45,G711,AF711/6),0)</f>
        <v>4</v>
      </c>
      <c r="AH711" s="3">
        <f t="shared" ref="AH711:AH714" si="164">PI()*(G711-0.15)^2/4</f>
        <v>2.6880252142277672</v>
      </c>
      <c r="AI711" s="7">
        <f>G711-0.15-VLOOKUP(Y711,[4]Datos!$A$2:$D$14,3)/100</f>
        <v>1.8309000000000002</v>
      </c>
      <c r="AJ711" s="7">
        <f t="shared" ref="AJ711:AJ714" si="165">SQRT((PI()*AI711)^2+AA711^2)</f>
        <v>5.7524309339691264</v>
      </c>
      <c r="AK711" s="1">
        <v>0.12</v>
      </c>
      <c r="AL711" s="16">
        <f t="shared" ref="AL711:AL714" si="166">MAX(0.45*(H711/AH711-1),AK711)*(W711/4220)</f>
        <v>7.9620853080568724E-3</v>
      </c>
      <c r="AM711" s="7">
        <f t="shared" ref="AM711:AM714" si="167">AG711*(AJ711/AA711)</f>
        <v>306.79631647835345</v>
      </c>
      <c r="AN711" s="17">
        <f t="shared" ref="AN711:AN714" si="168">AM711*Z711/X711/10000</f>
        <v>8.7130153879852373E-2</v>
      </c>
      <c r="AO711" s="17">
        <f t="shared" ref="AO711:AO714" si="169">AH711*AG711</f>
        <v>10.752100856911069</v>
      </c>
      <c r="AP711" s="16">
        <f t="shared" ref="AP711:AP714" si="170">AN711/AO711</f>
        <v>8.1035469290495175E-3</v>
      </c>
      <c r="AQ711" s="6" t="str">
        <f t="shared" ref="AQ711:AQ714" si="171">+IF(AP711&gt;AL711,"Cumple","No Cumple")</f>
        <v>Cumple</v>
      </c>
    </row>
    <row r="712" spans="1:43" ht="15" customHeight="1" x14ac:dyDescent="0.3">
      <c r="A712" s="13"/>
      <c r="B712" s="1">
        <v>2</v>
      </c>
      <c r="C712" s="1">
        <v>95</v>
      </c>
      <c r="D712" s="1">
        <v>0</v>
      </c>
      <c r="E712" s="5">
        <v>1</v>
      </c>
      <c r="F712" s="3">
        <f>F711+E712</f>
        <v>2</v>
      </c>
      <c r="G712" s="5">
        <v>2</v>
      </c>
      <c r="H712" s="3">
        <f t="shared" si="135"/>
        <v>3.1415926535897931</v>
      </c>
      <c r="I712" s="4">
        <v>4.4173999999999998E-2</v>
      </c>
      <c r="K712" s="3">
        <v>162.03501519933891</v>
      </c>
      <c r="L712" s="3">
        <v>659.37755000000004</v>
      </c>
      <c r="M712" s="3">
        <v>2316.7435</v>
      </c>
      <c r="N712" s="12">
        <f t="shared" si="149"/>
        <v>1.4061020912282769E-2</v>
      </c>
      <c r="O712" s="11">
        <f t="shared" si="150"/>
        <v>441.73999999999995</v>
      </c>
      <c r="P712" s="1">
        <v>10</v>
      </c>
      <c r="Q712" s="1">
        <v>1</v>
      </c>
      <c r="R712" s="3">
        <f>Q712*VLOOKUP(P712,[4]Datos!$A$2:$D$14,2)</f>
        <v>8.19</v>
      </c>
      <c r="S712" s="10">
        <f t="shared" si="136"/>
        <v>54</v>
      </c>
      <c r="T712" s="2">
        <v>58</v>
      </c>
      <c r="U712" s="3">
        <f t="shared" si="137"/>
        <v>0.09</v>
      </c>
      <c r="V712" s="3"/>
      <c r="W712" s="1">
        <v>280</v>
      </c>
      <c r="X712" s="9">
        <v>2</v>
      </c>
      <c r="Y712" s="1">
        <v>6</v>
      </c>
      <c r="Z712" s="3">
        <f>X712*VLOOKUP(Y712,[4]Datos!$A$2:$D$14,2)</f>
        <v>5.68</v>
      </c>
      <c r="AA712" s="8">
        <v>7.4999999999999997E-2</v>
      </c>
      <c r="AB712" s="7">
        <f t="shared" si="151"/>
        <v>207.09423574274689</v>
      </c>
      <c r="AC712" s="7">
        <f t="shared" si="138"/>
        <v>414.61035434434268</v>
      </c>
      <c r="AD712" s="6" t="str">
        <f t="shared" si="152"/>
        <v>Cumple</v>
      </c>
      <c r="AE712" s="6"/>
      <c r="AF712" s="5">
        <v>21</v>
      </c>
      <c r="AG712" s="7">
        <f t="shared" si="163"/>
        <v>4</v>
      </c>
      <c r="AH712" s="3">
        <f t="shared" si="164"/>
        <v>2.6880252142277672</v>
      </c>
      <c r="AI712" s="7">
        <f>G712-0.15-VLOOKUP(Y712,[4]Datos!$A$2:$D$14,3)/100</f>
        <v>1.8309000000000002</v>
      </c>
      <c r="AJ712" s="7">
        <f t="shared" si="165"/>
        <v>5.7524309339691264</v>
      </c>
      <c r="AK712" s="1">
        <v>0.12</v>
      </c>
      <c r="AL712" s="16">
        <f t="shared" si="166"/>
        <v>7.9620853080568724E-3</v>
      </c>
      <c r="AM712" s="7">
        <f t="shared" si="167"/>
        <v>306.79631647835345</v>
      </c>
      <c r="AN712" s="17">
        <f t="shared" si="168"/>
        <v>8.7130153879852373E-2</v>
      </c>
      <c r="AO712" s="17">
        <f t="shared" si="169"/>
        <v>10.752100856911069</v>
      </c>
      <c r="AP712" s="16">
        <f t="shared" si="170"/>
        <v>8.1035469290495175E-3</v>
      </c>
      <c r="AQ712" s="6" t="str">
        <f t="shared" si="171"/>
        <v>Cumple</v>
      </c>
    </row>
    <row r="713" spans="1:43" ht="15" customHeight="1" x14ac:dyDescent="0.3">
      <c r="A713" s="13"/>
      <c r="B713" s="1">
        <v>3</v>
      </c>
      <c r="C713" s="1">
        <v>97</v>
      </c>
      <c r="D713" s="1">
        <v>0</v>
      </c>
      <c r="E713" s="5">
        <v>1</v>
      </c>
      <c r="F713" s="3">
        <f t="shared" ref="F713:F751" si="172">F712+E713</f>
        <v>3</v>
      </c>
      <c r="G713" s="5">
        <v>2</v>
      </c>
      <c r="H713" s="3">
        <f t="shared" ref="H713:H776" si="173">PI()*(G713^2)/4</f>
        <v>3.1415926535897931</v>
      </c>
      <c r="I713" s="4">
        <v>4.0464E-2</v>
      </c>
      <c r="K713" s="3">
        <v>162.03673829909684</v>
      </c>
      <c r="L713" s="3">
        <v>612.89736000000005</v>
      </c>
      <c r="M713" s="3">
        <v>2199.3786700000001</v>
      </c>
      <c r="N713" s="12">
        <f t="shared" si="149"/>
        <v>1.2880091234540906E-2</v>
      </c>
      <c r="O713" s="11">
        <f t="shared" si="150"/>
        <v>404.64</v>
      </c>
      <c r="P713" s="1">
        <v>10</v>
      </c>
      <c r="Q713" s="1">
        <v>1</v>
      </c>
      <c r="R713" s="3">
        <f>Q713*VLOOKUP(P713,[4]Datos!$A$2:$D$14,2)</f>
        <v>8.19</v>
      </c>
      <c r="S713" s="10">
        <f t="shared" ref="S713:S776" si="174">ROUNDUP(O713/R713,0)</f>
        <v>50</v>
      </c>
      <c r="T713" s="2">
        <v>58</v>
      </c>
      <c r="U713" s="3">
        <f t="shared" ref="U713:U776" si="175">ROUNDDOWN(PI()*(G713-0.185)/T713,2)</f>
        <v>0.09</v>
      </c>
      <c r="V713" s="3"/>
      <c r="W713" s="1">
        <v>280</v>
      </c>
      <c r="X713" s="9">
        <v>2</v>
      </c>
      <c r="Y713" s="1">
        <v>6</v>
      </c>
      <c r="Z713" s="3">
        <f>X713*VLOOKUP(Y713,[4]Datos!$A$2:$D$14,2)</f>
        <v>5.68</v>
      </c>
      <c r="AA713" s="8">
        <v>7.4999999999999997E-2</v>
      </c>
      <c r="AB713" s="7">
        <f t="shared" si="151"/>
        <v>207.09423574274689</v>
      </c>
      <c r="AC713" s="7">
        <f t="shared" ref="AC713:AC776" si="176">0.9*Z713*4220*MAX(0.72*G713,0.9*((G713/2)+((G713-0.11)/PI())))/AA713/1000</f>
        <v>414.61035434434268</v>
      </c>
      <c r="AD713" s="6" t="str">
        <f t="shared" si="152"/>
        <v>Cumple</v>
      </c>
      <c r="AE713" s="6"/>
      <c r="AF713" s="5">
        <v>21</v>
      </c>
      <c r="AG713" s="7">
        <f t="shared" si="163"/>
        <v>4</v>
      </c>
      <c r="AH713" s="3">
        <f t="shared" si="164"/>
        <v>2.6880252142277672</v>
      </c>
      <c r="AI713" s="7">
        <f>G713-0.15-VLOOKUP(Y713,[4]Datos!$A$2:$D$14,3)/100</f>
        <v>1.8309000000000002</v>
      </c>
      <c r="AJ713" s="7">
        <f t="shared" si="165"/>
        <v>5.7524309339691264</v>
      </c>
      <c r="AK713" s="1">
        <v>0.12</v>
      </c>
      <c r="AL713" s="16">
        <f t="shared" si="166"/>
        <v>7.9620853080568724E-3</v>
      </c>
      <c r="AM713" s="7">
        <f t="shared" si="167"/>
        <v>306.79631647835345</v>
      </c>
      <c r="AN713" s="17">
        <f t="shared" si="168"/>
        <v>8.7130153879852373E-2</v>
      </c>
      <c r="AO713" s="17">
        <f t="shared" si="169"/>
        <v>10.752100856911069</v>
      </c>
      <c r="AP713" s="16">
        <f t="shared" si="170"/>
        <v>8.1035469290495175E-3</v>
      </c>
      <c r="AQ713" s="6" t="str">
        <f t="shared" si="171"/>
        <v>Cumple</v>
      </c>
    </row>
    <row r="714" spans="1:43" ht="15" customHeight="1" x14ac:dyDescent="0.3">
      <c r="A714" s="13"/>
      <c r="B714" s="1">
        <v>4</v>
      </c>
      <c r="C714" s="1">
        <v>99</v>
      </c>
      <c r="D714" s="1">
        <v>0</v>
      </c>
      <c r="E714" s="5">
        <v>1</v>
      </c>
      <c r="F714" s="3">
        <f t="shared" si="172"/>
        <v>4</v>
      </c>
      <c r="G714" s="5">
        <v>2</v>
      </c>
      <c r="H714" s="3">
        <f t="shared" si="173"/>
        <v>3.1415926535897931</v>
      </c>
      <c r="I714" s="4">
        <v>3.6068999999999997E-2</v>
      </c>
      <c r="K714" s="3">
        <v>162.03848149405746</v>
      </c>
      <c r="L714" s="3">
        <v>566.31628999999998</v>
      </c>
      <c r="M714" s="3">
        <v>2081.5646200000001</v>
      </c>
      <c r="N714" s="12">
        <f t="shared" si="149"/>
        <v>1.1481119284763145E-2</v>
      </c>
      <c r="O714" s="11">
        <f t="shared" si="150"/>
        <v>360.68999999999994</v>
      </c>
      <c r="P714" s="1">
        <v>10</v>
      </c>
      <c r="Q714" s="15">
        <v>1</v>
      </c>
      <c r="R714" s="3">
        <f>Q714*VLOOKUP(P714,[4]Datos!$A$2:$D$14,2)</f>
        <v>8.19</v>
      </c>
      <c r="S714" s="10">
        <f t="shared" si="174"/>
        <v>45</v>
      </c>
      <c r="T714" s="14">
        <v>58</v>
      </c>
      <c r="U714" s="3">
        <f t="shared" si="175"/>
        <v>0.09</v>
      </c>
      <c r="V714" s="3"/>
      <c r="W714" s="1">
        <v>280</v>
      </c>
      <c r="X714" s="9">
        <v>2</v>
      </c>
      <c r="Y714" s="1">
        <v>6</v>
      </c>
      <c r="Z714" s="3">
        <f>X714*VLOOKUP(Y714,[4]Datos!$A$2:$D$14,2)</f>
        <v>5.68</v>
      </c>
      <c r="AA714" s="8">
        <v>7.4999999999999997E-2</v>
      </c>
      <c r="AB714" s="7">
        <f t="shared" si="151"/>
        <v>207.09423574274689</v>
      </c>
      <c r="AC714" s="7">
        <f t="shared" si="176"/>
        <v>414.61035434434268</v>
      </c>
      <c r="AD714" s="6" t="str">
        <f t="shared" si="152"/>
        <v>Cumple</v>
      </c>
      <c r="AE714" s="6"/>
      <c r="AF714" s="5">
        <v>21</v>
      </c>
      <c r="AG714" s="7">
        <f t="shared" si="163"/>
        <v>4</v>
      </c>
      <c r="AH714" s="3">
        <f t="shared" si="164"/>
        <v>2.6880252142277672</v>
      </c>
      <c r="AI714" s="7">
        <f>G714-0.15-VLOOKUP(Y714,[4]Datos!$A$2:$D$14,3)/100</f>
        <v>1.8309000000000002</v>
      </c>
      <c r="AJ714" s="7">
        <f t="shared" si="165"/>
        <v>5.7524309339691264</v>
      </c>
      <c r="AK714" s="1">
        <v>0.12</v>
      </c>
      <c r="AL714" s="16">
        <f t="shared" si="166"/>
        <v>7.9620853080568724E-3</v>
      </c>
      <c r="AM714" s="7">
        <f t="shared" si="167"/>
        <v>306.79631647835345</v>
      </c>
      <c r="AN714" s="17">
        <f t="shared" si="168"/>
        <v>8.7130153879852373E-2</v>
      </c>
      <c r="AO714" s="17">
        <f t="shared" si="169"/>
        <v>10.752100856911069</v>
      </c>
      <c r="AP714" s="16">
        <f t="shared" si="170"/>
        <v>8.1035469290495175E-3</v>
      </c>
      <c r="AQ714" s="6" t="str">
        <f t="shared" si="171"/>
        <v>Cumple</v>
      </c>
    </row>
    <row r="715" spans="1:43" ht="15" customHeight="1" x14ac:dyDescent="0.3">
      <c r="A715" s="13"/>
      <c r="B715" s="1">
        <v>5</v>
      </c>
      <c r="C715" s="1">
        <v>101</v>
      </c>
      <c r="D715" s="1">
        <v>0</v>
      </c>
      <c r="E715" s="5">
        <v>1</v>
      </c>
      <c r="F715" s="3">
        <f t="shared" si="172"/>
        <v>5</v>
      </c>
      <c r="G715" s="5">
        <v>2</v>
      </c>
      <c r="H715" s="3">
        <f t="shared" si="173"/>
        <v>3.1415926535897931</v>
      </c>
      <c r="I715" s="4">
        <v>3.1415999999999999E-2</v>
      </c>
      <c r="K715" s="3">
        <v>162.04020459731592</v>
      </c>
      <c r="L715" s="3">
        <v>519.65389000000005</v>
      </c>
      <c r="M715" s="3">
        <v>1963.6623199999999</v>
      </c>
      <c r="N715" s="12">
        <f t="shared" si="149"/>
        <v>1.0000023384349969E-2</v>
      </c>
      <c r="O715" s="11">
        <f t="shared" si="150"/>
        <v>314.15999999999997</v>
      </c>
      <c r="P715" s="1">
        <v>10</v>
      </c>
      <c r="Q715" s="15">
        <v>1</v>
      </c>
      <c r="R715" s="3">
        <f>Q715*VLOOKUP(P715,[4]Datos!$A$2:$D$14,2)</f>
        <v>8.19</v>
      </c>
      <c r="S715" s="10">
        <f t="shared" si="174"/>
        <v>39</v>
      </c>
      <c r="T715" s="14">
        <v>58</v>
      </c>
      <c r="U715" s="3">
        <f t="shared" si="175"/>
        <v>0.09</v>
      </c>
      <c r="V715" s="3"/>
      <c r="W715" s="1">
        <v>280</v>
      </c>
      <c r="X715" s="9">
        <v>2</v>
      </c>
      <c r="Y715" s="1">
        <v>4</v>
      </c>
      <c r="Z715" s="3">
        <f>X715*VLOOKUP(Y715,[4]Datos!$A$2:$D$14,2)</f>
        <v>2.58</v>
      </c>
      <c r="AA715" s="8">
        <v>0.3</v>
      </c>
      <c r="AB715" s="7">
        <f t="shared" si="151"/>
        <v>207.09423574274689</v>
      </c>
      <c r="AC715" s="7">
        <f t="shared" si="176"/>
        <v>47.081633547905106</v>
      </c>
      <c r="AD715" s="6" t="str">
        <f t="shared" si="152"/>
        <v>Cumple</v>
      </c>
      <c r="AE715" s="6"/>
      <c r="AH715" s="3"/>
    </row>
    <row r="716" spans="1:43" ht="15" customHeight="1" x14ac:dyDescent="0.3">
      <c r="A716" s="13"/>
      <c r="B716" s="1">
        <v>6</v>
      </c>
      <c r="C716" s="1">
        <v>103</v>
      </c>
      <c r="D716" s="1">
        <v>0</v>
      </c>
      <c r="E716" s="5">
        <v>1</v>
      </c>
      <c r="F716" s="3">
        <f t="shared" si="172"/>
        <v>6</v>
      </c>
      <c r="G716" s="5">
        <v>2</v>
      </c>
      <c r="H716" s="3">
        <f t="shared" si="173"/>
        <v>3.1415926535897931</v>
      </c>
      <c r="I716" s="4">
        <v>3.1415999999999999E-2</v>
      </c>
      <c r="K716" s="3">
        <v>162.04194779516197</v>
      </c>
      <c r="L716" s="3">
        <v>472.93052</v>
      </c>
      <c r="M716" s="3">
        <v>1849.3893599999999</v>
      </c>
      <c r="N716" s="12">
        <f t="shared" si="149"/>
        <v>1.0000023384349969E-2</v>
      </c>
      <c r="O716" s="11">
        <f t="shared" si="150"/>
        <v>314.15999999999997</v>
      </c>
      <c r="P716" s="1">
        <v>10</v>
      </c>
      <c r="Q716" s="15">
        <v>1</v>
      </c>
      <c r="R716" s="3">
        <f>Q716*VLOOKUP(P716,[4]Datos!$A$2:$D$14,2)</f>
        <v>8.19</v>
      </c>
      <c r="S716" s="10">
        <f t="shared" si="174"/>
        <v>39</v>
      </c>
      <c r="T716" s="14">
        <v>58</v>
      </c>
      <c r="U716" s="3">
        <f t="shared" si="175"/>
        <v>0.09</v>
      </c>
      <c r="V716" s="3"/>
      <c r="W716" s="1">
        <v>280</v>
      </c>
      <c r="X716" s="9">
        <v>2</v>
      </c>
      <c r="Y716" s="1">
        <v>4</v>
      </c>
      <c r="Z716" s="3">
        <f>X716*VLOOKUP(Y716,[4]Datos!$A$2:$D$14,2)</f>
        <v>2.58</v>
      </c>
      <c r="AA716" s="8">
        <v>0.3</v>
      </c>
      <c r="AB716" s="7">
        <f t="shared" si="151"/>
        <v>207.09423574274689</v>
      </c>
      <c r="AC716" s="7">
        <f t="shared" si="176"/>
        <v>47.081633547905106</v>
      </c>
      <c r="AD716" s="6" t="str">
        <f t="shared" si="152"/>
        <v>Cumple</v>
      </c>
      <c r="AE716" s="6"/>
      <c r="AH716" s="3"/>
    </row>
    <row r="717" spans="1:43" ht="15" customHeight="1" x14ac:dyDescent="0.3">
      <c r="A717" s="13"/>
      <c r="B717" s="1">
        <v>7</v>
      </c>
      <c r="C717" s="1">
        <v>105</v>
      </c>
      <c r="D717" s="1">
        <v>0</v>
      </c>
      <c r="E717" s="5">
        <v>1</v>
      </c>
      <c r="F717" s="3">
        <f t="shared" si="172"/>
        <v>7</v>
      </c>
      <c r="G717" s="5">
        <v>2</v>
      </c>
      <c r="H717" s="3">
        <f t="shared" si="173"/>
        <v>3.1415926535897931</v>
      </c>
      <c r="I717" s="4">
        <v>3.1415999999999999E-2</v>
      </c>
      <c r="K717" s="3">
        <v>162.04367090192076</v>
      </c>
      <c r="L717" s="3">
        <v>426.16730999999999</v>
      </c>
      <c r="M717" s="3">
        <v>1738.2755400000001</v>
      </c>
      <c r="N717" s="12">
        <f t="shared" si="149"/>
        <v>1.0000023384349969E-2</v>
      </c>
      <c r="O717" s="11">
        <f t="shared" si="150"/>
        <v>314.15999999999997</v>
      </c>
      <c r="P717" s="1">
        <v>10</v>
      </c>
      <c r="Q717" s="1">
        <v>1</v>
      </c>
      <c r="R717" s="3">
        <f>Q717*VLOOKUP(P717,[4]Datos!$A$2:$D$14,2)</f>
        <v>8.19</v>
      </c>
      <c r="S717" s="10">
        <f t="shared" si="174"/>
        <v>39</v>
      </c>
      <c r="T717" s="2">
        <v>39</v>
      </c>
      <c r="U717" s="3">
        <f t="shared" si="175"/>
        <v>0.14000000000000001</v>
      </c>
      <c r="V717" s="3"/>
      <c r="W717" s="1">
        <v>280</v>
      </c>
      <c r="X717" s="9">
        <v>2</v>
      </c>
      <c r="Y717" s="1">
        <v>4</v>
      </c>
      <c r="Z717" s="3">
        <f>X717*VLOOKUP(Y717,[4]Datos!$A$2:$D$14,2)</f>
        <v>2.58</v>
      </c>
      <c r="AA717" s="8">
        <v>0.3</v>
      </c>
      <c r="AB717" s="7">
        <f t="shared" si="151"/>
        <v>207.09423574274689</v>
      </c>
      <c r="AC717" s="7">
        <f t="shared" si="176"/>
        <v>47.081633547905106</v>
      </c>
      <c r="AD717" s="6" t="str">
        <f t="shared" si="152"/>
        <v>Cumple</v>
      </c>
      <c r="AE717" s="6"/>
      <c r="AH717" s="3"/>
    </row>
    <row r="718" spans="1:43" x14ac:dyDescent="0.3">
      <c r="A718" s="13"/>
      <c r="B718" s="1">
        <v>8</v>
      </c>
      <c r="C718" s="1">
        <v>107</v>
      </c>
      <c r="D718" s="1">
        <v>0</v>
      </c>
      <c r="E718" s="5">
        <v>1</v>
      </c>
      <c r="F718" s="3">
        <f t="shared" si="172"/>
        <v>8</v>
      </c>
      <c r="G718" s="5">
        <v>2</v>
      </c>
      <c r="H718" s="3">
        <f t="shared" si="173"/>
        <v>3.1415926535897931</v>
      </c>
      <c r="I718" s="4">
        <v>3.1415999999999999E-2</v>
      </c>
      <c r="K718" s="3">
        <v>162.0454141026521</v>
      </c>
      <c r="L718" s="3">
        <v>379.3861</v>
      </c>
      <c r="M718" s="3">
        <v>1632.0452499999999</v>
      </c>
      <c r="N718" s="12">
        <f t="shared" si="149"/>
        <v>1.0000023384349969E-2</v>
      </c>
      <c r="O718" s="11">
        <f t="shared" si="150"/>
        <v>314.15999999999997</v>
      </c>
      <c r="P718" s="1">
        <v>10</v>
      </c>
      <c r="Q718" s="1">
        <v>1</v>
      </c>
      <c r="R718" s="3">
        <f>Q718*VLOOKUP(P718,[4]Datos!$A$2:$D$14,2)</f>
        <v>8.19</v>
      </c>
      <c r="S718" s="10">
        <f t="shared" si="174"/>
        <v>39</v>
      </c>
      <c r="T718" s="2">
        <v>39</v>
      </c>
      <c r="U718" s="3">
        <f t="shared" si="175"/>
        <v>0.14000000000000001</v>
      </c>
      <c r="V718" s="3"/>
      <c r="W718" s="1">
        <v>280</v>
      </c>
      <c r="X718" s="9">
        <v>2</v>
      </c>
      <c r="Y718" s="1">
        <v>4</v>
      </c>
      <c r="Z718" s="3">
        <f>X718*VLOOKUP(Y718,[4]Datos!$A$2:$D$14,2)</f>
        <v>2.58</v>
      </c>
      <c r="AA718" s="8">
        <v>0.3</v>
      </c>
      <c r="AB718" s="7">
        <f t="shared" si="151"/>
        <v>207.09423574274689</v>
      </c>
      <c r="AC718" s="7">
        <f t="shared" si="176"/>
        <v>47.081633547905106</v>
      </c>
      <c r="AD718" s="6" t="str">
        <f t="shared" si="152"/>
        <v>Cumple</v>
      </c>
      <c r="AE718" s="6"/>
      <c r="AH718" s="3"/>
    </row>
    <row r="719" spans="1:43" x14ac:dyDescent="0.3">
      <c r="A719" s="13"/>
      <c r="B719" s="1">
        <v>9</v>
      </c>
      <c r="C719" s="1">
        <v>109</v>
      </c>
      <c r="D719" s="1">
        <v>0</v>
      </c>
      <c r="E719" s="5">
        <v>1</v>
      </c>
      <c r="F719" s="3">
        <f t="shared" si="172"/>
        <v>9</v>
      </c>
      <c r="G719" s="5">
        <v>2</v>
      </c>
      <c r="H719" s="3">
        <f t="shared" si="173"/>
        <v>3.1415926535897931</v>
      </c>
      <c r="I719" s="4">
        <v>3.1415999999999999E-2</v>
      </c>
      <c r="K719" s="3">
        <v>162.047137212911</v>
      </c>
      <c r="L719" s="3">
        <v>332.60957999999999</v>
      </c>
      <c r="M719" s="3">
        <v>1526.3036300000001</v>
      </c>
      <c r="N719" s="12">
        <f t="shared" si="149"/>
        <v>1.0000023384349969E-2</v>
      </c>
      <c r="O719" s="11">
        <f t="shared" si="150"/>
        <v>314.15999999999997</v>
      </c>
      <c r="P719" s="1">
        <v>10</v>
      </c>
      <c r="Q719" s="1">
        <v>1</v>
      </c>
      <c r="R719" s="3">
        <f>Q719*VLOOKUP(P719,[4]Datos!$A$2:$D$14,2)</f>
        <v>8.19</v>
      </c>
      <c r="S719" s="10">
        <f t="shared" si="174"/>
        <v>39</v>
      </c>
      <c r="T719" s="2">
        <v>39</v>
      </c>
      <c r="U719" s="3">
        <f t="shared" si="175"/>
        <v>0.14000000000000001</v>
      </c>
      <c r="V719" s="3"/>
      <c r="W719" s="1">
        <v>280</v>
      </c>
      <c r="X719" s="9">
        <v>2</v>
      </c>
      <c r="Y719" s="1">
        <v>4</v>
      </c>
      <c r="Z719" s="3">
        <f>X719*VLOOKUP(Y719,[4]Datos!$A$2:$D$14,2)</f>
        <v>2.58</v>
      </c>
      <c r="AA719" s="8">
        <v>0.3</v>
      </c>
      <c r="AB719" s="7">
        <f t="shared" si="151"/>
        <v>207.09423574274689</v>
      </c>
      <c r="AC719" s="7">
        <f t="shared" si="176"/>
        <v>47.081633547905106</v>
      </c>
      <c r="AD719" s="6" t="str">
        <f t="shared" si="152"/>
        <v>Cumple</v>
      </c>
      <c r="AE719" s="6"/>
      <c r="AH719" s="3"/>
    </row>
    <row r="720" spans="1:43" x14ac:dyDescent="0.3">
      <c r="A720" s="13"/>
      <c r="B720" s="1">
        <v>10</v>
      </c>
      <c r="C720" s="1">
        <v>111</v>
      </c>
      <c r="D720" s="1">
        <v>0</v>
      </c>
      <c r="E720" s="5">
        <v>1</v>
      </c>
      <c r="F720" s="3">
        <f t="shared" si="172"/>
        <v>10</v>
      </c>
      <c r="G720" s="5">
        <v>2</v>
      </c>
      <c r="H720" s="3">
        <f t="shared" si="173"/>
        <v>3.1415926535897931</v>
      </c>
      <c r="I720" s="4">
        <v>3.1415999999999999E-2</v>
      </c>
      <c r="K720" s="3">
        <v>162.04897837740293</v>
      </c>
      <c r="L720" s="3">
        <v>285.86198999999999</v>
      </c>
      <c r="M720" s="3">
        <v>1420.3132599999999</v>
      </c>
      <c r="N720" s="12">
        <f t="shared" si="149"/>
        <v>1.0000023384349969E-2</v>
      </c>
      <c r="O720" s="11">
        <f t="shared" si="150"/>
        <v>314.15999999999997</v>
      </c>
      <c r="P720" s="1">
        <v>10</v>
      </c>
      <c r="Q720" s="1">
        <v>1</v>
      </c>
      <c r="R720" s="3">
        <f>Q720*VLOOKUP(P720,[4]Datos!$A$2:$D$14,2)</f>
        <v>8.19</v>
      </c>
      <c r="S720" s="10">
        <f t="shared" si="174"/>
        <v>39</v>
      </c>
      <c r="T720" s="2">
        <v>39</v>
      </c>
      <c r="U720" s="3">
        <f t="shared" si="175"/>
        <v>0.14000000000000001</v>
      </c>
      <c r="V720" s="3"/>
      <c r="W720" s="1">
        <v>280</v>
      </c>
      <c r="X720" s="9">
        <v>2</v>
      </c>
      <c r="Y720" s="1">
        <v>4</v>
      </c>
      <c r="Z720" s="3">
        <f>X720*VLOOKUP(Y720,[4]Datos!$A$2:$D$14,2)</f>
        <v>2.58</v>
      </c>
      <c r="AA720" s="8">
        <v>0.3</v>
      </c>
      <c r="AB720" s="7">
        <f t="shared" si="151"/>
        <v>207.09423574274689</v>
      </c>
      <c r="AC720" s="7">
        <f t="shared" si="176"/>
        <v>47.081633547905106</v>
      </c>
      <c r="AD720" s="6" t="str">
        <f t="shared" si="152"/>
        <v>Cumple</v>
      </c>
      <c r="AE720" s="6"/>
      <c r="AH720" s="3"/>
    </row>
    <row r="721" spans="1:43" x14ac:dyDescent="0.3">
      <c r="A721" s="13"/>
      <c r="B721" s="1">
        <v>11</v>
      </c>
      <c r="C721" s="1">
        <v>113</v>
      </c>
      <c r="D721" s="1">
        <v>0</v>
      </c>
      <c r="E721" s="5">
        <v>1</v>
      </c>
      <c r="F721" s="3">
        <f t="shared" si="172"/>
        <v>11</v>
      </c>
      <c r="G721" s="5">
        <v>2</v>
      </c>
      <c r="H721" s="3">
        <f t="shared" si="173"/>
        <v>3.1415926535897931</v>
      </c>
      <c r="I721" s="4">
        <v>3.1415999999999999E-2</v>
      </c>
      <c r="K721" s="3">
        <v>162.05070149123083</v>
      </c>
      <c r="L721" s="3">
        <v>239.17161999999999</v>
      </c>
      <c r="M721" s="3">
        <v>1314.03748</v>
      </c>
      <c r="N721" s="12">
        <f t="shared" si="149"/>
        <v>1.0000023384349969E-2</v>
      </c>
      <c r="O721" s="11">
        <f t="shared" si="150"/>
        <v>314.15999999999997</v>
      </c>
      <c r="P721" s="1">
        <v>10</v>
      </c>
      <c r="Q721" s="1">
        <v>1</v>
      </c>
      <c r="R721" s="3">
        <f>Q721*VLOOKUP(P721,[4]Datos!$A$2:$D$14,2)</f>
        <v>8.19</v>
      </c>
      <c r="S721" s="10">
        <f t="shared" si="174"/>
        <v>39</v>
      </c>
      <c r="T721" s="2">
        <v>39</v>
      </c>
      <c r="U721" s="3">
        <f t="shared" si="175"/>
        <v>0.14000000000000001</v>
      </c>
      <c r="V721" s="3"/>
      <c r="W721" s="1">
        <v>280</v>
      </c>
      <c r="X721" s="9">
        <v>2</v>
      </c>
      <c r="Y721" s="1">
        <v>4</v>
      </c>
      <c r="Z721" s="3">
        <f>X721*VLOOKUP(Y721,[4]Datos!$A$2:$D$14,2)</f>
        <v>2.58</v>
      </c>
      <c r="AA721" s="8">
        <v>0.3</v>
      </c>
      <c r="AB721" s="7">
        <f t="shared" si="151"/>
        <v>207.09423574274689</v>
      </c>
      <c r="AC721" s="7">
        <f t="shared" si="176"/>
        <v>47.081633547905106</v>
      </c>
      <c r="AD721" s="6" t="str">
        <f t="shared" si="152"/>
        <v>Cumple</v>
      </c>
      <c r="AE721" s="6"/>
      <c r="AH721" s="3"/>
    </row>
    <row r="722" spans="1:43" x14ac:dyDescent="0.3">
      <c r="A722" s="13"/>
      <c r="B722" s="1">
        <v>12</v>
      </c>
      <c r="C722" s="1">
        <v>115</v>
      </c>
      <c r="D722" s="1">
        <v>0</v>
      </c>
      <c r="E722" s="5">
        <v>1</v>
      </c>
      <c r="F722" s="3">
        <f t="shared" si="172"/>
        <v>12</v>
      </c>
      <c r="G722" s="5">
        <v>2</v>
      </c>
      <c r="H722" s="3">
        <f t="shared" si="173"/>
        <v>3.1415926535897931</v>
      </c>
      <c r="I722" s="4">
        <v>3.1415999999999999E-2</v>
      </c>
      <c r="K722" s="3">
        <v>162.05244469778913</v>
      </c>
      <c r="L722" s="3">
        <v>192.57866000000001</v>
      </c>
      <c r="M722" s="3">
        <v>1208.31116</v>
      </c>
      <c r="N722" s="12">
        <f t="shared" si="149"/>
        <v>1.0000023384349969E-2</v>
      </c>
      <c r="O722" s="11">
        <f t="shared" si="150"/>
        <v>314.15999999999997</v>
      </c>
      <c r="P722" s="1">
        <v>10</v>
      </c>
      <c r="Q722" s="1">
        <v>1</v>
      </c>
      <c r="R722" s="3">
        <f>Q722*VLOOKUP(P722,[4]Datos!$A$2:$D$14,2)</f>
        <v>8.19</v>
      </c>
      <c r="S722" s="10">
        <f t="shared" si="174"/>
        <v>39</v>
      </c>
      <c r="T722" s="2">
        <v>39</v>
      </c>
      <c r="U722" s="3">
        <f t="shared" si="175"/>
        <v>0.14000000000000001</v>
      </c>
      <c r="V722" s="3"/>
      <c r="W722" s="1">
        <v>280</v>
      </c>
      <c r="X722" s="9">
        <v>2</v>
      </c>
      <c r="Y722" s="1">
        <v>4</v>
      </c>
      <c r="Z722" s="3">
        <f>X722*VLOOKUP(Y722,[4]Datos!$A$2:$D$14,2)</f>
        <v>2.58</v>
      </c>
      <c r="AA722" s="8">
        <v>0.3</v>
      </c>
      <c r="AB722" s="7">
        <f t="shared" si="151"/>
        <v>207.09423574274689</v>
      </c>
      <c r="AC722" s="7">
        <f t="shared" si="176"/>
        <v>47.081633547905106</v>
      </c>
      <c r="AD722" s="6" t="str">
        <f t="shared" si="152"/>
        <v>Cumple</v>
      </c>
      <c r="AE722" s="6"/>
      <c r="AH722" s="3"/>
    </row>
    <row r="723" spans="1:43" x14ac:dyDescent="0.3">
      <c r="A723" s="13"/>
      <c r="B723" s="1">
        <v>13</v>
      </c>
      <c r="C723" s="1">
        <v>117</v>
      </c>
      <c r="D723" s="1">
        <v>0</v>
      </c>
      <c r="E723" s="5">
        <v>1</v>
      </c>
      <c r="F723" s="3">
        <f t="shared" si="172"/>
        <v>13</v>
      </c>
      <c r="G723" s="5">
        <v>2</v>
      </c>
      <c r="H723" s="3">
        <f t="shared" si="173"/>
        <v>3.1415926535897931</v>
      </c>
      <c r="I723" s="4">
        <v>3.1415999999999999E-2</v>
      </c>
      <c r="K723" s="3">
        <v>162.05416781511667</v>
      </c>
      <c r="L723" s="3">
        <v>146.16497000000001</v>
      </c>
      <c r="M723" s="3">
        <v>1102.42698</v>
      </c>
      <c r="N723" s="12">
        <f t="shared" si="149"/>
        <v>1.0000023384349969E-2</v>
      </c>
      <c r="O723" s="11">
        <f t="shared" si="150"/>
        <v>314.15999999999997</v>
      </c>
      <c r="P723" s="1">
        <v>10</v>
      </c>
      <c r="Q723" s="15">
        <v>1</v>
      </c>
      <c r="R723" s="3">
        <f>Q723*VLOOKUP(P723,[4]Datos!$A$2:$D$14,2)</f>
        <v>8.19</v>
      </c>
      <c r="S723" s="10">
        <f t="shared" si="174"/>
        <v>39</v>
      </c>
      <c r="T723" s="14">
        <v>41</v>
      </c>
      <c r="U723" s="3">
        <f t="shared" si="175"/>
        <v>0.13</v>
      </c>
      <c r="V723" s="3"/>
      <c r="W723" s="1">
        <v>280</v>
      </c>
      <c r="X723" s="9">
        <v>2</v>
      </c>
      <c r="Y723" s="1">
        <v>4</v>
      </c>
      <c r="Z723" s="3">
        <f>X723*VLOOKUP(Y723,[4]Datos!$A$2:$D$14,2)</f>
        <v>2.58</v>
      </c>
      <c r="AA723" s="8">
        <v>0.3</v>
      </c>
      <c r="AB723" s="7">
        <f t="shared" si="151"/>
        <v>207.09423574274689</v>
      </c>
      <c r="AC723" s="7">
        <f t="shared" si="176"/>
        <v>47.081633547905106</v>
      </c>
      <c r="AD723" s="6" t="str">
        <f t="shared" si="152"/>
        <v>Cumple</v>
      </c>
      <c r="AE723" s="6"/>
      <c r="AH723" s="3"/>
    </row>
    <row r="724" spans="1:43" x14ac:dyDescent="0.3">
      <c r="A724" s="13"/>
      <c r="B724" s="1">
        <v>14</v>
      </c>
      <c r="C724" s="1">
        <v>119</v>
      </c>
      <c r="D724" s="1">
        <v>0</v>
      </c>
      <c r="E724" s="5">
        <v>1</v>
      </c>
      <c r="F724" s="3">
        <f t="shared" si="172"/>
        <v>14</v>
      </c>
      <c r="G724" s="5">
        <v>2</v>
      </c>
      <c r="H724" s="3">
        <f t="shared" si="173"/>
        <v>3.1415926535897931</v>
      </c>
      <c r="I724" s="4">
        <v>3.1415999999999999E-2</v>
      </c>
      <c r="K724" s="3">
        <v>162.05600898568989</v>
      </c>
      <c r="L724" s="3">
        <v>100.21738000000001</v>
      </c>
      <c r="M724" s="3">
        <v>996.61667999999997</v>
      </c>
      <c r="N724" s="12">
        <f t="shared" si="149"/>
        <v>1.0000023384349969E-2</v>
      </c>
      <c r="O724" s="11">
        <f t="shared" si="150"/>
        <v>314.15999999999997</v>
      </c>
      <c r="P724" s="1">
        <v>10</v>
      </c>
      <c r="Q724" s="15">
        <v>1</v>
      </c>
      <c r="R724" s="3">
        <f>Q724*VLOOKUP(P724,[4]Datos!$A$2:$D$14,2)</f>
        <v>8.19</v>
      </c>
      <c r="S724" s="10">
        <f t="shared" si="174"/>
        <v>39</v>
      </c>
      <c r="T724" s="14">
        <v>41</v>
      </c>
      <c r="U724" s="3">
        <f t="shared" si="175"/>
        <v>0.13</v>
      </c>
      <c r="V724" s="3"/>
      <c r="W724" s="1">
        <v>280</v>
      </c>
      <c r="X724" s="9">
        <v>2</v>
      </c>
      <c r="Y724" s="1">
        <v>4</v>
      </c>
      <c r="Z724" s="3">
        <f>X724*VLOOKUP(Y724,[4]Datos!$A$2:$D$14,2)</f>
        <v>2.58</v>
      </c>
      <c r="AA724" s="8">
        <v>0.3</v>
      </c>
      <c r="AB724" s="7">
        <f t="shared" si="151"/>
        <v>207.09423574274689</v>
      </c>
      <c r="AC724" s="7">
        <f t="shared" si="176"/>
        <v>47.081633547905106</v>
      </c>
      <c r="AD724" s="6" t="str">
        <f t="shared" si="152"/>
        <v>Cumple</v>
      </c>
      <c r="AE724" s="6"/>
      <c r="AH724" s="3"/>
    </row>
    <row r="725" spans="1:43" x14ac:dyDescent="0.3">
      <c r="A725" s="13"/>
      <c r="B725" s="1">
        <v>15</v>
      </c>
      <c r="C725" s="1">
        <v>121</v>
      </c>
      <c r="D725" s="1">
        <v>0</v>
      </c>
      <c r="E725" s="5">
        <v>1</v>
      </c>
      <c r="F725" s="3">
        <f t="shared" si="172"/>
        <v>15</v>
      </c>
      <c r="G725" s="5">
        <v>2</v>
      </c>
      <c r="H725" s="3">
        <f t="shared" si="173"/>
        <v>3.1415926535897931</v>
      </c>
      <c r="I725" s="4">
        <v>3.1415999999999999E-2</v>
      </c>
      <c r="K725" s="3">
        <v>162.05773210658603</v>
      </c>
      <c r="L725" s="3">
        <v>78.338440000000006</v>
      </c>
      <c r="M725" s="3">
        <v>909.46442000000002</v>
      </c>
      <c r="N725" s="12">
        <f t="shared" si="149"/>
        <v>1.0000023384349969E-2</v>
      </c>
      <c r="O725" s="11">
        <f t="shared" si="150"/>
        <v>314.15999999999997</v>
      </c>
      <c r="P725" s="1">
        <v>10</v>
      </c>
      <c r="Q725" s="15">
        <v>1</v>
      </c>
      <c r="R725" s="3">
        <f>Q725*VLOOKUP(P725,[4]Datos!$A$2:$D$14,2)</f>
        <v>8.19</v>
      </c>
      <c r="S725" s="10">
        <f t="shared" si="174"/>
        <v>39</v>
      </c>
      <c r="T725" s="14">
        <v>41</v>
      </c>
      <c r="U725" s="3">
        <f t="shared" si="175"/>
        <v>0.13</v>
      </c>
      <c r="V725" s="3"/>
      <c r="W725" s="1">
        <v>280</v>
      </c>
      <c r="X725" s="9">
        <v>2</v>
      </c>
      <c r="Y725" s="1">
        <v>4</v>
      </c>
      <c r="Z725" s="3">
        <f>X725*VLOOKUP(Y725,[4]Datos!$A$2:$D$14,2)</f>
        <v>2.58</v>
      </c>
      <c r="AA725" s="8">
        <v>0.3</v>
      </c>
      <c r="AB725" s="7">
        <f t="shared" si="151"/>
        <v>207.09423574274689</v>
      </c>
      <c r="AC725" s="7">
        <f t="shared" si="176"/>
        <v>47.081633547905106</v>
      </c>
      <c r="AD725" s="6" t="str">
        <f t="shared" si="152"/>
        <v>Cumple</v>
      </c>
      <c r="AE725" s="6"/>
      <c r="AH725" s="3"/>
    </row>
    <row r="726" spans="1:43" x14ac:dyDescent="0.3">
      <c r="A726" s="13"/>
      <c r="B726" s="1">
        <v>16</v>
      </c>
      <c r="C726" s="1">
        <v>123</v>
      </c>
      <c r="D726" s="1">
        <v>0</v>
      </c>
      <c r="E726" s="5">
        <v>1</v>
      </c>
      <c r="F726" s="3">
        <f t="shared" si="172"/>
        <v>16</v>
      </c>
      <c r="G726" s="5">
        <v>2</v>
      </c>
      <c r="H726" s="3">
        <f t="shared" si="173"/>
        <v>3.1415926535897931</v>
      </c>
      <c r="I726" s="4">
        <v>3.1415999999999999E-2</v>
      </c>
      <c r="K726" s="3">
        <v>162.05957328022924</v>
      </c>
      <c r="L726" s="3">
        <v>107.7975</v>
      </c>
      <c r="M726" s="3">
        <v>898.58866999999998</v>
      </c>
      <c r="N726" s="12">
        <f t="shared" si="149"/>
        <v>1.0000023384349969E-2</v>
      </c>
      <c r="O726" s="11">
        <f t="shared" si="150"/>
        <v>314.15999999999997</v>
      </c>
      <c r="P726" s="1">
        <v>10</v>
      </c>
      <c r="Q726" s="1">
        <v>1</v>
      </c>
      <c r="R726" s="3">
        <f>Q726*VLOOKUP(P726,[4]Datos!$A$2:$D$14,2)</f>
        <v>8.19</v>
      </c>
      <c r="S726" s="10">
        <f t="shared" si="174"/>
        <v>39</v>
      </c>
      <c r="T726" s="2">
        <v>41</v>
      </c>
      <c r="U726" s="3">
        <f t="shared" si="175"/>
        <v>0.13</v>
      </c>
      <c r="V726" s="3"/>
      <c r="W726" s="1">
        <v>280</v>
      </c>
      <c r="X726" s="9">
        <v>2</v>
      </c>
      <c r="Y726" s="1">
        <v>4</v>
      </c>
      <c r="Z726" s="3">
        <f>X726*VLOOKUP(Y726,[4]Datos!$A$2:$D$14,2)</f>
        <v>2.58</v>
      </c>
      <c r="AA726" s="8">
        <v>0.3</v>
      </c>
      <c r="AB726" s="7">
        <f t="shared" si="151"/>
        <v>207.09423574274689</v>
      </c>
      <c r="AC726" s="7">
        <f t="shared" si="176"/>
        <v>47.081633547905106</v>
      </c>
      <c r="AD726" s="6" t="str">
        <f t="shared" si="152"/>
        <v>Cumple</v>
      </c>
      <c r="AE726" s="6"/>
      <c r="AH726" s="3"/>
    </row>
    <row r="727" spans="1:43" x14ac:dyDescent="0.3">
      <c r="A727" s="13"/>
      <c r="B727" s="1">
        <v>17</v>
      </c>
      <c r="C727" s="1">
        <v>125</v>
      </c>
      <c r="D727" s="1">
        <v>0</v>
      </c>
      <c r="E727" s="5">
        <v>1</v>
      </c>
      <c r="F727" s="3">
        <f t="shared" si="172"/>
        <v>17</v>
      </c>
      <c r="G727" s="5">
        <v>2</v>
      </c>
      <c r="H727" s="3">
        <f t="shared" si="173"/>
        <v>3.1415926535897931</v>
      </c>
      <c r="I727" s="4">
        <v>3.1415999999999999E-2</v>
      </c>
      <c r="K727" s="3">
        <v>162.06139436602413</v>
      </c>
      <c r="L727" s="3">
        <v>147.53964999999999</v>
      </c>
      <c r="M727" s="3">
        <v>903.79019000000005</v>
      </c>
      <c r="N727" s="12">
        <f t="shared" si="149"/>
        <v>1.0000023384349969E-2</v>
      </c>
      <c r="O727" s="11">
        <f t="shared" si="150"/>
        <v>314.15999999999997</v>
      </c>
      <c r="P727" s="1">
        <v>10</v>
      </c>
      <c r="Q727" s="1">
        <v>1</v>
      </c>
      <c r="R727" s="3">
        <f>Q727*VLOOKUP(P727,[4]Datos!$A$2:$D$14,2)</f>
        <v>8.19</v>
      </c>
      <c r="S727" s="10">
        <f t="shared" si="174"/>
        <v>39</v>
      </c>
      <c r="T727" s="2">
        <v>41</v>
      </c>
      <c r="U727" s="3">
        <f t="shared" si="175"/>
        <v>0.13</v>
      </c>
      <c r="V727" s="3"/>
      <c r="W727" s="1">
        <v>280</v>
      </c>
      <c r="X727" s="9">
        <v>2</v>
      </c>
      <c r="Y727" s="1">
        <v>4</v>
      </c>
      <c r="Z727" s="3">
        <f>X727*VLOOKUP(Y727,[4]Datos!$A$2:$D$14,2)</f>
        <v>2.58</v>
      </c>
      <c r="AA727" s="8">
        <v>0.3</v>
      </c>
      <c r="AB727" s="7">
        <f t="shared" si="151"/>
        <v>207.09423574274689</v>
      </c>
      <c r="AC727" s="7">
        <f t="shared" si="176"/>
        <v>47.081633547905106</v>
      </c>
      <c r="AD727" s="6" t="str">
        <f t="shared" si="152"/>
        <v>Cumple</v>
      </c>
      <c r="AE727" s="6"/>
      <c r="AH727" s="3"/>
    </row>
    <row r="728" spans="1:43" x14ac:dyDescent="0.3">
      <c r="A728" s="13"/>
      <c r="B728" s="1">
        <v>18</v>
      </c>
      <c r="C728" s="1">
        <v>127</v>
      </c>
      <c r="D728" s="1">
        <v>0</v>
      </c>
      <c r="E728" s="5">
        <v>1</v>
      </c>
      <c r="F728" s="3">
        <f t="shared" si="172"/>
        <v>18</v>
      </c>
      <c r="G728" s="5">
        <v>2</v>
      </c>
      <c r="H728" s="3">
        <f t="shared" si="173"/>
        <v>3.1415926535897931</v>
      </c>
      <c r="I728" s="4">
        <v>3.1415999999999999E-2</v>
      </c>
      <c r="K728" s="3">
        <v>162.06321545387775</v>
      </c>
      <c r="L728" s="3">
        <v>187.64842999999999</v>
      </c>
      <c r="M728" s="3">
        <v>968.86950999999999</v>
      </c>
      <c r="N728" s="12">
        <f t="shared" si="149"/>
        <v>1.0000023384349969E-2</v>
      </c>
      <c r="O728" s="11">
        <f t="shared" si="150"/>
        <v>314.15999999999997</v>
      </c>
      <c r="P728" s="1">
        <v>10</v>
      </c>
      <c r="Q728" s="1">
        <v>1</v>
      </c>
      <c r="R728" s="3">
        <f>Q728*VLOOKUP(P728,[4]Datos!$A$2:$D$14,2)</f>
        <v>8.19</v>
      </c>
      <c r="S728" s="10">
        <f t="shared" si="174"/>
        <v>39</v>
      </c>
      <c r="T728" s="2">
        <v>41</v>
      </c>
      <c r="U728" s="3">
        <f t="shared" si="175"/>
        <v>0.13</v>
      </c>
      <c r="V728" s="3"/>
      <c r="W728" s="1">
        <v>280</v>
      </c>
      <c r="X728" s="9">
        <v>2</v>
      </c>
      <c r="Y728" s="1">
        <v>6</v>
      </c>
      <c r="Z728" s="3">
        <f>X728*VLOOKUP(Y728,[4]Datos!$A$2:$D$14,2)</f>
        <v>5.68</v>
      </c>
      <c r="AA728" s="8">
        <v>7.4999999999999997E-2</v>
      </c>
      <c r="AB728" s="7">
        <f t="shared" si="151"/>
        <v>207.09423574274689</v>
      </c>
      <c r="AC728" s="7">
        <f t="shared" si="176"/>
        <v>414.61035434434268</v>
      </c>
      <c r="AD728" s="6" t="str">
        <f t="shared" si="152"/>
        <v>Cumple</v>
      </c>
      <c r="AE728" s="6"/>
      <c r="AF728" s="5">
        <v>21</v>
      </c>
      <c r="AG728" s="7">
        <f t="shared" ref="AG728:AG731" si="177">ROUNDUP(MAX(0.45,G728,AF728/6),0)</f>
        <v>4</v>
      </c>
      <c r="AH728" s="3">
        <f t="shared" ref="AH728:AH738" si="178">PI()*(G728-0.15)^2/4</f>
        <v>2.6880252142277672</v>
      </c>
      <c r="AI728" s="7">
        <f>G728-0.15-VLOOKUP(Y728,[4]Datos!$A$2:$D$14,3)/100</f>
        <v>1.8309000000000002</v>
      </c>
      <c r="AJ728" s="7">
        <f t="shared" ref="AJ728:AJ738" si="179">SQRT((PI()*AI728)^2+AA728^2)</f>
        <v>5.7524309339691264</v>
      </c>
      <c r="AK728" s="1">
        <v>0.12</v>
      </c>
      <c r="AL728" s="16">
        <f t="shared" ref="AL728:AL738" si="180">MAX(0.45*(H728/AH728-1),AK728)*(W728/4220)</f>
        <v>7.9620853080568724E-3</v>
      </c>
      <c r="AM728" s="7">
        <f t="shared" ref="AM728:AM738" si="181">AG728*(AJ728/AA728)</f>
        <v>306.79631647835345</v>
      </c>
      <c r="AN728" s="17">
        <f t="shared" ref="AN728:AN738" si="182">AM728*Z728/X728/10000</f>
        <v>8.7130153879852373E-2</v>
      </c>
      <c r="AO728" s="17">
        <f t="shared" ref="AO728:AO738" si="183">AH728*AG728</f>
        <v>10.752100856911069</v>
      </c>
      <c r="AP728" s="16">
        <f t="shared" ref="AP728:AP738" si="184">AN728/AO728</f>
        <v>8.1035469290495175E-3</v>
      </c>
      <c r="AQ728" s="6" t="str">
        <f t="shared" ref="AQ728:AQ738" si="185">+IF(AP728&gt;AL728,"Cumple","No Cumple")</f>
        <v>Cumple</v>
      </c>
    </row>
    <row r="729" spans="1:43" x14ac:dyDescent="0.3">
      <c r="A729" s="13"/>
      <c r="B729" s="1">
        <v>19</v>
      </c>
      <c r="C729" s="1">
        <v>129</v>
      </c>
      <c r="D729" s="1">
        <v>0</v>
      </c>
      <c r="E729" s="5">
        <v>1</v>
      </c>
      <c r="F729" s="3">
        <f t="shared" si="172"/>
        <v>19</v>
      </c>
      <c r="G729" s="5">
        <v>2</v>
      </c>
      <c r="H729" s="3">
        <f t="shared" si="173"/>
        <v>3.1415926535897931</v>
      </c>
      <c r="I729" s="4">
        <v>3.1415999999999999E-2</v>
      </c>
      <c r="K729" s="3">
        <v>162.06505663235984</v>
      </c>
      <c r="L729" s="3">
        <v>231.63927000000001</v>
      </c>
      <c r="M729" s="3">
        <v>1034.2710400000001</v>
      </c>
      <c r="N729" s="12">
        <f t="shared" si="149"/>
        <v>1.0000023384349969E-2</v>
      </c>
      <c r="O729" s="11">
        <f t="shared" si="150"/>
        <v>314.15999999999997</v>
      </c>
      <c r="P729" s="1">
        <v>10</v>
      </c>
      <c r="Q729" s="1">
        <v>1</v>
      </c>
      <c r="R729" s="3">
        <f>Q729*VLOOKUP(P729,[4]Datos!$A$2:$D$14,2)</f>
        <v>8.19</v>
      </c>
      <c r="S729" s="10">
        <f t="shared" si="174"/>
        <v>39</v>
      </c>
      <c r="T729" s="2">
        <v>41</v>
      </c>
      <c r="U729" s="3">
        <f t="shared" si="175"/>
        <v>0.13</v>
      </c>
      <c r="V729" s="3"/>
      <c r="W729" s="1">
        <v>280</v>
      </c>
      <c r="X729" s="9">
        <v>2</v>
      </c>
      <c r="Y729" s="1">
        <v>6</v>
      </c>
      <c r="Z729" s="3">
        <f>X729*VLOOKUP(Y729,[4]Datos!$A$2:$D$14,2)</f>
        <v>5.68</v>
      </c>
      <c r="AA729" s="8">
        <v>7.4999999999999997E-2</v>
      </c>
      <c r="AB729" s="7">
        <f t="shared" si="151"/>
        <v>207.09423574274689</v>
      </c>
      <c r="AC729" s="7">
        <f t="shared" si="176"/>
        <v>414.61035434434268</v>
      </c>
      <c r="AD729" s="6" t="str">
        <f t="shared" si="152"/>
        <v>Cumple</v>
      </c>
      <c r="AE729" s="6"/>
      <c r="AF729" s="5">
        <v>21</v>
      </c>
      <c r="AG729" s="7">
        <f t="shared" si="177"/>
        <v>4</v>
      </c>
      <c r="AH729" s="3">
        <f t="shared" si="178"/>
        <v>2.6880252142277672</v>
      </c>
      <c r="AI729" s="7">
        <f>G729-0.15-VLOOKUP(Y729,[4]Datos!$A$2:$D$14,3)/100</f>
        <v>1.8309000000000002</v>
      </c>
      <c r="AJ729" s="7">
        <f t="shared" si="179"/>
        <v>5.7524309339691264</v>
      </c>
      <c r="AK729" s="1">
        <v>0.12</v>
      </c>
      <c r="AL729" s="16">
        <f t="shared" si="180"/>
        <v>7.9620853080568724E-3</v>
      </c>
      <c r="AM729" s="7">
        <f t="shared" si="181"/>
        <v>306.79631647835345</v>
      </c>
      <c r="AN729" s="17">
        <f t="shared" si="182"/>
        <v>8.7130153879852373E-2</v>
      </c>
      <c r="AO729" s="17">
        <f t="shared" si="183"/>
        <v>10.752100856911069</v>
      </c>
      <c r="AP729" s="16">
        <f t="shared" si="184"/>
        <v>8.1035469290495175E-3</v>
      </c>
      <c r="AQ729" s="6" t="str">
        <f t="shared" si="185"/>
        <v>Cumple</v>
      </c>
    </row>
    <row r="730" spans="1:43" x14ac:dyDescent="0.3">
      <c r="A730" s="13"/>
      <c r="B730" s="1">
        <v>20</v>
      </c>
      <c r="C730" s="1">
        <v>131</v>
      </c>
      <c r="D730" s="1">
        <v>0</v>
      </c>
      <c r="E730" s="5">
        <v>1</v>
      </c>
      <c r="F730" s="3">
        <f t="shared" si="172"/>
        <v>20</v>
      </c>
      <c r="G730" s="5">
        <v>2</v>
      </c>
      <c r="H730" s="3">
        <f t="shared" si="173"/>
        <v>3.1415926535897931</v>
      </c>
      <c r="I730" s="4">
        <v>3.1415999999999999E-2</v>
      </c>
      <c r="K730" s="3">
        <v>162.06687772398161</v>
      </c>
      <c r="L730" s="3">
        <v>275.66431999999998</v>
      </c>
      <c r="M730" s="3">
        <v>1099.88319</v>
      </c>
      <c r="N730" s="12">
        <f t="shared" si="149"/>
        <v>1.0000023384349969E-2</v>
      </c>
      <c r="O730" s="11">
        <f t="shared" si="150"/>
        <v>314.15999999999997</v>
      </c>
      <c r="P730" s="1">
        <v>10</v>
      </c>
      <c r="Q730" s="1">
        <v>1</v>
      </c>
      <c r="R730" s="3">
        <f>Q730*VLOOKUP(P730,[4]Datos!$A$2:$D$14,2)</f>
        <v>8.19</v>
      </c>
      <c r="S730" s="10">
        <f t="shared" si="174"/>
        <v>39</v>
      </c>
      <c r="T730" s="2">
        <v>41</v>
      </c>
      <c r="U730" s="3">
        <f t="shared" si="175"/>
        <v>0.13</v>
      </c>
      <c r="V730" s="3"/>
      <c r="W730" s="1">
        <v>280</v>
      </c>
      <c r="X730" s="9">
        <v>2</v>
      </c>
      <c r="Y730" s="1">
        <v>6</v>
      </c>
      <c r="Z730" s="3">
        <f>X730*VLOOKUP(Y730,[4]Datos!$A$2:$D$14,2)</f>
        <v>5.68</v>
      </c>
      <c r="AA730" s="8">
        <v>7.4999999999999997E-2</v>
      </c>
      <c r="AB730" s="7">
        <f t="shared" si="151"/>
        <v>207.09423574274689</v>
      </c>
      <c r="AC730" s="7">
        <f t="shared" si="176"/>
        <v>414.61035434434268</v>
      </c>
      <c r="AD730" s="6" t="str">
        <f t="shared" si="152"/>
        <v>Cumple</v>
      </c>
      <c r="AE730" s="6"/>
      <c r="AF730" s="5">
        <v>21</v>
      </c>
      <c r="AG730" s="7">
        <f t="shared" si="177"/>
        <v>4</v>
      </c>
      <c r="AH730" s="3">
        <f t="shared" si="178"/>
        <v>2.6880252142277672</v>
      </c>
      <c r="AI730" s="7">
        <f>G730-0.15-VLOOKUP(Y730,[4]Datos!$A$2:$D$14,3)/100</f>
        <v>1.8309000000000002</v>
      </c>
      <c r="AJ730" s="7">
        <f t="shared" si="179"/>
        <v>5.7524309339691264</v>
      </c>
      <c r="AK730" s="1">
        <v>0.12</v>
      </c>
      <c r="AL730" s="16">
        <f t="shared" si="180"/>
        <v>7.9620853080568724E-3</v>
      </c>
      <c r="AM730" s="7">
        <f t="shared" si="181"/>
        <v>306.79631647835345</v>
      </c>
      <c r="AN730" s="17">
        <f t="shared" si="182"/>
        <v>8.7130153879852373E-2</v>
      </c>
      <c r="AO730" s="17">
        <f t="shared" si="183"/>
        <v>10.752100856911069</v>
      </c>
      <c r="AP730" s="16">
        <f t="shared" si="184"/>
        <v>8.1035469290495175E-3</v>
      </c>
      <c r="AQ730" s="6" t="str">
        <f t="shared" si="185"/>
        <v>Cumple</v>
      </c>
    </row>
    <row r="731" spans="1:43" x14ac:dyDescent="0.3">
      <c r="A731" s="13"/>
      <c r="B731" s="1">
        <v>21</v>
      </c>
      <c r="C731" s="1">
        <v>133</v>
      </c>
      <c r="D731" s="1">
        <v>0</v>
      </c>
      <c r="E731" s="5">
        <v>1</v>
      </c>
      <c r="F731" s="3">
        <f t="shared" si="172"/>
        <v>21</v>
      </c>
      <c r="G731" s="5">
        <v>2</v>
      </c>
      <c r="H731" s="3">
        <f t="shared" si="173"/>
        <v>3.1415926535897931</v>
      </c>
      <c r="I731" s="4">
        <v>3.2760999999999998E-2</v>
      </c>
      <c r="K731" s="3">
        <v>162.06881686718762</v>
      </c>
      <c r="L731" s="3">
        <v>319.68750999999997</v>
      </c>
      <c r="M731" s="3">
        <v>1165.61502</v>
      </c>
      <c r="N731" s="12">
        <f t="shared" si="149"/>
        <v>1.0428150181267167E-2</v>
      </c>
      <c r="O731" s="11">
        <f t="shared" si="150"/>
        <v>327.60999999999996</v>
      </c>
      <c r="P731" s="1">
        <v>10</v>
      </c>
      <c r="Q731" s="1">
        <v>1</v>
      </c>
      <c r="R731" s="3">
        <f>Q731*VLOOKUP(P731,[4]Datos!$A$2:$D$14,2)</f>
        <v>8.19</v>
      </c>
      <c r="S731" s="10">
        <f t="shared" si="174"/>
        <v>41</v>
      </c>
      <c r="T731" s="2">
        <v>41</v>
      </c>
      <c r="U731" s="3">
        <f t="shared" si="175"/>
        <v>0.13</v>
      </c>
      <c r="V731" s="3"/>
      <c r="W731" s="1">
        <v>280</v>
      </c>
      <c r="X731" s="9">
        <v>2</v>
      </c>
      <c r="Y731" s="1">
        <v>6</v>
      </c>
      <c r="Z731" s="3">
        <f>X731*VLOOKUP(Y731,[4]Datos!$A$2:$D$14,2)</f>
        <v>5.68</v>
      </c>
      <c r="AA731" s="8">
        <v>7.4999999999999997E-2</v>
      </c>
      <c r="AB731" s="7">
        <f t="shared" si="151"/>
        <v>207.09423574274689</v>
      </c>
      <c r="AC731" s="7">
        <f t="shared" si="176"/>
        <v>414.61035434434268</v>
      </c>
      <c r="AD731" s="6" t="str">
        <f t="shared" si="152"/>
        <v>Cumple</v>
      </c>
      <c r="AE731" s="6"/>
      <c r="AF731" s="5">
        <v>21</v>
      </c>
      <c r="AG731" s="7">
        <f t="shared" si="177"/>
        <v>4</v>
      </c>
      <c r="AH731" s="3">
        <f t="shared" si="178"/>
        <v>2.6880252142277672</v>
      </c>
      <c r="AI731" s="7">
        <f>G731-0.15-VLOOKUP(Y731,[4]Datos!$A$2:$D$14,3)/100</f>
        <v>1.8309000000000002</v>
      </c>
      <c r="AJ731" s="7">
        <f t="shared" si="179"/>
        <v>5.7524309339691264</v>
      </c>
      <c r="AK731" s="1">
        <v>0.12</v>
      </c>
      <c r="AL731" s="16">
        <f t="shared" si="180"/>
        <v>7.9620853080568724E-3</v>
      </c>
      <c r="AM731" s="7">
        <f t="shared" si="181"/>
        <v>306.79631647835345</v>
      </c>
      <c r="AN731" s="17">
        <f t="shared" si="182"/>
        <v>8.7130153879852373E-2</v>
      </c>
      <c r="AO731" s="17">
        <f t="shared" si="183"/>
        <v>10.752100856911069</v>
      </c>
      <c r="AP731" s="16">
        <f t="shared" si="184"/>
        <v>8.1035469290495175E-3</v>
      </c>
      <c r="AQ731" s="6" t="str">
        <f t="shared" si="185"/>
        <v>Cumple</v>
      </c>
    </row>
    <row r="732" spans="1:43" x14ac:dyDescent="0.3">
      <c r="A732" s="13"/>
      <c r="B732" s="1">
        <v>22</v>
      </c>
      <c r="C732" s="1">
        <v>333</v>
      </c>
      <c r="D732" s="1">
        <v>1</v>
      </c>
      <c r="E732" s="5">
        <v>1</v>
      </c>
      <c r="F732" s="3">
        <f t="shared" si="172"/>
        <v>22</v>
      </c>
      <c r="G732" s="5">
        <v>2</v>
      </c>
      <c r="H732" s="3">
        <f t="shared" si="173"/>
        <v>3.1415926535897931</v>
      </c>
      <c r="I732" s="4">
        <v>8.3353999999999998E-2</v>
      </c>
      <c r="K732" s="3">
        <v>162.1142611845423</v>
      </c>
      <c r="L732" s="3">
        <v>714.39679000000001</v>
      </c>
      <c r="M732" s="3">
        <v>2206.0409399999999</v>
      </c>
      <c r="N732" s="12">
        <f t="shared" si="149"/>
        <v>2.6532402252963688E-2</v>
      </c>
      <c r="O732" s="11">
        <f t="shared" si="150"/>
        <v>833.54</v>
      </c>
      <c r="P732" s="1">
        <v>10</v>
      </c>
      <c r="Q732" s="15">
        <v>2</v>
      </c>
      <c r="R732" s="3">
        <f>Q732*VLOOKUP(P732,[4]Datos!$A$2:$D$14,2)</f>
        <v>16.38</v>
      </c>
      <c r="S732" s="10">
        <f t="shared" si="174"/>
        <v>51</v>
      </c>
      <c r="T732" s="14">
        <v>56</v>
      </c>
      <c r="U732" s="3">
        <f t="shared" si="175"/>
        <v>0.1</v>
      </c>
      <c r="V732" s="3"/>
      <c r="W732" s="1">
        <v>280</v>
      </c>
      <c r="X732" s="9">
        <v>2</v>
      </c>
      <c r="Y732" s="1">
        <v>6</v>
      </c>
      <c r="Z732" s="3">
        <f>X732*VLOOKUP(Y732,[4]Datos!$A$2:$D$14,2)</f>
        <v>5.68</v>
      </c>
      <c r="AA732" s="8">
        <v>7.4999999999999997E-2</v>
      </c>
      <c r="AB732" s="7">
        <f t="shared" si="151"/>
        <v>115.05235319041492</v>
      </c>
      <c r="AC732" s="7">
        <f t="shared" si="176"/>
        <v>414.61035434434268</v>
      </c>
      <c r="AD732" s="6" t="str">
        <f t="shared" si="152"/>
        <v>Cumple</v>
      </c>
      <c r="AE732" s="6"/>
      <c r="AG732" s="7">
        <f>ROUNDUP(MAX(0.45,3*G732,),0)</f>
        <v>6</v>
      </c>
      <c r="AH732" s="3">
        <f t="shared" si="178"/>
        <v>2.6880252142277672</v>
      </c>
      <c r="AI732" s="7">
        <f>G732-0.15-VLOOKUP(Y732,[4]Datos!$A$2:$D$14,3)/100</f>
        <v>1.8309000000000002</v>
      </c>
      <c r="AJ732" s="7">
        <f t="shared" si="179"/>
        <v>5.7524309339691264</v>
      </c>
      <c r="AK732" s="1">
        <v>0.12</v>
      </c>
      <c r="AL732" s="16">
        <f t="shared" si="180"/>
        <v>7.9620853080568724E-3</v>
      </c>
      <c r="AM732" s="7">
        <f t="shared" si="181"/>
        <v>460.19447471753017</v>
      </c>
      <c r="AN732" s="17">
        <f t="shared" si="182"/>
        <v>0.13069523081977857</v>
      </c>
      <c r="AO732" s="17">
        <f t="shared" si="183"/>
        <v>16.128151285366602</v>
      </c>
      <c r="AP732" s="16">
        <f t="shared" si="184"/>
        <v>8.1035469290495193E-3</v>
      </c>
      <c r="AQ732" s="6" t="str">
        <f t="shared" si="185"/>
        <v>Cumple</v>
      </c>
    </row>
    <row r="733" spans="1:43" x14ac:dyDescent="0.3">
      <c r="A733" s="13"/>
      <c r="B733" s="1">
        <v>23</v>
      </c>
      <c r="C733" s="1">
        <v>334</v>
      </c>
      <c r="D733" s="1">
        <v>1</v>
      </c>
      <c r="E733" s="5">
        <v>1</v>
      </c>
      <c r="F733" s="3">
        <f t="shared" si="172"/>
        <v>23</v>
      </c>
      <c r="G733" s="5">
        <v>2</v>
      </c>
      <c r="H733" s="3">
        <f t="shared" si="173"/>
        <v>3.1415926535897931</v>
      </c>
      <c r="I733" s="4">
        <v>8.7243000000000001E-2</v>
      </c>
      <c r="K733" s="3">
        <v>152.7095047614915</v>
      </c>
      <c r="L733" s="3">
        <v>797.48928000000001</v>
      </c>
      <c r="M733" s="3">
        <v>2312.6374700000001</v>
      </c>
      <c r="N733" s="12">
        <f t="shared" si="149"/>
        <v>2.7770309400332451E-2</v>
      </c>
      <c r="O733" s="11">
        <f t="shared" si="150"/>
        <v>872.43000000000006</v>
      </c>
      <c r="P733" s="1">
        <v>10</v>
      </c>
      <c r="Q733" s="15">
        <v>2</v>
      </c>
      <c r="R733" s="3">
        <f>Q733*VLOOKUP(P733,[4]Datos!$A$2:$D$14,2)</f>
        <v>16.38</v>
      </c>
      <c r="S733" s="10">
        <f t="shared" si="174"/>
        <v>54</v>
      </c>
      <c r="T733" s="14">
        <v>56</v>
      </c>
      <c r="U733" s="3">
        <f t="shared" si="175"/>
        <v>0.1</v>
      </c>
      <c r="V733" s="3"/>
      <c r="W733" s="1">
        <v>280</v>
      </c>
      <c r="X733" s="9">
        <v>2</v>
      </c>
      <c r="Y733" s="1">
        <v>6</v>
      </c>
      <c r="Z733" s="3">
        <f>X733*VLOOKUP(Y733,[4]Datos!$A$2:$D$14,2)</f>
        <v>5.68</v>
      </c>
      <c r="AA733" s="8">
        <v>7.4999999999999997E-2</v>
      </c>
      <c r="AB733" s="7">
        <f t="shared" si="151"/>
        <v>115.05235319041492</v>
      </c>
      <c r="AC733" s="7">
        <f t="shared" si="176"/>
        <v>414.61035434434268</v>
      </c>
      <c r="AD733" s="6" t="str">
        <f t="shared" si="152"/>
        <v>Cumple</v>
      </c>
      <c r="AE733" s="6"/>
      <c r="AG733" s="7">
        <f t="shared" ref="AG733:AG738" si="186">ROUNDUP(MAX(0.45,3*G733,),0)</f>
        <v>6</v>
      </c>
      <c r="AH733" s="3">
        <f t="shared" si="178"/>
        <v>2.6880252142277672</v>
      </c>
      <c r="AI733" s="7">
        <f>G733-0.15-VLOOKUP(Y733,[4]Datos!$A$2:$D$14,3)/100</f>
        <v>1.8309000000000002</v>
      </c>
      <c r="AJ733" s="7">
        <f t="shared" si="179"/>
        <v>5.7524309339691264</v>
      </c>
      <c r="AK733" s="1">
        <v>0.12</v>
      </c>
      <c r="AL733" s="16">
        <f t="shared" si="180"/>
        <v>7.9620853080568724E-3</v>
      </c>
      <c r="AM733" s="7">
        <f t="shared" si="181"/>
        <v>460.19447471753017</v>
      </c>
      <c r="AN733" s="17">
        <f t="shared" si="182"/>
        <v>0.13069523081977857</v>
      </c>
      <c r="AO733" s="17">
        <f t="shared" si="183"/>
        <v>16.128151285366602</v>
      </c>
      <c r="AP733" s="16">
        <f t="shared" si="184"/>
        <v>8.1035469290495193E-3</v>
      </c>
      <c r="AQ733" s="6" t="str">
        <f t="shared" si="185"/>
        <v>Cumple</v>
      </c>
    </row>
    <row r="734" spans="1:43" x14ac:dyDescent="0.3">
      <c r="A734" s="13"/>
      <c r="B734" s="1">
        <v>24</v>
      </c>
      <c r="C734" s="1">
        <v>336</v>
      </c>
      <c r="D734" s="1">
        <v>1</v>
      </c>
      <c r="E734" s="5">
        <v>1</v>
      </c>
      <c r="F734" s="3">
        <f t="shared" si="172"/>
        <v>24</v>
      </c>
      <c r="G734" s="5">
        <v>2</v>
      </c>
      <c r="H734" s="3">
        <f t="shared" si="173"/>
        <v>3.1415926535897931</v>
      </c>
      <c r="I734" s="4">
        <v>9.0287999999999993E-2</v>
      </c>
      <c r="K734" s="3">
        <v>138.05802560785807</v>
      </c>
      <c r="L734" s="3">
        <v>873.83846000000005</v>
      </c>
      <c r="M734" s="3">
        <v>2404.2588700000001</v>
      </c>
      <c r="N734" s="12">
        <f t="shared" si="149"/>
        <v>2.8739563003762091E-2</v>
      </c>
      <c r="O734" s="11">
        <f t="shared" si="150"/>
        <v>902.87999999999988</v>
      </c>
      <c r="P734" s="1">
        <v>10</v>
      </c>
      <c r="Q734" s="15">
        <v>2</v>
      </c>
      <c r="R734" s="3">
        <f>Q734*VLOOKUP(P734,[4]Datos!$A$2:$D$14,2)</f>
        <v>16.38</v>
      </c>
      <c r="S734" s="10">
        <f t="shared" si="174"/>
        <v>56</v>
      </c>
      <c r="T734" s="14">
        <v>56</v>
      </c>
      <c r="U734" s="3">
        <f t="shared" si="175"/>
        <v>0.1</v>
      </c>
      <c r="V734" s="3"/>
      <c r="W734" s="1">
        <v>280</v>
      </c>
      <c r="X734" s="9">
        <v>2</v>
      </c>
      <c r="Y734" s="1">
        <v>6</v>
      </c>
      <c r="Z734" s="3">
        <f>X734*VLOOKUP(Y734,[4]Datos!$A$2:$D$14,2)</f>
        <v>5.68</v>
      </c>
      <c r="AA734" s="8">
        <v>7.4999999999999997E-2</v>
      </c>
      <c r="AB734" s="7">
        <f t="shared" si="151"/>
        <v>115.05235319041492</v>
      </c>
      <c r="AC734" s="7">
        <f t="shared" si="176"/>
        <v>414.61035434434268</v>
      </c>
      <c r="AD734" s="6" t="str">
        <f t="shared" si="152"/>
        <v>Cumple</v>
      </c>
      <c r="AE734" s="6"/>
      <c r="AG734" s="7">
        <f t="shared" si="186"/>
        <v>6</v>
      </c>
      <c r="AH734" s="3">
        <f t="shared" si="178"/>
        <v>2.6880252142277672</v>
      </c>
      <c r="AI734" s="7">
        <f>G734-0.15-VLOOKUP(Y734,[4]Datos!$A$2:$D$14,3)/100</f>
        <v>1.8309000000000002</v>
      </c>
      <c r="AJ734" s="7">
        <f t="shared" si="179"/>
        <v>5.7524309339691264</v>
      </c>
      <c r="AK734" s="1">
        <v>0.12</v>
      </c>
      <c r="AL734" s="16">
        <f t="shared" si="180"/>
        <v>7.9620853080568724E-3</v>
      </c>
      <c r="AM734" s="7">
        <f t="shared" si="181"/>
        <v>460.19447471753017</v>
      </c>
      <c r="AN734" s="17">
        <f t="shared" si="182"/>
        <v>0.13069523081977857</v>
      </c>
      <c r="AO734" s="17">
        <f t="shared" si="183"/>
        <v>16.128151285366602</v>
      </c>
      <c r="AP734" s="16">
        <f t="shared" si="184"/>
        <v>8.1035469290495193E-3</v>
      </c>
      <c r="AQ734" s="6" t="str">
        <f t="shared" si="185"/>
        <v>Cumple</v>
      </c>
    </row>
    <row r="735" spans="1:43" x14ac:dyDescent="0.3">
      <c r="A735" s="13"/>
      <c r="B735" s="1">
        <v>25</v>
      </c>
      <c r="C735" s="1">
        <v>338</v>
      </c>
      <c r="D735" s="1">
        <v>1</v>
      </c>
      <c r="E735" s="5">
        <v>1</v>
      </c>
      <c r="F735" s="3">
        <f t="shared" si="172"/>
        <v>25</v>
      </c>
      <c r="G735" s="5">
        <v>2</v>
      </c>
      <c r="H735" s="3">
        <f t="shared" si="173"/>
        <v>3.1415926535897931</v>
      </c>
      <c r="I735" s="4">
        <v>9.0393000000000001E-2</v>
      </c>
      <c r="K735" s="3">
        <v>72.728403342985615</v>
      </c>
      <c r="L735" s="3">
        <v>911.42434000000003</v>
      </c>
      <c r="M735" s="3">
        <v>2409.9041000000002</v>
      </c>
      <c r="N735" s="12">
        <f t="shared" si="149"/>
        <v>2.8772985541811392E-2</v>
      </c>
      <c r="O735" s="11">
        <f t="shared" si="150"/>
        <v>903.93000000000006</v>
      </c>
      <c r="P735" s="1">
        <v>10</v>
      </c>
      <c r="Q735" s="1">
        <v>2</v>
      </c>
      <c r="R735" s="3">
        <f>Q735*VLOOKUP(P735,[4]Datos!$A$2:$D$14,2)</f>
        <v>16.38</v>
      </c>
      <c r="S735" s="10">
        <f t="shared" si="174"/>
        <v>56</v>
      </c>
      <c r="T735" s="2">
        <v>56</v>
      </c>
      <c r="U735" s="3">
        <f t="shared" si="175"/>
        <v>0.1</v>
      </c>
      <c r="V735" s="3"/>
      <c r="W735" s="1">
        <v>280</v>
      </c>
      <c r="X735" s="9">
        <v>2</v>
      </c>
      <c r="Y735" s="1">
        <v>6</v>
      </c>
      <c r="Z735" s="3">
        <f>X735*VLOOKUP(Y735,[4]Datos!$A$2:$D$14,2)</f>
        <v>5.68</v>
      </c>
      <c r="AA735" s="8">
        <v>7.4999999999999997E-2</v>
      </c>
      <c r="AB735" s="7">
        <f t="shared" si="151"/>
        <v>115.05235319041492</v>
      </c>
      <c r="AC735" s="7">
        <f t="shared" si="176"/>
        <v>414.61035434434268</v>
      </c>
      <c r="AD735" s="6" t="str">
        <f t="shared" si="152"/>
        <v>Cumple</v>
      </c>
      <c r="AE735" s="6"/>
      <c r="AG735" s="7">
        <f t="shared" si="186"/>
        <v>6</v>
      </c>
      <c r="AH735" s="3">
        <f t="shared" si="178"/>
        <v>2.6880252142277672</v>
      </c>
      <c r="AI735" s="7">
        <f>G735-0.15-VLOOKUP(Y735,[4]Datos!$A$2:$D$14,3)/100</f>
        <v>1.8309000000000002</v>
      </c>
      <c r="AJ735" s="7">
        <f t="shared" si="179"/>
        <v>5.7524309339691264</v>
      </c>
      <c r="AK735" s="1">
        <v>0.12</v>
      </c>
      <c r="AL735" s="16">
        <f t="shared" si="180"/>
        <v>7.9620853080568724E-3</v>
      </c>
      <c r="AM735" s="7">
        <f t="shared" si="181"/>
        <v>460.19447471753017</v>
      </c>
      <c r="AN735" s="17">
        <f t="shared" si="182"/>
        <v>0.13069523081977857</v>
      </c>
      <c r="AO735" s="17">
        <f t="shared" si="183"/>
        <v>16.128151285366602</v>
      </c>
      <c r="AP735" s="16">
        <f t="shared" si="184"/>
        <v>8.1035469290495193E-3</v>
      </c>
      <c r="AQ735" s="6" t="str">
        <f t="shared" si="185"/>
        <v>Cumple</v>
      </c>
    </row>
    <row r="736" spans="1:43" x14ac:dyDescent="0.3">
      <c r="A736" s="13"/>
      <c r="B736" s="1">
        <v>26</v>
      </c>
      <c r="C736" s="1">
        <v>340</v>
      </c>
      <c r="D736" s="1">
        <v>1</v>
      </c>
      <c r="E736" s="5">
        <v>1</v>
      </c>
      <c r="F736" s="3">
        <f t="shared" si="172"/>
        <v>26</v>
      </c>
      <c r="G736" s="5">
        <v>2</v>
      </c>
      <c r="H736" s="3">
        <f t="shared" si="173"/>
        <v>3.1415926535897931</v>
      </c>
      <c r="I736" s="4">
        <v>9.0393000000000001E-2</v>
      </c>
      <c r="K736" s="3">
        <v>97.147573936254318</v>
      </c>
      <c r="L736" s="3">
        <v>911.42434000000003</v>
      </c>
      <c r="M736" s="3">
        <v>2409.9041099999999</v>
      </c>
      <c r="N736" s="12">
        <f t="shared" si="149"/>
        <v>2.8772985541811392E-2</v>
      </c>
      <c r="O736" s="11">
        <f t="shared" si="150"/>
        <v>903.93000000000006</v>
      </c>
      <c r="P736" s="1">
        <v>10</v>
      </c>
      <c r="Q736" s="1">
        <v>2</v>
      </c>
      <c r="R736" s="3">
        <f>Q736*VLOOKUP(P736,[4]Datos!$A$2:$D$14,2)</f>
        <v>16.38</v>
      </c>
      <c r="S736" s="10">
        <f t="shared" si="174"/>
        <v>56</v>
      </c>
      <c r="T736" s="2">
        <v>56</v>
      </c>
      <c r="U736" s="3">
        <f t="shared" si="175"/>
        <v>0.1</v>
      </c>
      <c r="V736" s="3"/>
      <c r="W736" s="1">
        <v>280</v>
      </c>
      <c r="X736" s="9">
        <v>2</v>
      </c>
      <c r="Y736" s="1">
        <v>6</v>
      </c>
      <c r="Z736" s="3">
        <f>X736*VLOOKUP(Y736,[4]Datos!$A$2:$D$14,2)</f>
        <v>5.68</v>
      </c>
      <c r="AA736" s="8">
        <v>7.4999999999999997E-2</v>
      </c>
      <c r="AB736" s="7">
        <f t="shared" si="151"/>
        <v>115.05235319041492</v>
      </c>
      <c r="AC736" s="7">
        <f t="shared" si="176"/>
        <v>414.61035434434268</v>
      </c>
      <c r="AD736" s="6" t="str">
        <f t="shared" si="152"/>
        <v>Cumple</v>
      </c>
      <c r="AE736" s="6"/>
      <c r="AG736" s="7">
        <f t="shared" si="186"/>
        <v>6</v>
      </c>
      <c r="AH736" s="3">
        <f t="shared" si="178"/>
        <v>2.6880252142277672</v>
      </c>
      <c r="AI736" s="7">
        <f>G736-0.15-VLOOKUP(Y736,[4]Datos!$A$2:$D$14,3)/100</f>
        <v>1.8309000000000002</v>
      </c>
      <c r="AJ736" s="7">
        <f t="shared" si="179"/>
        <v>5.7524309339691264</v>
      </c>
      <c r="AK736" s="1">
        <v>0.12</v>
      </c>
      <c r="AL736" s="16">
        <f t="shared" si="180"/>
        <v>7.9620853080568724E-3</v>
      </c>
      <c r="AM736" s="7">
        <f t="shared" si="181"/>
        <v>460.19447471753017</v>
      </c>
      <c r="AN736" s="17">
        <f t="shared" si="182"/>
        <v>0.13069523081977857</v>
      </c>
      <c r="AO736" s="17">
        <f t="shared" si="183"/>
        <v>16.128151285366602</v>
      </c>
      <c r="AP736" s="16">
        <f t="shared" si="184"/>
        <v>8.1035469290495193E-3</v>
      </c>
      <c r="AQ736" s="6" t="str">
        <f t="shared" si="185"/>
        <v>Cumple</v>
      </c>
    </row>
    <row r="737" spans="1:43" x14ac:dyDescent="0.3">
      <c r="A737" s="13"/>
      <c r="B737" s="1">
        <v>27</v>
      </c>
      <c r="C737" s="1">
        <v>342</v>
      </c>
      <c r="D737" s="1">
        <v>1</v>
      </c>
      <c r="E737" s="5">
        <v>1</v>
      </c>
      <c r="F737" s="3">
        <f t="shared" si="172"/>
        <v>27</v>
      </c>
      <c r="G737" s="5">
        <v>2</v>
      </c>
      <c r="H737" s="3">
        <f t="shared" si="173"/>
        <v>3.1415926535897931</v>
      </c>
      <c r="I737" s="4">
        <v>8.7635000000000005E-2</v>
      </c>
      <c r="K737" s="3">
        <v>158.24416599954009</v>
      </c>
      <c r="L737" s="3">
        <v>911.37905999999998</v>
      </c>
      <c r="M737" s="3">
        <v>2358.7151199999998</v>
      </c>
      <c r="N737" s="12">
        <f t="shared" si="149"/>
        <v>2.7895086875716499E-2</v>
      </c>
      <c r="O737" s="11">
        <f t="shared" si="150"/>
        <v>876.35</v>
      </c>
      <c r="P737" s="1">
        <v>10</v>
      </c>
      <c r="Q737" s="1">
        <v>2</v>
      </c>
      <c r="R737" s="3">
        <f>Q737*VLOOKUP(P737,[4]Datos!$A$2:$D$14,2)</f>
        <v>16.38</v>
      </c>
      <c r="S737" s="10">
        <f t="shared" si="174"/>
        <v>54</v>
      </c>
      <c r="T737" s="2">
        <v>56</v>
      </c>
      <c r="U737" s="3">
        <f t="shared" si="175"/>
        <v>0.1</v>
      </c>
      <c r="V737" s="3"/>
      <c r="W737" s="1">
        <v>280</v>
      </c>
      <c r="X737" s="9">
        <v>2</v>
      </c>
      <c r="Y737" s="1">
        <v>6</v>
      </c>
      <c r="Z737" s="3">
        <f>X737*VLOOKUP(Y737,[4]Datos!$A$2:$D$14,2)</f>
        <v>5.68</v>
      </c>
      <c r="AA737" s="8">
        <v>7.4999999999999997E-2</v>
      </c>
      <c r="AB737" s="7">
        <f t="shared" si="151"/>
        <v>115.05235319041492</v>
      </c>
      <c r="AC737" s="7">
        <f t="shared" si="176"/>
        <v>414.61035434434268</v>
      </c>
      <c r="AD737" s="6" t="str">
        <f t="shared" si="152"/>
        <v>Cumple</v>
      </c>
      <c r="AE737" s="6"/>
      <c r="AG737" s="7">
        <f t="shared" si="186"/>
        <v>6</v>
      </c>
      <c r="AH737" s="3">
        <f t="shared" si="178"/>
        <v>2.6880252142277672</v>
      </c>
      <c r="AI737" s="7">
        <f>G737-0.15-VLOOKUP(Y737,[4]Datos!$A$2:$D$14,3)/100</f>
        <v>1.8309000000000002</v>
      </c>
      <c r="AJ737" s="7">
        <f t="shared" si="179"/>
        <v>5.7524309339691264</v>
      </c>
      <c r="AK737" s="1">
        <v>0.12</v>
      </c>
      <c r="AL737" s="16">
        <f t="shared" si="180"/>
        <v>7.9620853080568724E-3</v>
      </c>
      <c r="AM737" s="7">
        <f t="shared" si="181"/>
        <v>460.19447471753017</v>
      </c>
      <c r="AN737" s="17">
        <f t="shared" si="182"/>
        <v>0.13069523081977857</v>
      </c>
      <c r="AO737" s="17">
        <f t="shared" si="183"/>
        <v>16.128151285366602</v>
      </c>
      <c r="AP737" s="16">
        <f t="shared" si="184"/>
        <v>8.1035469290495193E-3</v>
      </c>
      <c r="AQ737" s="6" t="str">
        <f t="shared" si="185"/>
        <v>Cumple</v>
      </c>
    </row>
    <row r="738" spans="1:43" x14ac:dyDescent="0.3">
      <c r="A738" s="13"/>
      <c r="B738" s="1">
        <v>28</v>
      </c>
      <c r="C738" s="1">
        <v>344</v>
      </c>
      <c r="D738" s="1">
        <v>1</v>
      </c>
      <c r="E738" s="5">
        <v>1</v>
      </c>
      <c r="F738" s="3">
        <f t="shared" si="172"/>
        <v>28</v>
      </c>
      <c r="G738" s="5">
        <v>2</v>
      </c>
      <c r="H738" s="3">
        <f t="shared" si="173"/>
        <v>3.1415926535897931</v>
      </c>
      <c r="I738" s="4">
        <v>8.1753000000000006E-2</v>
      </c>
      <c r="K738" s="3">
        <v>215.28683457587462</v>
      </c>
      <c r="L738" s="3">
        <v>876.29184999999995</v>
      </c>
      <c r="M738" s="3">
        <v>2226.6118000000001</v>
      </c>
      <c r="N738" s="12">
        <f t="shared" si="149"/>
        <v>2.6022788125183442E-2</v>
      </c>
      <c r="O738" s="11">
        <f t="shared" si="150"/>
        <v>817.53000000000009</v>
      </c>
      <c r="P738" s="1">
        <v>10</v>
      </c>
      <c r="Q738" s="1">
        <v>2</v>
      </c>
      <c r="R738" s="3">
        <f>Q738*VLOOKUP(P738,[4]Datos!$A$2:$D$14,2)</f>
        <v>16.38</v>
      </c>
      <c r="S738" s="10">
        <f t="shared" si="174"/>
        <v>50</v>
      </c>
      <c r="T738" s="2">
        <v>56</v>
      </c>
      <c r="U738" s="3">
        <f t="shared" si="175"/>
        <v>0.1</v>
      </c>
      <c r="V738" s="3"/>
      <c r="W738" s="1">
        <v>280</v>
      </c>
      <c r="X738" s="9">
        <v>2</v>
      </c>
      <c r="Y738" s="1">
        <v>6</v>
      </c>
      <c r="Z738" s="3">
        <f>X738*VLOOKUP(Y738,[4]Datos!$A$2:$D$14,2)</f>
        <v>5.68</v>
      </c>
      <c r="AA738" s="8">
        <v>7.4999999999999997E-2</v>
      </c>
      <c r="AB738" s="7">
        <f t="shared" si="151"/>
        <v>115.05235319041492</v>
      </c>
      <c r="AC738" s="7">
        <f t="shared" si="176"/>
        <v>414.61035434434268</v>
      </c>
      <c r="AD738" s="6" t="str">
        <f t="shared" si="152"/>
        <v>Cumple</v>
      </c>
      <c r="AE738" s="6"/>
      <c r="AG738" s="7">
        <f t="shared" si="186"/>
        <v>6</v>
      </c>
      <c r="AH738" s="3">
        <f t="shared" si="178"/>
        <v>2.6880252142277672</v>
      </c>
      <c r="AI738" s="7">
        <f>G738-0.15-VLOOKUP(Y738,[4]Datos!$A$2:$D$14,3)/100</f>
        <v>1.8309000000000002</v>
      </c>
      <c r="AJ738" s="7">
        <f t="shared" si="179"/>
        <v>5.7524309339691264</v>
      </c>
      <c r="AK738" s="1">
        <v>0.12</v>
      </c>
      <c r="AL738" s="16">
        <f t="shared" si="180"/>
        <v>7.9620853080568724E-3</v>
      </c>
      <c r="AM738" s="7">
        <f t="shared" si="181"/>
        <v>460.19447471753017</v>
      </c>
      <c r="AN738" s="17">
        <f t="shared" si="182"/>
        <v>0.13069523081977857</v>
      </c>
      <c r="AO738" s="17">
        <f t="shared" si="183"/>
        <v>16.128151285366602</v>
      </c>
      <c r="AP738" s="16">
        <f t="shared" si="184"/>
        <v>8.1035469290495193E-3</v>
      </c>
      <c r="AQ738" s="6" t="str">
        <f t="shared" si="185"/>
        <v>Cumple</v>
      </c>
    </row>
    <row r="739" spans="1:43" x14ac:dyDescent="0.3">
      <c r="A739" s="13"/>
      <c r="B739" s="1">
        <v>29</v>
      </c>
      <c r="C739" s="1">
        <v>346</v>
      </c>
      <c r="D739" s="1">
        <v>1</v>
      </c>
      <c r="E739" s="5">
        <v>1</v>
      </c>
      <c r="F739" s="3">
        <f t="shared" si="172"/>
        <v>29</v>
      </c>
      <c r="G739" s="5">
        <v>2</v>
      </c>
      <c r="H739" s="3">
        <f t="shared" si="173"/>
        <v>3.1415926535897931</v>
      </c>
      <c r="I739" s="4">
        <v>7.2051000000000004E-2</v>
      </c>
      <c r="K739" s="3">
        <v>253.62812085180934</v>
      </c>
      <c r="L739" s="3">
        <v>811.82583</v>
      </c>
      <c r="M739" s="3">
        <v>2029.98921</v>
      </c>
      <c r="N739" s="12">
        <f t="shared" si="149"/>
        <v>2.2934545609428304E-2</v>
      </c>
      <c r="O739" s="11">
        <f t="shared" si="150"/>
        <v>720.51</v>
      </c>
      <c r="P739" s="1">
        <v>10</v>
      </c>
      <c r="Q739" s="1">
        <v>2</v>
      </c>
      <c r="R739" s="3">
        <f>Q739*VLOOKUP(P739,[4]Datos!$A$2:$D$14,2)</f>
        <v>16.38</v>
      </c>
      <c r="S739" s="10">
        <f t="shared" si="174"/>
        <v>44</v>
      </c>
      <c r="T739" s="2">
        <v>56</v>
      </c>
      <c r="U739" s="3">
        <f t="shared" si="175"/>
        <v>0.1</v>
      </c>
      <c r="V739" s="3"/>
      <c r="W739" s="1">
        <v>280</v>
      </c>
      <c r="X739" s="9">
        <v>2</v>
      </c>
      <c r="Y739" s="1">
        <v>6</v>
      </c>
      <c r="Z739" s="3">
        <f>X739*VLOOKUP(Y739,[4]Datos!$A$2:$D$14,2)</f>
        <v>5.68</v>
      </c>
      <c r="AA739" s="8">
        <v>0.15</v>
      </c>
      <c r="AB739" s="7">
        <f t="shared" si="151"/>
        <v>115.05235319041492</v>
      </c>
      <c r="AC739" s="7">
        <f t="shared" si="176"/>
        <v>207.30517717217134</v>
      </c>
      <c r="AD739" s="6" t="str">
        <f t="shared" si="152"/>
        <v>Cumple</v>
      </c>
      <c r="AE739" s="6"/>
      <c r="AH739" s="3"/>
    </row>
    <row r="740" spans="1:43" x14ac:dyDescent="0.3">
      <c r="A740" s="13"/>
      <c r="B740" s="1">
        <v>30</v>
      </c>
      <c r="C740" s="1">
        <v>348</v>
      </c>
      <c r="D740" s="1">
        <v>1</v>
      </c>
      <c r="E740" s="5">
        <v>1</v>
      </c>
      <c r="F740" s="3">
        <f t="shared" si="172"/>
        <v>30</v>
      </c>
      <c r="G740" s="5">
        <v>2</v>
      </c>
      <c r="H740" s="3">
        <f t="shared" si="173"/>
        <v>3.1415926535897931</v>
      </c>
      <c r="I740" s="4">
        <v>5.7430000000000002E-2</v>
      </c>
      <c r="K740" s="3">
        <v>272.69324830314372</v>
      </c>
      <c r="L740" s="3">
        <v>725.87917000000004</v>
      </c>
      <c r="M740" s="3">
        <v>1788.5369499999999</v>
      </c>
      <c r="N740" s="12">
        <f t="shared" si="149"/>
        <v>1.82805367635351E-2</v>
      </c>
      <c r="O740" s="11">
        <f t="shared" si="150"/>
        <v>574.30000000000007</v>
      </c>
      <c r="P740" s="1">
        <v>10</v>
      </c>
      <c r="Q740" s="1">
        <v>2</v>
      </c>
      <c r="R740" s="3">
        <f>Q740*VLOOKUP(P740,[4]Datos!$A$2:$D$14,2)</f>
        <v>16.38</v>
      </c>
      <c r="S740" s="10">
        <f t="shared" si="174"/>
        <v>36</v>
      </c>
      <c r="T740" s="2">
        <v>56</v>
      </c>
      <c r="U740" s="3">
        <f t="shared" si="175"/>
        <v>0.1</v>
      </c>
      <c r="V740" s="3"/>
      <c r="W740" s="1">
        <v>280</v>
      </c>
      <c r="X740" s="9">
        <v>2</v>
      </c>
      <c r="Y740" s="1">
        <v>6</v>
      </c>
      <c r="Z740" s="3">
        <f>X740*VLOOKUP(Y740,[4]Datos!$A$2:$D$14,2)</f>
        <v>5.68</v>
      </c>
      <c r="AA740" s="8">
        <v>0.15</v>
      </c>
      <c r="AB740" s="7">
        <f t="shared" si="151"/>
        <v>115.05235319041492</v>
      </c>
      <c r="AC740" s="7">
        <f t="shared" si="176"/>
        <v>207.30517717217134</v>
      </c>
      <c r="AD740" s="6" t="str">
        <f t="shared" si="152"/>
        <v>Cumple</v>
      </c>
      <c r="AE740" s="6"/>
      <c r="AH740" s="3"/>
    </row>
    <row r="741" spans="1:43" x14ac:dyDescent="0.3">
      <c r="A741" s="13"/>
      <c r="B741" s="1">
        <v>31</v>
      </c>
      <c r="C741" s="1">
        <v>350</v>
      </c>
      <c r="D741" s="1">
        <v>1</v>
      </c>
      <c r="E741" s="5">
        <v>1</v>
      </c>
      <c r="F741" s="3">
        <f t="shared" si="172"/>
        <v>31</v>
      </c>
      <c r="G741" s="5">
        <v>2</v>
      </c>
      <c r="H741" s="3">
        <f t="shared" si="173"/>
        <v>3.1415926535897931</v>
      </c>
      <c r="I741" s="4">
        <v>4.9903000000000003E-2</v>
      </c>
      <c r="K741" s="3">
        <v>276.8510433556645</v>
      </c>
      <c r="L741" s="3">
        <v>626.73762999999997</v>
      </c>
      <c r="M741" s="3">
        <v>1522.4395199999999</v>
      </c>
      <c r="N741" s="12">
        <f t="shared" si="149"/>
        <v>1.5884618250229708E-2</v>
      </c>
      <c r="O741" s="11">
        <f t="shared" si="150"/>
        <v>499.03000000000003</v>
      </c>
      <c r="P741" s="1">
        <v>10</v>
      </c>
      <c r="Q741" s="15">
        <v>2</v>
      </c>
      <c r="R741" s="3">
        <f>Q741*VLOOKUP(P741,[4]Datos!$A$2:$D$14,2)</f>
        <v>16.38</v>
      </c>
      <c r="S741" s="10">
        <f t="shared" si="174"/>
        <v>31</v>
      </c>
      <c r="T741" s="14">
        <v>56</v>
      </c>
      <c r="U741" s="3">
        <f t="shared" si="175"/>
        <v>0.1</v>
      </c>
      <c r="V741" s="3"/>
      <c r="W741" s="1">
        <v>280</v>
      </c>
      <c r="X741" s="9">
        <v>2</v>
      </c>
      <c r="Y741" s="1">
        <v>6</v>
      </c>
      <c r="Z741" s="3">
        <f>X741*VLOOKUP(Y741,[4]Datos!$A$2:$D$14,2)</f>
        <v>5.68</v>
      </c>
      <c r="AA741" s="8">
        <v>0.15</v>
      </c>
      <c r="AB741" s="7">
        <f t="shared" si="151"/>
        <v>115.05235319041492</v>
      </c>
      <c r="AC741" s="7">
        <f t="shared" si="176"/>
        <v>207.30517717217134</v>
      </c>
      <c r="AD741" s="6" t="str">
        <f t="shared" si="152"/>
        <v>Cumple</v>
      </c>
      <c r="AE741" s="6"/>
      <c r="AH741" s="3"/>
    </row>
    <row r="742" spans="1:43" x14ac:dyDescent="0.3">
      <c r="A742" s="13"/>
      <c r="B742" s="1">
        <v>32</v>
      </c>
      <c r="C742" s="1">
        <v>352</v>
      </c>
      <c r="D742" s="1">
        <v>1</v>
      </c>
      <c r="E742" s="5">
        <v>1</v>
      </c>
      <c r="F742" s="3">
        <f t="shared" si="172"/>
        <v>32</v>
      </c>
      <c r="G742" s="5">
        <v>2</v>
      </c>
      <c r="H742" s="3">
        <f t="shared" si="173"/>
        <v>3.1415926535897931</v>
      </c>
      <c r="I742" s="4">
        <v>3.7489000000000001E-2</v>
      </c>
      <c r="K742" s="3">
        <v>266.3939779266791</v>
      </c>
      <c r="L742" s="3">
        <v>522.24675000000002</v>
      </c>
      <c r="M742" s="3">
        <v>1250.4177400000001</v>
      </c>
      <c r="N742" s="12">
        <f t="shared" si="149"/>
        <v>1.193311932314413E-2</v>
      </c>
      <c r="O742" s="11">
        <f t="shared" si="150"/>
        <v>374.89000000000004</v>
      </c>
      <c r="P742" s="1">
        <v>10</v>
      </c>
      <c r="Q742" s="15">
        <v>2</v>
      </c>
      <c r="R742" s="3">
        <f>Q742*VLOOKUP(P742,[4]Datos!$A$2:$D$14,2)</f>
        <v>16.38</v>
      </c>
      <c r="S742" s="10">
        <f t="shared" si="174"/>
        <v>23</v>
      </c>
      <c r="T742" s="14">
        <v>56</v>
      </c>
      <c r="U742" s="3">
        <f t="shared" si="175"/>
        <v>0.1</v>
      </c>
      <c r="V742" s="3"/>
      <c r="W742" s="1">
        <v>280</v>
      </c>
      <c r="X742" s="9">
        <v>2</v>
      </c>
      <c r="Y742" s="1">
        <v>6</v>
      </c>
      <c r="Z742" s="3">
        <f>X742*VLOOKUP(Y742,[4]Datos!$A$2:$D$14,2)</f>
        <v>5.68</v>
      </c>
      <c r="AA742" s="8">
        <v>0.15</v>
      </c>
      <c r="AB742" s="7">
        <f t="shared" si="151"/>
        <v>115.05235319041492</v>
      </c>
      <c r="AC742" s="7">
        <f t="shared" si="176"/>
        <v>207.30517717217134</v>
      </c>
      <c r="AD742" s="6" t="str">
        <f t="shared" si="152"/>
        <v>Cumple</v>
      </c>
      <c r="AE742" s="6"/>
      <c r="AH742" s="3"/>
    </row>
    <row r="743" spans="1:43" x14ac:dyDescent="0.3">
      <c r="A743" s="13"/>
      <c r="B743" s="1">
        <v>33</v>
      </c>
      <c r="C743" s="1">
        <v>354</v>
      </c>
      <c r="D743" s="1">
        <v>1</v>
      </c>
      <c r="E743" s="5">
        <v>1</v>
      </c>
      <c r="F743" s="3">
        <f t="shared" si="172"/>
        <v>33</v>
      </c>
      <c r="G743" s="5">
        <v>2</v>
      </c>
      <c r="H743" s="3">
        <f t="shared" si="173"/>
        <v>3.1415926535897931</v>
      </c>
      <c r="I743" s="4">
        <v>3.1415999999999999E-2</v>
      </c>
      <c r="K743" s="3">
        <v>243.48110354163009</v>
      </c>
      <c r="L743" s="3">
        <v>419.22906</v>
      </c>
      <c r="M743" s="3">
        <v>988.39580999999998</v>
      </c>
      <c r="N743" s="12">
        <f t="shared" si="149"/>
        <v>1.0000023384349969E-2</v>
      </c>
      <c r="O743" s="11">
        <f t="shared" si="150"/>
        <v>314.15999999999997</v>
      </c>
      <c r="P743" s="1">
        <v>10</v>
      </c>
      <c r="Q743" s="15">
        <v>2</v>
      </c>
      <c r="R743" s="3">
        <f>Q743*VLOOKUP(P743,[4]Datos!$A$2:$D$14,2)</f>
        <v>16.38</v>
      </c>
      <c r="S743" s="10">
        <f t="shared" si="174"/>
        <v>20</v>
      </c>
      <c r="T743" s="14">
        <v>56</v>
      </c>
      <c r="U743" s="3">
        <f t="shared" si="175"/>
        <v>0.1</v>
      </c>
      <c r="V743" s="3"/>
      <c r="W743" s="1">
        <v>280</v>
      </c>
      <c r="X743" s="9">
        <v>2</v>
      </c>
      <c r="Y743" s="1">
        <v>6</v>
      </c>
      <c r="Z743" s="3">
        <f>X743*VLOOKUP(Y743,[4]Datos!$A$2:$D$14,2)</f>
        <v>5.68</v>
      </c>
      <c r="AA743" s="8">
        <v>0.15</v>
      </c>
      <c r="AB743" s="7">
        <f t="shared" si="151"/>
        <v>115.05235319041492</v>
      </c>
      <c r="AC743" s="7">
        <f t="shared" si="176"/>
        <v>207.30517717217134</v>
      </c>
      <c r="AD743" s="6" t="str">
        <f t="shared" si="152"/>
        <v>Cumple</v>
      </c>
      <c r="AE743" s="6"/>
      <c r="AH743" s="3"/>
    </row>
    <row r="744" spans="1:43" x14ac:dyDescent="0.3">
      <c r="A744" s="13"/>
      <c r="B744" s="1">
        <v>34</v>
      </c>
      <c r="C744" s="1">
        <v>356</v>
      </c>
      <c r="D744" s="1">
        <v>1</v>
      </c>
      <c r="E744" s="5">
        <v>1</v>
      </c>
      <c r="F744" s="3">
        <f t="shared" si="172"/>
        <v>34</v>
      </c>
      <c r="G744" s="5">
        <v>2</v>
      </c>
      <c r="H744" s="3">
        <f t="shared" si="173"/>
        <v>3.1415926535897931</v>
      </c>
      <c r="I744" s="4">
        <v>3.1415999999999999E-2</v>
      </c>
      <c r="K744" s="3">
        <v>211.96497349951477</v>
      </c>
      <c r="L744" s="3">
        <v>323.13467000000003</v>
      </c>
      <c r="M744" s="3">
        <v>748.74715000000003</v>
      </c>
      <c r="N744" s="12">
        <f t="shared" si="149"/>
        <v>1.0000023384349969E-2</v>
      </c>
      <c r="O744" s="11">
        <f t="shared" si="150"/>
        <v>314.15999999999997</v>
      </c>
      <c r="P744" s="1">
        <v>10</v>
      </c>
      <c r="Q744" s="1">
        <v>1</v>
      </c>
      <c r="R744" s="3">
        <f>Q744*VLOOKUP(P744,[4]Datos!$A$2:$D$14,2)</f>
        <v>8.19</v>
      </c>
      <c r="S744" s="10">
        <f t="shared" si="174"/>
        <v>39</v>
      </c>
      <c r="T744" s="2">
        <v>39</v>
      </c>
      <c r="U744" s="3">
        <f t="shared" si="175"/>
        <v>0.14000000000000001</v>
      </c>
      <c r="V744" s="3"/>
      <c r="W744" s="1">
        <v>280</v>
      </c>
      <c r="X744" s="9">
        <v>2</v>
      </c>
      <c r="Y744" s="1">
        <v>6</v>
      </c>
      <c r="Z744" s="3">
        <f>X744*VLOOKUP(Y744,[4]Datos!$A$2:$D$14,2)</f>
        <v>5.68</v>
      </c>
      <c r="AA744" s="8">
        <v>0.15</v>
      </c>
      <c r="AB744" s="7">
        <f t="shared" si="151"/>
        <v>115.05235319041492</v>
      </c>
      <c r="AC744" s="7">
        <f t="shared" si="176"/>
        <v>207.30517717217134</v>
      </c>
      <c r="AD744" s="6" t="str">
        <f t="shared" si="152"/>
        <v>Cumple</v>
      </c>
      <c r="AE744" s="6"/>
      <c r="AH744" s="3"/>
    </row>
    <row r="745" spans="1:43" x14ac:dyDescent="0.3">
      <c r="A745" s="13"/>
      <c r="B745" s="1">
        <v>35</v>
      </c>
      <c r="C745" s="1">
        <v>358</v>
      </c>
      <c r="D745" s="1">
        <v>1</v>
      </c>
      <c r="E745" s="5">
        <v>1</v>
      </c>
      <c r="F745" s="3">
        <f t="shared" si="172"/>
        <v>35</v>
      </c>
      <c r="G745" s="5">
        <v>2</v>
      </c>
      <c r="H745" s="3">
        <f t="shared" si="173"/>
        <v>3.1415926535897931</v>
      </c>
      <c r="I745" s="4">
        <v>3.1415999999999999E-2</v>
      </c>
      <c r="K745" s="3">
        <v>175.58056917008216</v>
      </c>
      <c r="L745" s="3">
        <v>237.89500000000001</v>
      </c>
      <c r="M745" s="3">
        <v>540.03241000000003</v>
      </c>
      <c r="N745" s="12">
        <f t="shared" si="149"/>
        <v>1.0000023384349969E-2</v>
      </c>
      <c r="O745" s="11">
        <f t="shared" si="150"/>
        <v>314.15999999999997</v>
      </c>
      <c r="P745" s="1">
        <v>10</v>
      </c>
      <c r="Q745" s="1">
        <v>1</v>
      </c>
      <c r="R745" s="3">
        <f>Q745*VLOOKUP(P745,[4]Datos!$A$2:$D$14,2)</f>
        <v>8.19</v>
      </c>
      <c r="S745" s="10">
        <f t="shared" si="174"/>
        <v>39</v>
      </c>
      <c r="T745" s="2">
        <v>39</v>
      </c>
      <c r="U745" s="3">
        <f t="shared" si="175"/>
        <v>0.14000000000000001</v>
      </c>
      <c r="V745" s="3"/>
      <c r="W745" s="1">
        <v>280</v>
      </c>
      <c r="X745" s="9">
        <v>2</v>
      </c>
      <c r="Y745" s="1">
        <v>6</v>
      </c>
      <c r="Z745" s="3">
        <f>X745*VLOOKUP(Y745,[4]Datos!$A$2:$D$14,2)</f>
        <v>5.68</v>
      </c>
      <c r="AA745" s="8">
        <v>0.15</v>
      </c>
      <c r="AB745" s="7">
        <f t="shared" si="151"/>
        <v>115.05235319041492</v>
      </c>
      <c r="AC745" s="7">
        <f t="shared" si="176"/>
        <v>207.30517717217134</v>
      </c>
      <c r="AD745" s="6" t="str">
        <f t="shared" si="152"/>
        <v>Cumple</v>
      </c>
      <c r="AE745" s="6"/>
      <c r="AH745" s="3"/>
    </row>
    <row r="746" spans="1:43" x14ac:dyDescent="0.3">
      <c r="A746" s="13"/>
      <c r="B746" s="1">
        <v>36</v>
      </c>
      <c r="C746" s="1">
        <v>360</v>
      </c>
      <c r="D746" s="1">
        <v>1</v>
      </c>
      <c r="E746" s="5">
        <v>1</v>
      </c>
      <c r="F746" s="3">
        <f t="shared" si="172"/>
        <v>36</v>
      </c>
      <c r="G746" s="5">
        <v>2</v>
      </c>
      <c r="H746" s="3">
        <f t="shared" si="173"/>
        <v>3.1415926535897931</v>
      </c>
      <c r="I746" s="4">
        <v>3.1415999999999999E-2</v>
      </c>
      <c r="K746" s="3">
        <v>137.68123146039187</v>
      </c>
      <c r="L746" s="3">
        <v>165.93842000000001</v>
      </c>
      <c r="M746" s="3">
        <v>367.11871000000002</v>
      </c>
      <c r="N746" s="12">
        <f t="shared" si="149"/>
        <v>1.0000023384349969E-2</v>
      </c>
      <c r="O746" s="11">
        <f t="shared" si="150"/>
        <v>314.15999999999997</v>
      </c>
      <c r="P746" s="1">
        <v>10</v>
      </c>
      <c r="Q746" s="1">
        <v>1</v>
      </c>
      <c r="R746" s="3">
        <f>Q746*VLOOKUP(P746,[4]Datos!$A$2:$D$14,2)</f>
        <v>8.19</v>
      </c>
      <c r="S746" s="10">
        <f t="shared" si="174"/>
        <v>39</v>
      </c>
      <c r="T746" s="2">
        <v>39</v>
      </c>
      <c r="U746" s="3">
        <f t="shared" si="175"/>
        <v>0.14000000000000001</v>
      </c>
      <c r="V746" s="3"/>
      <c r="W746" s="1">
        <v>280</v>
      </c>
      <c r="X746" s="9">
        <v>2</v>
      </c>
      <c r="Y746" s="1">
        <v>4</v>
      </c>
      <c r="Z746" s="3">
        <f>X746*VLOOKUP(Y746,[4]Datos!$A$2:$D$14,2)</f>
        <v>2.58</v>
      </c>
      <c r="AA746" s="8">
        <v>0.3</v>
      </c>
      <c r="AB746" s="7">
        <f t="shared" si="151"/>
        <v>115.05235319041492</v>
      </c>
      <c r="AC746" s="7">
        <f t="shared" si="176"/>
        <v>47.081633547905106</v>
      </c>
      <c r="AD746" s="6" t="str">
        <f t="shared" si="152"/>
        <v>Cumple</v>
      </c>
      <c r="AE746" s="6"/>
      <c r="AH746" s="3"/>
    </row>
    <row r="747" spans="1:43" x14ac:dyDescent="0.3">
      <c r="A747" s="13"/>
      <c r="B747" s="1">
        <v>37</v>
      </c>
      <c r="C747" s="1">
        <v>362</v>
      </c>
      <c r="D747" s="1">
        <v>1</v>
      </c>
      <c r="E747" s="5">
        <v>1</v>
      </c>
      <c r="F747" s="3">
        <f t="shared" si="172"/>
        <v>37</v>
      </c>
      <c r="G747" s="5">
        <v>2</v>
      </c>
      <c r="H747" s="3">
        <f t="shared" si="173"/>
        <v>3.1415926535897931</v>
      </c>
      <c r="I747" s="4">
        <v>3.1415999999999999E-2</v>
      </c>
      <c r="K747" s="3">
        <v>101.09577859203617</v>
      </c>
      <c r="L747" s="3">
        <v>108.32032</v>
      </c>
      <c r="M747" s="3">
        <v>231.55994999999999</v>
      </c>
      <c r="N747" s="12">
        <f t="shared" si="149"/>
        <v>1.0000023384349969E-2</v>
      </c>
      <c r="O747" s="11">
        <f t="shared" si="150"/>
        <v>314.15999999999997</v>
      </c>
      <c r="P747" s="1">
        <v>10</v>
      </c>
      <c r="Q747" s="1">
        <v>1</v>
      </c>
      <c r="R747" s="3">
        <f>Q747*VLOOKUP(P747,[4]Datos!$A$2:$D$14,2)</f>
        <v>8.19</v>
      </c>
      <c r="S747" s="10">
        <f t="shared" si="174"/>
        <v>39</v>
      </c>
      <c r="T747" s="2">
        <v>39</v>
      </c>
      <c r="U747" s="3">
        <f t="shared" si="175"/>
        <v>0.14000000000000001</v>
      </c>
      <c r="V747" s="3"/>
      <c r="W747" s="1">
        <v>280</v>
      </c>
      <c r="X747" s="9">
        <v>2</v>
      </c>
      <c r="Y747" s="1">
        <v>4</v>
      </c>
      <c r="Z747" s="3">
        <f>X747*VLOOKUP(Y747,[4]Datos!$A$2:$D$14,2)</f>
        <v>2.58</v>
      </c>
      <c r="AA747" s="8">
        <v>0.3</v>
      </c>
      <c r="AB747" s="7">
        <f t="shared" si="151"/>
        <v>115.05235319041492</v>
      </c>
      <c r="AC747" s="7">
        <f t="shared" si="176"/>
        <v>47.081633547905106</v>
      </c>
      <c r="AD747" s="6" t="str">
        <f t="shared" si="152"/>
        <v>Cumple</v>
      </c>
      <c r="AE747" s="6"/>
      <c r="AH747" s="3"/>
    </row>
    <row r="748" spans="1:43" x14ac:dyDescent="0.3">
      <c r="A748" s="13"/>
      <c r="B748" s="1">
        <v>38</v>
      </c>
      <c r="C748" s="1">
        <v>364</v>
      </c>
      <c r="D748" s="1">
        <v>1</v>
      </c>
      <c r="E748" s="5">
        <v>1</v>
      </c>
      <c r="F748" s="3">
        <f t="shared" si="172"/>
        <v>38</v>
      </c>
      <c r="G748" s="5">
        <v>2</v>
      </c>
      <c r="H748" s="3">
        <f t="shared" si="173"/>
        <v>3.1415926535897931</v>
      </c>
      <c r="I748" s="4">
        <v>3.1415999999999999E-2</v>
      </c>
      <c r="K748" s="3">
        <v>68.094196388899405</v>
      </c>
      <c r="L748" s="3">
        <v>64.919240000000002</v>
      </c>
      <c r="M748" s="3">
        <v>132.12164000000001</v>
      </c>
      <c r="N748" s="12">
        <f t="shared" si="149"/>
        <v>1.0000023384349969E-2</v>
      </c>
      <c r="O748" s="11">
        <f t="shared" si="150"/>
        <v>314.15999999999997</v>
      </c>
      <c r="P748" s="1">
        <v>10</v>
      </c>
      <c r="Q748" s="1">
        <v>1</v>
      </c>
      <c r="R748" s="3">
        <f>Q748*VLOOKUP(P748,[4]Datos!$A$2:$D$14,2)</f>
        <v>8.19</v>
      </c>
      <c r="S748" s="10">
        <f t="shared" si="174"/>
        <v>39</v>
      </c>
      <c r="T748" s="2">
        <v>39</v>
      </c>
      <c r="U748" s="3">
        <f t="shared" si="175"/>
        <v>0.14000000000000001</v>
      </c>
      <c r="V748" s="3"/>
      <c r="W748" s="1">
        <v>280</v>
      </c>
      <c r="X748" s="9">
        <v>2</v>
      </c>
      <c r="Y748" s="1">
        <v>4</v>
      </c>
      <c r="Z748" s="3">
        <f>X748*VLOOKUP(Y748,[4]Datos!$A$2:$D$14,2)</f>
        <v>2.58</v>
      </c>
      <c r="AA748" s="8">
        <v>0.3</v>
      </c>
      <c r="AB748" s="7">
        <f t="shared" si="151"/>
        <v>115.05235319041492</v>
      </c>
      <c r="AC748" s="7">
        <f t="shared" si="176"/>
        <v>47.081633547905106</v>
      </c>
      <c r="AD748" s="6" t="str">
        <f t="shared" si="152"/>
        <v>Cumple</v>
      </c>
      <c r="AE748" s="6"/>
      <c r="AH748" s="3"/>
    </row>
    <row r="749" spans="1:43" x14ac:dyDescent="0.3">
      <c r="A749" s="13"/>
      <c r="B749" s="1">
        <v>39</v>
      </c>
      <c r="C749" s="1">
        <v>366</v>
      </c>
      <c r="D749" s="1">
        <v>1</v>
      </c>
      <c r="E749" s="5">
        <v>1</v>
      </c>
      <c r="F749" s="3">
        <f t="shared" si="172"/>
        <v>39</v>
      </c>
      <c r="G749" s="5">
        <v>2</v>
      </c>
      <c r="H749" s="3">
        <f t="shared" si="173"/>
        <v>3.1415926535897931</v>
      </c>
      <c r="I749" s="4">
        <v>3.1415999999999999E-2</v>
      </c>
      <c r="K749" s="3">
        <v>40.452698875723975</v>
      </c>
      <c r="L749" s="3">
        <v>34.652079999999998</v>
      </c>
      <c r="M749" s="3">
        <v>65.345280000000002</v>
      </c>
      <c r="N749" s="12">
        <f t="shared" si="149"/>
        <v>1.0000023384349969E-2</v>
      </c>
      <c r="O749" s="11">
        <f t="shared" si="150"/>
        <v>314.15999999999997</v>
      </c>
      <c r="P749" s="1">
        <v>10</v>
      </c>
      <c r="Q749" s="1">
        <v>1</v>
      </c>
      <c r="R749" s="3">
        <f>Q749*VLOOKUP(P749,[4]Datos!$A$2:$D$14,2)</f>
        <v>8.19</v>
      </c>
      <c r="S749" s="10">
        <f t="shared" si="174"/>
        <v>39</v>
      </c>
      <c r="T749" s="2">
        <v>39</v>
      </c>
      <c r="U749" s="3">
        <f t="shared" si="175"/>
        <v>0.14000000000000001</v>
      </c>
      <c r="V749" s="3"/>
      <c r="W749" s="1">
        <v>280</v>
      </c>
      <c r="X749" s="9">
        <v>2</v>
      </c>
      <c r="Y749" s="1">
        <v>4</v>
      </c>
      <c r="Z749" s="3">
        <f>X749*VLOOKUP(Y749,[4]Datos!$A$2:$D$14,2)</f>
        <v>2.58</v>
      </c>
      <c r="AA749" s="8">
        <v>0.3</v>
      </c>
      <c r="AB749" s="7">
        <f t="shared" si="151"/>
        <v>115.05235319041492</v>
      </c>
      <c r="AC749" s="7">
        <f t="shared" si="176"/>
        <v>47.081633547905106</v>
      </c>
      <c r="AD749" s="6" t="str">
        <f t="shared" si="152"/>
        <v>Cumple</v>
      </c>
      <c r="AE749" s="6"/>
      <c r="AH749" s="3"/>
    </row>
    <row r="750" spans="1:43" x14ac:dyDescent="0.3">
      <c r="A750" s="13"/>
      <c r="B750" s="1">
        <v>40</v>
      </c>
      <c r="C750" s="1">
        <v>186</v>
      </c>
      <c r="D750" s="1">
        <v>1</v>
      </c>
      <c r="E750" s="5">
        <v>1</v>
      </c>
      <c r="F750" s="3">
        <f t="shared" si="172"/>
        <v>40</v>
      </c>
      <c r="G750" s="5">
        <v>2</v>
      </c>
      <c r="H750" s="3">
        <f t="shared" si="173"/>
        <v>3.1415926535897931</v>
      </c>
      <c r="I750" s="4">
        <v>3.1415999999999999E-2</v>
      </c>
      <c r="K750" s="3">
        <v>19.657927397617481</v>
      </c>
      <c r="L750" s="3">
        <v>15.65518</v>
      </c>
      <c r="M750" s="3">
        <v>26.047730000000001</v>
      </c>
      <c r="N750" s="12">
        <f t="shared" si="149"/>
        <v>1.0000023384349969E-2</v>
      </c>
      <c r="O750" s="11">
        <f t="shared" si="150"/>
        <v>314.15999999999997</v>
      </c>
      <c r="P750" s="1">
        <v>10</v>
      </c>
      <c r="Q750" s="1">
        <v>1</v>
      </c>
      <c r="R750" s="3">
        <f>Q750*VLOOKUP(P750,[4]Datos!$A$2:$D$14,2)</f>
        <v>8.19</v>
      </c>
      <c r="S750" s="10">
        <f t="shared" si="174"/>
        <v>39</v>
      </c>
      <c r="T750" s="2">
        <v>39</v>
      </c>
      <c r="U750" s="3">
        <f t="shared" si="175"/>
        <v>0.14000000000000001</v>
      </c>
      <c r="V750" s="3"/>
      <c r="W750" s="1">
        <v>280</v>
      </c>
      <c r="X750" s="9">
        <v>2</v>
      </c>
      <c r="Y750" s="1">
        <v>4</v>
      </c>
      <c r="Z750" s="3">
        <f>X750*VLOOKUP(Y750,[4]Datos!$A$2:$D$14,2)</f>
        <v>2.58</v>
      </c>
      <c r="AA750" s="8">
        <v>0.3</v>
      </c>
      <c r="AB750" s="7">
        <f t="shared" si="151"/>
        <v>115.05235319041492</v>
      </c>
      <c r="AC750" s="7">
        <f t="shared" si="176"/>
        <v>47.081633547905106</v>
      </c>
      <c r="AD750" s="6" t="str">
        <f t="shared" si="152"/>
        <v>Cumple</v>
      </c>
      <c r="AE750" s="6"/>
      <c r="AH750" s="3"/>
    </row>
    <row r="751" spans="1:43" x14ac:dyDescent="0.3">
      <c r="A751" s="13"/>
      <c r="B751" s="1">
        <v>41</v>
      </c>
      <c r="C751" s="1">
        <v>286</v>
      </c>
      <c r="D751" s="1">
        <v>1</v>
      </c>
      <c r="E751" s="5">
        <v>1</v>
      </c>
      <c r="F751" s="3">
        <f t="shared" si="172"/>
        <v>41</v>
      </c>
      <c r="G751" s="5">
        <v>2</v>
      </c>
      <c r="H751" s="3">
        <f t="shared" si="173"/>
        <v>3.1415926535897931</v>
      </c>
      <c r="I751" s="4">
        <v>3.1415999999999999E-2</v>
      </c>
      <c r="K751" s="3">
        <v>7.7205034686864824</v>
      </c>
      <c r="L751" s="3">
        <v>5.3147399999999996</v>
      </c>
      <c r="M751" s="3">
        <v>7.4309399999999997</v>
      </c>
      <c r="N751" s="12">
        <f t="shared" si="149"/>
        <v>1.0000023384349969E-2</v>
      </c>
      <c r="O751" s="11">
        <f t="shared" si="150"/>
        <v>314.15999999999997</v>
      </c>
      <c r="P751" s="1">
        <v>10</v>
      </c>
      <c r="Q751" s="1">
        <v>1</v>
      </c>
      <c r="R751" s="3">
        <f>Q751*VLOOKUP(P751,[4]Datos!$A$2:$D$14,2)</f>
        <v>8.19</v>
      </c>
      <c r="S751" s="10">
        <f t="shared" si="174"/>
        <v>39</v>
      </c>
      <c r="T751" s="2">
        <v>39</v>
      </c>
      <c r="U751" s="3">
        <f t="shared" si="175"/>
        <v>0.14000000000000001</v>
      </c>
      <c r="V751" s="3"/>
      <c r="W751" s="1">
        <v>280</v>
      </c>
      <c r="X751" s="9">
        <v>2</v>
      </c>
      <c r="Y751" s="1">
        <v>4</v>
      </c>
      <c r="Z751" s="3">
        <f>X751*VLOOKUP(Y751,[4]Datos!$A$2:$D$14,2)</f>
        <v>2.58</v>
      </c>
      <c r="AA751" s="8">
        <v>0.3</v>
      </c>
      <c r="AB751" s="7">
        <f t="shared" si="151"/>
        <v>115.05235319041492</v>
      </c>
      <c r="AC751" s="7">
        <f t="shared" si="176"/>
        <v>47.081633547905106</v>
      </c>
      <c r="AD751" s="6" t="str">
        <f t="shared" si="152"/>
        <v>Cumple</v>
      </c>
      <c r="AE751" s="6"/>
      <c r="AH751" s="3"/>
    </row>
    <row r="752" spans="1:43" ht="15" customHeight="1" x14ac:dyDescent="0.3">
      <c r="A752" s="13" t="s">
        <v>9</v>
      </c>
      <c r="B752" s="1">
        <v>1</v>
      </c>
      <c r="C752" s="1">
        <v>137</v>
      </c>
      <c r="D752" s="1">
        <v>0</v>
      </c>
      <c r="E752" s="5">
        <v>1</v>
      </c>
      <c r="F752" s="3">
        <f>E752</f>
        <v>1</v>
      </c>
      <c r="G752" s="5">
        <v>2</v>
      </c>
      <c r="H752" s="3">
        <f t="shared" si="173"/>
        <v>3.1415926535897931</v>
      </c>
      <c r="I752" s="4">
        <v>3.1415999999999999E-2</v>
      </c>
      <c r="K752" s="3">
        <v>181.9851079028721</v>
      </c>
      <c r="L752" s="3">
        <v>475.29300999999998</v>
      </c>
      <c r="M752" s="3">
        <v>387.29340000000002</v>
      </c>
      <c r="N752" s="12">
        <f t="shared" ref="N752:N815" si="187">I752/H752</f>
        <v>1.0000023384349969E-2</v>
      </c>
      <c r="O752" s="11">
        <f t="shared" ref="O752:O815" si="188">I752*10000</f>
        <v>314.15999999999997</v>
      </c>
      <c r="P752" s="1">
        <v>10</v>
      </c>
      <c r="Q752" s="1">
        <v>1</v>
      </c>
      <c r="R752" s="3">
        <f>Q752*VLOOKUP(P752,[4]Datos!$A$2:$D$14,2)</f>
        <v>8.19</v>
      </c>
      <c r="S752" s="10">
        <f t="shared" si="174"/>
        <v>39</v>
      </c>
      <c r="T752" s="2">
        <v>39</v>
      </c>
      <c r="U752" s="3">
        <f t="shared" si="175"/>
        <v>0.14000000000000001</v>
      </c>
      <c r="V752" s="3"/>
      <c r="W752" s="1">
        <v>280</v>
      </c>
      <c r="X752" s="9">
        <v>2</v>
      </c>
      <c r="Y752" s="1">
        <v>6</v>
      </c>
      <c r="Z752" s="3">
        <f>X752*VLOOKUP(Y752,[4]Datos!$A$2:$D$14,2)</f>
        <v>5.68</v>
      </c>
      <c r="AA752" s="8">
        <v>7.4999999999999997E-2</v>
      </c>
      <c r="AB752" s="7">
        <f t="shared" ref="AB752:AB815" si="189">IF(D752=0,0.9,0.5)*0.9*0.53*SQRT(W752)*G752*MAX(0.72*G752,0.9*((G752/2)+((G752-0.11)/PI())))*10</f>
        <v>207.09423574274689</v>
      </c>
      <c r="AC752" s="7">
        <f t="shared" si="176"/>
        <v>414.61035434434268</v>
      </c>
      <c r="AD752" s="6" t="str">
        <f t="shared" ref="AD752:AD815" si="190">+IF(AC752&gt;K752-AB752,"Cumple","No Cumple")</f>
        <v>Cumple</v>
      </c>
      <c r="AE752" s="6"/>
      <c r="AF752" s="5">
        <v>12</v>
      </c>
      <c r="AG752" s="7">
        <f t="shared" ref="AG752:AG753" si="191">ROUNDUP(MAX(0.45,G752,AF752/6),0)</f>
        <v>2</v>
      </c>
      <c r="AH752" s="3">
        <f t="shared" ref="AH752:AH753" si="192">PI()*(G752-0.15)^2/4</f>
        <v>2.6880252142277672</v>
      </c>
      <c r="AI752" s="7">
        <f>G752-0.15-VLOOKUP(Y752,[4]Datos!$A$2:$D$14,3)/100</f>
        <v>1.8309000000000002</v>
      </c>
      <c r="AJ752" s="7">
        <f t="shared" ref="AJ752:AJ753" si="193">SQRT((PI()*AI752)^2+AA752^2)</f>
        <v>5.7524309339691264</v>
      </c>
      <c r="AK752" s="1">
        <v>0.12</v>
      </c>
      <c r="AL752" s="16">
        <f t="shared" ref="AL752:AL753" si="194">MAX(0.45*(H752/AH752-1),AK752)*(W752/4220)</f>
        <v>7.9620853080568724E-3</v>
      </c>
      <c r="AM752" s="7">
        <f t="shared" ref="AM752:AM753" si="195">AG752*(AJ752/AA752)</f>
        <v>153.39815823917672</v>
      </c>
      <c r="AN752" s="17">
        <f t="shared" ref="AN752:AN753" si="196">AM752*Z752/X752/10000</f>
        <v>4.3565076939926187E-2</v>
      </c>
      <c r="AO752" s="17">
        <f t="shared" ref="AO752:AO753" si="197">AH752*AG752</f>
        <v>5.3760504284555344</v>
      </c>
      <c r="AP752" s="16">
        <f t="shared" ref="AP752:AP753" si="198">AN752/AO752</f>
        <v>8.1035469290495175E-3</v>
      </c>
      <c r="AQ752" s="6" t="str">
        <f t="shared" ref="AQ752:AQ753" si="199">+IF(AP752&gt;AL752,"Cumple","No Cumple")</f>
        <v>Cumple</v>
      </c>
    </row>
    <row r="753" spans="1:43" ht="15" customHeight="1" x14ac:dyDescent="0.3">
      <c r="A753" s="13"/>
      <c r="B753" s="1">
        <v>2</v>
      </c>
      <c r="C753" s="1">
        <v>139</v>
      </c>
      <c r="D753" s="1">
        <v>0</v>
      </c>
      <c r="E753" s="5">
        <v>1</v>
      </c>
      <c r="F753" s="3">
        <f>F752+E753</f>
        <v>2</v>
      </c>
      <c r="G753" s="5">
        <v>2</v>
      </c>
      <c r="H753" s="3">
        <f t="shared" si="173"/>
        <v>3.1415926535897931</v>
      </c>
      <c r="I753" s="4">
        <v>3.1415999999999999E-2</v>
      </c>
      <c r="K753" s="3">
        <v>181.9851079028721</v>
      </c>
      <c r="L753" s="3">
        <v>429.35655000000003</v>
      </c>
      <c r="M753" s="3">
        <v>478.93351000000001</v>
      </c>
      <c r="N753" s="12">
        <f t="shared" si="187"/>
        <v>1.0000023384349969E-2</v>
      </c>
      <c r="O753" s="11">
        <f t="shared" si="188"/>
        <v>314.15999999999997</v>
      </c>
      <c r="P753" s="1">
        <v>10</v>
      </c>
      <c r="Q753" s="1">
        <v>1</v>
      </c>
      <c r="R753" s="3">
        <f>Q753*VLOOKUP(P753,[4]Datos!$A$2:$D$14,2)</f>
        <v>8.19</v>
      </c>
      <c r="S753" s="10">
        <f t="shared" si="174"/>
        <v>39</v>
      </c>
      <c r="T753" s="2">
        <v>39</v>
      </c>
      <c r="U753" s="3">
        <f t="shared" si="175"/>
        <v>0.14000000000000001</v>
      </c>
      <c r="V753" s="3"/>
      <c r="W753" s="1">
        <v>280</v>
      </c>
      <c r="X753" s="9">
        <v>2</v>
      </c>
      <c r="Y753" s="1">
        <v>6</v>
      </c>
      <c r="Z753" s="3">
        <f>X753*VLOOKUP(Y753,[4]Datos!$A$2:$D$14,2)</f>
        <v>5.68</v>
      </c>
      <c r="AA753" s="8">
        <v>7.4999999999999997E-2</v>
      </c>
      <c r="AB753" s="7">
        <f t="shared" si="189"/>
        <v>207.09423574274689</v>
      </c>
      <c r="AC753" s="7">
        <f t="shared" si="176"/>
        <v>414.61035434434268</v>
      </c>
      <c r="AD753" s="6" t="str">
        <f t="shared" si="190"/>
        <v>Cumple</v>
      </c>
      <c r="AE753" s="6"/>
      <c r="AF753" s="5">
        <v>12</v>
      </c>
      <c r="AG753" s="7">
        <f t="shared" si="191"/>
        <v>2</v>
      </c>
      <c r="AH753" s="3">
        <f t="shared" si="192"/>
        <v>2.6880252142277672</v>
      </c>
      <c r="AI753" s="7">
        <f>G753-0.15-VLOOKUP(Y753,[4]Datos!$A$2:$D$14,3)/100</f>
        <v>1.8309000000000002</v>
      </c>
      <c r="AJ753" s="7">
        <f t="shared" si="193"/>
        <v>5.7524309339691264</v>
      </c>
      <c r="AK753" s="1">
        <v>0.12</v>
      </c>
      <c r="AL753" s="16">
        <f t="shared" si="194"/>
        <v>7.9620853080568724E-3</v>
      </c>
      <c r="AM753" s="7">
        <f t="shared" si="195"/>
        <v>153.39815823917672</v>
      </c>
      <c r="AN753" s="17">
        <f t="shared" si="196"/>
        <v>4.3565076939926187E-2</v>
      </c>
      <c r="AO753" s="17">
        <f t="shared" si="197"/>
        <v>5.3760504284555344</v>
      </c>
      <c r="AP753" s="16">
        <f t="shared" si="198"/>
        <v>8.1035469290495175E-3</v>
      </c>
      <c r="AQ753" s="6" t="str">
        <f t="shared" si="199"/>
        <v>Cumple</v>
      </c>
    </row>
    <row r="754" spans="1:43" ht="15" customHeight="1" x14ac:dyDescent="0.3">
      <c r="A754" s="13"/>
      <c r="B754" s="1">
        <v>3</v>
      </c>
      <c r="C754" s="1">
        <v>141</v>
      </c>
      <c r="D754" s="1">
        <v>0</v>
      </c>
      <c r="E754" s="5">
        <v>1</v>
      </c>
      <c r="F754" s="3">
        <f t="shared" ref="F754:F781" si="200">F753+E754</f>
        <v>3</v>
      </c>
      <c r="G754" s="5">
        <v>2</v>
      </c>
      <c r="H754" s="3">
        <f t="shared" si="173"/>
        <v>3.1415926535897931</v>
      </c>
      <c r="I754" s="4">
        <v>3.1415999999999999E-2</v>
      </c>
      <c r="K754" s="3">
        <v>181.9851079028721</v>
      </c>
      <c r="L754" s="3">
        <v>383.73791999999997</v>
      </c>
      <c r="M754" s="3">
        <v>574.79241999999999</v>
      </c>
      <c r="N754" s="12">
        <f t="shared" si="187"/>
        <v>1.0000023384349969E-2</v>
      </c>
      <c r="O754" s="11">
        <f t="shared" si="188"/>
        <v>314.15999999999997</v>
      </c>
      <c r="P754" s="1">
        <v>10</v>
      </c>
      <c r="Q754" s="1">
        <v>1</v>
      </c>
      <c r="R754" s="3">
        <f>Q754*VLOOKUP(P754,[4]Datos!$A$2:$D$14,2)</f>
        <v>8.19</v>
      </c>
      <c r="S754" s="10">
        <f t="shared" si="174"/>
        <v>39</v>
      </c>
      <c r="T754" s="2">
        <v>39</v>
      </c>
      <c r="U754" s="3">
        <f t="shared" si="175"/>
        <v>0.14000000000000001</v>
      </c>
      <c r="V754" s="3"/>
      <c r="W754" s="1">
        <v>280</v>
      </c>
      <c r="X754" s="9">
        <v>2</v>
      </c>
      <c r="Y754" s="1">
        <v>4</v>
      </c>
      <c r="Z754" s="3">
        <f>X754*VLOOKUP(Y754,[4]Datos!$A$2:$D$14,2)</f>
        <v>2.58</v>
      </c>
      <c r="AA754" s="8">
        <v>0.3</v>
      </c>
      <c r="AB754" s="7">
        <f t="shared" si="189"/>
        <v>207.09423574274689</v>
      </c>
      <c r="AC754" s="7">
        <f t="shared" si="176"/>
        <v>47.081633547905106</v>
      </c>
      <c r="AD754" s="6" t="str">
        <f t="shared" si="190"/>
        <v>Cumple</v>
      </c>
      <c r="AE754" s="6"/>
      <c r="AH754" s="3"/>
    </row>
    <row r="755" spans="1:43" ht="15" customHeight="1" x14ac:dyDescent="0.3">
      <c r="A755" s="13"/>
      <c r="B755" s="1">
        <v>4</v>
      </c>
      <c r="C755" s="1">
        <v>143</v>
      </c>
      <c r="D755" s="1">
        <v>0</v>
      </c>
      <c r="E755" s="5">
        <v>1</v>
      </c>
      <c r="F755" s="3">
        <f t="shared" si="200"/>
        <v>4</v>
      </c>
      <c r="G755" s="5">
        <v>2</v>
      </c>
      <c r="H755" s="3">
        <f t="shared" si="173"/>
        <v>3.1415926535897931</v>
      </c>
      <c r="I755" s="4">
        <v>3.1415999999999999E-2</v>
      </c>
      <c r="K755" s="3">
        <v>181.9851079028721</v>
      </c>
      <c r="L755" s="3">
        <v>338.57121999999998</v>
      </c>
      <c r="M755" s="3">
        <v>673.65089</v>
      </c>
      <c r="N755" s="12">
        <f t="shared" si="187"/>
        <v>1.0000023384349969E-2</v>
      </c>
      <c r="O755" s="11">
        <f t="shared" si="188"/>
        <v>314.15999999999997</v>
      </c>
      <c r="P755" s="1">
        <v>10</v>
      </c>
      <c r="Q755" s="15">
        <v>1</v>
      </c>
      <c r="R755" s="3">
        <f>Q755*VLOOKUP(P755,[4]Datos!$A$2:$D$14,2)</f>
        <v>8.19</v>
      </c>
      <c r="S755" s="10">
        <f t="shared" si="174"/>
        <v>39</v>
      </c>
      <c r="T755" s="14">
        <v>56</v>
      </c>
      <c r="U755" s="3">
        <f t="shared" si="175"/>
        <v>0.1</v>
      </c>
      <c r="V755" s="3"/>
      <c r="W755" s="1">
        <v>280</v>
      </c>
      <c r="X755" s="9">
        <v>2</v>
      </c>
      <c r="Y755" s="1">
        <v>4</v>
      </c>
      <c r="Z755" s="3">
        <f>X755*VLOOKUP(Y755,[4]Datos!$A$2:$D$14,2)</f>
        <v>2.58</v>
      </c>
      <c r="AA755" s="8">
        <v>0.3</v>
      </c>
      <c r="AB755" s="7">
        <f t="shared" si="189"/>
        <v>207.09423574274689</v>
      </c>
      <c r="AC755" s="7">
        <f t="shared" si="176"/>
        <v>47.081633547905106</v>
      </c>
      <c r="AD755" s="6" t="str">
        <f t="shared" si="190"/>
        <v>Cumple</v>
      </c>
      <c r="AE755" s="6"/>
      <c r="AH755" s="3"/>
    </row>
    <row r="756" spans="1:43" ht="15" customHeight="1" x14ac:dyDescent="0.3">
      <c r="A756" s="13"/>
      <c r="B756" s="1">
        <v>5</v>
      </c>
      <c r="C756" s="1">
        <v>145</v>
      </c>
      <c r="D756" s="1">
        <v>0</v>
      </c>
      <c r="E756" s="5">
        <v>1</v>
      </c>
      <c r="F756" s="3">
        <f t="shared" si="200"/>
        <v>5</v>
      </c>
      <c r="G756" s="5">
        <v>2</v>
      </c>
      <c r="H756" s="3">
        <f t="shared" si="173"/>
        <v>3.1415926535897931</v>
      </c>
      <c r="I756" s="4">
        <v>3.1415999999999999E-2</v>
      </c>
      <c r="K756" s="3">
        <v>181.98520465469164</v>
      </c>
      <c r="L756" s="3">
        <v>293.99013000000002</v>
      </c>
      <c r="M756" s="3">
        <v>774.26922000000002</v>
      </c>
      <c r="N756" s="12">
        <f t="shared" si="187"/>
        <v>1.0000023384349969E-2</v>
      </c>
      <c r="O756" s="11">
        <f t="shared" si="188"/>
        <v>314.15999999999997</v>
      </c>
      <c r="P756" s="1">
        <v>10</v>
      </c>
      <c r="Q756" s="15">
        <v>1</v>
      </c>
      <c r="R756" s="3">
        <f>Q756*VLOOKUP(P756,[4]Datos!$A$2:$D$14,2)</f>
        <v>8.19</v>
      </c>
      <c r="S756" s="10">
        <f t="shared" si="174"/>
        <v>39</v>
      </c>
      <c r="T756" s="14">
        <v>56</v>
      </c>
      <c r="U756" s="3">
        <f t="shared" si="175"/>
        <v>0.1</v>
      </c>
      <c r="V756" s="3"/>
      <c r="W756" s="1">
        <v>280</v>
      </c>
      <c r="X756" s="9">
        <v>2</v>
      </c>
      <c r="Y756" s="1">
        <v>4</v>
      </c>
      <c r="Z756" s="3">
        <f>X756*VLOOKUP(Y756,[4]Datos!$A$2:$D$14,2)</f>
        <v>2.58</v>
      </c>
      <c r="AA756" s="8">
        <v>0.3</v>
      </c>
      <c r="AB756" s="7">
        <f t="shared" si="189"/>
        <v>207.09423574274689</v>
      </c>
      <c r="AC756" s="7">
        <f t="shared" si="176"/>
        <v>47.081633547905106</v>
      </c>
      <c r="AD756" s="6" t="str">
        <f t="shared" si="190"/>
        <v>Cumple</v>
      </c>
      <c r="AE756" s="6"/>
      <c r="AH756" s="3"/>
    </row>
    <row r="757" spans="1:43" ht="15" customHeight="1" x14ac:dyDescent="0.3">
      <c r="A757" s="13"/>
      <c r="B757" s="1">
        <v>6</v>
      </c>
      <c r="C757" s="1">
        <v>147</v>
      </c>
      <c r="D757" s="1">
        <v>0</v>
      </c>
      <c r="E757" s="5">
        <v>1</v>
      </c>
      <c r="F757" s="3">
        <f t="shared" si="200"/>
        <v>6</v>
      </c>
      <c r="G757" s="5">
        <v>2</v>
      </c>
      <c r="H757" s="3">
        <f t="shared" si="173"/>
        <v>3.1415926535897931</v>
      </c>
      <c r="I757" s="4">
        <v>3.1415999999999999E-2</v>
      </c>
      <c r="K757" s="3">
        <v>181.98520465469164</v>
      </c>
      <c r="L757" s="3">
        <v>250.08695</v>
      </c>
      <c r="M757" s="3">
        <v>875.85820999999999</v>
      </c>
      <c r="N757" s="12">
        <f t="shared" si="187"/>
        <v>1.0000023384349969E-2</v>
      </c>
      <c r="O757" s="11">
        <f t="shared" si="188"/>
        <v>314.15999999999997</v>
      </c>
      <c r="P757" s="1">
        <v>10</v>
      </c>
      <c r="Q757" s="15">
        <v>1</v>
      </c>
      <c r="R757" s="3">
        <f>Q757*VLOOKUP(P757,[4]Datos!$A$2:$D$14,2)</f>
        <v>8.19</v>
      </c>
      <c r="S757" s="10">
        <f t="shared" si="174"/>
        <v>39</v>
      </c>
      <c r="T757" s="14">
        <v>56</v>
      </c>
      <c r="U757" s="3">
        <f t="shared" si="175"/>
        <v>0.1</v>
      </c>
      <c r="V757" s="3"/>
      <c r="W757" s="1">
        <v>280</v>
      </c>
      <c r="X757" s="9">
        <v>2</v>
      </c>
      <c r="Y757" s="1">
        <v>4</v>
      </c>
      <c r="Z757" s="3">
        <f>X757*VLOOKUP(Y757,[4]Datos!$A$2:$D$14,2)</f>
        <v>2.58</v>
      </c>
      <c r="AA757" s="8">
        <v>0.3</v>
      </c>
      <c r="AB757" s="7">
        <f t="shared" si="189"/>
        <v>207.09423574274689</v>
      </c>
      <c r="AC757" s="7">
        <f t="shared" si="176"/>
        <v>47.081633547905106</v>
      </c>
      <c r="AD757" s="6" t="str">
        <f t="shared" si="190"/>
        <v>Cumple</v>
      </c>
      <c r="AE757" s="6"/>
      <c r="AH757" s="3"/>
    </row>
    <row r="758" spans="1:43" ht="15" customHeight="1" x14ac:dyDescent="0.3">
      <c r="A758" s="13"/>
      <c r="B758" s="1">
        <v>7</v>
      </c>
      <c r="C758" s="1">
        <v>149</v>
      </c>
      <c r="D758" s="1">
        <v>0</v>
      </c>
      <c r="E758" s="5">
        <v>1</v>
      </c>
      <c r="F758" s="3">
        <f t="shared" si="200"/>
        <v>7</v>
      </c>
      <c r="G758" s="5">
        <v>2</v>
      </c>
      <c r="H758" s="3">
        <f t="shared" si="173"/>
        <v>3.1415926535897931</v>
      </c>
      <c r="I758" s="4">
        <v>3.5450000000000002E-2</v>
      </c>
      <c r="K758" s="3">
        <v>181.98530140651468</v>
      </c>
      <c r="L758" s="3">
        <v>206.90085999999999</v>
      </c>
      <c r="M758" s="3">
        <v>977.98797000000002</v>
      </c>
      <c r="N758" s="12">
        <f t="shared" si="187"/>
        <v>1.1284085465215381E-2</v>
      </c>
      <c r="O758" s="11">
        <f t="shared" si="188"/>
        <v>354.5</v>
      </c>
      <c r="P758" s="1">
        <v>10</v>
      </c>
      <c r="Q758" s="1">
        <v>1</v>
      </c>
      <c r="R758" s="3">
        <f>Q758*VLOOKUP(P758,[4]Datos!$A$2:$D$14,2)</f>
        <v>8.19</v>
      </c>
      <c r="S758" s="10">
        <f t="shared" si="174"/>
        <v>44</v>
      </c>
      <c r="T758" s="2">
        <v>56</v>
      </c>
      <c r="U758" s="3">
        <f t="shared" si="175"/>
        <v>0.1</v>
      </c>
      <c r="V758" s="3"/>
      <c r="W758" s="1">
        <v>280</v>
      </c>
      <c r="X758" s="9">
        <v>2</v>
      </c>
      <c r="Y758" s="1">
        <v>4</v>
      </c>
      <c r="Z758" s="3">
        <f>X758*VLOOKUP(Y758,[4]Datos!$A$2:$D$14,2)</f>
        <v>2.58</v>
      </c>
      <c r="AA758" s="8">
        <v>0.3</v>
      </c>
      <c r="AB758" s="7">
        <f t="shared" si="189"/>
        <v>207.09423574274689</v>
      </c>
      <c r="AC758" s="7">
        <f t="shared" si="176"/>
        <v>47.081633547905106</v>
      </c>
      <c r="AD758" s="6" t="str">
        <f t="shared" si="190"/>
        <v>Cumple</v>
      </c>
      <c r="AE758" s="6"/>
      <c r="AH758" s="3"/>
    </row>
    <row r="759" spans="1:43" ht="15" customHeight="1" x14ac:dyDescent="0.3">
      <c r="A759" s="13"/>
      <c r="B759" s="1">
        <v>8</v>
      </c>
      <c r="C759" s="1">
        <v>151</v>
      </c>
      <c r="D759" s="1">
        <v>0</v>
      </c>
      <c r="E759" s="5">
        <v>1</v>
      </c>
      <c r="F759" s="3">
        <f t="shared" si="200"/>
        <v>8</v>
      </c>
      <c r="G759" s="5">
        <v>2</v>
      </c>
      <c r="H759" s="3">
        <f t="shared" si="173"/>
        <v>3.1415926535897931</v>
      </c>
      <c r="I759" s="4">
        <v>4.0996999999999999E-2</v>
      </c>
      <c r="K759" s="3">
        <v>181.98530140651468</v>
      </c>
      <c r="L759" s="3">
        <v>164.50027</v>
      </c>
      <c r="M759" s="3">
        <v>1080.42019</v>
      </c>
      <c r="N759" s="12">
        <f t="shared" si="187"/>
        <v>1.3049750403876867E-2</v>
      </c>
      <c r="O759" s="11">
        <f t="shared" si="188"/>
        <v>409.96999999999997</v>
      </c>
      <c r="P759" s="1">
        <v>10</v>
      </c>
      <c r="Q759" s="1">
        <v>1</v>
      </c>
      <c r="R759" s="3">
        <f>Q759*VLOOKUP(P759,[4]Datos!$A$2:$D$14,2)</f>
        <v>8.19</v>
      </c>
      <c r="S759" s="10">
        <f t="shared" si="174"/>
        <v>51</v>
      </c>
      <c r="T759" s="2">
        <v>56</v>
      </c>
      <c r="U759" s="3">
        <f t="shared" si="175"/>
        <v>0.1</v>
      </c>
      <c r="V759" s="3"/>
      <c r="W759" s="1">
        <v>280</v>
      </c>
      <c r="X759" s="9">
        <v>2</v>
      </c>
      <c r="Y759" s="1">
        <v>4</v>
      </c>
      <c r="Z759" s="3">
        <f>X759*VLOOKUP(Y759,[4]Datos!$A$2:$D$14,2)</f>
        <v>2.58</v>
      </c>
      <c r="AA759" s="8">
        <v>0.3</v>
      </c>
      <c r="AB759" s="7">
        <f t="shared" si="189"/>
        <v>207.09423574274689</v>
      </c>
      <c r="AC759" s="7">
        <f t="shared" si="176"/>
        <v>47.081633547905106</v>
      </c>
      <c r="AD759" s="6" t="str">
        <f t="shared" si="190"/>
        <v>Cumple</v>
      </c>
      <c r="AE759" s="6"/>
      <c r="AH759" s="3"/>
    </row>
    <row r="760" spans="1:43" ht="15" customHeight="1" x14ac:dyDescent="0.3">
      <c r="A760" s="13"/>
      <c r="B760" s="1">
        <v>9</v>
      </c>
      <c r="C760" s="1">
        <v>153</v>
      </c>
      <c r="D760" s="1">
        <v>0</v>
      </c>
      <c r="E760" s="5">
        <v>1</v>
      </c>
      <c r="F760" s="3">
        <f t="shared" si="200"/>
        <v>9</v>
      </c>
      <c r="G760" s="5">
        <v>2</v>
      </c>
      <c r="H760" s="3">
        <f t="shared" si="173"/>
        <v>3.1415926535897931</v>
      </c>
      <c r="I760" s="4">
        <v>4.5516000000000001E-2</v>
      </c>
      <c r="K760" s="3">
        <v>181.98539815834124</v>
      </c>
      <c r="L760" s="3">
        <v>123.2924</v>
      </c>
      <c r="M760" s="3">
        <v>1183.0131200000001</v>
      </c>
      <c r="N760" s="12">
        <f t="shared" si="187"/>
        <v>1.4488192779541416E-2</v>
      </c>
      <c r="O760" s="11">
        <f t="shared" si="188"/>
        <v>455.16</v>
      </c>
      <c r="P760" s="1">
        <v>10</v>
      </c>
      <c r="Q760" s="1">
        <v>1</v>
      </c>
      <c r="R760" s="3">
        <f>Q760*VLOOKUP(P760,[4]Datos!$A$2:$D$14,2)</f>
        <v>8.19</v>
      </c>
      <c r="S760" s="10">
        <f t="shared" si="174"/>
        <v>56</v>
      </c>
      <c r="T760" s="2">
        <v>56</v>
      </c>
      <c r="U760" s="3">
        <f t="shared" si="175"/>
        <v>0.1</v>
      </c>
      <c r="V760" s="3"/>
      <c r="W760" s="1">
        <v>280</v>
      </c>
      <c r="X760" s="9">
        <v>2</v>
      </c>
      <c r="Y760" s="1">
        <v>4</v>
      </c>
      <c r="Z760" s="3">
        <f>X760*VLOOKUP(Y760,[4]Datos!$A$2:$D$14,2)</f>
        <v>2.58</v>
      </c>
      <c r="AA760" s="8">
        <v>0.3</v>
      </c>
      <c r="AB760" s="7">
        <f t="shared" si="189"/>
        <v>207.09423574274689</v>
      </c>
      <c r="AC760" s="7">
        <f t="shared" si="176"/>
        <v>47.081633547905106</v>
      </c>
      <c r="AD760" s="6" t="str">
        <f t="shared" si="190"/>
        <v>Cumple</v>
      </c>
      <c r="AE760" s="6"/>
      <c r="AH760" s="3"/>
    </row>
    <row r="761" spans="1:43" ht="15" customHeight="1" x14ac:dyDescent="0.3">
      <c r="A761" s="13"/>
      <c r="B761" s="1">
        <v>10</v>
      </c>
      <c r="C761" s="1">
        <v>155</v>
      </c>
      <c r="D761" s="1">
        <v>0</v>
      </c>
      <c r="E761" s="5">
        <v>1</v>
      </c>
      <c r="F761" s="3">
        <f t="shared" si="200"/>
        <v>10</v>
      </c>
      <c r="G761" s="5">
        <v>2</v>
      </c>
      <c r="H761" s="3">
        <f t="shared" si="173"/>
        <v>3.1415926535897931</v>
      </c>
      <c r="I761" s="4">
        <v>4.9288999999999999E-2</v>
      </c>
      <c r="K761" s="3">
        <v>181.98549491017135</v>
      </c>
      <c r="L761" s="3">
        <v>104.02338</v>
      </c>
      <c r="M761" s="3">
        <v>1285.6756800000001</v>
      </c>
      <c r="N761" s="12">
        <f t="shared" si="187"/>
        <v>1.5689175980112859E-2</v>
      </c>
      <c r="O761" s="11">
        <f t="shared" si="188"/>
        <v>492.89</v>
      </c>
      <c r="P761" s="1">
        <v>10</v>
      </c>
      <c r="Q761" s="15">
        <v>1</v>
      </c>
      <c r="R761" s="3">
        <f>Q761*VLOOKUP(P761,[4]Datos!$A$2:$D$14,2)</f>
        <v>8.19</v>
      </c>
      <c r="S761" s="10">
        <f t="shared" si="174"/>
        <v>61</v>
      </c>
      <c r="T761" s="14">
        <v>77</v>
      </c>
      <c r="U761" s="3">
        <f t="shared" si="175"/>
        <v>7.0000000000000007E-2</v>
      </c>
      <c r="V761" s="3"/>
      <c r="W761" s="1">
        <v>280</v>
      </c>
      <c r="X761" s="9">
        <v>2</v>
      </c>
      <c r="Y761" s="1">
        <v>4</v>
      </c>
      <c r="Z761" s="3">
        <f>X761*VLOOKUP(Y761,[4]Datos!$A$2:$D$14,2)</f>
        <v>2.58</v>
      </c>
      <c r="AA761" s="8">
        <v>0.3</v>
      </c>
      <c r="AB761" s="7">
        <f t="shared" si="189"/>
        <v>207.09423574274689</v>
      </c>
      <c r="AC761" s="7">
        <f t="shared" si="176"/>
        <v>47.081633547905106</v>
      </c>
      <c r="AD761" s="6" t="str">
        <f t="shared" si="190"/>
        <v>Cumple</v>
      </c>
      <c r="AE761" s="6"/>
      <c r="AH761" s="3"/>
    </row>
    <row r="762" spans="1:43" ht="15" customHeight="1" x14ac:dyDescent="0.3">
      <c r="A762" s="13"/>
      <c r="B762" s="1">
        <v>11</v>
      </c>
      <c r="C762" s="1">
        <v>157</v>
      </c>
      <c r="D762" s="1">
        <v>0</v>
      </c>
      <c r="E762" s="5">
        <v>1</v>
      </c>
      <c r="F762" s="3">
        <f t="shared" si="200"/>
        <v>11</v>
      </c>
      <c r="G762" s="5">
        <v>2</v>
      </c>
      <c r="H762" s="3">
        <f t="shared" si="173"/>
        <v>3.1415926535897931</v>
      </c>
      <c r="I762" s="4">
        <v>5.2500999999999999E-2</v>
      </c>
      <c r="K762" s="3">
        <v>181.98559166200494</v>
      </c>
      <c r="L762" s="3">
        <v>124.37430999999999</v>
      </c>
      <c r="M762" s="3">
        <v>1388.3450700000001</v>
      </c>
      <c r="N762" s="12">
        <f t="shared" si="187"/>
        <v>1.6711587334535195E-2</v>
      </c>
      <c r="O762" s="11">
        <f t="shared" si="188"/>
        <v>525.01</v>
      </c>
      <c r="P762" s="1">
        <v>10</v>
      </c>
      <c r="Q762" s="15">
        <v>1</v>
      </c>
      <c r="R762" s="3">
        <f>Q762*VLOOKUP(P762,[4]Datos!$A$2:$D$14,2)</f>
        <v>8.19</v>
      </c>
      <c r="S762" s="10">
        <f t="shared" si="174"/>
        <v>65</v>
      </c>
      <c r="T762" s="14">
        <v>77</v>
      </c>
      <c r="U762" s="3">
        <f t="shared" si="175"/>
        <v>7.0000000000000007E-2</v>
      </c>
      <c r="V762" s="3"/>
      <c r="W762" s="1">
        <v>280</v>
      </c>
      <c r="X762" s="9">
        <v>2</v>
      </c>
      <c r="Y762" s="1">
        <v>6</v>
      </c>
      <c r="Z762" s="3">
        <f>X762*VLOOKUP(Y762,[4]Datos!$A$2:$D$14,2)</f>
        <v>5.68</v>
      </c>
      <c r="AA762" s="8">
        <v>7.4999999999999997E-2</v>
      </c>
      <c r="AB762" s="7">
        <f t="shared" si="189"/>
        <v>207.09423574274689</v>
      </c>
      <c r="AC762" s="7">
        <f t="shared" si="176"/>
        <v>414.61035434434268</v>
      </c>
      <c r="AD762" s="6" t="str">
        <f t="shared" si="190"/>
        <v>Cumple</v>
      </c>
      <c r="AE762" s="6"/>
      <c r="AF762" s="5">
        <v>12</v>
      </c>
      <c r="AG762" s="7">
        <f t="shared" ref="AG762:AG763" si="201">ROUNDUP(MAX(0.45,G762,AF762/6),0)</f>
        <v>2</v>
      </c>
      <c r="AH762" s="3">
        <f t="shared" ref="AH762:AH769" si="202">PI()*(G762-0.15)^2/4</f>
        <v>2.6880252142277672</v>
      </c>
      <c r="AI762" s="7">
        <f>G762-0.15-VLOOKUP(Y762,[4]Datos!$A$2:$D$14,3)/100</f>
        <v>1.8309000000000002</v>
      </c>
      <c r="AJ762" s="7">
        <f t="shared" ref="AJ762:AJ769" si="203">SQRT((PI()*AI762)^2+AA762^2)</f>
        <v>5.7524309339691264</v>
      </c>
      <c r="AK762" s="1">
        <v>0.12</v>
      </c>
      <c r="AL762" s="16">
        <f t="shared" ref="AL762:AL769" si="204">MAX(0.45*(H762/AH762-1),AK762)*(W762/4220)</f>
        <v>7.9620853080568724E-3</v>
      </c>
      <c r="AM762" s="7">
        <f t="shared" ref="AM762:AM769" si="205">AG762*(AJ762/AA762)</f>
        <v>153.39815823917672</v>
      </c>
      <c r="AN762" s="17">
        <f t="shared" ref="AN762:AN769" si="206">AM762*Z762/X762/10000</f>
        <v>4.3565076939926187E-2</v>
      </c>
      <c r="AO762" s="17">
        <f t="shared" ref="AO762:AO769" si="207">AH762*AG762</f>
        <v>5.3760504284555344</v>
      </c>
      <c r="AP762" s="16">
        <f t="shared" ref="AP762:AP769" si="208">AN762/AO762</f>
        <v>8.1035469290495175E-3</v>
      </c>
      <c r="AQ762" s="6" t="str">
        <f t="shared" ref="AQ762:AQ769" si="209">+IF(AP762&gt;AL762,"Cumple","No Cumple")</f>
        <v>Cumple</v>
      </c>
    </row>
    <row r="763" spans="1:43" ht="15" customHeight="1" x14ac:dyDescent="0.3">
      <c r="A763" s="13"/>
      <c r="B763" s="1">
        <v>12</v>
      </c>
      <c r="C763" s="1">
        <v>159</v>
      </c>
      <c r="D763" s="1">
        <v>0</v>
      </c>
      <c r="E763" s="5">
        <v>1</v>
      </c>
      <c r="F763" s="3">
        <f t="shared" si="200"/>
        <v>12</v>
      </c>
      <c r="G763" s="5">
        <v>2</v>
      </c>
      <c r="H763" s="3">
        <f t="shared" si="173"/>
        <v>3.1415926535897931</v>
      </c>
      <c r="I763" s="4">
        <v>5.5238000000000002E-2</v>
      </c>
      <c r="K763" s="3">
        <v>181.98568841384204</v>
      </c>
      <c r="L763" s="3">
        <v>166.36838</v>
      </c>
      <c r="M763" s="3">
        <v>1490.97522</v>
      </c>
      <c r="N763" s="12">
        <f t="shared" si="187"/>
        <v>1.7582801493020231E-2</v>
      </c>
      <c r="O763" s="11">
        <f t="shared" si="188"/>
        <v>552.38</v>
      </c>
      <c r="P763" s="1">
        <v>10</v>
      </c>
      <c r="Q763" s="15">
        <v>1</v>
      </c>
      <c r="R763" s="3">
        <f>Q763*VLOOKUP(P763,[4]Datos!$A$2:$D$14,2)</f>
        <v>8.19</v>
      </c>
      <c r="S763" s="10">
        <f t="shared" si="174"/>
        <v>68</v>
      </c>
      <c r="T763" s="14">
        <v>77</v>
      </c>
      <c r="U763" s="3">
        <f t="shared" si="175"/>
        <v>7.0000000000000007E-2</v>
      </c>
      <c r="V763" s="3"/>
      <c r="W763" s="1">
        <v>280</v>
      </c>
      <c r="X763" s="9">
        <v>2</v>
      </c>
      <c r="Y763" s="1">
        <v>6</v>
      </c>
      <c r="Z763" s="3">
        <f>X763*VLOOKUP(Y763,[4]Datos!$A$2:$D$14,2)</f>
        <v>5.68</v>
      </c>
      <c r="AA763" s="8">
        <v>7.4999999999999997E-2</v>
      </c>
      <c r="AB763" s="7">
        <f t="shared" si="189"/>
        <v>207.09423574274689</v>
      </c>
      <c r="AC763" s="7">
        <f t="shared" si="176"/>
        <v>414.61035434434268</v>
      </c>
      <c r="AD763" s="6" t="str">
        <f t="shared" si="190"/>
        <v>Cumple</v>
      </c>
      <c r="AE763" s="6"/>
      <c r="AF763" s="5">
        <v>12</v>
      </c>
      <c r="AG763" s="7">
        <f t="shared" si="201"/>
        <v>2</v>
      </c>
      <c r="AH763" s="3">
        <f t="shared" si="202"/>
        <v>2.6880252142277672</v>
      </c>
      <c r="AI763" s="7">
        <f>G763-0.15-VLOOKUP(Y763,[4]Datos!$A$2:$D$14,3)/100</f>
        <v>1.8309000000000002</v>
      </c>
      <c r="AJ763" s="7">
        <f t="shared" si="203"/>
        <v>5.7524309339691264</v>
      </c>
      <c r="AK763" s="1">
        <v>0.12</v>
      </c>
      <c r="AL763" s="16">
        <f t="shared" si="204"/>
        <v>7.9620853080568724E-3</v>
      </c>
      <c r="AM763" s="7">
        <f t="shared" si="205"/>
        <v>153.39815823917672</v>
      </c>
      <c r="AN763" s="17">
        <f t="shared" si="206"/>
        <v>4.3565076939926187E-2</v>
      </c>
      <c r="AO763" s="17">
        <f t="shared" si="207"/>
        <v>5.3760504284555344</v>
      </c>
      <c r="AP763" s="16">
        <f t="shared" si="208"/>
        <v>8.1035469290495175E-3</v>
      </c>
      <c r="AQ763" s="6" t="str">
        <f t="shared" si="209"/>
        <v>Cumple</v>
      </c>
    </row>
    <row r="764" spans="1:43" ht="15" customHeight="1" x14ac:dyDescent="0.3">
      <c r="A764" s="13"/>
      <c r="B764" s="1">
        <v>13</v>
      </c>
      <c r="C764" s="1">
        <v>375</v>
      </c>
      <c r="D764" s="1">
        <v>1</v>
      </c>
      <c r="E764" s="5">
        <v>1</v>
      </c>
      <c r="F764" s="3">
        <f t="shared" si="200"/>
        <v>13</v>
      </c>
      <c r="G764" s="5">
        <v>2</v>
      </c>
      <c r="H764" s="3">
        <f t="shared" si="173"/>
        <v>3.1415926535897931</v>
      </c>
      <c r="I764" s="4">
        <v>0.118216</v>
      </c>
      <c r="K764" s="3">
        <v>182.03347886971233</v>
      </c>
      <c r="L764" s="3">
        <v>400.02945999999997</v>
      </c>
      <c r="M764" s="3">
        <v>2759.0118499999999</v>
      </c>
      <c r="N764" s="12">
        <f t="shared" si="187"/>
        <v>3.7629321505103001E-2</v>
      </c>
      <c r="O764" s="11">
        <f t="shared" si="188"/>
        <v>1182.1600000000001</v>
      </c>
      <c r="P764" s="1">
        <v>10</v>
      </c>
      <c r="Q764" s="15">
        <v>2</v>
      </c>
      <c r="R764" s="3">
        <f>Q764*VLOOKUP(P764,[4]Datos!$A$2:$D$14,2)</f>
        <v>16.38</v>
      </c>
      <c r="S764" s="10">
        <f t="shared" si="174"/>
        <v>73</v>
      </c>
      <c r="T764" s="14">
        <v>77</v>
      </c>
      <c r="U764" s="3">
        <f t="shared" si="175"/>
        <v>7.0000000000000007E-2</v>
      </c>
      <c r="V764" s="3"/>
      <c r="W764" s="1">
        <v>280</v>
      </c>
      <c r="X764" s="9">
        <v>2</v>
      </c>
      <c r="Y764" s="1">
        <v>6</v>
      </c>
      <c r="Z764" s="3">
        <f>X764*VLOOKUP(Y764,[4]Datos!$A$2:$D$14,2)</f>
        <v>5.68</v>
      </c>
      <c r="AA764" s="8">
        <v>7.4999999999999997E-2</v>
      </c>
      <c r="AB764" s="7">
        <f t="shared" si="189"/>
        <v>115.05235319041492</v>
      </c>
      <c r="AC764" s="7">
        <f t="shared" si="176"/>
        <v>414.61035434434268</v>
      </c>
      <c r="AD764" s="6" t="str">
        <f t="shared" si="190"/>
        <v>Cumple</v>
      </c>
      <c r="AE764" s="6"/>
      <c r="AG764" s="7">
        <f t="shared" ref="AG764:AG769" si="210">ROUNDUP(MAX(0.45,3*G764,),0)</f>
        <v>6</v>
      </c>
      <c r="AH764" s="3">
        <f t="shared" si="202"/>
        <v>2.6880252142277672</v>
      </c>
      <c r="AI764" s="7">
        <f>G764-0.15-VLOOKUP(Y764,[4]Datos!$A$2:$D$14,3)/100</f>
        <v>1.8309000000000002</v>
      </c>
      <c r="AJ764" s="7">
        <f t="shared" si="203"/>
        <v>5.7524309339691264</v>
      </c>
      <c r="AK764" s="1">
        <v>0.12</v>
      </c>
      <c r="AL764" s="16">
        <f t="shared" si="204"/>
        <v>7.9620853080568724E-3</v>
      </c>
      <c r="AM764" s="7">
        <f t="shared" si="205"/>
        <v>460.19447471753017</v>
      </c>
      <c r="AN764" s="17">
        <f t="shared" si="206"/>
        <v>0.13069523081977857</v>
      </c>
      <c r="AO764" s="17">
        <f t="shared" si="207"/>
        <v>16.128151285366602</v>
      </c>
      <c r="AP764" s="16">
        <f t="shared" si="208"/>
        <v>8.1035469290495193E-3</v>
      </c>
      <c r="AQ764" s="6" t="str">
        <f t="shared" si="209"/>
        <v>Cumple</v>
      </c>
    </row>
    <row r="765" spans="1:43" ht="15" customHeight="1" x14ac:dyDescent="0.3">
      <c r="A765" s="13"/>
      <c r="B765" s="1">
        <v>14</v>
      </c>
      <c r="C765" s="1">
        <v>377</v>
      </c>
      <c r="D765" s="1">
        <v>1</v>
      </c>
      <c r="E765" s="5">
        <v>1</v>
      </c>
      <c r="F765" s="3">
        <f t="shared" si="200"/>
        <v>14</v>
      </c>
      <c r="G765" s="5">
        <v>2</v>
      </c>
      <c r="H765" s="3">
        <f t="shared" si="173"/>
        <v>3.1415926535897931</v>
      </c>
      <c r="I765" s="4">
        <v>0.12371500000000001</v>
      </c>
      <c r="K765" s="3">
        <v>129.72540655538529</v>
      </c>
      <c r="L765" s="3">
        <v>486.34096</v>
      </c>
      <c r="M765" s="3">
        <v>2884.4792299999999</v>
      </c>
      <c r="N765" s="12">
        <f t="shared" si="187"/>
        <v>3.9379707569227665E-2</v>
      </c>
      <c r="O765" s="11">
        <f t="shared" si="188"/>
        <v>1237.1500000000001</v>
      </c>
      <c r="P765" s="1">
        <v>10</v>
      </c>
      <c r="Q765" s="15">
        <v>2</v>
      </c>
      <c r="R765" s="3">
        <f>Q765*VLOOKUP(P765,[4]Datos!$A$2:$D$14,2)</f>
        <v>16.38</v>
      </c>
      <c r="S765" s="10">
        <f t="shared" si="174"/>
        <v>76</v>
      </c>
      <c r="T765" s="14">
        <v>77</v>
      </c>
      <c r="U765" s="3">
        <f t="shared" si="175"/>
        <v>7.0000000000000007E-2</v>
      </c>
      <c r="V765" s="3"/>
      <c r="W765" s="1">
        <v>280</v>
      </c>
      <c r="X765" s="9">
        <v>2</v>
      </c>
      <c r="Y765" s="1">
        <v>6</v>
      </c>
      <c r="Z765" s="3">
        <f>X765*VLOOKUP(Y765,[4]Datos!$A$2:$D$14,2)</f>
        <v>5.68</v>
      </c>
      <c r="AA765" s="8">
        <v>7.4999999999999997E-2</v>
      </c>
      <c r="AB765" s="7">
        <f t="shared" si="189"/>
        <v>115.05235319041492</v>
      </c>
      <c r="AC765" s="7">
        <f t="shared" si="176"/>
        <v>414.61035434434268</v>
      </c>
      <c r="AD765" s="6" t="str">
        <f t="shared" si="190"/>
        <v>Cumple</v>
      </c>
      <c r="AE765" s="6"/>
      <c r="AG765" s="7">
        <f t="shared" si="210"/>
        <v>6</v>
      </c>
      <c r="AH765" s="3">
        <f t="shared" si="202"/>
        <v>2.6880252142277672</v>
      </c>
      <c r="AI765" s="7">
        <f>G765-0.15-VLOOKUP(Y765,[4]Datos!$A$2:$D$14,3)/100</f>
        <v>1.8309000000000002</v>
      </c>
      <c r="AJ765" s="7">
        <f t="shared" si="203"/>
        <v>5.7524309339691264</v>
      </c>
      <c r="AK765" s="1">
        <v>0.12</v>
      </c>
      <c r="AL765" s="16">
        <f t="shared" si="204"/>
        <v>7.9620853080568724E-3</v>
      </c>
      <c r="AM765" s="7">
        <f t="shared" si="205"/>
        <v>460.19447471753017</v>
      </c>
      <c r="AN765" s="17">
        <f t="shared" si="206"/>
        <v>0.13069523081977857</v>
      </c>
      <c r="AO765" s="17">
        <f t="shared" si="207"/>
        <v>16.128151285366602</v>
      </c>
      <c r="AP765" s="16">
        <f t="shared" si="208"/>
        <v>8.1035469290495193E-3</v>
      </c>
      <c r="AQ765" s="6" t="str">
        <f t="shared" si="209"/>
        <v>Cumple</v>
      </c>
    </row>
    <row r="766" spans="1:43" ht="15" customHeight="1" x14ac:dyDescent="0.3">
      <c r="A766" s="13"/>
      <c r="B766" s="1">
        <v>15</v>
      </c>
      <c r="C766" s="1">
        <v>379</v>
      </c>
      <c r="D766" s="1">
        <v>1</v>
      </c>
      <c r="E766" s="5">
        <v>1</v>
      </c>
      <c r="F766" s="3">
        <f t="shared" si="200"/>
        <v>15</v>
      </c>
      <c r="G766" s="5">
        <v>2</v>
      </c>
      <c r="H766" s="3">
        <f t="shared" si="173"/>
        <v>3.1415926535897931</v>
      </c>
      <c r="I766" s="4">
        <v>0.125444</v>
      </c>
      <c r="K766" s="3">
        <v>72.790070254946187</v>
      </c>
      <c r="L766" s="3">
        <v>550.53202999999996</v>
      </c>
      <c r="M766" s="3">
        <v>2927.7732999999998</v>
      </c>
      <c r="N766" s="12">
        <f t="shared" si="187"/>
        <v>3.993006536243944E-2</v>
      </c>
      <c r="O766" s="11">
        <f t="shared" si="188"/>
        <v>1254.44</v>
      </c>
      <c r="P766" s="1">
        <v>10</v>
      </c>
      <c r="Q766" s="15">
        <v>2</v>
      </c>
      <c r="R766" s="3">
        <f>Q766*VLOOKUP(P766,[4]Datos!$A$2:$D$14,2)</f>
        <v>16.38</v>
      </c>
      <c r="S766" s="10">
        <f t="shared" si="174"/>
        <v>77</v>
      </c>
      <c r="T766" s="14">
        <v>77</v>
      </c>
      <c r="U766" s="3">
        <f t="shared" si="175"/>
        <v>7.0000000000000007E-2</v>
      </c>
      <c r="V766" s="3"/>
      <c r="W766" s="1">
        <v>280</v>
      </c>
      <c r="X766" s="9">
        <v>2</v>
      </c>
      <c r="Y766" s="1">
        <v>6</v>
      </c>
      <c r="Z766" s="3">
        <f>X766*VLOOKUP(Y766,[4]Datos!$A$2:$D$14,2)</f>
        <v>5.68</v>
      </c>
      <c r="AA766" s="8">
        <v>7.4999999999999997E-2</v>
      </c>
      <c r="AB766" s="7">
        <f t="shared" si="189"/>
        <v>115.05235319041492</v>
      </c>
      <c r="AC766" s="7">
        <f t="shared" si="176"/>
        <v>414.61035434434268</v>
      </c>
      <c r="AD766" s="6" t="str">
        <f t="shared" si="190"/>
        <v>Cumple</v>
      </c>
      <c r="AE766" s="6"/>
      <c r="AG766" s="7">
        <f t="shared" si="210"/>
        <v>6</v>
      </c>
      <c r="AH766" s="3">
        <f t="shared" si="202"/>
        <v>2.6880252142277672</v>
      </c>
      <c r="AI766" s="7">
        <f>G766-0.15-VLOOKUP(Y766,[4]Datos!$A$2:$D$14,3)/100</f>
        <v>1.8309000000000002</v>
      </c>
      <c r="AJ766" s="7">
        <f t="shared" si="203"/>
        <v>5.7524309339691264</v>
      </c>
      <c r="AK766" s="1">
        <v>0.12</v>
      </c>
      <c r="AL766" s="16">
        <f t="shared" si="204"/>
        <v>7.9620853080568724E-3</v>
      </c>
      <c r="AM766" s="7">
        <f t="shared" si="205"/>
        <v>460.19447471753017</v>
      </c>
      <c r="AN766" s="17">
        <f t="shared" si="206"/>
        <v>0.13069523081977857</v>
      </c>
      <c r="AO766" s="17">
        <f t="shared" si="207"/>
        <v>16.128151285366602</v>
      </c>
      <c r="AP766" s="16">
        <f t="shared" si="208"/>
        <v>8.1035469290495193E-3</v>
      </c>
      <c r="AQ766" s="6" t="str">
        <f t="shared" si="209"/>
        <v>Cumple</v>
      </c>
    </row>
    <row r="767" spans="1:43" ht="15" customHeight="1" x14ac:dyDescent="0.3">
      <c r="A767" s="13"/>
      <c r="B767" s="1">
        <v>16</v>
      </c>
      <c r="C767" s="1">
        <v>381</v>
      </c>
      <c r="D767" s="1">
        <v>1</v>
      </c>
      <c r="E767" s="5">
        <v>1</v>
      </c>
      <c r="F767" s="3">
        <f t="shared" si="200"/>
        <v>16</v>
      </c>
      <c r="G767" s="5">
        <v>2</v>
      </c>
      <c r="H767" s="3">
        <f t="shared" si="173"/>
        <v>3.1415926535897931</v>
      </c>
      <c r="I767" s="4">
        <v>0.125443</v>
      </c>
      <c r="K767" s="3">
        <v>56.20809719257538</v>
      </c>
      <c r="L767" s="3">
        <v>587.81244000000004</v>
      </c>
      <c r="M767" s="3">
        <v>2927.7732999999998</v>
      </c>
      <c r="N767" s="12">
        <f t="shared" si="187"/>
        <v>3.9929747052553255E-2</v>
      </c>
      <c r="O767" s="11">
        <f t="shared" si="188"/>
        <v>1254.43</v>
      </c>
      <c r="P767" s="1">
        <v>10</v>
      </c>
      <c r="Q767" s="15">
        <v>2</v>
      </c>
      <c r="R767" s="3">
        <f>Q767*VLOOKUP(P767,[4]Datos!$A$2:$D$14,2)</f>
        <v>16.38</v>
      </c>
      <c r="S767" s="10">
        <f t="shared" si="174"/>
        <v>77</v>
      </c>
      <c r="T767" s="14">
        <v>77</v>
      </c>
      <c r="U767" s="3">
        <f t="shared" si="175"/>
        <v>7.0000000000000007E-2</v>
      </c>
      <c r="V767" s="3"/>
      <c r="W767" s="1">
        <v>280</v>
      </c>
      <c r="X767" s="9">
        <v>2</v>
      </c>
      <c r="Y767" s="1">
        <v>6</v>
      </c>
      <c r="Z767" s="3">
        <f>X767*VLOOKUP(Y767,[4]Datos!$A$2:$D$14,2)</f>
        <v>5.68</v>
      </c>
      <c r="AA767" s="8">
        <v>7.4999999999999997E-2</v>
      </c>
      <c r="AB767" s="7">
        <f t="shared" si="189"/>
        <v>115.05235319041492</v>
      </c>
      <c r="AC767" s="7">
        <f t="shared" si="176"/>
        <v>414.61035434434268</v>
      </c>
      <c r="AD767" s="6" t="str">
        <f t="shared" si="190"/>
        <v>Cumple</v>
      </c>
      <c r="AE767" s="6"/>
      <c r="AG767" s="7">
        <f t="shared" si="210"/>
        <v>6</v>
      </c>
      <c r="AH767" s="3">
        <f t="shared" si="202"/>
        <v>2.6880252142277672</v>
      </c>
      <c r="AI767" s="7">
        <f>G767-0.15-VLOOKUP(Y767,[4]Datos!$A$2:$D$14,3)/100</f>
        <v>1.8309000000000002</v>
      </c>
      <c r="AJ767" s="7">
        <f t="shared" si="203"/>
        <v>5.7524309339691264</v>
      </c>
      <c r="AK767" s="1">
        <v>0.12</v>
      </c>
      <c r="AL767" s="16">
        <f t="shared" si="204"/>
        <v>7.9620853080568724E-3</v>
      </c>
      <c r="AM767" s="7">
        <f t="shared" si="205"/>
        <v>460.19447471753017</v>
      </c>
      <c r="AN767" s="17">
        <f t="shared" si="206"/>
        <v>0.13069523081977857</v>
      </c>
      <c r="AO767" s="17">
        <f t="shared" si="207"/>
        <v>16.128151285366602</v>
      </c>
      <c r="AP767" s="16">
        <f t="shared" si="208"/>
        <v>8.1035469290495193E-3</v>
      </c>
      <c r="AQ767" s="6" t="str">
        <f t="shared" si="209"/>
        <v>Cumple</v>
      </c>
    </row>
    <row r="768" spans="1:43" ht="15" customHeight="1" x14ac:dyDescent="0.3">
      <c r="A768" s="13"/>
      <c r="B768" s="1">
        <v>17</v>
      </c>
      <c r="C768" s="1">
        <v>383</v>
      </c>
      <c r="D768" s="1">
        <v>1</v>
      </c>
      <c r="E768" s="5">
        <v>1</v>
      </c>
      <c r="F768" s="3">
        <f t="shared" si="200"/>
        <v>17</v>
      </c>
      <c r="G768" s="5">
        <v>2</v>
      </c>
      <c r="H768" s="3">
        <f t="shared" si="173"/>
        <v>3.1415926535897931</v>
      </c>
      <c r="I768" s="4">
        <v>0.123238</v>
      </c>
      <c r="K768" s="3">
        <v>142.31809237647897</v>
      </c>
      <c r="L768" s="3">
        <v>597.34126000000003</v>
      </c>
      <c r="M768" s="3">
        <v>2877.99568</v>
      </c>
      <c r="N768" s="12">
        <f t="shared" si="187"/>
        <v>3.9227873753517994E-2</v>
      </c>
      <c r="O768" s="11">
        <f t="shared" si="188"/>
        <v>1232.3800000000001</v>
      </c>
      <c r="P768" s="1">
        <v>10</v>
      </c>
      <c r="Q768" s="15">
        <v>2</v>
      </c>
      <c r="R768" s="3">
        <f>Q768*VLOOKUP(P768,[4]Datos!$A$2:$D$14,2)</f>
        <v>16.38</v>
      </c>
      <c r="S768" s="10">
        <f t="shared" si="174"/>
        <v>76</v>
      </c>
      <c r="T768" s="14">
        <v>77</v>
      </c>
      <c r="U768" s="3">
        <f t="shared" si="175"/>
        <v>7.0000000000000007E-2</v>
      </c>
      <c r="V768" s="3"/>
      <c r="W768" s="1">
        <v>280</v>
      </c>
      <c r="X768" s="9">
        <v>2</v>
      </c>
      <c r="Y768" s="1">
        <v>6</v>
      </c>
      <c r="Z768" s="3">
        <f>X768*VLOOKUP(Y768,[4]Datos!$A$2:$D$14,2)</f>
        <v>5.68</v>
      </c>
      <c r="AA768" s="8">
        <v>7.4999999999999997E-2</v>
      </c>
      <c r="AB768" s="7">
        <f t="shared" si="189"/>
        <v>115.05235319041492</v>
      </c>
      <c r="AC768" s="7">
        <f t="shared" si="176"/>
        <v>414.61035434434268</v>
      </c>
      <c r="AD768" s="6" t="str">
        <f t="shared" si="190"/>
        <v>Cumple</v>
      </c>
      <c r="AE768" s="6"/>
      <c r="AG768" s="7">
        <f t="shared" si="210"/>
        <v>6</v>
      </c>
      <c r="AH768" s="3">
        <f t="shared" si="202"/>
        <v>2.6880252142277672</v>
      </c>
      <c r="AI768" s="7">
        <f>G768-0.15-VLOOKUP(Y768,[4]Datos!$A$2:$D$14,3)/100</f>
        <v>1.8309000000000002</v>
      </c>
      <c r="AJ768" s="7">
        <f t="shared" si="203"/>
        <v>5.7524309339691264</v>
      </c>
      <c r="AK768" s="1">
        <v>0.12</v>
      </c>
      <c r="AL768" s="16">
        <f t="shared" si="204"/>
        <v>7.9620853080568724E-3</v>
      </c>
      <c r="AM768" s="7">
        <f t="shared" si="205"/>
        <v>460.19447471753017</v>
      </c>
      <c r="AN768" s="17">
        <f t="shared" si="206"/>
        <v>0.13069523081977857</v>
      </c>
      <c r="AO768" s="17">
        <f t="shared" si="207"/>
        <v>16.128151285366602</v>
      </c>
      <c r="AP768" s="16">
        <f t="shared" si="208"/>
        <v>8.1035469290495193E-3</v>
      </c>
      <c r="AQ768" s="6" t="str">
        <f t="shared" si="209"/>
        <v>Cumple</v>
      </c>
    </row>
    <row r="769" spans="1:43" ht="15" customHeight="1" x14ac:dyDescent="0.3">
      <c r="A769" s="13"/>
      <c r="B769" s="1">
        <v>18</v>
      </c>
      <c r="C769" s="1">
        <v>385</v>
      </c>
      <c r="D769" s="1">
        <v>1</v>
      </c>
      <c r="E769" s="5">
        <v>1</v>
      </c>
      <c r="F769" s="3">
        <f t="shared" si="200"/>
        <v>18</v>
      </c>
      <c r="G769" s="5">
        <v>2</v>
      </c>
      <c r="H769" s="3">
        <f t="shared" si="173"/>
        <v>3.1415926535897931</v>
      </c>
      <c r="I769" s="4">
        <v>0.1168</v>
      </c>
      <c r="K769" s="3">
        <v>218.50849461391655</v>
      </c>
      <c r="L769" s="3">
        <v>597.34126000000003</v>
      </c>
      <c r="M769" s="3">
        <v>2738.45111</v>
      </c>
      <c r="N769" s="12">
        <f t="shared" si="187"/>
        <v>3.7178594706266749E-2</v>
      </c>
      <c r="O769" s="11">
        <f t="shared" si="188"/>
        <v>1168</v>
      </c>
      <c r="P769" s="1">
        <v>10</v>
      </c>
      <c r="Q769" s="15">
        <v>2</v>
      </c>
      <c r="R769" s="3">
        <f>Q769*VLOOKUP(P769,[4]Datos!$A$2:$D$14,2)</f>
        <v>16.38</v>
      </c>
      <c r="S769" s="10">
        <f t="shared" si="174"/>
        <v>72</v>
      </c>
      <c r="T769" s="14">
        <v>77</v>
      </c>
      <c r="U769" s="3">
        <f t="shared" si="175"/>
        <v>7.0000000000000007E-2</v>
      </c>
      <c r="V769" s="3"/>
      <c r="W769" s="1">
        <v>280</v>
      </c>
      <c r="X769" s="9">
        <v>2</v>
      </c>
      <c r="Y769" s="1">
        <v>6</v>
      </c>
      <c r="Z769" s="3">
        <f>X769*VLOOKUP(Y769,[4]Datos!$A$2:$D$14,2)</f>
        <v>5.68</v>
      </c>
      <c r="AA769" s="8">
        <v>7.4999999999999997E-2</v>
      </c>
      <c r="AB769" s="7">
        <f t="shared" si="189"/>
        <v>115.05235319041492</v>
      </c>
      <c r="AC769" s="7">
        <f t="shared" si="176"/>
        <v>414.61035434434268</v>
      </c>
      <c r="AD769" s="6" t="str">
        <f t="shared" si="190"/>
        <v>Cumple</v>
      </c>
      <c r="AE769" s="6"/>
      <c r="AG769" s="7">
        <f t="shared" si="210"/>
        <v>6</v>
      </c>
      <c r="AH769" s="3">
        <f t="shared" si="202"/>
        <v>2.6880252142277672</v>
      </c>
      <c r="AI769" s="7">
        <f>G769-0.15-VLOOKUP(Y769,[4]Datos!$A$2:$D$14,3)/100</f>
        <v>1.8309000000000002</v>
      </c>
      <c r="AJ769" s="7">
        <f t="shared" si="203"/>
        <v>5.7524309339691264</v>
      </c>
      <c r="AK769" s="1">
        <v>0.12</v>
      </c>
      <c r="AL769" s="16">
        <f t="shared" si="204"/>
        <v>7.9620853080568724E-3</v>
      </c>
      <c r="AM769" s="7">
        <f t="shared" si="205"/>
        <v>460.19447471753017</v>
      </c>
      <c r="AN769" s="17">
        <f t="shared" si="206"/>
        <v>0.13069523081977857</v>
      </c>
      <c r="AO769" s="17">
        <f t="shared" si="207"/>
        <v>16.128151285366602</v>
      </c>
      <c r="AP769" s="16">
        <f t="shared" si="208"/>
        <v>8.1035469290495193E-3</v>
      </c>
      <c r="AQ769" s="6" t="str">
        <f t="shared" si="209"/>
        <v>Cumple</v>
      </c>
    </row>
    <row r="770" spans="1:43" ht="15" customHeight="1" x14ac:dyDescent="0.3">
      <c r="A770" s="13"/>
      <c r="B770" s="1">
        <v>19</v>
      </c>
      <c r="C770" s="1">
        <v>387</v>
      </c>
      <c r="D770" s="1">
        <v>1</v>
      </c>
      <c r="E770" s="5">
        <v>1</v>
      </c>
      <c r="F770" s="3">
        <f t="shared" si="200"/>
        <v>19</v>
      </c>
      <c r="G770" s="5">
        <v>2</v>
      </c>
      <c r="H770" s="3">
        <f t="shared" si="173"/>
        <v>3.1415926535897931</v>
      </c>
      <c r="I770" s="4">
        <v>0.10545300000000001</v>
      </c>
      <c r="K770" s="3">
        <v>276.33345834513057</v>
      </c>
      <c r="L770" s="3">
        <v>581.22254999999996</v>
      </c>
      <c r="M770" s="3">
        <v>2522.3028300000001</v>
      </c>
      <c r="N770" s="12">
        <f t="shared" si="187"/>
        <v>3.3566732427739283E-2</v>
      </c>
      <c r="O770" s="11">
        <f t="shared" si="188"/>
        <v>1054.53</v>
      </c>
      <c r="P770" s="1">
        <v>10</v>
      </c>
      <c r="Q770" s="15">
        <v>2</v>
      </c>
      <c r="R770" s="3">
        <f>Q770*VLOOKUP(P770,[4]Datos!$A$2:$D$14,2)</f>
        <v>16.38</v>
      </c>
      <c r="S770" s="10">
        <f t="shared" si="174"/>
        <v>65</v>
      </c>
      <c r="T770" s="14">
        <v>77</v>
      </c>
      <c r="U770" s="3">
        <f t="shared" si="175"/>
        <v>7.0000000000000007E-2</v>
      </c>
      <c r="V770" s="3"/>
      <c r="W770" s="1">
        <v>280</v>
      </c>
      <c r="X770" s="9">
        <v>2</v>
      </c>
      <c r="Y770" s="1">
        <v>6</v>
      </c>
      <c r="Z770" s="3">
        <f>X770*VLOOKUP(Y770,[4]Datos!$A$2:$D$14,2)</f>
        <v>5.68</v>
      </c>
      <c r="AA770" s="8">
        <v>0.1</v>
      </c>
      <c r="AB770" s="7">
        <f t="shared" si="189"/>
        <v>115.05235319041492</v>
      </c>
      <c r="AC770" s="7">
        <f t="shared" si="176"/>
        <v>310.95776575825693</v>
      </c>
      <c r="AD770" s="6" t="str">
        <f t="shared" si="190"/>
        <v>Cumple</v>
      </c>
      <c r="AE770" s="6"/>
      <c r="AH770" s="3"/>
    </row>
    <row r="771" spans="1:43" ht="15" customHeight="1" x14ac:dyDescent="0.3">
      <c r="A771" s="13"/>
      <c r="B771" s="1">
        <v>20</v>
      </c>
      <c r="C771" s="1">
        <v>389</v>
      </c>
      <c r="D771" s="1">
        <v>1</v>
      </c>
      <c r="E771" s="5">
        <v>1</v>
      </c>
      <c r="F771" s="3">
        <f t="shared" si="200"/>
        <v>20</v>
      </c>
      <c r="G771" s="5">
        <v>2</v>
      </c>
      <c r="H771" s="3">
        <f t="shared" si="173"/>
        <v>3.1415926535897931</v>
      </c>
      <c r="I771" s="4">
        <v>9.1351000000000002E-2</v>
      </c>
      <c r="K771" s="3">
        <v>312.56293618079542</v>
      </c>
      <c r="L771" s="3">
        <v>543.55148999999994</v>
      </c>
      <c r="M771" s="3">
        <v>2248.6147700000001</v>
      </c>
      <c r="N771" s="12">
        <f t="shared" si="187"/>
        <v>2.9077926412775464E-2</v>
      </c>
      <c r="O771" s="11">
        <f t="shared" si="188"/>
        <v>913.51</v>
      </c>
      <c r="P771" s="1">
        <v>10</v>
      </c>
      <c r="Q771" s="15">
        <v>2</v>
      </c>
      <c r="R771" s="3">
        <f>Q771*VLOOKUP(P771,[4]Datos!$A$2:$D$14,2)</f>
        <v>16.38</v>
      </c>
      <c r="S771" s="10">
        <f t="shared" si="174"/>
        <v>56</v>
      </c>
      <c r="T771" s="14">
        <v>77</v>
      </c>
      <c r="U771" s="3">
        <f t="shared" si="175"/>
        <v>7.0000000000000007E-2</v>
      </c>
      <c r="V771" s="3"/>
      <c r="W771" s="1">
        <v>280</v>
      </c>
      <c r="X771" s="9">
        <v>2</v>
      </c>
      <c r="Y771" s="1">
        <v>6</v>
      </c>
      <c r="Z771" s="3">
        <f>X771*VLOOKUP(Y771,[4]Datos!$A$2:$D$14,2)</f>
        <v>5.68</v>
      </c>
      <c r="AA771" s="8">
        <v>0.1</v>
      </c>
      <c r="AB771" s="7">
        <f t="shared" si="189"/>
        <v>115.05235319041492</v>
      </c>
      <c r="AC771" s="7">
        <f t="shared" si="176"/>
        <v>310.95776575825693</v>
      </c>
      <c r="AD771" s="6" t="str">
        <f t="shared" si="190"/>
        <v>Cumple</v>
      </c>
      <c r="AE771" s="6"/>
      <c r="AH771" s="3"/>
    </row>
    <row r="772" spans="1:43" ht="15" customHeight="1" x14ac:dyDescent="0.3">
      <c r="A772" s="13"/>
      <c r="B772" s="1">
        <v>21</v>
      </c>
      <c r="C772" s="1">
        <v>391</v>
      </c>
      <c r="D772" s="1">
        <v>1</v>
      </c>
      <c r="E772" s="5">
        <v>1</v>
      </c>
      <c r="F772" s="3">
        <f t="shared" si="200"/>
        <v>21</v>
      </c>
      <c r="G772" s="5">
        <v>2</v>
      </c>
      <c r="H772" s="3">
        <f t="shared" si="173"/>
        <v>3.1415926535897931</v>
      </c>
      <c r="I772" s="4">
        <v>7.9475000000000004E-2</v>
      </c>
      <c r="K772" s="3">
        <v>327.28088894570362</v>
      </c>
      <c r="L772" s="3">
        <v>489.54903999999999</v>
      </c>
      <c r="M772" s="3">
        <v>1938.9649300000001</v>
      </c>
      <c r="N772" s="12">
        <f t="shared" si="187"/>
        <v>2.5297678204456765E-2</v>
      </c>
      <c r="O772" s="11">
        <f t="shared" si="188"/>
        <v>794.75</v>
      </c>
      <c r="P772" s="1">
        <v>10</v>
      </c>
      <c r="Q772" s="15">
        <v>2</v>
      </c>
      <c r="R772" s="3">
        <f>Q772*VLOOKUP(P772,[4]Datos!$A$2:$D$14,2)</f>
        <v>16.38</v>
      </c>
      <c r="S772" s="10">
        <f t="shared" si="174"/>
        <v>49</v>
      </c>
      <c r="T772" s="14">
        <v>77</v>
      </c>
      <c r="U772" s="3">
        <f t="shared" si="175"/>
        <v>7.0000000000000007E-2</v>
      </c>
      <c r="V772" s="3"/>
      <c r="W772" s="1">
        <v>280</v>
      </c>
      <c r="X772" s="9">
        <v>2</v>
      </c>
      <c r="Y772" s="1">
        <v>6</v>
      </c>
      <c r="Z772" s="3">
        <f>X772*VLOOKUP(Y772,[4]Datos!$A$2:$D$14,2)</f>
        <v>5.68</v>
      </c>
      <c r="AA772" s="8">
        <v>0.1</v>
      </c>
      <c r="AB772" s="7">
        <f t="shared" si="189"/>
        <v>115.05235319041492</v>
      </c>
      <c r="AC772" s="7">
        <f t="shared" si="176"/>
        <v>310.95776575825693</v>
      </c>
      <c r="AD772" s="6" t="str">
        <f t="shared" si="190"/>
        <v>Cumple</v>
      </c>
      <c r="AE772" s="6"/>
      <c r="AH772" s="3"/>
    </row>
    <row r="773" spans="1:43" ht="15" customHeight="1" x14ac:dyDescent="0.3">
      <c r="A773" s="13"/>
      <c r="B773" s="1">
        <v>22</v>
      </c>
      <c r="C773" s="1">
        <v>393</v>
      </c>
      <c r="D773" s="1">
        <v>1</v>
      </c>
      <c r="E773" s="5">
        <v>1</v>
      </c>
      <c r="F773" s="3">
        <f t="shared" si="200"/>
        <v>22</v>
      </c>
      <c r="G773" s="5">
        <v>2</v>
      </c>
      <c r="H773" s="3">
        <f t="shared" si="173"/>
        <v>3.1415926535897931</v>
      </c>
      <c r="I773" s="4">
        <v>6.1802999999999997E-2</v>
      </c>
      <c r="K773" s="3">
        <v>322.61686551291763</v>
      </c>
      <c r="L773" s="3">
        <v>424.82601</v>
      </c>
      <c r="M773" s="3">
        <v>1614.7464</v>
      </c>
      <c r="N773" s="12">
        <f t="shared" si="187"/>
        <v>1.9672505895816813E-2</v>
      </c>
      <c r="O773" s="11">
        <f t="shared" si="188"/>
        <v>618.03</v>
      </c>
      <c r="P773" s="1">
        <v>10</v>
      </c>
      <c r="Q773" s="15">
        <v>1</v>
      </c>
      <c r="R773" s="3">
        <f>Q773*VLOOKUP(P773,[4]Datos!$A$2:$D$14,2)</f>
        <v>8.19</v>
      </c>
      <c r="S773" s="10">
        <f t="shared" si="174"/>
        <v>76</v>
      </c>
      <c r="T773" s="14">
        <v>77</v>
      </c>
      <c r="U773" s="3">
        <f t="shared" si="175"/>
        <v>7.0000000000000007E-2</v>
      </c>
      <c r="V773" s="3"/>
      <c r="W773" s="1">
        <v>280</v>
      </c>
      <c r="X773" s="9">
        <v>2</v>
      </c>
      <c r="Y773" s="1">
        <v>6</v>
      </c>
      <c r="Z773" s="3">
        <f>X773*VLOOKUP(Y773,[4]Datos!$A$2:$D$14,2)</f>
        <v>5.68</v>
      </c>
      <c r="AA773" s="8">
        <v>0.1</v>
      </c>
      <c r="AB773" s="7">
        <f t="shared" si="189"/>
        <v>115.05235319041492</v>
      </c>
      <c r="AC773" s="7">
        <f t="shared" si="176"/>
        <v>310.95776575825693</v>
      </c>
      <c r="AD773" s="6" t="str">
        <f t="shared" si="190"/>
        <v>Cumple</v>
      </c>
      <c r="AE773" s="6"/>
      <c r="AH773" s="3"/>
    </row>
    <row r="774" spans="1:43" ht="15" customHeight="1" x14ac:dyDescent="0.3">
      <c r="A774" s="13"/>
      <c r="B774" s="1">
        <v>23</v>
      </c>
      <c r="C774" s="1">
        <v>395</v>
      </c>
      <c r="D774" s="1">
        <v>1</v>
      </c>
      <c r="E774" s="5">
        <v>1</v>
      </c>
      <c r="F774" s="3">
        <f t="shared" si="200"/>
        <v>23</v>
      </c>
      <c r="G774" s="5">
        <v>2</v>
      </c>
      <c r="H774" s="3">
        <f t="shared" si="173"/>
        <v>3.1415926535897931</v>
      </c>
      <c r="I774" s="4">
        <v>5.1223999999999999E-2</v>
      </c>
      <c r="K774" s="3">
        <v>301.98829712424288</v>
      </c>
      <c r="L774" s="3">
        <v>354.80417999999997</v>
      </c>
      <c r="M774" s="3">
        <v>1295.20029</v>
      </c>
      <c r="N774" s="12">
        <f t="shared" si="187"/>
        <v>1.6305105609878495E-2</v>
      </c>
      <c r="O774" s="11">
        <f t="shared" si="188"/>
        <v>512.24</v>
      </c>
      <c r="P774" s="1">
        <v>10</v>
      </c>
      <c r="Q774" s="15">
        <v>1</v>
      </c>
      <c r="R774" s="3">
        <f>Q774*VLOOKUP(P774,[4]Datos!$A$2:$D$14,2)</f>
        <v>8.19</v>
      </c>
      <c r="S774" s="10">
        <f t="shared" si="174"/>
        <v>63</v>
      </c>
      <c r="T774" s="14">
        <v>77</v>
      </c>
      <c r="U774" s="3">
        <f t="shared" si="175"/>
        <v>7.0000000000000007E-2</v>
      </c>
      <c r="V774" s="3"/>
      <c r="W774" s="1">
        <v>280</v>
      </c>
      <c r="X774" s="9">
        <v>2</v>
      </c>
      <c r="Y774" s="1">
        <v>6</v>
      </c>
      <c r="Z774" s="3">
        <f>X774*VLOOKUP(Y774,[4]Datos!$A$2:$D$14,2)</f>
        <v>5.68</v>
      </c>
      <c r="AA774" s="8">
        <v>0.1</v>
      </c>
      <c r="AB774" s="7">
        <f t="shared" si="189"/>
        <v>115.05235319041492</v>
      </c>
      <c r="AC774" s="7">
        <f t="shared" si="176"/>
        <v>310.95776575825693</v>
      </c>
      <c r="AD774" s="6" t="str">
        <f t="shared" si="190"/>
        <v>Cumple</v>
      </c>
      <c r="AE774" s="6"/>
      <c r="AH774" s="3"/>
    </row>
    <row r="775" spans="1:43" ht="15" customHeight="1" x14ac:dyDescent="0.3">
      <c r="A775" s="13"/>
      <c r="B775" s="1">
        <v>24</v>
      </c>
      <c r="C775" s="1">
        <v>397</v>
      </c>
      <c r="D775" s="1">
        <v>1</v>
      </c>
      <c r="E775" s="5">
        <v>1</v>
      </c>
      <c r="F775" s="3">
        <f t="shared" si="200"/>
        <v>24</v>
      </c>
      <c r="G775" s="5">
        <v>2</v>
      </c>
      <c r="H775" s="3">
        <f t="shared" si="173"/>
        <v>3.1415926535897931</v>
      </c>
      <c r="I775" s="4">
        <v>4.0326000000000001E-2</v>
      </c>
      <c r="K775" s="3">
        <v>269.44932999213415</v>
      </c>
      <c r="L775" s="3">
        <v>284.30549000000002</v>
      </c>
      <c r="M775" s="3">
        <v>996.15877</v>
      </c>
      <c r="N775" s="12">
        <f t="shared" si="187"/>
        <v>1.2836164470247543E-2</v>
      </c>
      <c r="O775" s="11">
        <f t="shared" si="188"/>
        <v>403.26</v>
      </c>
      <c r="P775" s="1">
        <v>10</v>
      </c>
      <c r="Q775" s="15">
        <v>1</v>
      </c>
      <c r="R775" s="3">
        <f>Q775*VLOOKUP(P775,[4]Datos!$A$2:$D$14,2)</f>
        <v>8.19</v>
      </c>
      <c r="S775" s="10">
        <f t="shared" si="174"/>
        <v>50</v>
      </c>
      <c r="T775" s="14">
        <v>77</v>
      </c>
      <c r="U775" s="3">
        <f t="shared" si="175"/>
        <v>7.0000000000000007E-2</v>
      </c>
      <c r="V775" s="3"/>
      <c r="W775" s="1">
        <v>280</v>
      </c>
      <c r="X775" s="9">
        <v>2</v>
      </c>
      <c r="Y775" s="1">
        <v>6</v>
      </c>
      <c r="Z775" s="3">
        <f>X775*VLOOKUP(Y775,[4]Datos!$A$2:$D$14,2)</f>
        <v>5.68</v>
      </c>
      <c r="AA775" s="8">
        <v>0.2</v>
      </c>
      <c r="AB775" s="7">
        <f t="shared" si="189"/>
        <v>115.05235319041492</v>
      </c>
      <c r="AC775" s="7">
        <f t="shared" si="176"/>
        <v>155.47888287912846</v>
      </c>
      <c r="AD775" s="6" t="str">
        <f t="shared" si="190"/>
        <v>Cumple</v>
      </c>
      <c r="AE775" s="6"/>
      <c r="AH775" s="3"/>
    </row>
    <row r="776" spans="1:43" ht="15" customHeight="1" x14ac:dyDescent="0.3">
      <c r="A776" s="13"/>
      <c r="B776" s="1">
        <v>25</v>
      </c>
      <c r="C776" s="1">
        <v>399</v>
      </c>
      <c r="D776" s="1">
        <v>1</v>
      </c>
      <c r="E776" s="5">
        <v>1</v>
      </c>
      <c r="F776" s="3">
        <f t="shared" si="200"/>
        <v>25</v>
      </c>
      <c r="G776" s="5">
        <v>2</v>
      </c>
      <c r="H776" s="3">
        <f t="shared" si="173"/>
        <v>3.1415926535897931</v>
      </c>
      <c r="I776" s="4">
        <v>3.1415999999999999E-2</v>
      </c>
      <c r="K776" s="3">
        <v>229.1605449531834</v>
      </c>
      <c r="L776" s="3">
        <v>217.30468999999999</v>
      </c>
      <c r="M776" s="3">
        <v>729.42267000000004</v>
      </c>
      <c r="N776" s="12">
        <f t="shared" si="187"/>
        <v>1.0000023384349969E-2</v>
      </c>
      <c r="O776" s="11">
        <f t="shared" si="188"/>
        <v>314.15999999999997</v>
      </c>
      <c r="P776" s="1">
        <v>10</v>
      </c>
      <c r="Q776" s="1">
        <v>1</v>
      </c>
      <c r="R776" s="3">
        <f>Q776*VLOOKUP(P776,[4]Datos!$A$2:$D$14,2)</f>
        <v>8.19</v>
      </c>
      <c r="S776" s="10">
        <f t="shared" si="174"/>
        <v>39</v>
      </c>
      <c r="T776" s="2">
        <v>39</v>
      </c>
      <c r="U776" s="3">
        <f t="shared" si="175"/>
        <v>0.14000000000000001</v>
      </c>
      <c r="V776" s="3"/>
      <c r="W776" s="1">
        <v>280</v>
      </c>
      <c r="X776" s="9">
        <v>2</v>
      </c>
      <c r="Y776" s="1">
        <v>6</v>
      </c>
      <c r="Z776" s="3">
        <f>X776*VLOOKUP(Y776,[4]Datos!$A$2:$D$14,2)</f>
        <v>5.68</v>
      </c>
      <c r="AA776" s="8">
        <v>0.2</v>
      </c>
      <c r="AB776" s="7">
        <f t="shared" si="189"/>
        <v>115.05235319041492</v>
      </c>
      <c r="AC776" s="7">
        <f t="shared" si="176"/>
        <v>155.47888287912846</v>
      </c>
      <c r="AD776" s="6" t="str">
        <f t="shared" si="190"/>
        <v>Cumple</v>
      </c>
      <c r="AE776" s="6"/>
      <c r="AH776" s="3"/>
    </row>
    <row r="777" spans="1:43" ht="15" customHeight="1" x14ac:dyDescent="0.3">
      <c r="A777" s="13"/>
      <c r="B777" s="1">
        <v>26</v>
      </c>
      <c r="C777" s="1">
        <v>401</v>
      </c>
      <c r="D777" s="1">
        <v>1</v>
      </c>
      <c r="E777" s="5">
        <v>1</v>
      </c>
      <c r="F777" s="3">
        <f t="shared" si="200"/>
        <v>26</v>
      </c>
      <c r="G777" s="5">
        <v>2</v>
      </c>
      <c r="H777" s="3">
        <f t="shared" ref="H777:H840" si="211">PI()*(G777^2)/4</f>
        <v>3.1415926535897931</v>
      </c>
      <c r="I777" s="4">
        <v>3.1415999999999999E-2</v>
      </c>
      <c r="K777" s="3">
        <v>184.99494889550363</v>
      </c>
      <c r="L777" s="3">
        <v>156.82836</v>
      </c>
      <c r="M777" s="3">
        <v>502.66102999999998</v>
      </c>
      <c r="N777" s="12">
        <f t="shared" si="187"/>
        <v>1.0000023384349969E-2</v>
      </c>
      <c r="O777" s="11">
        <f t="shared" si="188"/>
        <v>314.15999999999997</v>
      </c>
      <c r="P777" s="1">
        <v>10</v>
      </c>
      <c r="Q777" s="1">
        <v>1</v>
      </c>
      <c r="R777" s="3">
        <f>Q777*VLOOKUP(P777,[4]Datos!$A$2:$D$14,2)</f>
        <v>8.19</v>
      </c>
      <c r="S777" s="10">
        <f t="shared" ref="S777:S840" si="212">ROUNDUP(O777/R777,0)</f>
        <v>39</v>
      </c>
      <c r="T777" s="2">
        <v>39</v>
      </c>
      <c r="U777" s="3">
        <f t="shared" ref="U777:U840" si="213">ROUNDDOWN(PI()*(G777-0.185)/T777,2)</f>
        <v>0.14000000000000001</v>
      </c>
      <c r="V777" s="3"/>
      <c r="W777" s="1">
        <v>280</v>
      </c>
      <c r="X777" s="9">
        <v>2</v>
      </c>
      <c r="Y777" s="1">
        <v>6</v>
      </c>
      <c r="Z777" s="3">
        <f>X777*VLOOKUP(Y777,[4]Datos!$A$2:$D$14,2)</f>
        <v>5.68</v>
      </c>
      <c r="AA777" s="8">
        <v>0.2</v>
      </c>
      <c r="AB777" s="7">
        <f t="shared" si="189"/>
        <v>115.05235319041492</v>
      </c>
      <c r="AC777" s="7">
        <f t="shared" ref="AC777:AC840" si="214">0.9*Z777*4220*MAX(0.72*G777,0.9*((G777/2)+((G777-0.11)/PI())))/AA777/1000</f>
        <v>155.47888287912846</v>
      </c>
      <c r="AD777" s="6" t="str">
        <f t="shared" si="190"/>
        <v>Cumple</v>
      </c>
      <c r="AE777" s="6"/>
      <c r="AH777" s="3"/>
    </row>
    <row r="778" spans="1:43" ht="15" customHeight="1" x14ac:dyDescent="0.3">
      <c r="A778" s="13"/>
      <c r="B778" s="1">
        <v>27</v>
      </c>
      <c r="C778" s="1">
        <v>403</v>
      </c>
      <c r="D778" s="1">
        <v>1</v>
      </c>
      <c r="E778" s="5">
        <v>1</v>
      </c>
      <c r="F778" s="3">
        <f t="shared" si="200"/>
        <v>27</v>
      </c>
      <c r="G778" s="5">
        <v>2</v>
      </c>
      <c r="H778" s="3">
        <f t="shared" si="211"/>
        <v>3.1415926535897931</v>
      </c>
      <c r="I778" s="4">
        <v>3.1415999999999999E-2</v>
      </c>
      <c r="K778" s="3">
        <v>140.28450663237905</v>
      </c>
      <c r="L778" s="3">
        <v>104.97378</v>
      </c>
      <c r="M778" s="3">
        <v>319.69895000000002</v>
      </c>
      <c r="N778" s="12">
        <f t="shared" si="187"/>
        <v>1.0000023384349969E-2</v>
      </c>
      <c r="O778" s="11">
        <f t="shared" si="188"/>
        <v>314.15999999999997</v>
      </c>
      <c r="P778" s="1">
        <v>10</v>
      </c>
      <c r="Q778" s="1">
        <v>1</v>
      </c>
      <c r="R778" s="3">
        <f>Q778*VLOOKUP(P778,[4]Datos!$A$2:$D$14,2)</f>
        <v>8.19</v>
      </c>
      <c r="S778" s="10">
        <f t="shared" si="212"/>
        <v>39</v>
      </c>
      <c r="T778" s="2">
        <v>39</v>
      </c>
      <c r="U778" s="3">
        <f t="shared" si="213"/>
        <v>0.14000000000000001</v>
      </c>
      <c r="V778" s="3"/>
      <c r="W778" s="1">
        <v>280</v>
      </c>
      <c r="X778" s="9">
        <v>2</v>
      </c>
      <c r="Y778" s="1">
        <v>4</v>
      </c>
      <c r="Z778" s="3">
        <f>X778*VLOOKUP(Y778,[4]Datos!$A$2:$D$14,2)</f>
        <v>2.58</v>
      </c>
      <c r="AA778" s="8">
        <v>0.3</v>
      </c>
      <c r="AB778" s="7">
        <f t="shared" si="189"/>
        <v>115.05235319041492</v>
      </c>
      <c r="AC778" s="7">
        <f t="shared" si="214"/>
        <v>47.081633547905106</v>
      </c>
      <c r="AD778" s="6" t="str">
        <f t="shared" si="190"/>
        <v>Cumple</v>
      </c>
      <c r="AE778" s="6"/>
      <c r="AH778" s="3"/>
    </row>
    <row r="779" spans="1:43" ht="15" customHeight="1" x14ac:dyDescent="0.3">
      <c r="A779" s="13"/>
      <c r="B779" s="1">
        <v>28</v>
      </c>
      <c r="C779" s="1">
        <v>405</v>
      </c>
      <c r="D779" s="1">
        <v>1</v>
      </c>
      <c r="E779" s="5">
        <v>1</v>
      </c>
      <c r="F779" s="3">
        <f t="shared" si="200"/>
        <v>28</v>
      </c>
      <c r="G779" s="5">
        <v>2</v>
      </c>
      <c r="H779" s="3">
        <f t="shared" si="211"/>
        <v>3.1415926535897931</v>
      </c>
      <c r="I779" s="4">
        <v>3.1415999999999999E-2</v>
      </c>
      <c r="K779" s="3">
        <v>97.701696225398251</v>
      </c>
      <c r="L779" s="3">
        <v>63.015810000000002</v>
      </c>
      <c r="M779" s="3">
        <v>181.05466999999999</v>
      </c>
      <c r="N779" s="12">
        <f t="shared" si="187"/>
        <v>1.0000023384349969E-2</v>
      </c>
      <c r="O779" s="11">
        <f t="shared" si="188"/>
        <v>314.15999999999997</v>
      </c>
      <c r="P779" s="1">
        <v>10</v>
      </c>
      <c r="Q779" s="1">
        <v>1</v>
      </c>
      <c r="R779" s="3">
        <f>Q779*VLOOKUP(P779,[4]Datos!$A$2:$D$14,2)</f>
        <v>8.19</v>
      </c>
      <c r="S779" s="10">
        <f t="shared" si="212"/>
        <v>39</v>
      </c>
      <c r="T779" s="2">
        <v>39</v>
      </c>
      <c r="U779" s="3">
        <f t="shared" si="213"/>
        <v>0.14000000000000001</v>
      </c>
      <c r="V779" s="3"/>
      <c r="W779" s="1">
        <v>280</v>
      </c>
      <c r="X779" s="9">
        <v>2</v>
      </c>
      <c r="Y779" s="1">
        <v>4</v>
      </c>
      <c r="Z779" s="3">
        <f>X779*VLOOKUP(Y779,[4]Datos!$A$2:$D$14,2)</f>
        <v>2.58</v>
      </c>
      <c r="AA779" s="8">
        <v>0.3</v>
      </c>
      <c r="AB779" s="7">
        <f t="shared" si="189"/>
        <v>115.05235319041492</v>
      </c>
      <c r="AC779" s="7">
        <f t="shared" si="214"/>
        <v>47.081633547905106</v>
      </c>
      <c r="AD779" s="6" t="str">
        <f t="shared" si="190"/>
        <v>Cumple</v>
      </c>
      <c r="AE779" s="6"/>
      <c r="AH779" s="3"/>
    </row>
    <row r="780" spans="1:43" ht="15" customHeight="1" x14ac:dyDescent="0.3">
      <c r="A780" s="13"/>
      <c r="B780" s="1">
        <v>29</v>
      </c>
      <c r="C780" s="1">
        <v>681</v>
      </c>
      <c r="D780" s="1">
        <v>1</v>
      </c>
      <c r="E780" s="5">
        <v>1</v>
      </c>
      <c r="F780" s="3">
        <f t="shared" si="200"/>
        <v>29</v>
      </c>
      <c r="G780" s="5">
        <v>2</v>
      </c>
      <c r="H780" s="3">
        <f t="shared" si="211"/>
        <v>3.1415926535897931</v>
      </c>
      <c r="I780" s="4">
        <v>3.1415999999999999E-2</v>
      </c>
      <c r="K780" s="3">
        <v>59.265394251704762</v>
      </c>
      <c r="L780" s="3">
        <v>31.564160000000001</v>
      </c>
      <c r="M780" s="3">
        <v>84.591949999999997</v>
      </c>
      <c r="N780" s="12">
        <f t="shared" si="187"/>
        <v>1.0000023384349969E-2</v>
      </c>
      <c r="O780" s="11">
        <f t="shared" si="188"/>
        <v>314.15999999999997</v>
      </c>
      <c r="P780" s="1">
        <v>10</v>
      </c>
      <c r="Q780" s="1">
        <v>1</v>
      </c>
      <c r="R780" s="3">
        <f>Q780*VLOOKUP(P780,[4]Datos!$A$2:$D$14,2)</f>
        <v>8.19</v>
      </c>
      <c r="S780" s="10">
        <f t="shared" si="212"/>
        <v>39</v>
      </c>
      <c r="T780" s="2">
        <v>39</v>
      </c>
      <c r="U780" s="3">
        <f t="shared" si="213"/>
        <v>0.14000000000000001</v>
      </c>
      <c r="V780" s="3"/>
      <c r="W780" s="1">
        <v>280</v>
      </c>
      <c r="X780" s="9">
        <v>2</v>
      </c>
      <c r="Y780" s="1">
        <v>4</v>
      </c>
      <c r="Z780" s="3">
        <f>X780*VLOOKUP(Y780,[4]Datos!$A$2:$D$14,2)</f>
        <v>2.58</v>
      </c>
      <c r="AA780" s="8">
        <v>0.3</v>
      </c>
      <c r="AB780" s="7">
        <f t="shared" si="189"/>
        <v>115.05235319041492</v>
      </c>
      <c r="AC780" s="7">
        <f t="shared" si="214"/>
        <v>47.081633547905106</v>
      </c>
      <c r="AD780" s="6" t="str">
        <f t="shared" si="190"/>
        <v>Cumple</v>
      </c>
      <c r="AE780" s="6"/>
      <c r="AH780" s="3"/>
    </row>
    <row r="781" spans="1:43" ht="15" customHeight="1" x14ac:dyDescent="0.3">
      <c r="A781" s="13"/>
      <c r="B781" s="1">
        <v>30</v>
      </c>
      <c r="C781" s="1">
        <v>683</v>
      </c>
      <c r="D781" s="1">
        <v>1</v>
      </c>
      <c r="E781" s="5">
        <v>1</v>
      </c>
      <c r="F781" s="3">
        <f t="shared" si="200"/>
        <v>30</v>
      </c>
      <c r="G781" s="5">
        <v>2</v>
      </c>
      <c r="H781" s="3">
        <f t="shared" si="211"/>
        <v>3.1415926535897931</v>
      </c>
      <c r="I781" s="4">
        <v>3.1415999999999999E-2</v>
      </c>
      <c r="K781" s="3">
        <v>26.518810505186693</v>
      </c>
      <c r="L781" s="3">
        <v>10.71622</v>
      </c>
      <c r="M781" s="3">
        <v>26.15943</v>
      </c>
      <c r="N781" s="12">
        <f t="shared" si="187"/>
        <v>1.0000023384349969E-2</v>
      </c>
      <c r="O781" s="11">
        <f t="shared" si="188"/>
        <v>314.15999999999997</v>
      </c>
      <c r="P781" s="1">
        <v>10</v>
      </c>
      <c r="Q781" s="1">
        <v>1</v>
      </c>
      <c r="R781" s="3">
        <f>Q781*VLOOKUP(P781,[4]Datos!$A$2:$D$14,2)</f>
        <v>8.19</v>
      </c>
      <c r="S781" s="10">
        <f t="shared" si="212"/>
        <v>39</v>
      </c>
      <c r="T781" s="2">
        <v>39</v>
      </c>
      <c r="U781" s="3">
        <f t="shared" si="213"/>
        <v>0.14000000000000001</v>
      </c>
      <c r="V781" s="3"/>
      <c r="W781" s="1">
        <v>280</v>
      </c>
      <c r="X781" s="9">
        <v>2</v>
      </c>
      <c r="Y781" s="1">
        <v>4</v>
      </c>
      <c r="Z781" s="3">
        <f>X781*VLOOKUP(Y781,[4]Datos!$A$2:$D$14,2)</f>
        <v>2.58</v>
      </c>
      <c r="AA781" s="8">
        <v>0.3</v>
      </c>
      <c r="AB781" s="7">
        <f t="shared" si="189"/>
        <v>115.05235319041492</v>
      </c>
      <c r="AC781" s="7">
        <f t="shared" si="214"/>
        <v>47.081633547905106</v>
      </c>
      <c r="AD781" s="6" t="str">
        <f t="shared" si="190"/>
        <v>Cumple</v>
      </c>
      <c r="AE781" s="6"/>
      <c r="AH781" s="3"/>
    </row>
    <row r="782" spans="1:43" ht="15" customHeight="1" x14ac:dyDescent="0.3">
      <c r="A782" s="13" t="s">
        <v>8</v>
      </c>
      <c r="B782" s="1">
        <v>1</v>
      </c>
      <c r="C782" s="1">
        <v>136</v>
      </c>
      <c r="D782" s="1">
        <v>0</v>
      </c>
      <c r="E782" s="5">
        <v>1</v>
      </c>
      <c r="F782" s="3">
        <f>E782</f>
        <v>1</v>
      </c>
      <c r="G782" s="5">
        <v>2</v>
      </c>
      <c r="H782" s="3">
        <f t="shared" si="211"/>
        <v>3.1415926535897931</v>
      </c>
      <c r="I782" s="4">
        <v>3.1415999999999999E-2</v>
      </c>
      <c r="K782" s="3">
        <v>182.28208823600852</v>
      </c>
      <c r="L782" s="3">
        <v>474.73437999999999</v>
      </c>
      <c r="M782" s="3">
        <v>374.64355</v>
      </c>
      <c r="N782" s="12">
        <f t="shared" si="187"/>
        <v>1.0000023384349969E-2</v>
      </c>
      <c r="O782" s="11">
        <f t="shared" si="188"/>
        <v>314.15999999999997</v>
      </c>
      <c r="P782" s="1">
        <v>10</v>
      </c>
      <c r="Q782" s="1">
        <v>1</v>
      </c>
      <c r="R782" s="3">
        <f>Q782*VLOOKUP(P782,[4]Datos!$A$2:$D$14,2)</f>
        <v>8.19</v>
      </c>
      <c r="S782" s="10">
        <f t="shared" si="212"/>
        <v>39</v>
      </c>
      <c r="T782" s="2">
        <v>39</v>
      </c>
      <c r="U782" s="3">
        <f t="shared" si="213"/>
        <v>0.14000000000000001</v>
      </c>
      <c r="V782" s="3"/>
      <c r="W782" s="1">
        <v>280</v>
      </c>
      <c r="X782" s="9">
        <v>2</v>
      </c>
      <c r="Y782" s="1">
        <v>6</v>
      </c>
      <c r="Z782" s="3">
        <f>X782*VLOOKUP(Y782,[4]Datos!$A$2:$D$14,2)</f>
        <v>5.68</v>
      </c>
      <c r="AA782" s="8">
        <v>7.4999999999999997E-2</v>
      </c>
      <c r="AB782" s="7">
        <f t="shared" si="189"/>
        <v>207.09423574274689</v>
      </c>
      <c r="AC782" s="7">
        <f t="shared" si="214"/>
        <v>414.61035434434268</v>
      </c>
      <c r="AD782" s="6" t="str">
        <f t="shared" si="190"/>
        <v>Cumple</v>
      </c>
      <c r="AE782" s="6"/>
      <c r="AF782" s="5">
        <v>12</v>
      </c>
      <c r="AG782" s="7">
        <f t="shared" ref="AG782:AG783" si="215">ROUNDUP(MAX(0.45,G782,AF782/6),0)</f>
        <v>2</v>
      </c>
      <c r="AH782" s="3">
        <f t="shared" ref="AH782:AH783" si="216">PI()*(G782-0.15)^2/4</f>
        <v>2.6880252142277672</v>
      </c>
      <c r="AI782" s="7">
        <f>G782-0.15-VLOOKUP(Y782,[4]Datos!$A$2:$D$14,3)/100</f>
        <v>1.8309000000000002</v>
      </c>
      <c r="AJ782" s="7">
        <f t="shared" ref="AJ782:AJ783" si="217">SQRT((PI()*AI782)^2+AA782^2)</f>
        <v>5.7524309339691264</v>
      </c>
      <c r="AK782" s="1">
        <v>0.12</v>
      </c>
      <c r="AL782" s="16">
        <f t="shared" ref="AL782:AL783" si="218">MAX(0.45*(H782/AH782-1),AK782)*(W782/4220)</f>
        <v>7.9620853080568724E-3</v>
      </c>
      <c r="AM782" s="7">
        <f t="shared" ref="AM782:AM783" si="219">AG782*(AJ782/AA782)</f>
        <v>153.39815823917672</v>
      </c>
      <c r="AN782" s="17">
        <f t="shared" ref="AN782:AN783" si="220">AM782*Z782/X782/10000</f>
        <v>4.3565076939926187E-2</v>
      </c>
      <c r="AO782" s="17">
        <f t="shared" ref="AO782:AO783" si="221">AH782*AG782</f>
        <v>5.3760504284555344</v>
      </c>
      <c r="AP782" s="16">
        <f t="shared" ref="AP782:AP783" si="222">AN782/AO782</f>
        <v>8.1035469290495175E-3</v>
      </c>
      <c r="AQ782" s="6" t="str">
        <f t="shared" ref="AQ782:AQ783" si="223">+IF(AP782&gt;AL782,"Cumple","No Cumple")</f>
        <v>Cumple</v>
      </c>
    </row>
    <row r="783" spans="1:43" ht="15" customHeight="1" x14ac:dyDescent="0.3">
      <c r="A783" s="13"/>
      <c r="B783" s="1">
        <v>2</v>
      </c>
      <c r="C783" s="1">
        <v>138</v>
      </c>
      <c r="D783" s="1">
        <v>0</v>
      </c>
      <c r="E783" s="5">
        <v>1</v>
      </c>
      <c r="F783" s="3">
        <f>F782+E783</f>
        <v>2</v>
      </c>
      <c r="G783" s="5">
        <v>2</v>
      </c>
      <c r="H783" s="3">
        <f t="shared" si="211"/>
        <v>3.1415926535897931</v>
      </c>
      <c r="I783" s="4">
        <v>3.1415999999999999E-2</v>
      </c>
      <c r="K783" s="3">
        <v>182.28208823600852</v>
      </c>
      <c r="L783" s="3">
        <v>428.8032</v>
      </c>
      <c r="M783" s="3">
        <v>472.62137999999999</v>
      </c>
      <c r="N783" s="12">
        <f t="shared" si="187"/>
        <v>1.0000023384349969E-2</v>
      </c>
      <c r="O783" s="11">
        <f t="shared" si="188"/>
        <v>314.15999999999997</v>
      </c>
      <c r="P783" s="1">
        <v>10</v>
      </c>
      <c r="Q783" s="1">
        <v>1</v>
      </c>
      <c r="R783" s="3">
        <f>Q783*VLOOKUP(P783,[4]Datos!$A$2:$D$14,2)</f>
        <v>8.19</v>
      </c>
      <c r="S783" s="10">
        <f t="shared" si="212"/>
        <v>39</v>
      </c>
      <c r="T783" s="2">
        <v>39</v>
      </c>
      <c r="U783" s="3">
        <f t="shared" si="213"/>
        <v>0.14000000000000001</v>
      </c>
      <c r="V783" s="3"/>
      <c r="W783" s="1">
        <v>280</v>
      </c>
      <c r="X783" s="9">
        <v>2</v>
      </c>
      <c r="Y783" s="1">
        <v>6</v>
      </c>
      <c r="Z783" s="3">
        <f>X783*VLOOKUP(Y783,[4]Datos!$A$2:$D$14,2)</f>
        <v>5.68</v>
      </c>
      <c r="AA783" s="8">
        <v>7.4999999999999997E-2</v>
      </c>
      <c r="AB783" s="7">
        <f t="shared" si="189"/>
        <v>207.09423574274689</v>
      </c>
      <c r="AC783" s="7">
        <f t="shared" si="214"/>
        <v>414.61035434434268</v>
      </c>
      <c r="AD783" s="6" t="str">
        <f t="shared" si="190"/>
        <v>Cumple</v>
      </c>
      <c r="AE783" s="6"/>
      <c r="AF783" s="5">
        <v>12</v>
      </c>
      <c r="AG783" s="7">
        <f t="shared" si="215"/>
        <v>2</v>
      </c>
      <c r="AH783" s="3">
        <f t="shared" si="216"/>
        <v>2.6880252142277672</v>
      </c>
      <c r="AI783" s="7">
        <f>G783-0.15-VLOOKUP(Y783,[4]Datos!$A$2:$D$14,3)/100</f>
        <v>1.8309000000000002</v>
      </c>
      <c r="AJ783" s="7">
        <f t="shared" si="217"/>
        <v>5.7524309339691264</v>
      </c>
      <c r="AK783" s="1">
        <v>0.12</v>
      </c>
      <c r="AL783" s="16">
        <f t="shared" si="218"/>
        <v>7.9620853080568724E-3</v>
      </c>
      <c r="AM783" s="7">
        <f t="shared" si="219"/>
        <v>153.39815823917672</v>
      </c>
      <c r="AN783" s="17">
        <f t="shared" si="220"/>
        <v>4.3565076939926187E-2</v>
      </c>
      <c r="AO783" s="17">
        <f t="shared" si="221"/>
        <v>5.3760504284555344</v>
      </c>
      <c r="AP783" s="16">
        <f t="shared" si="222"/>
        <v>8.1035469290495175E-3</v>
      </c>
      <c r="AQ783" s="6" t="str">
        <f t="shared" si="223"/>
        <v>Cumple</v>
      </c>
    </row>
    <row r="784" spans="1:43" ht="15" customHeight="1" x14ac:dyDescent="0.3">
      <c r="A784" s="13"/>
      <c r="B784" s="1">
        <v>3</v>
      </c>
      <c r="C784" s="1">
        <v>140</v>
      </c>
      <c r="D784" s="1">
        <v>0</v>
      </c>
      <c r="E784" s="5">
        <v>1</v>
      </c>
      <c r="F784" s="3">
        <f t="shared" ref="F784:F811" si="224">F783+E784</f>
        <v>3</v>
      </c>
      <c r="G784" s="5">
        <v>2</v>
      </c>
      <c r="H784" s="3">
        <f t="shared" si="211"/>
        <v>3.1415926535897931</v>
      </c>
      <c r="I784" s="4">
        <v>3.1415999999999999E-2</v>
      </c>
      <c r="K784" s="3">
        <v>182.28208823600852</v>
      </c>
      <c r="L784" s="3">
        <v>383.18698999999998</v>
      </c>
      <c r="M784" s="3">
        <v>572.35978</v>
      </c>
      <c r="N784" s="12">
        <f t="shared" si="187"/>
        <v>1.0000023384349969E-2</v>
      </c>
      <c r="O784" s="11">
        <f t="shared" si="188"/>
        <v>314.15999999999997</v>
      </c>
      <c r="P784" s="1">
        <v>10</v>
      </c>
      <c r="Q784" s="1">
        <v>1</v>
      </c>
      <c r="R784" s="3">
        <f>Q784*VLOOKUP(P784,[4]Datos!$A$2:$D$14,2)</f>
        <v>8.19</v>
      </c>
      <c r="S784" s="10">
        <f t="shared" si="212"/>
        <v>39</v>
      </c>
      <c r="T784" s="2">
        <v>39</v>
      </c>
      <c r="U784" s="3">
        <f t="shared" si="213"/>
        <v>0.14000000000000001</v>
      </c>
      <c r="V784" s="3"/>
      <c r="W784" s="1">
        <v>280</v>
      </c>
      <c r="X784" s="9">
        <v>2</v>
      </c>
      <c r="Y784" s="1">
        <v>4</v>
      </c>
      <c r="Z784" s="3">
        <f>X784*VLOOKUP(Y784,[4]Datos!$A$2:$D$14,2)</f>
        <v>2.58</v>
      </c>
      <c r="AA784" s="8">
        <v>0.3</v>
      </c>
      <c r="AB784" s="7">
        <f t="shared" si="189"/>
        <v>207.09423574274689</v>
      </c>
      <c r="AC784" s="7">
        <f t="shared" si="214"/>
        <v>47.081633547905106</v>
      </c>
      <c r="AD784" s="6" t="str">
        <f t="shared" si="190"/>
        <v>Cumple</v>
      </c>
      <c r="AE784" s="6"/>
      <c r="AH784" s="3"/>
    </row>
    <row r="785" spans="1:43" ht="15" customHeight="1" x14ac:dyDescent="0.3">
      <c r="A785" s="13"/>
      <c r="B785" s="1">
        <v>4</v>
      </c>
      <c r="C785" s="1">
        <v>142</v>
      </c>
      <c r="D785" s="1">
        <v>0</v>
      </c>
      <c r="E785" s="5">
        <v>1</v>
      </c>
      <c r="F785" s="3">
        <f t="shared" si="224"/>
        <v>4</v>
      </c>
      <c r="G785" s="5">
        <v>2</v>
      </c>
      <c r="H785" s="3">
        <f t="shared" si="211"/>
        <v>3.1415926535897931</v>
      </c>
      <c r="I785" s="4">
        <v>3.1415999999999999E-2</v>
      </c>
      <c r="K785" s="3">
        <v>182.28208823600852</v>
      </c>
      <c r="L785" s="3">
        <v>338.03048999999999</v>
      </c>
      <c r="M785" s="3">
        <v>673.12383</v>
      </c>
      <c r="N785" s="12">
        <f t="shared" si="187"/>
        <v>1.0000023384349969E-2</v>
      </c>
      <c r="O785" s="11">
        <f t="shared" si="188"/>
        <v>314.15999999999997</v>
      </c>
      <c r="P785" s="1">
        <v>10</v>
      </c>
      <c r="Q785" s="15">
        <v>1</v>
      </c>
      <c r="R785" s="3">
        <f>Q785*VLOOKUP(P785,[4]Datos!$A$2:$D$14,2)</f>
        <v>8.19</v>
      </c>
      <c r="S785" s="10">
        <f t="shared" si="212"/>
        <v>39</v>
      </c>
      <c r="T785" s="14">
        <v>56</v>
      </c>
      <c r="U785" s="3">
        <f t="shared" si="213"/>
        <v>0.1</v>
      </c>
      <c r="V785" s="3"/>
      <c r="W785" s="1">
        <v>280</v>
      </c>
      <c r="X785" s="9">
        <v>2</v>
      </c>
      <c r="Y785" s="1">
        <v>4</v>
      </c>
      <c r="Z785" s="3">
        <f>X785*VLOOKUP(Y785,[4]Datos!$A$2:$D$14,2)</f>
        <v>2.58</v>
      </c>
      <c r="AA785" s="8">
        <v>0.3</v>
      </c>
      <c r="AB785" s="7">
        <f t="shared" si="189"/>
        <v>207.09423574274689</v>
      </c>
      <c r="AC785" s="7">
        <f t="shared" si="214"/>
        <v>47.081633547905106</v>
      </c>
      <c r="AD785" s="6" t="str">
        <f t="shared" si="190"/>
        <v>Cumple</v>
      </c>
      <c r="AE785" s="6"/>
      <c r="AH785" s="3"/>
    </row>
    <row r="786" spans="1:43" ht="15" customHeight="1" x14ac:dyDescent="0.3">
      <c r="A786" s="13"/>
      <c r="B786" s="1">
        <v>5</v>
      </c>
      <c r="C786" s="1">
        <v>144</v>
      </c>
      <c r="D786" s="1">
        <v>0</v>
      </c>
      <c r="E786" s="5">
        <v>1</v>
      </c>
      <c r="F786" s="3">
        <f t="shared" si="224"/>
        <v>5</v>
      </c>
      <c r="G786" s="5">
        <v>2</v>
      </c>
      <c r="H786" s="3">
        <f t="shared" si="211"/>
        <v>3.1415926535897931</v>
      </c>
      <c r="I786" s="4">
        <v>3.1415999999999999E-2</v>
      </c>
      <c r="K786" s="3">
        <v>182.28218494501868</v>
      </c>
      <c r="L786" s="3">
        <v>293.48554000000001</v>
      </c>
      <c r="M786" s="3">
        <v>774.53796</v>
      </c>
      <c r="N786" s="12">
        <f t="shared" si="187"/>
        <v>1.0000023384349969E-2</v>
      </c>
      <c r="O786" s="11">
        <f t="shared" si="188"/>
        <v>314.15999999999997</v>
      </c>
      <c r="P786" s="1">
        <v>10</v>
      </c>
      <c r="Q786" s="15">
        <v>1</v>
      </c>
      <c r="R786" s="3">
        <f>Q786*VLOOKUP(P786,[4]Datos!$A$2:$D$14,2)</f>
        <v>8.19</v>
      </c>
      <c r="S786" s="10">
        <f t="shared" si="212"/>
        <v>39</v>
      </c>
      <c r="T786" s="14">
        <v>56</v>
      </c>
      <c r="U786" s="3">
        <f t="shared" si="213"/>
        <v>0.1</v>
      </c>
      <c r="V786" s="3"/>
      <c r="W786" s="1">
        <v>280</v>
      </c>
      <c r="X786" s="9">
        <v>2</v>
      </c>
      <c r="Y786" s="1">
        <v>4</v>
      </c>
      <c r="Z786" s="3">
        <f>X786*VLOOKUP(Y786,[4]Datos!$A$2:$D$14,2)</f>
        <v>2.58</v>
      </c>
      <c r="AA786" s="8">
        <v>0.3</v>
      </c>
      <c r="AB786" s="7">
        <f t="shared" si="189"/>
        <v>207.09423574274689</v>
      </c>
      <c r="AC786" s="7">
        <f t="shared" si="214"/>
        <v>47.081633547905106</v>
      </c>
      <c r="AD786" s="6" t="str">
        <f t="shared" si="190"/>
        <v>Cumple</v>
      </c>
      <c r="AE786" s="6"/>
      <c r="AH786" s="3"/>
    </row>
    <row r="787" spans="1:43" ht="15" customHeight="1" x14ac:dyDescent="0.3">
      <c r="A787" s="13"/>
      <c r="B787" s="1">
        <v>6</v>
      </c>
      <c r="C787" s="1">
        <v>146</v>
      </c>
      <c r="D787" s="1">
        <v>0</v>
      </c>
      <c r="E787" s="5">
        <v>1</v>
      </c>
      <c r="F787" s="3">
        <f t="shared" si="224"/>
        <v>6</v>
      </c>
      <c r="G787" s="5">
        <v>2</v>
      </c>
      <c r="H787" s="3">
        <f t="shared" si="211"/>
        <v>3.1415926535897931</v>
      </c>
      <c r="I787" s="4">
        <v>3.1415999999999999E-2</v>
      </c>
      <c r="K787" s="3">
        <v>182.28218494501868</v>
      </c>
      <c r="L787" s="3">
        <v>249.66236000000001</v>
      </c>
      <c r="M787" s="3">
        <v>876.38049999999998</v>
      </c>
      <c r="N787" s="12">
        <f t="shared" si="187"/>
        <v>1.0000023384349969E-2</v>
      </c>
      <c r="O787" s="11">
        <f t="shared" si="188"/>
        <v>314.15999999999997</v>
      </c>
      <c r="P787" s="1">
        <v>10</v>
      </c>
      <c r="Q787" s="15">
        <v>1</v>
      </c>
      <c r="R787" s="3">
        <f>Q787*VLOOKUP(P787,[4]Datos!$A$2:$D$14,2)</f>
        <v>8.19</v>
      </c>
      <c r="S787" s="10">
        <f t="shared" si="212"/>
        <v>39</v>
      </c>
      <c r="T787" s="14">
        <v>56</v>
      </c>
      <c r="U787" s="3">
        <f t="shared" si="213"/>
        <v>0.1</v>
      </c>
      <c r="V787" s="3"/>
      <c r="W787" s="1">
        <v>280</v>
      </c>
      <c r="X787" s="9">
        <v>2</v>
      </c>
      <c r="Y787" s="1">
        <v>4</v>
      </c>
      <c r="Z787" s="3">
        <f>X787*VLOOKUP(Y787,[4]Datos!$A$2:$D$14,2)</f>
        <v>2.58</v>
      </c>
      <c r="AA787" s="8">
        <v>0.3</v>
      </c>
      <c r="AB787" s="7">
        <f t="shared" si="189"/>
        <v>207.09423574274689</v>
      </c>
      <c r="AC787" s="7">
        <f t="shared" si="214"/>
        <v>47.081633547905106</v>
      </c>
      <c r="AD787" s="6" t="str">
        <f t="shared" si="190"/>
        <v>Cumple</v>
      </c>
      <c r="AE787" s="6"/>
      <c r="AH787" s="3"/>
    </row>
    <row r="788" spans="1:43" ht="15" customHeight="1" x14ac:dyDescent="0.3">
      <c r="A788" s="13"/>
      <c r="B788" s="1">
        <v>7</v>
      </c>
      <c r="C788" s="1">
        <v>148</v>
      </c>
      <c r="D788" s="1">
        <v>0</v>
      </c>
      <c r="E788" s="5">
        <v>1</v>
      </c>
      <c r="F788" s="3">
        <f t="shared" si="224"/>
        <v>7</v>
      </c>
      <c r="G788" s="5">
        <v>2</v>
      </c>
      <c r="H788" s="3">
        <f t="shared" si="211"/>
        <v>3.1415926535897931</v>
      </c>
      <c r="I788" s="4">
        <v>3.4674000000000003E-2</v>
      </c>
      <c r="K788" s="3">
        <v>182.2822816540324</v>
      </c>
      <c r="L788" s="3">
        <v>206.60593</v>
      </c>
      <c r="M788" s="3">
        <v>978.50680999999997</v>
      </c>
      <c r="N788" s="12">
        <f t="shared" si="187"/>
        <v>1.103707699353676E-2</v>
      </c>
      <c r="O788" s="11">
        <f t="shared" si="188"/>
        <v>346.74</v>
      </c>
      <c r="P788" s="1">
        <v>10</v>
      </c>
      <c r="Q788" s="1">
        <v>1</v>
      </c>
      <c r="R788" s="3">
        <f>Q788*VLOOKUP(P788,[4]Datos!$A$2:$D$14,2)</f>
        <v>8.19</v>
      </c>
      <c r="S788" s="10">
        <f t="shared" si="212"/>
        <v>43</v>
      </c>
      <c r="T788" s="2">
        <v>56</v>
      </c>
      <c r="U788" s="3">
        <f t="shared" si="213"/>
        <v>0.1</v>
      </c>
      <c r="V788" s="3"/>
      <c r="W788" s="1">
        <v>280</v>
      </c>
      <c r="X788" s="9">
        <v>2</v>
      </c>
      <c r="Y788" s="1">
        <v>4</v>
      </c>
      <c r="Z788" s="3">
        <f>X788*VLOOKUP(Y788,[4]Datos!$A$2:$D$14,2)</f>
        <v>2.58</v>
      </c>
      <c r="AA788" s="8">
        <v>0.3</v>
      </c>
      <c r="AB788" s="7">
        <f t="shared" si="189"/>
        <v>207.09423574274689</v>
      </c>
      <c r="AC788" s="7">
        <f t="shared" si="214"/>
        <v>47.081633547905106</v>
      </c>
      <c r="AD788" s="6" t="str">
        <f t="shared" si="190"/>
        <v>Cumple</v>
      </c>
      <c r="AE788" s="6"/>
      <c r="AH788" s="3"/>
    </row>
    <row r="789" spans="1:43" ht="15" customHeight="1" x14ac:dyDescent="0.3">
      <c r="A789" s="13"/>
      <c r="B789" s="1">
        <v>8</v>
      </c>
      <c r="C789" s="1">
        <v>150</v>
      </c>
      <c r="D789" s="1">
        <v>0</v>
      </c>
      <c r="E789" s="5">
        <v>1</v>
      </c>
      <c r="F789" s="3">
        <f t="shared" si="224"/>
        <v>8</v>
      </c>
      <c r="G789" s="5">
        <v>2</v>
      </c>
      <c r="H789" s="3">
        <f t="shared" si="211"/>
        <v>3.1415926535897931</v>
      </c>
      <c r="I789" s="4">
        <v>4.0400999999999999E-2</v>
      </c>
      <c r="K789" s="3">
        <v>182.2822816540324</v>
      </c>
      <c r="L789" s="3">
        <v>164.3777</v>
      </c>
      <c r="M789" s="3">
        <v>1080.81558</v>
      </c>
      <c r="N789" s="12">
        <f t="shared" si="187"/>
        <v>1.2860037711711327E-2</v>
      </c>
      <c r="O789" s="11">
        <f t="shared" si="188"/>
        <v>404.01</v>
      </c>
      <c r="P789" s="1">
        <v>10</v>
      </c>
      <c r="Q789" s="1">
        <v>1</v>
      </c>
      <c r="R789" s="3">
        <f>Q789*VLOOKUP(P789,[4]Datos!$A$2:$D$14,2)</f>
        <v>8.19</v>
      </c>
      <c r="S789" s="10">
        <f t="shared" si="212"/>
        <v>50</v>
      </c>
      <c r="T789" s="2">
        <v>56</v>
      </c>
      <c r="U789" s="3">
        <f t="shared" si="213"/>
        <v>0.1</v>
      </c>
      <c r="V789" s="3"/>
      <c r="W789" s="1">
        <v>280</v>
      </c>
      <c r="X789" s="9">
        <v>2</v>
      </c>
      <c r="Y789" s="1">
        <v>4</v>
      </c>
      <c r="Z789" s="3">
        <f>X789*VLOOKUP(Y789,[4]Datos!$A$2:$D$14,2)</f>
        <v>2.58</v>
      </c>
      <c r="AA789" s="8">
        <v>0.3</v>
      </c>
      <c r="AB789" s="7">
        <f t="shared" si="189"/>
        <v>207.09423574274689</v>
      </c>
      <c r="AC789" s="7">
        <f t="shared" si="214"/>
        <v>47.081633547905106</v>
      </c>
      <c r="AD789" s="6" t="str">
        <f t="shared" si="190"/>
        <v>Cumple</v>
      </c>
      <c r="AE789" s="6"/>
      <c r="AH789" s="3"/>
    </row>
    <row r="790" spans="1:43" ht="15" customHeight="1" x14ac:dyDescent="0.3">
      <c r="A790" s="13"/>
      <c r="B790" s="1">
        <v>9</v>
      </c>
      <c r="C790" s="1">
        <v>152</v>
      </c>
      <c r="D790" s="1">
        <v>0</v>
      </c>
      <c r="E790" s="5">
        <v>1</v>
      </c>
      <c r="F790" s="3">
        <f t="shared" si="224"/>
        <v>9</v>
      </c>
      <c r="G790" s="5">
        <v>2</v>
      </c>
      <c r="H790" s="3">
        <f t="shared" si="211"/>
        <v>3.1415926535897931</v>
      </c>
      <c r="I790" s="4">
        <v>4.5047999999999998E-2</v>
      </c>
      <c r="K790" s="3">
        <v>182.28237836304967</v>
      </c>
      <c r="L790" s="3">
        <v>123.37669</v>
      </c>
      <c r="M790" s="3">
        <v>1183.2320099999999</v>
      </c>
      <c r="N790" s="12">
        <f t="shared" si="187"/>
        <v>1.4339223752807401E-2</v>
      </c>
      <c r="O790" s="11">
        <f t="shared" si="188"/>
        <v>450.47999999999996</v>
      </c>
      <c r="P790" s="1">
        <v>10</v>
      </c>
      <c r="Q790" s="1">
        <v>1</v>
      </c>
      <c r="R790" s="3">
        <f>Q790*VLOOKUP(P790,[4]Datos!$A$2:$D$14,2)</f>
        <v>8.19</v>
      </c>
      <c r="S790" s="10">
        <f t="shared" si="212"/>
        <v>56</v>
      </c>
      <c r="T790" s="2">
        <v>56</v>
      </c>
      <c r="U790" s="3">
        <f t="shared" si="213"/>
        <v>0.1</v>
      </c>
      <c r="V790" s="3"/>
      <c r="W790" s="1">
        <v>280</v>
      </c>
      <c r="X790" s="9">
        <v>2</v>
      </c>
      <c r="Y790" s="1">
        <v>4</v>
      </c>
      <c r="Z790" s="3">
        <f>X790*VLOOKUP(Y790,[4]Datos!$A$2:$D$14,2)</f>
        <v>2.58</v>
      </c>
      <c r="AA790" s="8">
        <v>0.3</v>
      </c>
      <c r="AB790" s="7">
        <f t="shared" si="189"/>
        <v>207.09423574274689</v>
      </c>
      <c r="AC790" s="7">
        <f t="shared" si="214"/>
        <v>47.081633547905106</v>
      </c>
      <c r="AD790" s="6" t="str">
        <f t="shared" si="190"/>
        <v>Cumple</v>
      </c>
      <c r="AE790" s="6"/>
      <c r="AH790" s="3"/>
    </row>
    <row r="791" spans="1:43" ht="15" customHeight="1" x14ac:dyDescent="0.3">
      <c r="A791" s="13"/>
      <c r="B791" s="1">
        <v>10</v>
      </c>
      <c r="C791" s="1">
        <v>154</v>
      </c>
      <c r="D791" s="1">
        <v>0</v>
      </c>
      <c r="E791" s="5">
        <v>1</v>
      </c>
      <c r="F791" s="3">
        <f t="shared" si="224"/>
        <v>10</v>
      </c>
      <c r="G791" s="5">
        <v>2</v>
      </c>
      <c r="H791" s="3">
        <f t="shared" si="211"/>
        <v>3.1415926535897931</v>
      </c>
      <c r="I791" s="4">
        <v>4.8915E-2</v>
      </c>
      <c r="K791" s="3">
        <v>182.2824750720705</v>
      </c>
      <c r="L791" s="3">
        <v>103.96176</v>
      </c>
      <c r="M791" s="3">
        <v>1285.69859</v>
      </c>
      <c r="N791" s="12">
        <f t="shared" si="187"/>
        <v>1.5570128082680122E-2</v>
      </c>
      <c r="O791" s="11">
        <f t="shared" si="188"/>
        <v>489.15</v>
      </c>
      <c r="P791" s="1">
        <v>10</v>
      </c>
      <c r="Q791" s="15">
        <v>1</v>
      </c>
      <c r="R791" s="3">
        <f>Q791*VLOOKUP(P791,[4]Datos!$A$2:$D$14,2)</f>
        <v>8.19</v>
      </c>
      <c r="S791" s="10">
        <f t="shared" si="212"/>
        <v>60</v>
      </c>
      <c r="T791" s="14">
        <v>77</v>
      </c>
      <c r="U791" s="3">
        <f t="shared" si="213"/>
        <v>7.0000000000000007E-2</v>
      </c>
      <c r="V791" s="3"/>
      <c r="W791" s="1">
        <v>280</v>
      </c>
      <c r="X791" s="9">
        <v>2</v>
      </c>
      <c r="Y791" s="1">
        <v>4</v>
      </c>
      <c r="Z791" s="3">
        <f>X791*VLOOKUP(Y791,[4]Datos!$A$2:$D$14,2)</f>
        <v>2.58</v>
      </c>
      <c r="AA791" s="8">
        <v>0.3</v>
      </c>
      <c r="AB791" s="7">
        <f t="shared" si="189"/>
        <v>207.09423574274689</v>
      </c>
      <c r="AC791" s="7">
        <f t="shared" si="214"/>
        <v>47.081633547905106</v>
      </c>
      <c r="AD791" s="6" t="str">
        <f t="shared" si="190"/>
        <v>Cumple</v>
      </c>
      <c r="AE791" s="6"/>
      <c r="AH791" s="3"/>
    </row>
    <row r="792" spans="1:43" ht="15" customHeight="1" x14ac:dyDescent="0.3">
      <c r="A792" s="13"/>
      <c r="B792" s="1">
        <v>11</v>
      </c>
      <c r="C792" s="1">
        <v>156</v>
      </c>
      <c r="D792" s="1">
        <v>0</v>
      </c>
      <c r="E792" s="5">
        <v>1</v>
      </c>
      <c r="F792" s="3">
        <f t="shared" si="224"/>
        <v>11</v>
      </c>
      <c r="G792" s="5">
        <v>2</v>
      </c>
      <c r="H792" s="3">
        <f t="shared" si="211"/>
        <v>3.1415926535897931</v>
      </c>
      <c r="I792" s="4">
        <v>5.2198000000000001E-2</v>
      </c>
      <c r="K792" s="3">
        <v>182.28257178109487</v>
      </c>
      <c r="L792" s="3">
        <v>124.41276999999999</v>
      </c>
      <c r="M792" s="3">
        <v>1388.1695299999999</v>
      </c>
      <c r="N792" s="12">
        <f t="shared" si="187"/>
        <v>1.6615139439021508E-2</v>
      </c>
      <c r="O792" s="11">
        <f t="shared" si="188"/>
        <v>521.98</v>
      </c>
      <c r="P792" s="1">
        <v>10</v>
      </c>
      <c r="Q792" s="15">
        <v>1</v>
      </c>
      <c r="R792" s="3">
        <f>Q792*VLOOKUP(P792,[4]Datos!$A$2:$D$14,2)</f>
        <v>8.19</v>
      </c>
      <c r="S792" s="10">
        <f t="shared" si="212"/>
        <v>64</v>
      </c>
      <c r="T792" s="14">
        <v>77</v>
      </c>
      <c r="U792" s="3">
        <f t="shared" si="213"/>
        <v>7.0000000000000007E-2</v>
      </c>
      <c r="V792" s="3"/>
      <c r="W792" s="1">
        <v>280</v>
      </c>
      <c r="X792" s="9">
        <v>2</v>
      </c>
      <c r="Y792" s="1">
        <v>6</v>
      </c>
      <c r="Z792" s="3">
        <f>X792*VLOOKUP(Y792,[4]Datos!$A$2:$D$14,2)</f>
        <v>5.68</v>
      </c>
      <c r="AA792" s="8">
        <v>7.4999999999999997E-2</v>
      </c>
      <c r="AB792" s="7">
        <f t="shared" si="189"/>
        <v>207.09423574274689</v>
      </c>
      <c r="AC792" s="7">
        <f t="shared" si="214"/>
        <v>414.61035434434268</v>
      </c>
      <c r="AD792" s="6" t="str">
        <f t="shared" si="190"/>
        <v>Cumple</v>
      </c>
      <c r="AE792" s="6"/>
      <c r="AF792" s="5">
        <v>12</v>
      </c>
      <c r="AG792" s="7">
        <f t="shared" ref="AG792:AG793" si="225">ROUNDUP(MAX(0.45,G792,AF792/6),0)</f>
        <v>2</v>
      </c>
      <c r="AH792" s="3">
        <f t="shared" ref="AH792:AH799" si="226">PI()*(G792-0.15)^2/4</f>
        <v>2.6880252142277672</v>
      </c>
      <c r="AI792" s="7">
        <f>G792-0.15-VLOOKUP(Y792,[4]Datos!$A$2:$D$14,3)/100</f>
        <v>1.8309000000000002</v>
      </c>
      <c r="AJ792" s="7">
        <f t="shared" ref="AJ792:AJ799" si="227">SQRT((PI()*AI792)^2+AA792^2)</f>
        <v>5.7524309339691264</v>
      </c>
      <c r="AK792" s="1">
        <v>0.12</v>
      </c>
      <c r="AL792" s="16">
        <f t="shared" ref="AL792:AL799" si="228">MAX(0.45*(H792/AH792-1),AK792)*(W792/4220)</f>
        <v>7.9620853080568724E-3</v>
      </c>
      <c r="AM792" s="7">
        <f t="shared" ref="AM792:AM799" si="229">AG792*(AJ792/AA792)</f>
        <v>153.39815823917672</v>
      </c>
      <c r="AN792" s="17">
        <f t="shared" ref="AN792:AN799" si="230">AM792*Z792/X792/10000</f>
        <v>4.3565076939926187E-2</v>
      </c>
      <c r="AO792" s="17">
        <f t="shared" ref="AO792:AO799" si="231">AH792*AG792</f>
        <v>5.3760504284555344</v>
      </c>
      <c r="AP792" s="16">
        <f t="shared" ref="AP792:AP799" si="232">AN792/AO792</f>
        <v>8.1035469290495175E-3</v>
      </c>
      <c r="AQ792" s="6" t="str">
        <f t="shared" ref="AQ792:AQ799" si="233">+IF(AP792&gt;AL792,"Cumple","No Cumple")</f>
        <v>Cumple</v>
      </c>
    </row>
    <row r="793" spans="1:43" x14ac:dyDescent="0.3">
      <c r="A793" s="13"/>
      <c r="B793" s="1">
        <v>12</v>
      </c>
      <c r="C793" s="1">
        <v>158</v>
      </c>
      <c r="D793" s="1">
        <v>0</v>
      </c>
      <c r="E793" s="5">
        <v>1</v>
      </c>
      <c r="F793" s="3">
        <f t="shared" si="224"/>
        <v>12</v>
      </c>
      <c r="G793" s="5">
        <v>2</v>
      </c>
      <c r="H793" s="3">
        <f t="shared" si="211"/>
        <v>3.1415926535897931</v>
      </c>
      <c r="I793" s="4">
        <v>5.4990999999999998E-2</v>
      </c>
      <c r="K793" s="3">
        <v>182.2826684901228</v>
      </c>
      <c r="L793" s="3">
        <v>165.88050000000001</v>
      </c>
      <c r="M793" s="3">
        <v>1490.6073100000001</v>
      </c>
      <c r="N793" s="12">
        <f t="shared" si="187"/>
        <v>1.7504178951132834E-2</v>
      </c>
      <c r="O793" s="11">
        <f t="shared" si="188"/>
        <v>549.91</v>
      </c>
      <c r="P793" s="1">
        <v>10</v>
      </c>
      <c r="Q793" s="15">
        <v>1</v>
      </c>
      <c r="R793" s="3">
        <f>Q793*VLOOKUP(P793,[4]Datos!$A$2:$D$14,2)</f>
        <v>8.19</v>
      </c>
      <c r="S793" s="10">
        <f t="shared" si="212"/>
        <v>68</v>
      </c>
      <c r="T793" s="14">
        <v>77</v>
      </c>
      <c r="U793" s="3">
        <f t="shared" si="213"/>
        <v>7.0000000000000007E-2</v>
      </c>
      <c r="V793" s="3"/>
      <c r="W793" s="1">
        <v>280</v>
      </c>
      <c r="X793" s="9">
        <v>2</v>
      </c>
      <c r="Y793" s="1">
        <v>6</v>
      </c>
      <c r="Z793" s="3">
        <f>X793*VLOOKUP(Y793,[4]Datos!$A$2:$D$14,2)</f>
        <v>5.68</v>
      </c>
      <c r="AA793" s="8">
        <v>7.4999999999999997E-2</v>
      </c>
      <c r="AB793" s="7">
        <f t="shared" si="189"/>
        <v>207.09423574274689</v>
      </c>
      <c r="AC793" s="7">
        <f t="shared" si="214"/>
        <v>414.61035434434268</v>
      </c>
      <c r="AD793" s="6" t="str">
        <f t="shared" si="190"/>
        <v>Cumple</v>
      </c>
      <c r="AE793" s="6"/>
      <c r="AF793" s="5">
        <v>12</v>
      </c>
      <c r="AG793" s="7">
        <f t="shared" si="225"/>
        <v>2</v>
      </c>
      <c r="AH793" s="3">
        <f t="shared" si="226"/>
        <v>2.6880252142277672</v>
      </c>
      <c r="AI793" s="7">
        <f>G793-0.15-VLOOKUP(Y793,[4]Datos!$A$2:$D$14,3)/100</f>
        <v>1.8309000000000002</v>
      </c>
      <c r="AJ793" s="7">
        <f t="shared" si="227"/>
        <v>5.7524309339691264</v>
      </c>
      <c r="AK793" s="1">
        <v>0.12</v>
      </c>
      <c r="AL793" s="16">
        <f t="shared" si="228"/>
        <v>7.9620853080568724E-3</v>
      </c>
      <c r="AM793" s="7">
        <f t="shared" si="229"/>
        <v>153.39815823917672</v>
      </c>
      <c r="AN793" s="17">
        <f t="shared" si="230"/>
        <v>4.3565076939926187E-2</v>
      </c>
      <c r="AO793" s="17">
        <f t="shared" si="231"/>
        <v>5.3760504284555344</v>
      </c>
      <c r="AP793" s="16">
        <f t="shared" si="232"/>
        <v>8.1035469290495175E-3</v>
      </c>
      <c r="AQ793" s="6" t="str">
        <f t="shared" si="233"/>
        <v>Cumple</v>
      </c>
    </row>
    <row r="794" spans="1:43" x14ac:dyDescent="0.3">
      <c r="A794" s="13"/>
      <c r="B794" s="1">
        <v>13</v>
      </c>
      <c r="C794" s="1">
        <v>374</v>
      </c>
      <c r="D794" s="1">
        <v>1</v>
      </c>
      <c r="E794" s="5">
        <v>1</v>
      </c>
      <c r="F794" s="3">
        <f t="shared" si="224"/>
        <v>13</v>
      </c>
      <c r="G794" s="5">
        <v>2</v>
      </c>
      <c r="H794" s="3">
        <f t="shared" si="211"/>
        <v>3.1415926535897931</v>
      </c>
      <c r="I794" s="4">
        <v>0.117408</v>
      </c>
      <c r="K794" s="3">
        <v>182.34623999863555</v>
      </c>
      <c r="L794" s="3">
        <v>398.82666999999998</v>
      </c>
      <c r="M794" s="3">
        <v>2758.43975</v>
      </c>
      <c r="N794" s="12">
        <f t="shared" si="187"/>
        <v>3.7372127117066493E-2</v>
      </c>
      <c r="O794" s="11">
        <f t="shared" si="188"/>
        <v>1174.08</v>
      </c>
      <c r="P794" s="1">
        <v>10</v>
      </c>
      <c r="Q794" s="15">
        <v>2</v>
      </c>
      <c r="R794" s="3">
        <f>Q794*VLOOKUP(P794,[4]Datos!$A$2:$D$14,2)</f>
        <v>16.38</v>
      </c>
      <c r="S794" s="10">
        <f t="shared" si="212"/>
        <v>72</v>
      </c>
      <c r="T794" s="14">
        <v>77</v>
      </c>
      <c r="U794" s="3">
        <f t="shared" si="213"/>
        <v>7.0000000000000007E-2</v>
      </c>
      <c r="V794" s="3"/>
      <c r="W794" s="1">
        <v>280</v>
      </c>
      <c r="X794" s="9">
        <v>2</v>
      </c>
      <c r="Y794" s="1">
        <v>6</v>
      </c>
      <c r="Z794" s="3">
        <f>X794*VLOOKUP(Y794,[4]Datos!$A$2:$D$14,2)</f>
        <v>5.68</v>
      </c>
      <c r="AA794" s="8">
        <v>7.4999999999999997E-2</v>
      </c>
      <c r="AB794" s="7">
        <f t="shared" si="189"/>
        <v>115.05235319041492</v>
      </c>
      <c r="AC794" s="7">
        <f t="shared" si="214"/>
        <v>414.61035434434268</v>
      </c>
      <c r="AD794" s="6" t="str">
        <f t="shared" si="190"/>
        <v>Cumple</v>
      </c>
      <c r="AE794" s="6"/>
      <c r="AG794" s="7">
        <f t="shared" ref="AG794:AG799" si="234">ROUNDUP(MAX(0.45,3*G794,),0)</f>
        <v>6</v>
      </c>
      <c r="AH794" s="3">
        <f t="shared" si="226"/>
        <v>2.6880252142277672</v>
      </c>
      <c r="AI794" s="7">
        <f>G794-0.15-VLOOKUP(Y794,[4]Datos!$A$2:$D$14,3)/100</f>
        <v>1.8309000000000002</v>
      </c>
      <c r="AJ794" s="7">
        <f t="shared" si="227"/>
        <v>5.7524309339691264</v>
      </c>
      <c r="AK794" s="1">
        <v>0.12</v>
      </c>
      <c r="AL794" s="16">
        <f t="shared" si="228"/>
        <v>7.9620853080568724E-3</v>
      </c>
      <c r="AM794" s="7">
        <f t="shared" si="229"/>
        <v>460.19447471753017</v>
      </c>
      <c r="AN794" s="17">
        <f t="shared" si="230"/>
        <v>0.13069523081977857</v>
      </c>
      <c r="AO794" s="17">
        <f t="shared" si="231"/>
        <v>16.128151285366602</v>
      </c>
      <c r="AP794" s="16">
        <f t="shared" si="232"/>
        <v>8.1035469290495193E-3</v>
      </c>
      <c r="AQ794" s="6" t="str">
        <f t="shared" si="233"/>
        <v>Cumple</v>
      </c>
    </row>
    <row r="795" spans="1:43" x14ac:dyDescent="0.3">
      <c r="A795" s="13"/>
      <c r="B795" s="1">
        <v>14</v>
      </c>
      <c r="C795" s="1">
        <v>376</v>
      </c>
      <c r="D795" s="1">
        <v>1</v>
      </c>
      <c r="E795" s="5">
        <v>1</v>
      </c>
      <c r="F795" s="3">
        <f t="shared" si="224"/>
        <v>14</v>
      </c>
      <c r="G795" s="5">
        <v>2</v>
      </c>
      <c r="H795" s="3">
        <f t="shared" si="211"/>
        <v>3.1415926535897931</v>
      </c>
      <c r="I795" s="4">
        <v>0.122974</v>
      </c>
      <c r="K795" s="3">
        <v>130.1890136234237</v>
      </c>
      <c r="L795" s="3">
        <v>484.94466999999997</v>
      </c>
      <c r="M795" s="3">
        <v>2883.7750599999999</v>
      </c>
      <c r="N795" s="12">
        <f t="shared" si="187"/>
        <v>3.9143839943565475E-2</v>
      </c>
      <c r="O795" s="11">
        <f t="shared" si="188"/>
        <v>1229.74</v>
      </c>
      <c r="P795" s="1">
        <v>10</v>
      </c>
      <c r="Q795" s="15">
        <v>2</v>
      </c>
      <c r="R795" s="3">
        <f>Q795*VLOOKUP(P795,[4]Datos!$A$2:$D$14,2)</f>
        <v>16.38</v>
      </c>
      <c r="S795" s="10">
        <f t="shared" si="212"/>
        <v>76</v>
      </c>
      <c r="T795" s="14">
        <v>77</v>
      </c>
      <c r="U795" s="3">
        <f t="shared" si="213"/>
        <v>7.0000000000000007E-2</v>
      </c>
      <c r="V795" s="3"/>
      <c r="W795" s="1">
        <v>280</v>
      </c>
      <c r="X795" s="9">
        <v>2</v>
      </c>
      <c r="Y795" s="1">
        <v>6</v>
      </c>
      <c r="Z795" s="3">
        <f>X795*VLOOKUP(Y795,[4]Datos!$A$2:$D$14,2)</f>
        <v>5.68</v>
      </c>
      <c r="AA795" s="8">
        <v>7.4999999999999997E-2</v>
      </c>
      <c r="AB795" s="7">
        <f t="shared" si="189"/>
        <v>115.05235319041492</v>
      </c>
      <c r="AC795" s="7">
        <f t="shared" si="214"/>
        <v>414.61035434434268</v>
      </c>
      <c r="AD795" s="6" t="str">
        <f t="shared" si="190"/>
        <v>Cumple</v>
      </c>
      <c r="AE795" s="6"/>
      <c r="AG795" s="7">
        <f t="shared" si="234"/>
        <v>6</v>
      </c>
      <c r="AH795" s="3">
        <f t="shared" si="226"/>
        <v>2.6880252142277672</v>
      </c>
      <c r="AI795" s="7">
        <f>G795-0.15-VLOOKUP(Y795,[4]Datos!$A$2:$D$14,3)/100</f>
        <v>1.8309000000000002</v>
      </c>
      <c r="AJ795" s="7">
        <f t="shared" si="227"/>
        <v>5.7524309339691264</v>
      </c>
      <c r="AK795" s="1">
        <v>0.12</v>
      </c>
      <c r="AL795" s="16">
        <f t="shared" si="228"/>
        <v>7.9620853080568724E-3</v>
      </c>
      <c r="AM795" s="7">
        <f t="shared" si="229"/>
        <v>460.19447471753017</v>
      </c>
      <c r="AN795" s="17">
        <f t="shared" si="230"/>
        <v>0.13069523081977857</v>
      </c>
      <c r="AO795" s="17">
        <f t="shared" si="231"/>
        <v>16.128151285366602</v>
      </c>
      <c r="AP795" s="16">
        <f t="shared" si="232"/>
        <v>8.1035469290495193E-3</v>
      </c>
      <c r="AQ795" s="6" t="str">
        <f t="shared" si="233"/>
        <v>Cumple</v>
      </c>
    </row>
    <row r="796" spans="1:43" x14ac:dyDescent="0.3">
      <c r="A796" s="13"/>
      <c r="B796" s="1">
        <v>15</v>
      </c>
      <c r="C796" s="1">
        <v>378</v>
      </c>
      <c r="D796" s="1">
        <v>1</v>
      </c>
      <c r="E796" s="5">
        <v>1</v>
      </c>
      <c r="F796" s="3">
        <f t="shared" si="224"/>
        <v>15</v>
      </c>
      <c r="G796" s="5">
        <v>2</v>
      </c>
      <c r="H796" s="3">
        <f t="shared" si="211"/>
        <v>3.1415926535897931</v>
      </c>
      <c r="I796" s="4">
        <v>0.124723</v>
      </c>
      <c r="K796" s="3">
        <v>69.939521373969953</v>
      </c>
      <c r="L796" s="3">
        <v>548.99697000000003</v>
      </c>
      <c r="M796" s="3">
        <v>2926.9947099999999</v>
      </c>
      <c r="N796" s="12">
        <f t="shared" si="187"/>
        <v>3.9700563934500922E-2</v>
      </c>
      <c r="O796" s="11">
        <f t="shared" si="188"/>
        <v>1247.23</v>
      </c>
      <c r="P796" s="1">
        <v>10</v>
      </c>
      <c r="Q796" s="15">
        <v>2</v>
      </c>
      <c r="R796" s="3">
        <f>Q796*VLOOKUP(P796,[4]Datos!$A$2:$D$14,2)</f>
        <v>16.38</v>
      </c>
      <c r="S796" s="10">
        <f t="shared" si="212"/>
        <v>77</v>
      </c>
      <c r="T796" s="14">
        <v>77</v>
      </c>
      <c r="U796" s="3">
        <f t="shared" si="213"/>
        <v>7.0000000000000007E-2</v>
      </c>
      <c r="V796" s="3"/>
      <c r="W796" s="1">
        <v>280</v>
      </c>
      <c r="X796" s="9">
        <v>2</v>
      </c>
      <c r="Y796" s="1">
        <v>6</v>
      </c>
      <c r="Z796" s="3">
        <f>X796*VLOOKUP(Y796,[4]Datos!$A$2:$D$14,2)</f>
        <v>5.68</v>
      </c>
      <c r="AA796" s="8">
        <v>7.4999999999999997E-2</v>
      </c>
      <c r="AB796" s="7">
        <f t="shared" si="189"/>
        <v>115.05235319041492</v>
      </c>
      <c r="AC796" s="7">
        <f t="shared" si="214"/>
        <v>414.61035434434268</v>
      </c>
      <c r="AD796" s="6" t="str">
        <f t="shared" si="190"/>
        <v>Cumple</v>
      </c>
      <c r="AE796" s="6"/>
      <c r="AG796" s="7">
        <f t="shared" si="234"/>
        <v>6</v>
      </c>
      <c r="AH796" s="3">
        <f t="shared" si="226"/>
        <v>2.6880252142277672</v>
      </c>
      <c r="AI796" s="7">
        <f>G796-0.15-VLOOKUP(Y796,[4]Datos!$A$2:$D$14,3)/100</f>
        <v>1.8309000000000002</v>
      </c>
      <c r="AJ796" s="7">
        <f t="shared" si="227"/>
        <v>5.7524309339691264</v>
      </c>
      <c r="AK796" s="1">
        <v>0.12</v>
      </c>
      <c r="AL796" s="16">
        <f t="shared" si="228"/>
        <v>7.9620853080568724E-3</v>
      </c>
      <c r="AM796" s="7">
        <f t="shared" si="229"/>
        <v>460.19447471753017</v>
      </c>
      <c r="AN796" s="17">
        <f t="shared" si="230"/>
        <v>0.13069523081977857</v>
      </c>
      <c r="AO796" s="17">
        <f t="shared" si="231"/>
        <v>16.128151285366602</v>
      </c>
      <c r="AP796" s="16">
        <f t="shared" si="232"/>
        <v>8.1035469290495193E-3</v>
      </c>
      <c r="AQ796" s="6" t="str">
        <f t="shared" si="233"/>
        <v>Cumple</v>
      </c>
    </row>
    <row r="797" spans="1:43" x14ac:dyDescent="0.3">
      <c r="A797" s="13"/>
      <c r="B797" s="1">
        <v>16</v>
      </c>
      <c r="C797" s="1">
        <v>380</v>
      </c>
      <c r="D797" s="1">
        <v>1</v>
      </c>
      <c r="E797" s="5">
        <v>1</v>
      </c>
      <c r="F797" s="3">
        <f t="shared" si="224"/>
        <v>16</v>
      </c>
      <c r="G797" s="5">
        <v>2</v>
      </c>
      <c r="H797" s="3">
        <f t="shared" si="211"/>
        <v>3.1415926535897931</v>
      </c>
      <c r="I797" s="4">
        <v>0.124721</v>
      </c>
      <c r="K797" s="3">
        <v>55.76676730616542</v>
      </c>
      <c r="L797" s="3">
        <v>586.20335</v>
      </c>
      <c r="M797" s="3">
        <v>2926.9947099999999</v>
      </c>
      <c r="N797" s="12">
        <f t="shared" si="187"/>
        <v>3.9699927314728559E-2</v>
      </c>
      <c r="O797" s="11">
        <f t="shared" si="188"/>
        <v>1247.21</v>
      </c>
      <c r="P797" s="1">
        <v>10</v>
      </c>
      <c r="Q797" s="15">
        <v>2</v>
      </c>
      <c r="R797" s="3">
        <f>Q797*VLOOKUP(P797,[4]Datos!$A$2:$D$14,2)</f>
        <v>16.38</v>
      </c>
      <c r="S797" s="10">
        <f t="shared" si="212"/>
        <v>77</v>
      </c>
      <c r="T797" s="14">
        <v>77</v>
      </c>
      <c r="U797" s="3">
        <f t="shared" si="213"/>
        <v>7.0000000000000007E-2</v>
      </c>
      <c r="V797" s="3"/>
      <c r="W797" s="1">
        <v>280</v>
      </c>
      <c r="X797" s="9">
        <v>2</v>
      </c>
      <c r="Y797" s="1">
        <v>6</v>
      </c>
      <c r="Z797" s="3">
        <f>X797*VLOOKUP(Y797,[4]Datos!$A$2:$D$14,2)</f>
        <v>5.68</v>
      </c>
      <c r="AA797" s="8">
        <v>7.4999999999999997E-2</v>
      </c>
      <c r="AB797" s="7">
        <f t="shared" si="189"/>
        <v>115.05235319041492</v>
      </c>
      <c r="AC797" s="7">
        <f t="shared" si="214"/>
        <v>414.61035434434268</v>
      </c>
      <c r="AD797" s="6" t="str">
        <f t="shared" si="190"/>
        <v>Cumple</v>
      </c>
      <c r="AE797" s="6"/>
      <c r="AG797" s="7">
        <f t="shared" si="234"/>
        <v>6</v>
      </c>
      <c r="AH797" s="3">
        <f t="shared" si="226"/>
        <v>2.6880252142277672</v>
      </c>
      <c r="AI797" s="7">
        <f>G797-0.15-VLOOKUP(Y797,[4]Datos!$A$2:$D$14,3)/100</f>
        <v>1.8309000000000002</v>
      </c>
      <c r="AJ797" s="7">
        <f t="shared" si="227"/>
        <v>5.7524309339691264</v>
      </c>
      <c r="AK797" s="1">
        <v>0.12</v>
      </c>
      <c r="AL797" s="16">
        <f t="shared" si="228"/>
        <v>7.9620853080568724E-3</v>
      </c>
      <c r="AM797" s="7">
        <f t="shared" si="229"/>
        <v>460.19447471753017</v>
      </c>
      <c r="AN797" s="17">
        <f t="shared" si="230"/>
        <v>0.13069523081977857</v>
      </c>
      <c r="AO797" s="17">
        <f t="shared" si="231"/>
        <v>16.128151285366602</v>
      </c>
      <c r="AP797" s="16">
        <f t="shared" si="232"/>
        <v>8.1035469290495193E-3</v>
      </c>
      <c r="AQ797" s="6" t="str">
        <f t="shared" si="233"/>
        <v>Cumple</v>
      </c>
    </row>
    <row r="798" spans="1:43" x14ac:dyDescent="0.3">
      <c r="A798" s="13"/>
      <c r="B798" s="1">
        <v>17</v>
      </c>
      <c r="C798" s="1">
        <v>382</v>
      </c>
      <c r="D798" s="1">
        <v>1</v>
      </c>
      <c r="E798" s="5">
        <v>1</v>
      </c>
      <c r="F798" s="3">
        <f t="shared" si="224"/>
        <v>17</v>
      </c>
      <c r="G798" s="5">
        <v>2</v>
      </c>
      <c r="H798" s="3">
        <f t="shared" si="211"/>
        <v>3.1415926535897931</v>
      </c>
      <c r="I798" s="4">
        <v>0.122488</v>
      </c>
      <c r="K798" s="3">
        <v>142.34443683298622</v>
      </c>
      <c r="L798" s="3">
        <v>595.72563000000002</v>
      </c>
      <c r="M798" s="3">
        <v>2877.19787</v>
      </c>
      <c r="N798" s="12">
        <f t="shared" si="187"/>
        <v>3.8989141338880151E-2</v>
      </c>
      <c r="O798" s="11">
        <f t="shared" si="188"/>
        <v>1224.8800000000001</v>
      </c>
      <c r="P798" s="1">
        <v>10</v>
      </c>
      <c r="Q798" s="15">
        <v>2</v>
      </c>
      <c r="R798" s="3">
        <f>Q798*VLOOKUP(P798,[4]Datos!$A$2:$D$14,2)</f>
        <v>16.38</v>
      </c>
      <c r="S798" s="10">
        <f t="shared" si="212"/>
        <v>75</v>
      </c>
      <c r="T798" s="14">
        <v>77</v>
      </c>
      <c r="U798" s="3">
        <f t="shared" si="213"/>
        <v>7.0000000000000007E-2</v>
      </c>
      <c r="V798" s="3"/>
      <c r="W798" s="1">
        <v>280</v>
      </c>
      <c r="X798" s="9">
        <v>2</v>
      </c>
      <c r="Y798" s="1">
        <v>6</v>
      </c>
      <c r="Z798" s="3">
        <f>X798*VLOOKUP(Y798,[4]Datos!$A$2:$D$14,2)</f>
        <v>5.68</v>
      </c>
      <c r="AA798" s="8">
        <v>7.4999999999999997E-2</v>
      </c>
      <c r="AB798" s="7">
        <f t="shared" si="189"/>
        <v>115.05235319041492</v>
      </c>
      <c r="AC798" s="7">
        <f t="shared" si="214"/>
        <v>414.61035434434268</v>
      </c>
      <c r="AD798" s="6" t="str">
        <f t="shared" si="190"/>
        <v>Cumple</v>
      </c>
      <c r="AE798" s="6"/>
      <c r="AG798" s="7">
        <f t="shared" si="234"/>
        <v>6</v>
      </c>
      <c r="AH798" s="3">
        <f t="shared" si="226"/>
        <v>2.6880252142277672</v>
      </c>
      <c r="AI798" s="7">
        <f>G798-0.15-VLOOKUP(Y798,[4]Datos!$A$2:$D$14,3)/100</f>
        <v>1.8309000000000002</v>
      </c>
      <c r="AJ798" s="7">
        <f t="shared" si="227"/>
        <v>5.7524309339691264</v>
      </c>
      <c r="AK798" s="1">
        <v>0.12</v>
      </c>
      <c r="AL798" s="16">
        <f t="shared" si="228"/>
        <v>7.9620853080568724E-3</v>
      </c>
      <c r="AM798" s="7">
        <f t="shared" si="229"/>
        <v>460.19447471753017</v>
      </c>
      <c r="AN798" s="17">
        <f t="shared" si="230"/>
        <v>0.13069523081977857</v>
      </c>
      <c r="AO798" s="17">
        <f t="shared" si="231"/>
        <v>16.128151285366602</v>
      </c>
      <c r="AP798" s="16">
        <f t="shared" si="232"/>
        <v>8.1035469290495193E-3</v>
      </c>
      <c r="AQ798" s="6" t="str">
        <f t="shared" si="233"/>
        <v>Cumple</v>
      </c>
    </row>
    <row r="799" spans="1:43" x14ac:dyDescent="0.3">
      <c r="A799" s="13"/>
      <c r="B799" s="1">
        <v>18</v>
      </c>
      <c r="C799" s="1">
        <v>384</v>
      </c>
      <c r="D799" s="1">
        <v>1</v>
      </c>
      <c r="E799" s="5">
        <v>1</v>
      </c>
      <c r="F799" s="3">
        <f t="shared" si="224"/>
        <v>18</v>
      </c>
      <c r="G799" s="5">
        <v>2</v>
      </c>
      <c r="H799" s="3">
        <f t="shared" si="211"/>
        <v>3.1415926535897931</v>
      </c>
      <c r="I799" s="4">
        <v>0.115966</v>
      </c>
      <c r="K799" s="3">
        <v>218.49078190212052</v>
      </c>
      <c r="L799" s="3">
        <v>595.72563000000002</v>
      </c>
      <c r="M799" s="3">
        <v>2737.68154</v>
      </c>
      <c r="N799" s="12">
        <f t="shared" si="187"/>
        <v>3.6913124261189471E-2</v>
      </c>
      <c r="O799" s="11">
        <f t="shared" si="188"/>
        <v>1159.6600000000001</v>
      </c>
      <c r="P799" s="1">
        <v>10</v>
      </c>
      <c r="Q799" s="15">
        <v>2</v>
      </c>
      <c r="R799" s="3">
        <f>Q799*VLOOKUP(P799,[4]Datos!$A$2:$D$14,2)</f>
        <v>16.38</v>
      </c>
      <c r="S799" s="10">
        <f t="shared" si="212"/>
        <v>71</v>
      </c>
      <c r="T799" s="14">
        <v>77</v>
      </c>
      <c r="U799" s="3">
        <f t="shared" si="213"/>
        <v>7.0000000000000007E-2</v>
      </c>
      <c r="V799" s="3"/>
      <c r="W799" s="1">
        <v>280</v>
      </c>
      <c r="X799" s="9">
        <v>2</v>
      </c>
      <c r="Y799" s="1">
        <v>6</v>
      </c>
      <c r="Z799" s="3">
        <f>X799*VLOOKUP(Y799,[4]Datos!$A$2:$D$14,2)</f>
        <v>5.68</v>
      </c>
      <c r="AA799" s="8">
        <v>7.4999999999999997E-2</v>
      </c>
      <c r="AB799" s="7">
        <f t="shared" si="189"/>
        <v>115.05235319041492</v>
      </c>
      <c r="AC799" s="7">
        <f t="shared" si="214"/>
        <v>414.61035434434268</v>
      </c>
      <c r="AD799" s="6" t="str">
        <f t="shared" si="190"/>
        <v>Cumple</v>
      </c>
      <c r="AE799" s="6"/>
      <c r="AG799" s="7">
        <f t="shared" si="234"/>
        <v>6</v>
      </c>
      <c r="AH799" s="3">
        <f t="shared" si="226"/>
        <v>2.6880252142277672</v>
      </c>
      <c r="AI799" s="7">
        <f>G799-0.15-VLOOKUP(Y799,[4]Datos!$A$2:$D$14,3)/100</f>
        <v>1.8309000000000002</v>
      </c>
      <c r="AJ799" s="7">
        <f t="shared" si="227"/>
        <v>5.7524309339691264</v>
      </c>
      <c r="AK799" s="1">
        <v>0.12</v>
      </c>
      <c r="AL799" s="16">
        <f t="shared" si="228"/>
        <v>7.9620853080568724E-3</v>
      </c>
      <c r="AM799" s="7">
        <f t="shared" si="229"/>
        <v>460.19447471753017</v>
      </c>
      <c r="AN799" s="17">
        <f t="shared" si="230"/>
        <v>0.13069523081977857</v>
      </c>
      <c r="AO799" s="17">
        <f t="shared" si="231"/>
        <v>16.128151285366602</v>
      </c>
      <c r="AP799" s="16">
        <f t="shared" si="232"/>
        <v>8.1035469290495193E-3</v>
      </c>
      <c r="AQ799" s="6" t="str">
        <f t="shared" si="233"/>
        <v>Cumple</v>
      </c>
    </row>
    <row r="800" spans="1:43" x14ac:dyDescent="0.3">
      <c r="A800" s="13"/>
      <c r="B800" s="1">
        <v>19</v>
      </c>
      <c r="C800" s="1">
        <v>386</v>
      </c>
      <c r="D800" s="1">
        <v>1</v>
      </c>
      <c r="E800" s="5">
        <v>1</v>
      </c>
      <c r="F800" s="3">
        <f t="shared" si="224"/>
        <v>19</v>
      </c>
      <c r="G800" s="5">
        <v>2</v>
      </c>
      <c r="H800" s="3">
        <f t="shared" si="211"/>
        <v>3.1415926535897931</v>
      </c>
      <c r="I800" s="4">
        <v>0.104463</v>
      </c>
      <c r="K800" s="3">
        <v>276.28211374292766</v>
      </c>
      <c r="L800" s="3">
        <v>579.66359999999997</v>
      </c>
      <c r="M800" s="3">
        <v>2521.5986600000001</v>
      </c>
      <c r="N800" s="12">
        <f t="shared" si="187"/>
        <v>3.3251605640417327E-2</v>
      </c>
      <c r="O800" s="11">
        <f t="shared" si="188"/>
        <v>1044.6300000000001</v>
      </c>
      <c r="P800" s="1">
        <v>10</v>
      </c>
      <c r="Q800" s="15">
        <v>2</v>
      </c>
      <c r="R800" s="3">
        <f>Q800*VLOOKUP(P800,[4]Datos!$A$2:$D$14,2)</f>
        <v>16.38</v>
      </c>
      <c r="S800" s="10">
        <f t="shared" si="212"/>
        <v>64</v>
      </c>
      <c r="T800" s="14">
        <v>77</v>
      </c>
      <c r="U800" s="3">
        <f t="shared" si="213"/>
        <v>7.0000000000000007E-2</v>
      </c>
      <c r="V800" s="3"/>
      <c r="W800" s="1">
        <v>280</v>
      </c>
      <c r="X800" s="9">
        <v>2</v>
      </c>
      <c r="Y800" s="1">
        <v>6</v>
      </c>
      <c r="Z800" s="3">
        <f>X800*VLOOKUP(Y800,[4]Datos!$A$2:$D$14,2)</f>
        <v>5.68</v>
      </c>
      <c r="AA800" s="8">
        <v>0.1</v>
      </c>
      <c r="AB800" s="7">
        <f t="shared" si="189"/>
        <v>115.05235319041492</v>
      </c>
      <c r="AC800" s="7">
        <f t="shared" si="214"/>
        <v>310.95776575825693</v>
      </c>
      <c r="AD800" s="6" t="str">
        <f t="shared" si="190"/>
        <v>Cumple</v>
      </c>
      <c r="AE800" s="6"/>
      <c r="AH800" s="3"/>
    </row>
    <row r="801" spans="1:43" x14ac:dyDescent="0.3">
      <c r="A801" s="13"/>
      <c r="B801" s="1">
        <v>20</v>
      </c>
      <c r="C801" s="1">
        <v>388</v>
      </c>
      <c r="D801" s="1">
        <v>1</v>
      </c>
      <c r="E801" s="5">
        <v>1</v>
      </c>
      <c r="F801" s="3">
        <f t="shared" si="224"/>
        <v>20</v>
      </c>
      <c r="G801" s="5">
        <v>2</v>
      </c>
      <c r="H801" s="3">
        <f t="shared" si="211"/>
        <v>3.1415926535897931</v>
      </c>
      <c r="I801" s="4">
        <v>9.0772000000000005E-2</v>
      </c>
      <c r="K801" s="3">
        <v>312.49533407707071</v>
      </c>
      <c r="L801" s="3">
        <v>542.10284000000001</v>
      </c>
      <c r="M801" s="3">
        <v>2248.0019400000001</v>
      </c>
      <c r="N801" s="12">
        <f t="shared" si="187"/>
        <v>2.8893624988675051E-2</v>
      </c>
      <c r="O801" s="11">
        <f t="shared" si="188"/>
        <v>907.72</v>
      </c>
      <c r="P801" s="1">
        <v>10</v>
      </c>
      <c r="Q801" s="15">
        <v>2</v>
      </c>
      <c r="R801" s="3">
        <f>Q801*VLOOKUP(P801,[4]Datos!$A$2:$D$14,2)</f>
        <v>16.38</v>
      </c>
      <c r="S801" s="10">
        <f t="shared" si="212"/>
        <v>56</v>
      </c>
      <c r="T801" s="14">
        <v>77</v>
      </c>
      <c r="U801" s="3">
        <f t="shared" si="213"/>
        <v>7.0000000000000007E-2</v>
      </c>
      <c r="V801" s="3"/>
      <c r="W801" s="1">
        <v>280</v>
      </c>
      <c r="X801" s="9">
        <v>2</v>
      </c>
      <c r="Y801" s="1">
        <v>6</v>
      </c>
      <c r="Z801" s="3">
        <f>X801*VLOOKUP(Y801,[4]Datos!$A$2:$D$14,2)</f>
        <v>5.68</v>
      </c>
      <c r="AA801" s="8">
        <v>0.1</v>
      </c>
      <c r="AB801" s="7">
        <f t="shared" si="189"/>
        <v>115.05235319041492</v>
      </c>
      <c r="AC801" s="7">
        <f t="shared" si="214"/>
        <v>310.95776575825693</v>
      </c>
      <c r="AD801" s="6" t="str">
        <f t="shared" si="190"/>
        <v>Cumple</v>
      </c>
      <c r="AE801" s="6"/>
      <c r="AH801" s="3"/>
    </row>
    <row r="802" spans="1:43" x14ac:dyDescent="0.3">
      <c r="A802" s="13"/>
      <c r="B802" s="1">
        <v>21</v>
      </c>
      <c r="C802" s="1">
        <v>390</v>
      </c>
      <c r="D802" s="1">
        <v>1</v>
      </c>
      <c r="E802" s="5">
        <v>1</v>
      </c>
      <c r="F802" s="3">
        <f t="shared" si="224"/>
        <v>21</v>
      </c>
      <c r="G802" s="5">
        <v>2</v>
      </c>
      <c r="H802" s="3">
        <f t="shared" si="211"/>
        <v>3.1415926535897931</v>
      </c>
      <c r="I802" s="4">
        <v>7.8682000000000002E-2</v>
      </c>
      <c r="K802" s="3">
        <v>327.20925728753457</v>
      </c>
      <c r="L802" s="3">
        <v>488.25146000000001</v>
      </c>
      <c r="M802" s="3">
        <v>1938.4583399999999</v>
      </c>
      <c r="N802" s="12">
        <f t="shared" si="187"/>
        <v>2.5045258464713019E-2</v>
      </c>
      <c r="O802" s="11">
        <f t="shared" si="188"/>
        <v>786.82</v>
      </c>
      <c r="P802" s="1">
        <v>10</v>
      </c>
      <c r="Q802" s="15">
        <v>2</v>
      </c>
      <c r="R802" s="3">
        <f>Q802*VLOOKUP(P802,[4]Datos!$A$2:$D$14,2)</f>
        <v>16.38</v>
      </c>
      <c r="S802" s="10">
        <f t="shared" si="212"/>
        <v>49</v>
      </c>
      <c r="T802" s="14">
        <v>77</v>
      </c>
      <c r="U802" s="3">
        <f t="shared" si="213"/>
        <v>7.0000000000000007E-2</v>
      </c>
      <c r="V802" s="3"/>
      <c r="W802" s="1">
        <v>280</v>
      </c>
      <c r="X802" s="9">
        <v>2</v>
      </c>
      <c r="Y802" s="1">
        <v>6</v>
      </c>
      <c r="Z802" s="3">
        <f>X802*VLOOKUP(Y802,[4]Datos!$A$2:$D$14,2)</f>
        <v>5.68</v>
      </c>
      <c r="AA802" s="8">
        <v>0.1</v>
      </c>
      <c r="AB802" s="7">
        <f t="shared" si="189"/>
        <v>115.05235319041492</v>
      </c>
      <c r="AC802" s="7">
        <f t="shared" si="214"/>
        <v>310.95776575825693</v>
      </c>
      <c r="AD802" s="6" t="str">
        <f t="shared" si="190"/>
        <v>Cumple</v>
      </c>
      <c r="AE802" s="6"/>
      <c r="AH802" s="3"/>
    </row>
    <row r="803" spans="1:43" x14ac:dyDescent="0.3">
      <c r="A803" s="13"/>
      <c r="B803" s="1">
        <v>22</v>
      </c>
      <c r="C803" s="1">
        <v>392</v>
      </c>
      <c r="D803" s="1">
        <v>1</v>
      </c>
      <c r="E803" s="5">
        <v>1</v>
      </c>
      <c r="F803" s="3">
        <f t="shared" si="224"/>
        <v>22</v>
      </c>
      <c r="G803" s="5">
        <v>2</v>
      </c>
      <c r="H803" s="3">
        <f t="shared" si="211"/>
        <v>3.1415926535897931</v>
      </c>
      <c r="I803" s="4">
        <v>6.0864000000000001E-2</v>
      </c>
      <c r="K803" s="3">
        <v>322.54970180009468</v>
      </c>
      <c r="L803" s="3">
        <v>423.70612</v>
      </c>
      <c r="M803" s="3">
        <v>1614.3509100000001</v>
      </c>
      <c r="N803" s="12">
        <f t="shared" si="187"/>
        <v>1.9373612912690238E-2</v>
      </c>
      <c r="O803" s="11">
        <f t="shared" si="188"/>
        <v>608.64</v>
      </c>
      <c r="P803" s="1">
        <v>10</v>
      </c>
      <c r="Q803" s="15">
        <v>1</v>
      </c>
      <c r="R803" s="3">
        <f>Q803*VLOOKUP(P803,[4]Datos!$A$2:$D$14,2)</f>
        <v>8.19</v>
      </c>
      <c r="S803" s="10">
        <f t="shared" si="212"/>
        <v>75</v>
      </c>
      <c r="T803" s="14">
        <v>77</v>
      </c>
      <c r="U803" s="3">
        <f t="shared" si="213"/>
        <v>7.0000000000000007E-2</v>
      </c>
      <c r="V803" s="3"/>
      <c r="W803" s="1">
        <v>280</v>
      </c>
      <c r="X803" s="9">
        <v>2</v>
      </c>
      <c r="Y803" s="1">
        <v>6</v>
      </c>
      <c r="Z803" s="3">
        <f>X803*VLOOKUP(Y803,[4]Datos!$A$2:$D$14,2)</f>
        <v>5.68</v>
      </c>
      <c r="AA803" s="8">
        <v>0.1</v>
      </c>
      <c r="AB803" s="7">
        <f t="shared" si="189"/>
        <v>115.05235319041492</v>
      </c>
      <c r="AC803" s="7">
        <f t="shared" si="214"/>
        <v>310.95776575825693</v>
      </c>
      <c r="AD803" s="6" t="str">
        <f t="shared" si="190"/>
        <v>Cumple</v>
      </c>
      <c r="AE803" s="6"/>
      <c r="AH803" s="3"/>
    </row>
    <row r="804" spans="1:43" x14ac:dyDescent="0.3">
      <c r="A804" s="13"/>
      <c r="B804" s="1">
        <v>23</v>
      </c>
      <c r="C804" s="1">
        <v>394</v>
      </c>
      <c r="D804" s="1">
        <v>1</v>
      </c>
      <c r="E804" s="5">
        <v>1</v>
      </c>
      <c r="F804" s="3">
        <f t="shared" si="224"/>
        <v>23</v>
      </c>
      <c r="G804" s="5">
        <v>2</v>
      </c>
      <c r="H804" s="3">
        <f t="shared" si="211"/>
        <v>3.1415926535897931</v>
      </c>
      <c r="I804" s="4">
        <v>5.0594E-2</v>
      </c>
      <c r="K804" s="3">
        <v>301.93111926719314</v>
      </c>
      <c r="L804" s="3">
        <v>353.87466000000001</v>
      </c>
      <c r="M804" s="3">
        <v>1294.91227</v>
      </c>
      <c r="N804" s="12">
        <f t="shared" si="187"/>
        <v>1.6104570381582705E-2</v>
      </c>
      <c r="O804" s="11">
        <f t="shared" si="188"/>
        <v>505.94</v>
      </c>
      <c r="P804" s="1">
        <v>10</v>
      </c>
      <c r="Q804" s="15">
        <v>1</v>
      </c>
      <c r="R804" s="3">
        <f>Q804*VLOOKUP(P804,[4]Datos!$A$2:$D$14,2)</f>
        <v>8.19</v>
      </c>
      <c r="S804" s="10">
        <f t="shared" si="212"/>
        <v>62</v>
      </c>
      <c r="T804" s="14">
        <v>77</v>
      </c>
      <c r="U804" s="3">
        <f t="shared" si="213"/>
        <v>7.0000000000000007E-2</v>
      </c>
      <c r="V804" s="3"/>
      <c r="W804" s="1">
        <v>280</v>
      </c>
      <c r="X804" s="9">
        <v>2</v>
      </c>
      <c r="Y804" s="1">
        <v>6</v>
      </c>
      <c r="Z804" s="3">
        <f>X804*VLOOKUP(Y804,[4]Datos!$A$2:$D$14,2)</f>
        <v>5.68</v>
      </c>
      <c r="AA804" s="8">
        <v>0.1</v>
      </c>
      <c r="AB804" s="7">
        <f t="shared" si="189"/>
        <v>115.05235319041492</v>
      </c>
      <c r="AC804" s="7">
        <f t="shared" si="214"/>
        <v>310.95776575825693</v>
      </c>
      <c r="AD804" s="6" t="str">
        <f t="shared" si="190"/>
        <v>Cumple</v>
      </c>
      <c r="AE804" s="6"/>
      <c r="AH804" s="3"/>
    </row>
    <row r="805" spans="1:43" x14ac:dyDescent="0.3">
      <c r="A805" s="13"/>
      <c r="B805" s="1">
        <v>24</v>
      </c>
      <c r="C805" s="1">
        <v>396</v>
      </c>
      <c r="D805" s="1">
        <v>1</v>
      </c>
      <c r="E805" s="5">
        <v>1</v>
      </c>
      <c r="F805" s="3">
        <f t="shared" si="224"/>
        <v>24</v>
      </c>
      <c r="G805" s="5">
        <v>2</v>
      </c>
      <c r="H805" s="3">
        <f t="shared" si="211"/>
        <v>3.1415926535897931</v>
      </c>
      <c r="I805" s="4">
        <v>3.9093999999999997E-2</v>
      </c>
      <c r="K805" s="3">
        <v>269.40558803829589</v>
      </c>
      <c r="L805" s="3">
        <v>283.56644</v>
      </c>
      <c r="M805" s="3">
        <v>995.96785999999997</v>
      </c>
      <c r="N805" s="12">
        <f t="shared" si="187"/>
        <v>1.2444006690469111E-2</v>
      </c>
      <c r="O805" s="11">
        <f t="shared" si="188"/>
        <v>390.93999999999994</v>
      </c>
      <c r="P805" s="1">
        <v>10</v>
      </c>
      <c r="Q805" s="15">
        <v>1</v>
      </c>
      <c r="R805" s="3">
        <f>Q805*VLOOKUP(P805,[4]Datos!$A$2:$D$14,2)</f>
        <v>8.19</v>
      </c>
      <c r="S805" s="10">
        <f t="shared" si="212"/>
        <v>48</v>
      </c>
      <c r="T805" s="14">
        <v>77</v>
      </c>
      <c r="U805" s="3">
        <f t="shared" si="213"/>
        <v>7.0000000000000007E-2</v>
      </c>
      <c r="V805" s="3"/>
      <c r="W805" s="1">
        <v>280</v>
      </c>
      <c r="X805" s="9">
        <v>2</v>
      </c>
      <c r="Y805" s="1">
        <v>6</v>
      </c>
      <c r="Z805" s="3">
        <f>X805*VLOOKUP(Y805,[4]Datos!$A$2:$D$14,2)</f>
        <v>5.68</v>
      </c>
      <c r="AA805" s="8">
        <v>0.2</v>
      </c>
      <c r="AB805" s="7">
        <f t="shared" si="189"/>
        <v>115.05235319041492</v>
      </c>
      <c r="AC805" s="7">
        <f t="shared" si="214"/>
        <v>155.47888287912846</v>
      </c>
      <c r="AD805" s="6" t="str">
        <f t="shared" si="190"/>
        <v>Cumple</v>
      </c>
      <c r="AE805" s="6"/>
      <c r="AH805" s="3"/>
    </row>
    <row r="806" spans="1:43" x14ac:dyDescent="0.3">
      <c r="A806" s="13"/>
      <c r="B806" s="1">
        <v>25</v>
      </c>
      <c r="C806" s="1">
        <v>398</v>
      </c>
      <c r="D806" s="1">
        <v>1</v>
      </c>
      <c r="E806" s="5">
        <v>1</v>
      </c>
      <c r="F806" s="3">
        <f t="shared" si="224"/>
        <v>25</v>
      </c>
      <c r="G806" s="5">
        <v>2</v>
      </c>
      <c r="H806" s="3">
        <f t="shared" si="211"/>
        <v>3.1415926535897931</v>
      </c>
      <c r="I806" s="4">
        <v>3.1415999999999999E-2</v>
      </c>
      <c r="K806" s="3">
        <v>229.13207038223609</v>
      </c>
      <c r="L806" s="3">
        <v>216.74574999999999</v>
      </c>
      <c r="M806" s="3">
        <v>729.31371000000001</v>
      </c>
      <c r="N806" s="12">
        <f t="shared" si="187"/>
        <v>1.0000023384349969E-2</v>
      </c>
      <c r="O806" s="11">
        <f t="shared" si="188"/>
        <v>314.15999999999997</v>
      </c>
      <c r="P806" s="1">
        <v>10</v>
      </c>
      <c r="Q806" s="1">
        <v>1</v>
      </c>
      <c r="R806" s="3">
        <f>Q806*VLOOKUP(P806,[4]Datos!$A$2:$D$14,2)</f>
        <v>8.19</v>
      </c>
      <c r="S806" s="10">
        <f t="shared" si="212"/>
        <v>39</v>
      </c>
      <c r="T806" s="2">
        <v>39</v>
      </c>
      <c r="U806" s="3">
        <f t="shared" si="213"/>
        <v>0.14000000000000001</v>
      </c>
      <c r="V806" s="3"/>
      <c r="W806" s="1">
        <v>280</v>
      </c>
      <c r="X806" s="9">
        <v>2</v>
      </c>
      <c r="Y806" s="1">
        <v>6</v>
      </c>
      <c r="Z806" s="3">
        <f>X806*VLOOKUP(Y806,[4]Datos!$A$2:$D$14,2)</f>
        <v>5.68</v>
      </c>
      <c r="AA806" s="8">
        <v>0.2</v>
      </c>
      <c r="AB806" s="7">
        <f t="shared" si="189"/>
        <v>115.05235319041492</v>
      </c>
      <c r="AC806" s="7">
        <f t="shared" si="214"/>
        <v>155.47888287912846</v>
      </c>
      <c r="AD806" s="6" t="str">
        <f t="shared" si="190"/>
        <v>Cumple</v>
      </c>
      <c r="AE806" s="6"/>
      <c r="AH806" s="3"/>
    </row>
    <row r="807" spans="1:43" x14ac:dyDescent="0.3">
      <c r="A807" s="13"/>
      <c r="B807" s="1">
        <v>26</v>
      </c>
      <c r="C807" s="1">
        <v>400</v>
      </c>
      <c r="D807" s="1">
        <v>1</v>
      </c>
      <c r="E807" s="5">
        <v>1</v>
      </c>
      <c r="F807" s="3">
        <f t="shared" si="224"/>
        <v>26</v>
      </c>
      <c r="G807" s="5">
        <v>2</v>
      </c>
      <c r="H807" s="3">
        <f t="shared" si="211"/>
        <v>3.1415926535897931</v>
      </c>
      <c r="I807" s="4">
        <v>3.1415999999999999E-2</v>
      </c>
      <c r="K807" s="3">
        <v>184.98205244714958</v>
      </c>
      <c r="L807" s="3">
        <v>156.43108000000001</v>
      </c>
      <c r="M807" s="3">
        <v>502.61581999999999</v>
      </c>
      <c r="N807" s="12">
        <f t="shared" si="187"/>
        <v>1.0000023384349969E-2</v>
      </c>
      <c r="O807" s="11">
        <f t="shared" si="188"/>
        <v>314.15999999999997</v>
      </c>
      <c r="P807" s="1">
        <v>10</v>
      </c>
      <c r="Q807" s="1">
        <v>1</v>
      </c>
      <c r="R807" s="3">
        <f>Q807*VLOOKUP(P807,[4]Datos!$A$2:$D$14,2)</f>
        <v>8.19</v>
      </c>
      <c r="S807" s="10">
        <f t="shared" si="212"/>
        <v>39</v>
      </c>
      <c r="T807" s="2">
        <v>39</v>
      </c>
      <c r="U807" s="3">
        <f t="shared" si="213"/>
        <v>0.14000000000000001</v>
      </c>
      <c r="V807" s="3"/>
      <c r="W807" s="1">
        <v>280</v>
      </c>
      <c r="X807" s="9">
        <v>2</v>
      </c>
      <c r="Y807" s="1">
        <v>6</v>
      </c>
      <c r="Z807" s="3">
        <f>X807*VLOOKUP(Y807,[4]Datos!$A$2:$D$14,2)</f>
        <v>5.68</v>
      </c>
      <c r="AA807" s="8">
        <v>0.2</v>
      </c>
      <c r="AB807" s="7">
        <f t="shared" si="189"/>
        <v>115.05235319041492</v>
      </c>
      <c r="AC807" s="7">
        <f t="shared" si="214"/>
        <v>155.47888287912846</v>
      </c>
      <c r="AD807" s="6" t="str">
        <f t="shared" si="190"/>
        <v>Cumple</v>
      </c>
      <c r="AE807" s="6"/>
      <c r="AH807" s="3"/>
    </row>
    <row r="808" spans="1:43" x14ac:dyDescent="0.3">
      <c r="A808" s="13"/>
      <c r="B808" s="1">
        <v>27</v>
      </c>
      <c r="C808" s="1">
        <v>402</v>
      </c>
      <c r="D808" s="1">
        <v>1</v>
      </c>
      <c r="E808" s="5">
        <v>1</v>
      </c>
      <c r="F808" s="3">
        <f t="shared" si="224"/>
        <v>27</v>
      </c>
      <c r="G808" s="5">
        <v>2</v>
      </c>
      <c r="H808" s="3">
        <f t="shared" si="211"/>
        <v>3.1415926535897931</v>
      </c>
      <c r="I808" s="4">
        <v>3.1415999999999999E-2</v>
      </c>
      <c r="K808" s="3">
        <v>140.28627916517709</v>
      </c>
      <c r="L808" s="3">
        <v>104.71405</v>
      </c>
      <c r="M808" s="3">
        <v>319.69783999999999</v>
      </c>
      <c r="N808" s="12">
        <f t="shared" si="187"/>
        <v>1.0000023384349969E-2</v>
      </c>
      <c r="O808" s="11">
        <f t="shared" si="188"/>
        <v>314.15999999999997</v>
      </c>
      <c r="P808" s="1">
        <v>10</v>
      </c>
      <c r="Q808" s="1">
        <v>1</v>
      </c>
      <c r="R808" s="3">
        <f>Q808*VLOOKUP(P808,[4]Datos!$A$2:$D$14,2)</f>
        <v>8.19</v>
      </c>
      <c r="S808" s="10">
        <f t="shared" si="212"/>
        <v>39</v>
      </c>
      <c r="T808" s="2">
        <v>39</v>
      </c>
      <c r="U808" s="3">
        <f t="shared" si="213"/>
        <v>0.14000000000000001</v>
      </c>
      <c r="V808" s="3"/>
      <c r="W808" s="1">
        <v>280</v>
      </c>
      <c r="X808" s="9">
        <v>2</v>
      </c>
      <c r="Y808" s="1">
        <v>4</v>
      </c>
      <c r="Z808" s="3">
        <f>X808*VLOOKUP(Y808,[4]Datos!$A$2:$D$14,2)</f>
        <v>2.58</v>
      </c>
      <c r="AA808" s="8">
        <v>0.3</v>
      </c>
      <c r="AB808" s="7">
        <f t="shared" si="189"/>
        <v>115.05235319041492</v>
      </c>
      <c r="AC808" s="7">
        <f t="shared" si="214"/>
        <v>47.081633547905106</v>
      </c>
      <c r="AD808" s="6" t="str">
        <f t="shared" si="190"/>
        <v>Cumple</v>
      </c>
      <c r="AE808" s="6"/>
      <c r="AH808" s="3"/>
    </row>
    <row r="809" spans="1:43" x14ac:dyDescent="0.3">
      <c r="A809" s="13"/>
      <c r="B809" s="1">
        <v>28</v>
      </c>
      <c r="C809" s="1">
        <v>404</v>
      </c>
      <c r="D809" s="1">
        <v>1</v>
      </c>
      <c r="E809" s="5">
        <v>1</v>
      </c>
      <c r="F809" s="3">
        <f t="shared" si="224"/>
        <v>28</v>
      </c>
      <c r="G809" s="5">
        <v>2</v>
      </c>
      <c r="H809" s="3">
        <f t="shared" si="211"/>
        <v>3.1415926535897931</v>
      </c>
      <c r="I809" s="4">
        <v>3.1415999999999999E-2</v>
      </c>
      <c r="K809" s="3">
        <v>97.716028013524991</v>
      </c>
      <c r="L809" s="3">
        <v>62.865949999999998</v>
      </c>
      <c r="M809" s="3">
        <v>181.07795999999999</v>
      </c>
      <c r="N809" s="12">
        <f t="shared" si="187"/>
        <v>1.0000023384349969E-2</v>
      </c>
      <c r="O809" s="11">
        <f t="shared" si="188"/>
        <v>314.15999999999997</v>
      </c>
      <c r="P809" s="1">
        <v>10</v>
      </c>
      <c r="Q809" s="1">
        <v>1</v>
      </c>
      <c r="R809" s="3">
        <f>Q809*VLOOKUP(P809,[4]Datos!$A$2:$D$14,2)</f>
        <v>8.19</v>
      </c>
      <c r="S809" s="10">
        <f t="shared" si="212"/>
        <v>39</v>
      </c>
      <c r="T809" s="2">
        <v>39</v>
      </c>
      <c r="U809" s="3">
        <f t="shared" si="213"/>
        <v>0.14000000000000001</v>
      </c>
      <c r="V809" s="3"/>
      <c r="W809" s="1">
        <v>280</v>
      </c>
      <c r="X809" s="9">
        <v>2</v>
      </c>
      <c r="Y809" s="1">
        <v>4</v>
      </c>
      <c r="Z809" s="3">
        <f>X809*VLOOKUP(Y809,[4]Datos!$A$2:$D$14,2)</f>
        <v>2.58</v>
      </c>
      <c r="AA809" s="8">
        <v>0.3</v>
      </c>
      <c r="AB809" s="7">
        <f t="shared" si="189"/>
        <v>115.05235319041492</v>
      </c>
      <c r="AC809" s="7">
        <f t="shared" si="214"/>
        <v>47.081633547905106</v>
      </c>
      <c r="AD809" s="6" t="str">
        <f t="shared" si="190"/>
        <v>Cumple</v>
      </c>
      <c r="AE809" s="6"/>
      <c r="AH809" s="3"/>
    </row>
    <row r="810" spans="1:43" x14ac:dyDescent="0.3">
      <c r="A810" s="13"/>
      <c r="B810" s="1">
        <v>29</v>
      </c>
      <c r="C810" s="1">
        <v>680</v>
      </c>
      <c r="D810" s="1">
        <v>1</v>
      </c>
      <c r="E810" s="5">
        <v>1</v>
      </c>
      <c r="F810" s="3">
        <f t="shared" si="224"/>
        <v>29</v>
      </c>
      <c r="G810" s="5">
        <v>2</v>
      </c>
      <c r="H810" s="3">
        <f t="shared" si="211"/>
        <v>3.1415926535897931</v>
      </c>
      <c r="I810" s="4">
        <v>3.1415999999999999E-2</v>
      </c>
      <c r="K810" s="3">
        <v>59.288839323181229</v>
      </c>
      <c r="L810" s="3">
        <v>31.494620000000001</v>
      </c>
      <c r="M810" s="3">
        <v>84.621179999999995</v>
      </c>
      <c r="N810" s="12">
        <f t="shared" si="187"/>
        <v>1.0000023384349969E-2</v>
      </c>
      <c r="O810" s="11">
        <f t="shared" si="188"/>
        <v>314.15999999999997</v>
      </c>
      <c r="P810" s="1">
        <v>10</v>
      </c>
      <c r="Q810" s="1">
        <v>1</v>
      </c>
      <c r="R810" s="3">
        <f>Q810*VLOOKUP(P810,[4]Datos!$A$2:$D$14,2)</f>
        <v>8.19</v>
      </c>
      <c r="S810" s="10">
        <f t="shared" si="212"/>
        <v>39</v>
      </c>
      <c r="T810" s="2">
        <v>39</v>
      </c>
      <c r="U810" s="3">
        <f t="shared" si="213"/>
        <v>0.14000000000000001</v>
      </c>
      <c r="V810" s="3"/>
      <c r="W810" s="1">
        <v>280</v>
      </c>
      <c r="X810" s="9">
        <v>2</v>
      </c>
      <c r="Y810" s="1">
        <v>4</v>
      </c>
      <c r="Z810" s="3">
        <f>X810*VLOOKUP(Y810,[4]Datos!$A$2:$D$14,2)</f>
        <v>2.58</v>
      </c>
      <c r="AA810" s="8">
        <v>0.3</v>
      </c>
      <c r="AB810" s="7">
        <f t="shared" si="189"/>
        <v>115.05235319041492</v>
      </c>
      <c r="AC810" s="7">
        <f t="shared" si="214"/>
        <v>47.081633547905106</v>
      </c>
      <c r="AD810" s="6" t="str">
        <f t="shared" si="190"/>
        <v>Cumple</v>
      </c>
      <c r="AE810" s="6"/>
      <c r="AH810" s="3"/>
    </row>
    <row r="811" spans="1:43" x14ac:dyDescent="0.3">
      <c r="A811" s="13"/>
      <c r="B811" s="1">
        <v>30</v>
      </c>
      <c r="C811" s="1">
        <v>682</v>
      </c>
      <c r="D811" s="1">
        <v>1</v>
      </c>
      <c r="E811" s="5">
        <v>1</v>
      </c>
      <c r="F811" s="3">
        <f t="shared" si="224"/>
        <v>30</v>
      </c>
      <c r="G811" s="5">
        <v>2</v>
      </c>
      <c r="H811" s="3">
        <f t="shared" si="211"/>
        <v>3.1415926535897931</v>
      </c>
      <c r="I811" s="4">
        <v>3.1415999999999999E-2</v>
      </c>
      <c r="K811" s="3">
        <v>26.545184316745665</v>
      </c>
      <c r="L811" s="3">
        <v>10.6967</v>
      </c>
      <c r="M811" s="3">
        <v>26.178889999999999</v>
      </c>
      <c r="N811" s="12">
        <f t="shared" si="187"/>
        <v>1.0000023384349969E-2</v>
      </c>
      <c r="O811" s="11">
        <f t="shared" si="188"/>
        <v>314.15999999999997</v>
      </c>
      <c r="P811" s="1">
        <v>10</v>
      </c>
      <c r="Q811" s="1">
        <v>1</v>
      </c>
      <c r="R811" s="3">
        <f>Q811*VLOOKUP(P811,[4]Datos!$A$2:$D$14,2)</f>
        <v>8.19</v>
      </c>
      <c r="S811" s="10">
        <f t="shared" si="212"/>
        <v>39</v>
      </c>
      <c r="T811" s="2">
        <v>39</v>
      </c>
      <c r="U811" s="3">
        <f t="shared" si="213"/>
        <v>0.14000000000000001</v>
      </c>
      <c r="V811" s="3"/>
      <c r="W811" s="1">
        <v>280</v>
      </c>
      <c r="X811" s="9">
        <v>2</v>
      </c>
      <c r="Y811" s="1">
        <v>4</v>
      </c>
      <c r="Z811" s="3">
        <f>X811*VLOOKUP(Y811,[4]Datos!$A$2:$D$14,2)</f>
        <v>2.58</v>
      </c>
      <c r="AA811" s="8">
        <v>0.3</v>
      </c>
      <c r="AB811" s="7">
        <f t="shared" si="189"/>
        <v>115.05235319041492</v>
      </c>
      <c r="AC811" s="7">
        <f t="shared" si="214"/>
        <v>47.081633547905106</v>
      </c>
      <c r="AD811" s="6" t="str">
        <f t="shared" si="190"/>
        <v>Cumple</v>
      </c>
      <c r="AE811" s="6"/>
      <c r="AH811" s="3"/>
    </row>
    <row r="812" spans="1:43" ht="15" customHeight="1" x14ac:dyDescent="0.3">
      <c r="A812" s="13" t="s">
        <v>7</v>
      </c>
      <c r="B812" s="1">
        <v>1</v>
      </c>
      <c r="C812" s="1">
        <v>409</v>
      </c>
      <c r="D812" s="1">
        <v>1</v>
      </c>
      <c r="E812" s="5">
        <v>1</v>
      </c>
      <c r="F812" s="3">
        <f>E812</f>
        <v>1</v>
      </c>
      <c r="G812" s="5">
        <v>2.5</v>
      </c>
      <c r="H812" s="3">
        <f t="shared" si="211"/>
        <v>4.908738521234052</v>
      </c>
      <c r="I812" s="4">
        <v>7.7616000000000004E-2</v>
      </c>
      <c r="K812" s="3">
        <v>357.19185680982423</v>
      </c>
      <c r="L812" s="3">
        <v>1453.8264200000001</v>
      </c>
      <c r="M812" s="3">
        <v>2681.2367199999999</v>
      </c>
      <c r="N812" s="12">
        <f t="shared" si="187"/>
        <v>1.5811801680666301E-2</v>
      </c>
      <c r="O812" s="11">
        <f t="shared" si="188"/>
        <v>776.16000000000008</v>
      </c>
      <c r="P812" s="1">
        <v>10</v>
      </c>
      <c r="Q812" s="1">
        <v>2</v>
      </c>
      <c r="R812" s="3">
        <f>Q812*VLOOKUP(P812,[4]Datos!$A$2:$D$14,2)</f>
        <v>16.38</v>
      </c>
      <c r="S812" s="10">
        <f t="shared" si="212"/>
        <v>48</v>
      </c>
      <c r="T812" s="2">
        <v>52</v>
      </c>
      <c r="U812" s="3">
        <f t="shared" si="213"/>
        <v>0.13</v>
      </c>
      <c r="V812" s="3"/>
      <c r="W812" s="1">
        <v>280</v>
      </c>
      <c r="X812" s="9">
        <v>2</v>
      </c>
      <c r="Y812" s="1">
        <v>6</v>
      </c>
      <c r="Z812" s="3">
        <f>X812*VLOOKUP(Y812,[4]Datos!$A$2:$D$14,2)</f>
        <v>5.68</v>
      </c>
      <c r="AA812" s="8">
        <v>0.06</v>
      </c>
      <c r="AB812" s="7">
        <f t="shared" si="189"/>
        <v>180.55532030650846</v>
      </c>
      <c r="AC812" s="7">
        <f t="shared" si="214"/>
        <v>650.66122730355755</v>
      </c>
      <c r="AD812" s="6" t="str">
        <f t="shared" si="190"/>
        <v>Cumple</v>
      </c>
      <c r="AE812" s="6"/>
      <c r="AG812" s="7">
        <f t="shared" ref="AG812:AG819" si="235">ROUNDUP(MAX(0.45,3*G812,),0)</f>
        <v>8</v>
      </c>
      <c r="AH812" s="3">
        <f t="shared" ref="AH812:AH819" si="236">PI()*(G812-0.15)^2/4</f>
        <v>4.3373613573624086</v>
      </c>
      <c r="AI812" s="7">
        <f>G812-0.15-VLOOKUP(Y812,[4]Datos!$A$2:$D$14,3)/100</f>
        <v>2.3309000000000002</v>
      </c>
      <c r="AJ812" s="7">
        <f t="shared" ref="AJ812:AJ819" si="237">SQRT((PI()*AI812)^2+AA812^2)</f>
        <v>7.3229841218120741</v>
      </c>
      <c r="AK812" s="1">
        <v>0.12</v>
      </c>
      <c r="AL812" s="16">
        <f t="shared" ref="AL812:AL819" si="238">MAX(0.45*(H812/AH812-1),AK812)*(W812/4220)</f>
        <v>7.9620853080568724E-3</v>
      </c>
      <c r="AM812" s="7">
        <f t="shared" ref="AM812:AM819" si="239">AG812*(AJ812/AA812)</f>
        <v>976.39788290827664</v>
      </c>
      <c r="AN812" s="17">
        <f t="shared" ref="AN812:AN819" si="240">AM812*Z812/X812/10000</f>
        <v>0.27729699874595054</v>
      </c>
      <c r="AO812" s="17">
        <f t="shared" ref="AO812:AO819" si="241">AH812*AG812</f>
        <v>34.698890858899269</v>
      </c>
      <c r="AP812" s="16">
        <f t="shared" ref="AP812:AP819" si="242">AN812/AO812</f>
        <v>7.9915234142082618E-3</v>
      </c>
      <c r="AQ812" s="6" t="str">
        <f t="shared" ref="AQ812:AQ819" si="243">+IF(AP812&gt;AL812,"Cumple","No Cumple")</f>
        <v>Cumple</v>
      </c>
    </row>
    <row r="813" spans="1:43" ht="15" customHeight="1" x14ac:dyDescent="0.3">
      <c r="A813" s="13"/>
      <c r="B813" s="1">
        <v>2</v>
      </c>
      <c r="C813" s="1">
        <v>411</v>
      </c>
      <c r="D813" s="1">
        <v>1</v>
      </c>
      <c r="E813" s="5">
        <v>1</v>
      </c>
      <c r="F813" s="3">
        <f>F812+E813</f>
        <v>2</v>
      </c>
      <c r="G813" s="5">
        <v>2.5</v>
      </c>
      <c r="H813" s="3">
        <f t="shared" si="211"/>
        <v>4.908738521234052</v>
      </c>
      <c r="I813" s="4">
        <v>8.0840999999999996E-2</v>
      </c>
      <c r="K813" s="3">
        <v>337.49010295370147</v>
      </c>
      <c r="L813" s="3">
        <v>1197.25836</v>
      </c>
      <c r="M813" s="3">
        <v>2837.7672600000001</v>
      </c>
      <c r="N813" s="12">
        <f t="shared" si="187"/>
        <v>1.6468793285749645E-2</v>
      </c>
      <c r="O813" s="11">
        <f t="shared" si="188"/>
        <v>808.41</v>
      </c>
      <c r="P813" s="1">
        <v>10</v>
      </c>
      <c r="Q813" s="1">
        <v>2</v>
      </c>
      <c r="R813" s="3">
        <f>Q813*VLOOKUP(P813,[4]Datos!$A$2:$D$14,2)</f>
        <v>16.38</v>
      </c>
      <c r="S813" s="10">
        <f t="shared" si="212"/>
        <v>50</v>
      </c>
      <c r="T813" s="2">
        <v>52</v>
      </c>
      <c r="U813" s="3">
        <f t="shared" si="213"/>
        <v>0.13</v>
      </c>
      <c r="V813" s="3"/>
      <c r="W813" s="1">
        <v>280</v>
      </c>
      <c r="X813" s="9">
        <v>2</v>
      </c>
      <c r="Y813" s="1">
        <v>6</v>
      </c>
      <c r="Z813" s="3">
        <f>X813*VLOOKUP(Y813,[4]Datos!$A$2:$D$14,2)</f>
        <v>5.68</v>
      </c>
      <c r="AA813" s="8">
        <v>0.06</v>
      </c>
      <c r="AB813" s="7">
        <f t="shared" si="189"/>
        <v>180.55532030650846</v>
      </c>
      <c r="AC813" s="7">
        <f t="shared" si="214"/>
        <v>650.66122730355755</v>
      </c>
      <c r="AD813" s="6" t="str">
        <f t="shared" si="190"/>
        <v>Cumple</v>
      </c>
      <c r="AE813" s="6"/>
      <c r="AG813" s="7">
        <f t="shared" si="235"/>
        <v>8</v>
      </c>
      <c r="AH813" s="3">
        <f t="shared" si="236"/>
        <v>4.3373613573624086</v>
      </c>
      <c r="AI813" s="7">
        <f>G813-0.15-VLOOKUP(Y813,[4]Datos!$A$2:$D$14,3)/100</f>
        <v>2.3309000000000002</v>
      </c>
      <c r="AJ813" s="7">
        <f t="shared" si="237"/>
        <v>7.3229841218120741</v>
      </c>
      <c r="AK813" s="1">
        <v>0.12</v>
      </c>
      <c r="AL813" s="16">
        <f t="shared" si="238"/>
        <v>7.9620853080568724E-3</v>
      </c>
      <c r="AM813" s="7">
        <f t="shared" si="239"/>
        <v>976.39788290827664</v>
      </c>
      <c r="AN813" s="17">
        <f t="shared" si="240"/>
        <v>0.27729699874595054</v>
      </c>
      <c r="AO813" s="17">
        <f t="shared" si="241"/>
        <v>34.698890858899269</v>
      </c>
      <c r="AP813" s="16">
        <f t="shared" si="242"/>
        <v>7.9915234142082618E-3</v>
      </c>
      <c r="AQ813" s="6" t="str">
        <f t="shared" si="243"/>
        <v>Cumple</v>
      </c>
    </row>
    <row r="814" spans="1:43" ht="15" customHeight="1" x14ac:dyDescent="0.3">
      <c r="A814" s="13"/>
      <c r="B814" s="1">
        <v>3</v>
      </c>
      <c r="C814" s="1">
        <v>413</v>
      </c>
      <c r="D814" s="1">
        <v>1</v>
      </c>
      <c r="E814" s="5">
        <v>1</v>
      </c>
      <c r="F814" s="3">
        <f t="shared" ref="F814:F833" si="244">F813+E814</f>
        <v>3</v>
      </c>
      <c r="G814" s="5">
        <v>2.5</v>
      </c>
      <c r="H814" s="3">
        <f t="shared" si="211"/>
        <v>4.908738521234052</v>
      </c>
      <c r="I814" s="4">
        <v>8.3082000000000003E-2</v>
      </c>
      <c r="K814" s="3">
        <v>314.09770258766616</v>
      </c>
      <c r="L814" s="3">
        <v>947.26352999999995</v>
      </c>
      <c r="M814" s="3">
        <v>2940.1852600000002</v>
      </c>
      <c r="N814" s="12">
        <f t="shared" si="187"/>
        <v>1.6925326056909887E-2</v>
      </c>
      <c r="O814" s="11">
        <f t="shared" si="188"/>
        <v>830.82</v>
      </c>
      <c r="P814" s="1">
        <v>10</v>
      </c>
      <c r="Q814" s="1">
        <v>2</v>
      </c>
      <c r="R814" s="3">
        <f>Q814*VLOOKUP(P814,[4]Datos!$A$2:$D$14,2)</f>
        <v>16.38</v>
      </c>
      <c r="S814" s="10">
        <f t="shared" si="212"/>
        <v>51</v>
      </c>
      <c r="T814" s="2">
        <v>52</v>
      </c>
      <c r="U814" s="3">
        <f t="shared" si="213"/>
        <v>0.13</v>
      </c>
      <c r="V814" s="3"/>
      <c r="W814" s="1">
        <v>280</v>
      </c>
      <c r="X814" s="9">
        <v>2</v>
      </c>
      <c r="Y814" s="1">
        <v>6</v>
      </c>
      <c r="Z814" s="3">
        <f>X814*VLOOKUP(Y814,[4]Datos!$A$2:$D$14,2)</f>
        <v>5.68</v>
      </c>
      <c r="AA814" s="8">
        <v>0.06</v>
      </c>
      <c r="AB814" s="7">
        <f t="shared" si="189"/>
        <v>180.55532030650846</v>
      </c>
      <c r="AC814" s="7">
        <f t="shared" si="214"/>
        <v>650.66122730355755</v>
      </c>
      <c r="AD814" s="6" t="str">
        <f t="shared" si="190"/>
        <v>Cumple</v>
      </c>
      <c r="AE814" s="6"/>
      <c r="AG814" s="7">
        <f t="shared" si="235"/>
        <v>8</v>
      </c>
      <c r="AH814" s="3">
        <f t="shared" si="236"/>
        <v>4.3373613573624086</v>
      </c>
      <c r="AI814" s="7">
        <f>G814-0.15-VLOOKUP(Y814,[4]Datos!$A$2:$D$14,3)/100</f>
        <v>2.3309000000000002</v>
      </c>
      <c r="AJ814" s="7">
        <f t="shared" si="237"/>
        <v>7.3229841218120741</v>
      </c>
      <c r="AK814" s="1">
        <v>0.12</v>
      </c>
      <c r="AL814" s="16">
        <f t="shared" si="238"/>
        <v>7.9620853080568724E-3</v>
      </c>
      <c r="AM814" s="7">
        <f t="shared" si="239"/>
        <v>976.39788290827664</v>
      </c>
      <c r="AN814" s="17">
        <f t="shared" si="240"/>
        <v>0.27729699874595054</v>
      </c>
      <c r="AO814" s="17">
        <f t="shared" si="241"/>
        <v>34.698890858899269</v>
      </c>
      <c r="AP814" s="16">
        <f t="shared" si="242"/>
        <v>7.9915234142082618E-3</v>
      </c>
      <c r="AQ814" s="6" t="str">
        <f t="shared" si="243"/>
        <v>Cumple</v>
      </c>
    </row>
    <row r="815" spans="1:43" ht="15" customHeight="1" x14ac:dyDescent="0.3">
      <c r="A815" s="13"/>
      <c r="B815" s="1">
        <v>4</v>
      </c>
      <c r="C815" s="1">
        <v>447</v>
      </c>
      <c r="D815" s="1">
        <v>1</v>
      </c>
      <c r="E815" s="5">
        <v>1</v>
      </c>
      <c r="F815" s="3">
        <f t="shared" si="244"/>
        <v>4</v>
      </c>
      <c r="G815" s="5">
        <v>2.5</v>
      </c>
      <c r="H815" s="3">
        <f t="shared" si="211"/>
        <v>4.908738521234052</v>
      </c>
      <c r="I815" s="4">
        <v>8.3738999999999994E-2</v>
      </c>
      <c r="K815" s="3">
        <v>282.29923399378896</v>
      </c>
      <c r="L815" s="3">
        <v>712.53196000000003</v>
      </c>
      <c r="M815" s="3">
        <v>2976.3020900000001</v>
      </c>
      <c r="N815" s="12">
        <f t="shared" si="187"/>
        <v>1.7059168997852446E-2</v>
      </c>
      <c r="O815" s="11">
        <f t="shared" si="188"/>
        <v>837.39</v>
      </c>
      <c r="P815" s="1">
        <v>10</v>
      </c>
      <c r="Q815" s="1">
        <v>2</v>
      </c>
      <c r="R815" s="3">
        <f>Q815*VLOOKUP(P815,[4]Datos!$A$2:$D$14,2)</f>
        <v>16.38</v>
      </c>
      <c r="S815" s="10">
        <f t="shared" si="212"/>
        <v>52</v>
      </c>
      <c r="T815" s="2">
        <v>52</v>
      </c>
      <c r="U815" s="3">
        <f t="shared" si="213"/>
        <v>0.13</v>
      </c>
      <c r="V815" s="3"/>
      <c r="W815" s="1">
        <v>280</v>
      </c>
      <c r="X815" s="9">
        <v>2</v>
      </c>
      <c r="Y815" s="1">
        <v>6</v>
      </c>
      <c r="Z815" s="3">
        <f>X815*VLOOKUP(Y815,[4]Datos!$A$2:$D$14,2)</f>
        <v>5.68</v>
      </c>
      <c r="AA815" s="8">
        <v>0.06</v>
      </c>
      <c r="AB815" s="7">
        <f t="shared" si="189"/>
        <v>180.55532030650846</v>
      </c>
      <c r="AC815" s="7">
        <f t="shared" si="214"/>
        <v>650.66122730355755</v>
      </c>
      <c r="AD815" s="6" t="str">
        <f t="shared" si="190"/>
        <v>Cumple</v>
      </c>
      <c r="AE815" s="6"/>
      <c r="AG815" s="7">
        <f t="shared" si="235"/>
        <v>8</v>
      </c>
      <c r="AH815" s="3">
        <f t="shared" si="236"/>
        <v>4.3373613573624086</v>
      </c>
      <c r="AI815" s="7">
        <f>G815-0.15-VLOOKUP(Y815,[4]Datos!$A$2:$D$14,3)/100</f>
        <v>2.3309000000000002</v>
      </c>
      <c r="AJ815" s="7">
        <f t="shared" si="237"/>
        <v>7.3229841218120741</v>
      </c>
      <c r="AK815" s="1">
        <v>0.12</v>
      </c>
      <c r="AL815" s="16">
        <f t="shared" si="238"/>
        <v>7.9620853080568724E-3</v>
      </c>
      <c r="AM815" s="7">
        <f t="shared" si="239"/>
        <v>976.39788290827664</v>
      </c>
      <c r="AN815" s="17">
        <f t="shared" si="240"/>
        <v>0.27729699874595054</v>
      </c>
      <c r="AO815" s="17">
        <f t="shared" si="241"/>
        <v>34.698890858899269</v>
      </c>
      <c r="AP815" s="16">
        <f t="shared" si="242"/>
        <v>7.9915234142082618E-3</v>
      </c>
      <c r="AQ815" s="6" t="str">
        <f t="shared" si="243"/>
        <v>Cumple</v>
      </c>
    </row>
    <row r="816" spans="1:43" ht="15" customHeight="1" x14ac:dyDescent="0.3">
      <c r="A816" s="13"/>
      <c r="B816" s="1">
        <v>5</v>
      </c>
      <c r="C816" s="1">
        <v>449</v>
      </c>
      <c r="D816" s="1">
        <v>1</v>
      </c>
      <c r="E816" s="5">
        <v>1</v>
      </c>
      <c r="F816" s="3">
        <f t="shared" si="244"/>
        <v>5</v>
      </c>
      <c r="G816" s="5">
        <v>2.5</v>
      </c>
      <c r="H816" s="3">
        <f t="shared" si="211"/>
        <v>4.908738521234052</v>
      </c>
      <c r="I816" s="4">
        <v>8.3739999999999995E-2</v>
      </c>
      <c r="K816" s="3">
        <v>247.03990878190109</v>
      </c>
      <c r="L816" s="3">
        <v>536.41129000000001</v>
      </c>
      <c r="M816" s="3">
        <v>2976.3020900000001</v>
      </c>
      <c r="N816" s="12">
        <f t="shared" ref="N816:N879" si="245">I816/H816</f>
        <v>1.7059372716179601E-2</v>
      </c>
      <c r="O816" s="11">
        <f t="shared" ref="O816:O879" si="246">I816*10000</f>
        <v>837.4</v>
      </c>
      <c r="P816" s="1">
        <v>10</v>
      </c>
      <c r="Q816" s="1">
        <v>2</v>
      </c>
      <c r="R816" s="3">
        <f>Q816*VLOOKUP(P816,[4]Datos!$A$2:$D$14,2)</f>
        <v>16.38</v>
      </c>
      <c r="S816" s="10">
        <f t="shared" si="212"/>
        <v>52</v>
      </c>
      <c r="T816" s="2">
        <v>52</v>
      </c>
      <c r="U816" s="3">
        <f t="shared" si="213"/>
        <v>0.13</v>
      </c>
      <c r="V816" s="3"/>
      <c r="W816" s="1">
        <v>280</v>
      </c>
      <c r="X816" s="9">
        <v>2</v>
      </c>
      <c r="Y816" s="1">
        <v>6</v>
      </c>
      <c r="Z816" s="3">
        <f>X816*VLOOKUP(Y816,[4]Datos!$A$2:$D$14,2)</f>
        <v>5.68</v>
      </c>
      <c r="AA816" s="8">
        <v>0.06</v>
      </c>
      <c r="AB816" s="7">
        <f t="shared" ref="AB816:AB879" si="247">IF(D816=0,0.9,0.5)*0.9*0.53*SQRT(W816)*G816*MAX(0.72*G816,0.9*((G816/2)+((G816-0.11)/PI())))*10</f>
        <v>180.55532030650846</v>
      </c>
      <c r="AC816" s="7">
        <f t="shared" si="214"/>
        <v>650.66122730355755</v>
      </c>
      <c r="AD816" s="6" t="str">
        <f t="shared" ref="AD816:AD879" si="248">+IF(AC816&gt;K816-AB816,"Cumple","No Cumple")</f>
        <v>Cumple</v>
      </c>
      <c r="AE816" s="6"/>
      <c r="AG816" s="7">
        <f t="shared" si="235"/>
        <v>8</v>
      </c>
      <c r="AH816" s="3">
        <f t="shared" si="236"/>
        <v>4.3373613573624086</v>
      </c>
      <c r="AI816" s="7">
        <f>G816-0.15-VLOOKUP(Y816,[4]Datos!$A$2:$D$14,3)/100</f>
        <v>2.3309000000000002</v>
      </c>
      <c r="AJ816" s="7">
        <f t="shared" si="237"/>
        <v>7.3229841218120741</v>
      </c>
      <c r="AK816" s="1">
        <v>0.12</v>
      </c>
      <c r="AL816" s="16">
        <f t="shared" si="238"/>
        <v>7.9620853080568724E-3</v>
      </c>
      <c r="AM816" s="7">
        <f t="shared" si="239"/>
        <v>976.39788290827664</v>
      </c>
      <c r="AN816" s="17">
        <f t="shared" si="240"/>
        <v>0.27729699874595054</v>
      </c>
      <c r="AO816" s="17">
        <f t="shared" si="241"/>
        <v>34.698890858899269</v>
      </c>
      <c r="AP816" s="16">
        <f t="shared" si="242"/>
        <v>7.9915234142082618E-3</v>
      </c>
      <c r="AQ816" s="6" t="str">
        <f t="shared" si="243"/>
        <v>Cumple</v>
      </c>
    </row>
    <row r="817" spans="1:43" ht="15" customHeight="1" x14ac:dyDescent="0.3">
      <c r="A817" s="13"/>
      <c r="B817" s="1">
        <v>6</v>
      </c>
      <c r="C817" s="1">
        <v>451</v>
      </c>
      <c r="D817" s="1">
        <v>1</v>
      </c>
      <c r="E817" s="5">
        <v>1</v>
      </c>
      <c r="F817" s="3">
        <f t="shared" si="244"/>
        <v>6</v>
      </c>
      <c r="G817" s="5">
        <v>2.5</v>
      </c>
      <c r="H817" s="3">
        <f t="shared" si="211"/>
        <v>4.908738521234052</v>
      </c>
      <c r="I817" s="4">
        <v>8.2851999999999995E-2</v>
      </c>
      <c r="K817" s="3">
        <v>224.01643192774944</v>
      </c>
      <c r="L817" s="3">
        <v>438.72930000000002</v>
      </c>
      <c r="M817" s="3">
        <v>2953.8162200000002</v>
      </c>
      <c r="N817" s="12">
        <f t="shared" si="245"/>
        <v>1.6878470841663631E-2</v>
      </c>
      <c r="O817" s="11">
        <f t="shared" si="246"/>
        <v>828.52</v>
      </c>
      <c r="P817" s="1">
        <v>10</v>
      </c>
      <c r="Q817" s="15">
        <v>2</v>
      </c>
      <c r="R817" s="3">
        <f>Q817*VLOOKUP(P817,[4]Datos!$A$2:$D$14,2)</f>
        <v>16.38</v>
      </c>
      <c r="S817" s="10">
        <f t="shared" si="212"/>
        <v>51</v>
      </c>
      <c r="T817" s="14">
        <v>52</v>
      </c>
      <c r="U817" s="3">
        <f t="shared" si="213"/>
        <v>0.13</v>
      </c>
      <c r="V817" s="3"/>
      <c r="W817" s="1">
        <v>280</v>
      </c>
      <c r="X817" s="9">
        <v>2</v>
      </c>
      <c r="Y817" s="1">
        <v>6</v>
      </c>
      <c r="Z817" s="3">
        <f>X817*VLOOKUP(Y817,[4]Datos!$A$2:$D$14,2)</f>
        <v>5.68</v>
      </c>
      <c r="AA817" s="8">
        <v>0.06</v>
      </c>
      <c r="AB817" s="7">
        <f t="shared" si="247"/>
        <v>180.55532030650846</v>
      </c>
      <c r="AC817" s="7">
        <f t="shared" si="214"/>
        <v>650.66122730355755</v>
      </c>
      <c r="AD817" s="6" t="str">
        <f t="shared" si="248"/>
        <v>Cumple</v>
      </c>
      <c r="AE817" s="6"/>
      <c r="AG817" s="7">
        <f t="shared" si="235"/>
        <v>8</v>
      </c>
      <c r="AH817" s="3">
        <f t="shared" si="236"/>
        <v>4.3373613573624086</v>
      </c>
      <c r="AI817" s="7">
        <f>G817-0.15-VLOOKUP(Y817,[4]Datos!$A$2:$D$14,3)/100</f>
        <v>2.3309000000000002</v>
      </c>
      <c r="AJ817" s="7">
        <f t="shared" si="237"/>
        <v>7.3229841218120741</v>
      </c>
      <c r="AK817" s="1">
        <v>0.12</v>
      </c>
      <c r="AL817" s="16">
        <f t="shared" si="238"/>
        <v>7.9620853080568724E-3</v>
      </c>
      <c r="AM817" s="7">
        <f t="shared" si="239"/>
        <v>976.39788290827664</v>
      </c>
      <c r="AN817" s="17">
        <f t="shared" si="240"/>
        <v>0.27729699874595054</v>
      </c>
      <c r="AO817" s="17">
        <f t="shared" si="241"/>
        <v>34.698890858899269</v>
      </c>
      <c r="AP817" s="16">
        <f t="shared" si="242"/>
        <v>7.9915234142082618E-3</v>
      </c>
      <c r="AQ817" s="6" t="str">
        <f t="shared" si="243"/>
        <v>Cumple</v>
      </c>
    </row>
    <row r="818" spans="1:43" ht="15" customHeight="1" x14ac:dyDescent="0.3">
      <c r="A818" s="13"/>
      <c r="B818" s="1">
        <v>7</v>
      </c>
      <c r="C818" s="1">
        <v>453</v>
      </c>
      <c r="D818" s="1">
        <v>1</v>
      </c>
      <c r="E818" s="5">
        <v>1</v>
      </c>
      <c r="F818" s="3">
        <f t="shared" si="244"/>
        <v>7</v>
      </c>
      <c r="G818" s="5">
        <v>2.5</v>
      </c>
      <c r="H818" s="3">
        <f t="shared" si="211"/>
        <v>4.908738521234052</v>
      </c>
      <c r="I818" s="4">
        <v>8.0366999999999994E-2</v>
      </c>
      <c r="K818" s="3">
        <v>206.88482586260403</v>
      </c>
      <c r="L818" s="3">
        <v>382.02949000000001</v>
      </c>
      <c r="M818" s="3">
        <v>2877.6298999999999</v>
      </c>
      <c r="N818" s="12">
        <f t="shared" si="245"/>
        <v>1.6372230798676928E-2</v>
      </c>
      <c r="O818" s="11">
        <f t="shared" si="246"/>
        <v>803.67</v>
      </c>
      <c r="P818" s="1">
        <v>10</v>
      </c>
      <c r="Q818" s="15">
        <v>2</v>
      </c>
      <c r="R818" s="3">
        <f>Q818*VLOOKUP(P818,[4]Datos!$A$2:$D$14,2)</f>
        <v>16.38</v>
      </c>
      <c r="S818" s="10">
        <f t="shared" si="212"/>
        <v>50</v>
      </c>
      <c r="T818" s="14">
        <v>52</v>
      </c>
      <c r="U818" s="3">
        <f t="shared" si="213"/>
        <v>0.13</v>
      </c>
      <c r="V818" s="3"/>
      <c r="W818" s="1">
        <v>280</v>
      </c>
      <c r="X818" s="9">
        <v>2</v>
      </c>
      <c r="Y818" s="1">
        <v>6</v>
      </c>
      <c r="Z818" s="3">
        <f>X818*VLOOKUP(Y818,[4]Datos!$A$2:$D$14,2)</f>
        <v>5.68</v>
      </c>
      <c r="AA818" s="8">
        <v>0.06</v>
      </c>
      <c r="AB818" s="7">
        <f t="shared" si="247"/>
        <v>180.55532030650846</v>
      </c>
      <c r="AC818" s="7">
        <f t="shared" si="214"/>
        <v>650.66122730355755</v>
      </c>
      <c r="AD818" s="6" t="str">
        <f t="shared" si="248"/>
        <v>Cumple</v>
      </c>
      <c r="AE818" s="6"/>
      <c r="AG818" s="7">
        <f t="shared" si="235"/>
        <v>8</v>
      </c>
      <c r="AH818" s="3">
        <f t="shared" si="236"/>
        <v>4.3373613573624086</v>
      </c>
      <c r="AI818" s="7">
        <f>G818-0.15-VLOOKUP(Y818,[4]Datos!$A$2:$D$14,3)/100</f>
        <v>2.3309000000000002</v>
      </c>
      <c r="AJ818" s="7">
        <f t="shared" si="237"/>
        <v>7.3229841218120741</v>
      </c>
      <c r="AK818" s="1">
        <v>0.12</v>
      </c>
      <c r="AL818" s="16">
        <f t="shared" si="238"/>
        <v>7.9620853080568724E-3</v>
      </c>
      <c r="AM818" s="7">
        <f t="shared" si="239"/>
        <v>976.39788290827664</v>
      </c>
      <c r="AN818" s="17">
        <f t="shared" si="240"/>
        <v>0.27729699874595054</v>
      </c>
      <c r="AO818" s="17">
        <f t="shared" si="241"/>
        <v>34.698890858899269</v>
      </c>
      <c r="AP818" s="16">
        <f t="shared" si="242"/>
        <v>7.9915234142082618E-3</v>
      </c>
      <c r="AQ818" s="6" t="str">
        <f t="shared" si="243"/>
        <v>Cumple</v>
      </c>
    </row>
    <row r="819" spans="1:43" ht="15" customHeight="1" x14ac:dyDescent="0.3">
      <c r="A819" s="13"/>
      <c r="B819" s="1">
        <v>8</v>
      </c>
      <c r="C819" s="1">
        <v>455</v>
      </c>
      <c r="D819" s="1">
        <v>1</v>
      </c>
      <c r="E819" s="5">
        <v>1</v>
      </c>
      <c r="F819" s="3">
        <f t="shared" si="244"/>
        <v>8</v>
      </c>
      <c r="G819" s="5">
        <v>2.5</v>
      </c>
      <c r="H819" s="3">
        <f t="shared" si="211"/>
        <v>4.908738521234052</v>
      </c>
      <c r="I819" s="4">
        <v>7.5974E-2</v>
      </c>
      <c r="K819" s="3">
        <v>232.23791460088938</v>
      </c>
      <c r="L819" s="3">
        <v>367.45997</v>
      </c>
      <c r="M819" s="3">
        <v>2736.5033100000001</v>
      </c>
      <c r="N819" s="12">
        <f t="shared" si="245"/>
        <v>1.5477296187473479E-2</v>
      </c>
      <c r="O819" s="11">
        <f t="shared" si="246"/>
        <v>759.74</v>
      </c>
      <c r="P819" s="1">
        <v>10</v>
      </c>
      <c r="Q819" s="15">
        <v>2</v>
      </c>
      <c r="R819" s="3">
        <f>Q819*VLOOKUP(P819,[4]Datos!$A$2:$D$14,2)</f>
        <v>16.38</v>
      </c>
      <c r="S819" s="10">
        <f t="shared" si="212"/>
        <v>47</v>
      </c>
      <c r="T819" s="14">
        <v>52</v>
      </c>
      <c r="U819" s="3">
        <f t="shared" si="213"/>
        <v>0.13</v>
      </c>
      <c r="V819" s="3"/>
      <c r="W819" s="1">
        <v>280</v>
      </c>
      <c r="X819" s="9">
        <v>2</v>
      </c>
      <c r="Y819" s="1">
        <v>6</v>
      </c>
      <c r="Z819" s="3">
        <f>X819*VLOOKUP(Y819,[4]Datos!$A$2:$D$14,2)</f>
        <v>5.68</v>
      </c>
      <c r="AA819" s="8">
        <v>0.06</v>
      </c>
      <c r="AB819" s="7">
        <f t="shared" si="247"/>
        <v>180.55532030650846</v>
      </c>
      <c r="AC819" s="7">
        <f t="shared" si="214"/>
        <v>650.66122730355755</v>
      </c>
      <c r="AD819" s="6" t="str">
        <f t="shared" si="248"/>
        <v>Cumple</v>
      </c>
      <c r="AE819" s="6"/>
      <c r="AG819" s="7">
        <f t="shared" si="235"/>
        <v>8</v>
      </c>
      <c r="AH819" s="3">
        <f t="shared" si="236"/>
        <v>4.3373613573624086</v>
      </c>
      <c r="AI819" s="7">
        <f>G819-0.15-VLOOKUP(Y819,[4]Datos!$A$2:$D$14,3)/100</f>
        <v>2.3309000000000002</v>
      </c>
      <c r="AJ819" s="7">
        <f t="shared" si="237"/>
        <v>7.3229841218120741</v>
      </c>
      <c r="AK819" s="1">
        <v>0.12</v>
      </c>
      <c r="AL819" s="16">
        <f t="shared" si="238"/>
        <v>7.9620853080568724E-3</v>
      </c>
      <c r="AM819" s="7">
        <f t="shared" si="239"/>
        <v>976.39788290827664</v>
      </c>
      <c r="AN819" s="17">
        <f t="shared" si="240"/>
        <v>0.27729699874595054</v>
      </c>
      <c r="AO819" s="17">
        <f t="shared" si="241"/>
        <v>34.698890858899269</v>
      </c>
      <c r="AP819" s="16">
        <f t="shared" si="242"/>
        <v>7.9915234142082618E-3</v>
      </c>
      <c r="AQ819" s="6" t="str">
        <f t="shared" si="243"/>
        <v>Cumple</v>
      </c>
    </row>
    <row r="820" spans="1:43" ht="15" customHeight="1" x14ac:dyDescent="0.3">
      <c r="A820" s="13"/>
      <c r="B820" s="1">
        <v>9</v>
      </c>
      <c r="C820" s="1">
        <v>457</v>
      </c>
      <c r="D820" s="1">
        <v>1</v>
      </c>
      <c r="E820" s="5">
        <v>1</v>
      </c>
      <c r="F820" s="3">
        <f t="shared" si="244"/>
        <v>9</v>
      </c>
      <c r="G820" s="5">
        <v>2.5</v>
      </c>
      <c r="H820" s="3">
        <f t="shared" si="211"/>
        <v>4.908738521234052</v>
      </c>
      <c r="I820" s="4">
        <v>6.9122000000000003E-2</v>
      </c>
      <c r="K820" s="3">
        <v>259.98844007272709</v>
      </c>
      <c r="L820" s="3">
        <v>367.45997999999997</v>
      </c>
      <c r="M820" s="3">
        <v>2541.6964400000002</v>
      </c>
      <c r="N820" s="12">
        <f t="shared" si="245"/>
        <v>1.4081418209789427E-2</v>
      </c>
      <c r="O820" s="11">
        <f t="shared" si="246"/>
        <v>691.22</v>
      </c>
      <c r="P820" s="1">
        <v>10</v>
      </c>
      <c r="Q820" s="1">
        <v>1</v>
      </c>
      <c r="R820" s="3">
        <f>Q820*VLOOKUP(P820,[4]Datos!$A$2:$D$14,2)</f>
        <v>8.19</v>
      </c>
      <c r="S820" s="10">
        <f t="shared" si="212"/>
        <v>85</v>
      </c>
      <c r="T820" s="2">
        <v>87</v>
      </c>
      <c r="U820" s="3">
        <f t="shared" si="213"/>
        <v>0.08</v>
      </c>
      <c r="V820" s="3"/>
      <c r="W820" s="1">
        <v>280</v>
      </c>
      <c r="X820" s="9">
        <v>2</v>
      </c>
      <c r="Y820" s="1">
        <v>4</v>
      </c>
      <c r="Z820" s="3">
        <f>X820*VLOOKUP(Y820,[4]Datos!$A$2:$D$14,2)</f>
        <v>2.58</v>
      </c>
      <c r="AA820" s="8">
        <v>0.15</v>
      </c>
      <c r="AB820" s="7">
        <f t="shared" si="247"/>
        <v>180.55532030650846</v>
      </c>
      <c r="AC820" s="7">
        <f t="shared" si="214"/>
        <v>118.21873003120976</v>
      </c>
      <c r="AD820" s="6" t="str">
        <f t="shared" si="248"/>
        <v>Cumple</v>
      </c>
      <c r="AE820" s="6"/>
      <c r="AH820" s="3"/>
    </row>
    <row r="821" spans="1:43" ht="15" customHeight="1" x14ac:dyDescent="0.3">
      <c r="A821" s="13"/>
      <c r="B821" s="1">
        <v>10</v>
      </c>
      <c r="C821" s="1">
        <v>459</v>
      </c>
      <c r="D821" s="1">
        <v>1</v>
      </c>
      <c r="E821" s="5">
        <v>1</v>
      </c>
      <c r="F821" s="3">
        <f t="shared" si="244"/>
        <v>10</v>
      </c>
      <c r="G821" s="5">
        <v>2.5</v>
      </c>
      <c r="H821" s="3">
        <f t="shared" si="211"/>
        <v>4.908738521234052</v>
      </c>
      <c r="I821" s="4">
        <v>5.885E-2</v>
      </c>
      <c r="K821" s="3">
        <v>277.20555511778622</v>
      </c>
      <c r="L821" s="3">
        <v>365.55288999999999</v>
      </c>
      <c r="M821" s="3">
        <v>2306.4205099999999</v>
      </c>
      <c r="N821" s="12">
        <f t="shared" si="245"/>
        <v>1.1988823553226292E-2</v>
      </c>
      <c r="O821" s="11">
        <f t="shared" si="246"/>
        <v>588.5</v>
      </c>
      <c r="P821" s="1">
        <v>10</v>
      </c>
      <c r="Q821" s="1">
        <v>1</v>
      </c>
      <c r="R821" s="3">
        <f>Q821*VLOOKUP(P821,[4]Datos!$A$2:$D$14,2)</f>
        <v>8.19</v>
      </c>
      <c r="S821" s="10">
        <f t="shared" si="212"/>
        <v>72</v>
      </c>
      <c r="T821" s="2">
        <v>87</v>
      </c>
      <c r="U821" s="3">
        <f t="shared" si="213"/>
        <v>0.08</v>
      </c>
      <c r="V821" s="3"/>
      <c r="W821" s="1">
        <v>280</v>
      </c>
      <c r="X821" s="9">
        <v>2</v>
      </c>
      <c r="Y821" s="1">
        <v>4</v>
      </c>
      <c r="Z821" s="3">
        <f>X821*VLOOKUP(Y821,[4]Datos!$A$2:$D$14,2)</f>
        <v>2.58</v>
      </c>
      <c r="AA821" s="8">
        <v>0.15</v>
      </c>
      <c r="AB821" s="7">
        <f t="shared" si="247"/>
        <v>180.55532030650846</v>
      </c>
      <c r="AC821" s="7">
        <f t="shared" si="214"/>
        <v>118.21873003120976</v>
      </c>
      <c r="AD821" s="6" t="str">
        <f t="shared" si="248"/>
        <v>Cumple</v>
      </c>
      <c r="AE821" s="6"/>
      <c r="AH821" s="3"/>
    </row>
    <row r="822" spans="1:43" ht="15" customHeight="1" x14ac:dyDescent="0.3">
      <c r="A822" s="13"/>
      <c r="B822" s="1">
        <v>11</v>
      </c>
      <c r="C822" s="1">
        <v>461</v>
      </c>
      <c r="D822" s="1">
        <v>1</v>
      </c>
      <c r="E822" s="5">
        <v>1</v>
      </c>
      <c r="F822" s="3">
        <f t="shared" si="244"/>
        <v>11</v>
      </c>
      <c r="G822" s="5">
        <v>2.5</v>
      </c>
      <c r="H822" s="3">
        <f t="shared" si="211"/>
        <v>4.908738521234052</v>
      </c>
      <c r="I822" s="4">
        <v>4.9086999999999999E-2</v>
      </c>
      <c r="K822" s="3">
        <v>284.32852617908389</v>
      </c>
      <c r="L822" s="3">
        <v>369.52717999999999</v>
      </c>
      <c r="M822" s="3">
        <v>2044.59115</v>
      </c>
      <c r="N822" s="12">
        <f t="shared" si="245"/>
        <v>9.9999215251863893E-3</v>
      </c>
      <c r="O822" s="11">
        <f t="shared" si="246"/>
        <v>490.87</v>
      </c>
      <c r="P822" s="1">
        <v>10</v>
      </c>
      <c r="Q822" s="1">
        <v>1</v>
      </c>
      <c r="R822" s="3">
        <f>Q822*VLOOKUP(P822,[4]Datos!$A$2:$D$14,2)</f>
        <v>8.19</v>
      </c>
      <c r="S822" s="10">
        <f t="shared" si="212"/>
        <v>60</v>
      </c>
      <c r="T822" s="2">
        <v>87</v>
      </c>
      <c r="U822" s="3">
        <f t="shared" si="213"/>
        <v>0.08</v>
      </c>
      <c r="V822" s="3"/>
      <c r="W822" s="1">
        <v>280</v>
      </c>
      <c r="X822" s="9">
        <v>2</v>
      </c>
      <c r="Y822" s="1">
        <v>4</v>
      </c>
      <c r="Z822" s="3">
        <f>X822*VLOOKUP(Y822,[4]Datos!$A$2:$D$14,2)</f>
        <v>2.58</v>
      </c>
      <c r="AA822" s="8">
        <v>0.15</v>
      </c>
      <c r="AB822" s="7">
        <f t="shared" si="247"/>
        <v>180.55532030650846</v>
      </c>
      <c r="AC822" s="7">
        <f t="shared" si="214"/>
        <v>118.21873003120976</v>
      </c>
      <c r="AD822" s="6" t="str">
        <f t="shared" si="248"/>
        <v>Cumple</v>
      </c>
      <c r="AE822" s="6"/>
      <c r="AH822" s="3"/>
    </row>
    <row r="823" spans="1:43" ht="15" customHeight="1" x14ac:dyDescent="0.3">
      <c r="A823" s="13"/>
      <c r="B823" s="1">
        <v>12</v>
      </c>
      <c r="C823" s="1">
        <v>463</v>
      </c>
      <c r="D823" s="1">
        <v>1</v>
      </c>
      <c r="E823" s="5">
        <v>1</v>
      </c>
      <c r="F823" s="3">
        <f t="shared" si="244"/>
        <v>12</v>
      </c>
      <c r="G823" s="5">
        <v>2.5</v>
      </c>
      <c r="H823" s="3">
        <f t="shared" si="211"/>
        <v>4.908738521234052</v>
      </c>
      <c r="I823" s="4">
        <v>4.9086999999999999E-2</v>
      </c>
      <c r="K823" s="3">
        <v>282.60436259267124</v>
      </c>
      <c r="L823" s="3">
        <v>369.52717000000001</v>
      </c>
      <c r="M823" s="3">
        <v>1769.5855300000001</v>
      </c>
      <c r="N823" s="12">
        <f t="shared" si="245"/>
        <v>9.9999215251863893E-3</v>
      </c>
      <c r="O823" s="11">
        <f t="shared" si="246"/>
        <v>490.87</v>
      </c>
      <c r="P823" s="1">
        <v>10</v>
      </c>
      <c r="Q823" s="15">
        <v>1</v>
      </c>
      <c r="R823" s="3">
        <f>Q823*VLOOKUP(P823,[4]Datos!$A$2:$D$14,2)</f>
        <v>8.19</v>
      </c>
      <c r="S823" s="10">
        <f t="shared" si="212"/>
        <v>60</v>
      </c>
      <c r="T823" s="14">
        <v>87</v>
      </c>
      <c r="U823" s="3">
        <f t="shared" si="213"/>
        <v>0.08</v>
      </c>
      <c r="V823" s="3"/>
      <c r="W823" s="1">
        <v>280</v>
      </c>
      <c r="X823" s="9">
        <v>2</v>
      </c>
      <c r="Y823" s="1">
        <v>4</v>
      </c>
      <c r="Z823" s="3">
        <f>X823*VLOOKUP(Y823,[4]Datos!$A$2:$D$14,2)</f>
        <v>2.58</v>
      </c>
      <c r="AA823" s="8">
        <v>0.15</v>
      </c>
      <c r="AB823" s="7">
        <f t="shared" si="247"/>
        <v>180.55532030650846</v>
      </c>
      <c r="AC823" s="7">
        <f t="shared" si="214"/>
        <v>118.21873003120976</v>
      </c>
      <c r="AD823" s="6" t="str">
        <f t="shared" si="248"/>
        <v>Cumple</v>
      </c>
      <c r="AE823" s="6"/>
      <c r="AH823" s="3"/>
    </row>
    <row r="824" spans="1:43" ht="15" customHeight="1" x14ac:dyDescent="0.3">
      <c r="A824" s="13"/>
      <c r="B824" s="1">
        <v>13</v>
      </c>
      <c r="C824" s="1">
        <v>465</v>
      </c>
      <c r="D824" s="1">
        <v>1</v>
      </c>
      <c r="E824" s="5">
        <v>1</v>
      </c>
      <c r="F824" s="3">
        <f t="shared" si="244"/>
        <v>13</v>
      </c>
      <c r="G824" s="5">
        <v>2.5</v>
      </c>
      <c r="H824" s="3">
        <f t="shared" si="211"/>
        <v>4.908738521234052</v>
      </c>
      <c r="I824" s="4">
        <v>4.9086999999999999E-2</v>
      </c>
      <c r="K824" s="3">
        <v>271.81748352791806</v>
      </c>
      <c r="L824" s="3">
        <v>365.04072000000002</v>
      </c>
      <c r="M824" s="3">
        <v>1493.4841300000001</v>
      </c>
      <c r="N824" s="12">
        <f t="shared" si="245"/>
        <v>9.9999215251863893E-3</v>
      </c>
      <c r="O824" s="11">
        <f t="shared" si="246"/>
        <v>490.87</v>
      </c>
      <c r="P824" s="1">
        <v>10</v>
      </c>
      <c r="Q824" s="15">
        <v>1</v>
      </c>
      <c r="R824" s="3">
        <f>Q824*VLOOKUP(P824,[4]Datos!$A$2:$D$14,2)</f>
        <v>8.19</v>
      </c>
      <c r="S824" s="10">
        <f t="shared" si="212"/>
        <v>60</v>
      </c>
      <c r="T824" s="14">
        <v>87</v>
      </c>
      <c r="U824" s="3">
        <f t="shared" si="213"/>
        <v>0.08</v>
      </c>
      <c r="V824" s="3"/>
      <c r="W824" s="1">
        <v>280</v>
      </c>
      <c r="X824" s="9">
        <v>2</v>
      </c>
      <c r="Y824" s="1">
        <v>4</v>
      </c>
      <c r="Z824" s="3">
        <f>X824*VLOOKUP(Y824,[4]Datos!$A$2:$D$14,2)</f>
        <v>2.58</v>
      </c>
      <c r="AA824" s="8">
        <v>0.15</v>
      </c>
      <c r="AB824" s="7">
        <f t="shared" si="247"/>
        <v>180.55532030650846</v>
      </c>
      <c r="AC824" s="7">
        <f t="shared" si="214"/>
        <v>118.21873003120976</v>
      </c>
      <c r="AD824" s="6" t="str">
        <f t="shared" si="248"/>
        <v>Cumple</v>
      </c>
      <c r="AE824" s="6"/>
      <c r="AH824" s="3"/>
    </row>
    <row r="825" spans="1:43" ht="15" customHeight="1" x14ac:dyDescent="0.3">
      <c r="A825" s="13"/>
      <c r="B825" s="1">
        <v>14</v>
      </c>
      <c r="C825" s="1">
        <v>467</v>
      </c>
      <c r="D825" s="1">
        <v>1</v>
      </c>
      <c r="E825" s="5">
        <v>1</v>
      </c>
      <c r="F825" s="3">
        <f t="shared" si="244"/>
        <v>14</v>
      </c>
      <c r="G825" s="5">
        <v>2.5</v>
      </c>
      <c r="H825" s="3">
        <f t="shared" si="211"/>
        <v>4.908738521234052</v>
      </c>
      <c r="I825" s="4">
        <v>4.9086999999999999E-2</v>
      </c>
      <c r="K825" s="3">
        <v>253.52436063502853</v>
      </c>
      <c r="L825" s="3">
        <v>344.21188999999998</v>
      </c>
      <c r="M825" s="3">
        <v>1226.72875</v>
      </c>
      <c r="N825" s="12">
        <f t="shared" si="245"/>
        <v>9.9999215251863893E-3</v>
      </c>
      <c r="O825" s="11">
        <f t="shared" si="246"/>
        <v>490.87</v>
      </c>
      <c r="P825" s="1">
        <v>10</v>
      </c>
      <c r="Q825" s="15">
        <v>1</v>
      </c>
      <c r="R825" s="3">
        <f>Q825*VLOOKUP(P825,[4]Datos!$A$2:$D$14,2)</f>
        <v>8.19</v>
      </c>
      <c r="S825" s="10">
        <f t="shared" si="212"/>
        <v>60</v>
      </c>
      <c r="T825" s="14">
        <v>87</v>
      </c>
      <c r="U825" s="3">
        <f t="shared" si="213"/>
        <v>0.08</v>
      </c>
      <c r="V825" s="3"/>
      <c r="W825" s="1">
        <v>280</v>
      </c>
      <c r="X825" s="9">
        <v>2</v>
      </c>
      <c r="Y825" s="1">
        <v>4</v>
      </c>
      <c r="Z825" s="3">
        <f>X825*VLOOKUP(Y825,[4]Datos!$A$2:$D$14,2)</f>
        <v>2.58</v>
      </c>
      <c r="AA825" s="8">
        <v>0.15</v>
      </c>
      <c r="AB825" s="7">
        <f t="shared" si="247"/>
        <v>180.55532030650846</v>
      </c>
      <c r="AC825" s="7">
        <f t="shared" si="214"/>
        <v>118.21873003120976</v>
      </c>
      <c r="AD825" s="6" t="str">
        <f t="shared" si="248"/>
        <v>Cumple</v>
      </c>
      <c r="AE825" s="6"/>
      <c r="AH825" s="3"/>
    </row>
    <row r="826" spans="1:43" ht="15" customHeight="1" x14ac:dyDescent="0.3">
      <c r="A826" s="13"/>
      <c r="B826" s="1">
        <v>15</v>
      </c>
      <c r="C826" s="1">
        <v>469</v>
      </c>
      <c r="D826" s="1">
        <v>1</v>
      </c>
      <c r="E826" s="5">
        <v>1</v>
      </c>
      <c r="F826" s="3">
        <f t="shared" si="244"/>
        <v>15</v>
      </c>
      <c r="G826" s="5">
        <v>2.5</v>
      </c>
      <c r="H826" s="3">
        <f t="shared" si="211"/>
        <v>4.908738521234052</v>
      </c>
      <c r="I826" s="4">
        <v>4.9086999999999999E-2</v>
      </c>
      <c r="K826" s="3">
        <v>229.2196890238707</v>
      </c>
      <c r="L826" s="3">
        <v>310.88657999999998</v>
      </c>
      <c r="M826" s="3">
        <v>977.59238000000005</v>
      </c>
      <c r="N826" s="12">
        <f t="shared" si="245"/>
        <v>9.9999215251863893E-3</v>
      </c>
      <c r="O826" s="11">
        <f t="shared" si="246"/>
        <v>490.87</v>
      </c>
      <c r="P826" s="1">
        <v>10</v>
      </c>
      <c r="Q826" s="1">
        <v>1</v>
      </c>
      <c r="R826" s="3">
        <f>Q826*VLOOKUP(P826,[4]Datos!$A$2:$D$14,2)</f>
        <v>8.19</v>
      </c>
      <c r="S826" s="10">
        <f t="shared" si="212"/>
        <v>60</v>
      </c>
      <c r="T826" s="2">
        <v>60</v>
      </c>
      <c r="U826" s="3">
        <f t="shared" si="213"/>
        <v>0.12</v>
      </c>
      <c r="V826" s="3"/>
      <c r="W826" s="1">
        <v>280</v>
      </c>
      <c r="X826" s="9">
        <v>2</v>
      </c>
      <c r="Y826" s="1">
        <v>4</v>
      </c>
      <c r="Z826" s="3">
        <f>X826*VLOOKUP(Y826,[4]Datos!$A$2:$D$14,2)</f>
        <v>2.58</v>
      </c>
      <c r="AA826" s="8">
        <v>0.3</v>
      </c>
      <c r="AB826" s="7">
        <f t="shared" si="247"/>
        <v>180.55532030650846</v>
      </c>
      <c r="AC826" s="7">
        <f t="shared" si="214"/>
        <v>59.10936501560488</v>
      </c>
      <c r="AD826" s="6" t="str">
        <f t="shared" si="248"/>
        <v>Cumple</v>
      </c>
      <c r="AE826" s="6"/>
      <c r="AH826" s="3"/>
    </row>
    <row r="827" spans="1:43" ht="15" customHeight="1" x14ac:dyDescent="0.3">
      <c r="A827" s="13"/>
      <c r="B827" s="1">
        <v>16</v>
      </c>
      <c r="C827" s="1">
        <v>471</v>
      </c>
      <c r="D827" s="1">
        <v>1</v>
      </c>
      <c r="E827" s="5">
        <v>1</v>
      </c>
      <c r="F827" s="3">
        <f t="shared" si="244"/>
        <v>16</v>
      </c>
      <c r="G827" s="5">
        <v>2.5</v>
      </c>
      <c r="H827" s="3">
        <f t="shared" si="211"/>
        <v>4.908738521234052</v>
      </c>
      <c r="I827" s="4">
        <v>4.9086999999999999E-2</v>
      </c>
      <c r="K827" s="3">
        <v>200.89241712272266</v>
      </c>
      <c r="L827" s="3">
        <v>268.82855000000001</v>
      </c>
      <c r="M827" s="3">
        <v>754.53773999999999</v>
      </c>
      <c r="N827" s="12">
        <f t="shared" si="245"/>
        <v>9.9999215251863893E-3</v>
      </c>
      <c r="O827" s="11">
        <f t="shared" si="246"/>
        <v>490.87</v>
      </c>
      <c r="P827" s="1">
        <v>10</v>
      </c>
      <c r="Q827" s="1">
        <v>1</v>
      </c>
      <c r="R827" s="3">
        <f>Q827*VLOOKUP(P827,[4]Datos!$A$2:$D$14,2)</f>
        <v>8.19</v>
      </c>
      <c r="S827" s="10">
        <f t="shared" si="212"/>
        <v>60</v>
      </c>
      <c r="T827" s="2">
        <v>60</v>
      </c>
      <c r="U827" s="3">
        <f t="shared" si="213"/>
        <v>0.12</v>
      </c>
      <c r="V827" s="3"/>
      <c r="W827" s="1">
        <v>280</v>
      </c>
      <c r="X827" s="9">
        <v>2</v>
      </c>
      <c r="Y827" s="1">
        <v>4</v>
      </c>
      <c r="Z827" s="3">
        <f>X827*VLOOKUP(Y827,[4]Datos!$A$2:$D$14,2)</f>
        <v>2.58</v>
      </c>
      <c r="AA827" s="8">
        <v>0.3</v>
      </c>
      <c r="AB827" s="7">
        <f t="shared" si="247"/>
        <v>180.55532030650846</v>
      </c>
      <c r="AC827" s="7">
        <f t="shared" si="214"/>
        <v>59.10936501560488</v>
      </c>
      <c r="AD827" s="6" t="str">
        <f t="shared" si="248"/>
        <v>Cumple</v>
      </c>
      <c r="AE827" s="6"/>
      <c r="AH827" s="3"/>
    </row>
    <row r="828" spans="1:43" ht="15" customHeight="1" x14ac:dyDescent="0.3">
      <c r="A828" s="13"/>
      <c r="B828" s="1">
        <v>17</v>
      </c>
      <c r="C828" s="1">
        <v>473</v>
      </c>
      <c r="D828" s="1">
        <v>1</v>
      </c>
      <c r="E828" s="5">
        <v>1</v>
      </c>
      <c r="F828" s="3">
        <f t="shared" si="244"/>
        <v>17</v>
      </c>
      <c r="G828" s="5">
        <v>2.5</v>
      </c>
      <c r="H828" s="3">
        <f t="shared" si="211"/>
        <v>4.908738521234052</v>
      </c>
      <c r="I828" s="4">
        <v>4.9086999999999999E-2</v>
      </c>
      <c r="K828" s="3">
        <v>170.31368813929782</v>
      </c>
      <c r="L828" s="3">
        <v>221.88503</v>
      </c>
      <c r="M828" s="3">
        <v>558.70173</v>
      </c>
      <c r="N828" s="12">
        <f t="shared" si="245"/>
        <v>9.9999215251863893E-3</v>
      </c>
      <c r="O828" s="11">
        <f t="shared" si="246"/>
        <v>490.87</v>
      </c>
      <c r="P828" s="1">
        <v>10</v>
      </c>
      <c r="Q828" s="1">
        <v>1</v>
      </c>
      <c r="R828" s="3">
        <f>Q828*VLOOKUP(P828,[4]Datos!$A$2:$D$14,2)</f>
        <v>8.19</v>
      </c>
      <c r="S828" s="10">
        <f t="shared" si="212"/>
        <v>60</v>
      </c>
      <c r="T828" s="2">
        <v>60</v>
      </c>
      <c r="U828" s="3">
        <f t="shared" si="213"/>
        <v>0.12</v>
      </c>
      <c r="V828" s="3"/>
      <c r="W828" s="1">
        <v>280</v>
      </c>
      <c r="X828" s="9">
        <v>2</v>
      </c>
      <c r="Y828" s="1">
        <v>4</v>
      </c>
      <c r="Z828" s="3">
        <f>X828*VLOOKUP(Y828,[4]Datos!$A$2:$D$14,2)</f>
        <v>2.58</v>
      </c>
      <c r="AA828" s="8">
        <v>0.3</v>
      </c>
      <c r="AB828" s="7">
        <f t="shared" si="247"/>
        <v>180.55532030650846</v>
      </c>
      <c r="AC828" s="7">
        <f t="shared" si="214"/>
        <v>59.10936501560488</v>
      </c>
      <c r="AD828" s="6" t="str">
        <f t="shared" si="248"/>
        <v>Cumple</v>
      </c>
      <c r="AE828" s="6"/>
      <c r="AH828" s="3"/>
    </row>
    <row r="829" spans="1:43" ht="15" customHeight="1" x14ac:dyDescent="0.3">
      <c r="A829" s="13"/>
      <c r="B829" s="1">
        <v>18</v>
      </c>
      <c r="C829" s="1">
        <v>475</v>
      </c>
      <c r="D829" s="1">
        <v>1</v>
      </c>
      <c r="E829" s="5">
        <v>1</v>
      </c>
      <c r="F829" s="3">
        <f t="shared" si="244"/>
        <v>18</v>
      </c>
      <c r="G829" s="5">
        <v>2.5</v>
      </c>
      <c r="H829" s="3">
        <f t="shared" si="211"/>
        <v>4.908738521234052</v>
      </c>
      <c r="I829" s="4">
        <v>4.9086999999999999E-2</v>
      </c>
      <c r="K829" s="3">
        <v>139.37297642358794</v>
      </c>
      <c r="L829" s="3">
        <v>172.97763</v>
      </c>
      <c r="M829" s="3">
        <v>392.14645999999999</v>
      </c>
      <c r="N829" s="12">
        <f t="shared" si="245"/>
        <v>9.9999215251863893E-3</v>
      </c>
      <c r="O829" s="11">
        <f t="shared" si="246"/>
        <v>490.87</v>
      </c>
      <c r="P829" s="1">
        <v>10</v>
      </c>
      <c r="Q829" s="1">
        <v>1</v>
      </c>
      <c r="R829" s="3">
        <f>Q829*VLOOKUP(P829,[4]Datos!$A$2:$D$14,2)</f>
        <v>8.19</v>
      </c>
      <c r="S829" s="10">
        <f t="shared" si="212"/>
        <v>60</v>
      </c>
      <c r="T829" s="2">
        <v>60</v>
      </c>
      <c r="U829" s="3">
        <f t="shared" si="213"/>
        <v>0.12</v>
      </c>
      <c r="V829" s="3"/>
      <c r="W829" s="1">
        <v>280</v>
      </c>
      <c r="X829" s="9">
        <v>2</v>
      </c>
      <c r="Y829" s="1">
        <v>4</v>
      </c>
      <c r="Z829" s="3">
        <f>X829*VLOOKUP(Y829,[4]Datos!$A$2:$D$14,2)</f>
        <v>2.58</v>
      </c>
      <c r="AA829" s="8">
        <v>0.3</v>
      </c>
      <c r="AB829" s="7">
        <f t="shared" si="247"/>
        <v>180.55532030650846</v>
      </c>
      <c r="AC829" s="7">
        <f t="shared" si="214"/>
        <v>59.10936501560488</v>
      </c>
      <c r="AD829" s="6" t="str">
        <f t="shared" si="248"/>
        <v>Cumple</v>
      </c>
      <c r="AE829" s="6"/>
      <c r="AH829" s="3"/>
    </row>
    <row r="830" spans="1:43" ht="15" customHeight="1" x14ac:dyDescent="0.3">
      <c r="A830" s="13"/>
      <c r="B830" s="1">
        <v>19</v>
      </c>
      <c r="C830" s="1">
        <v>477</v>
      </c>
      <c r="D830" s="1">
        <v>1</v>
      </c>
      <c r="E830" s="5">
        <v>1</v>
      </c>
      <c r="F830" s="3">
        <f t="shared" si="244"/>
        <v>19</v>
      </c>
      <c r="G830" s="5">
        <v>2.5</v>
      </c>
      <c r="H830" s="3">
        <f t="shared" si="211"/>
        <v>4.908738521234052</v>
      </c>
      <c r="I830" s="4">
        <v>4.9086999999999999E-2</v>
      </c>
      <c r="K830" s="3">
        <v>109.03595952345263</v>
      </c>
      <c r="L830" s="3">
        <v>125.10232999999999</v>
      </c>
      <c r="M830" s="3">
        <v>255.96785</v>
      </c>
      <c r="N830" s="12">
        <f t="shared" si="245"/>
        <v>9.9999215251863893E-3</v>
      </c>
      <c r="O830" s="11">
        <f t="shared" si="246"/>
        <v>490.87</v>
      </c>
      <c r="P830" s="1">
        <v>10</v>
      </c>
      <c r="Q830" s="1">
        <v>1</v>
      </c>
      <c r="R830" s="3">
        <f>Q830*VLOOKUP(P830,[4]Datos!$A$2:$D$14,2)</f>
        <v>8.19</v>
      </c>
      <c r="S830" s="10">
        <f t="shared" si="212"/>
        <v>60</v>
      </c>
      <c r="T830" s="2">
        <v>60</v>
      </c>
      <c r="U830" s="3">
        <f t="shared" si="213"/>
        <v>0.12</v>
      </c>
      <c r="V830" s="3"/>
      <c r="W830" s="1">
        <v>280</v>
      </c>
      <c r="X830" s="9">
        <v>2</v>
      </c>
      <c r="Y830" s="1">
        <v>4</v>
      </c>
      <c r="Z830" s="3">
        <f>X830*VLOOKUP(Y830,[4]Datos!$A$2:$D$14,2)</f>
        <v>2.58</v>
      </c>
      <c r="AA830" s="8">
        <v>0.3</v>
      </c>
      <c r="AB830" s="7">
        <f t="shared" si="247"/>
        <v>180.55532030650846</v>
      </c>
      <c r="AC830" s="7">
        <f t="shared" si="214"/>
        <v>59.10936501560488</v>
      </c>
      <c r="AD830" s="6" t="str">
        <f t="shared" si="248"/>
        <v>Cumple</v>
      </c>
      <c r="AE830" s="6"/>
      <c r="AH830" s="3"/>
    </row>
    <row r="831" spans="1:43" ht="15" customHeight="1" x14ac:dyDescent="0.3">
      <c r="A831" s="13"/>
      <c r="B831" s="1">
        <v>20</v>
      </c>
      <c r="C831" s="1">
        <v>479</v>
      </c>
      <c r="D831" s="1">
        <v>1</v>
      </c>
      <c r="E831" s="5">
        <v>1</v>
      </c>
      <c r="F831" s="3">
        <f t="shared" si="244"/>
        <v>20</v>
      </c>
      <c r="G831" s="5">
        <v>2.5</v>
      </c>
      <c r="H831" s="3">
        <f t="shared" si="211"/>
        <v>4.908738521234052</v>
      </c>
      <c r="I831" s="4">
        <v>4.9086999999999999E-2</v>
      </c>
      <c r="K831" s="3">
        <v>79.657642045568977</v>
      </c>
      <c r="L831" s="3">
        <v>81.149820000000005</v>
      </c>
      <c r="M831" s="3">
        <v>150.05110999999999</v>
      </c>
      <c r="N831" s="12">
        <f t="shared" si="245"/>
        <v>9.9999215251863893E-3</v>
      </c>
      <c r="O831" s="11">
        <f t="shared" si="246"/>
        <v>490.87</v>
      </c>
      <c r="P831" s="1">
        <v>10</v>
      </c>
      <c r="Q831" s="1">
        <v>1</v>
      </c>
      <c r="R831" s="3">
        <f>Q831*VLOOKUP(P831,[4]Datos!$A$2:$D$14,2)</f>
        <v>8.19</v>
      </c>
      <c r="S831" s="10">
        <f t="shared" si="212"/>
        <v>60</v>
      </c>
      <c r="T831" s="2">
        <v>60</v>
      </c>
      <c r="U831" s="3">
        <f t="shared" si="213"/>
        <v>0.12</v>
      </c>
      <c r="V831" s="3"/>
      <c r="W831" s="1">
        <v>280</v>
      </c>
      <c r="X831" s="9">
        <v>2</v>
      </c>
      <c r="Y831" s="1">
        <v>4</v>
      </c>
      <c r="Z831" s="3">
        <f>X831*VLOOKUP(Y831,[4]Datos!$A$2:$D$14,2)</f>
        <v>2.58</v>
      </c>
      <c r="AA831" s="8">
        <v>0.3</v>
      </c>
      <c r="AB831" s="7">
        <f t="shared" si="247"/>
        <v>180.55532030650846</v>
      </c>
      <c r="AC831" s="7">
        <f t="shared" si="214"/>
        <v>59.10936501560488</v>
      </c>
      <c r="AD831" s="6" t="str">
        <f t="shared" si="248"/>
        <v>Cumple</v>
      </c>
      <c r="AE831" s="6"/>
      <c r="AH831" s="3"/>
    </row>
    <row r="832" spans="1:43" ht="15" customHeight="1" x14ac:dyDescent="0.3">
      <c r="A832" s="13"/>
      <c r="B832" s="1">
        <v>21</v>
      </c>
      <c r="C832" s="1">
        <v>685</v>
      </c>
      <c r="D832" s="1">
        <v>1</v>
      </c>
      <c r="E832" s="5">
        <v>1</v>
      </c>
      <c r="F832" s="3">
        <f t="shared" si="244"/>
        <v>21</v>
      </c>
      <c r="G832" s="5">
        <v>2.5</v>
      </c>
      <c r="H832" s="3">
        <f t="shared" si="211"/>
        <v>4.908738521234052</v>
      </c>
      <c r="I832" s="4">
        <v>4.9086999999999999E-2</v>
      </c>
      <c r="K832" s="3">
        <v>51.748894376691759</v>
      </c>
      <c r="L832" s="3">
        <v>43.885449999999999</v>
      </c>
      <c r="M832" s="3">
        <v>73.356939999999994</v>
      </c>
      <c r="N832" s="12">
        <f t="shared" si="245"/>
        <v>9.9999215251863893E-3</v>
      </c>
      <c r="O832" s="11">
        <f t="shared" si="246"/>
        <v>490.87</v>
      </c>
      <c r="P832" s="1">
        <v>10</v>
      </c>
      <c r="Q832" s="1">
        <v>1</v>
      </c>
      <c r="R832" s="3">
        <f>Q832*VLOOKUP(P832,[4]Datos!$A$2:$D$14,2)</f>
        <v>8.19</v>
      </c>
      <c r="S832" s="10">
        <f t="shared" si="212"/>
        <v>60</v>
      </c>
      <c r="T832" s="2">
        <v>60</v>
      </c>
      <c r="U832" s="3">
        <f t="shared" si="213"/>
        <v>0.12</v>
      </c>
      <c r="V832" s="3"/>
      <c r="W832" s="1">
        <v>280</v>
      </c>
      <c r="X832" s="9">
        <v>2</v>
      </c>
      <c r="Y832" s="1">
        <v>4</v>
      </c>
      <c r="Z832" s="3">
        <f>X832*VLOOKUP(Y832,[4]Datos!$A$2:$D$14,2)</f>
        <v>2.58</v>
      </c>
      <c r="AA832" s="8">
        <v>0.3</v>
      </c>
      <c r="AB832" s="7">
        <f t="shared" si="247"/>
        <v>180.55532030650846</v>
      </c>
      <c r="AC832" s="7">
        <f t="shared" si="214"/>
        <v>59.10936501560488</v>
      </c>
      <c r="AD832" s="6" t="str">
        <f t="shared" si="248"/>
        <v>Cumple</v>
      </c>
      <c r="AE832" s="6"/>
      <c r="AH832" s="3"/>
    </row>
    <row r="833" spans="1:43" ht="15" customHeight="1" x14ac:dyDescent="0.3">
      <c r="A833" s="13"/>
      <c r="B833" s="1">
        <v>22</v>
      </c>
      <c r="C833" s="1">
        <v>687</v>
      </c>
      <c r="D833" s="1">
        <v>1</v>
      </c>
      <c r="E833" s="5">
        <v>1</v>
      </c>
      <c r="F833" s="3">
        <f t="shared" si="244"/>
        <v>22</v>
      </c>
      <c r="G833" s="5">
        <v>2.5</v>
      </c>
      <c r="H833" s="3">
        <f t="shared" si="211"/>
        <v>4.908738521234052</v>
      </c>
      <c r="I833" s="4">
        <v>4.9086999999999999E-2</v>
      </c>
      <c r="K833" s="3">
        <v>25.733010563282331</v>
      </c>
      <c r="L833" s="3">
        <v>16.014520000000001</v>
      </c>
      <c r="M833" s="3">
        <v>24.15597</v>
      </c>
      <c r="N833" s="12">
        <f t="shared" si="245"/>
        <v>9.9999215251863893E-3</v>
      </c>
      <c r="O833" s="11">
        <f t="shared" si="246"/>
        <v>490.87</v>
      </c>
      <c r="P833" s="1">
        <v>10</v>
      </c>
      <c r="Q833" s="1">
        <v>1</v>
      </c>
      <c r="R833" s="3">
        <f>Q833*VLOOKUP(P833,[4]Datos!$A$2:$D$14,2)</f>
        <v>8.19</v>
      </c>
      <c r="S833" s="10">
        <f t="shared" si="212"/>
        <v>60</v>
      </c>
      <c r="T833" s="2">
        <v>60</v>
      </c>
      <c r="U833" s="3">
        <f t="shared" si="213"/>
        <v>0.12</v>
      </c>
      <c r="V833" s="3"/>
      <c r="W833" s="1">
        <v>280</v>
      </c>
      <c r="X833" s="9">
        <v>2</v>
      </c>
      <c r="Y833" s="1">
        <v>4</v>
      </c>
      <c r="Z833" s="3">
        <f>X833*VLOOKUP(Y833,[4]Datos!$A$2:$D$14,2)</f>
        <v>2.58</v>
      </c>
      <c r="AA833" s="8">
        <v>0.3</v>
      </c>
      <c r="AB833" s="7">
        <f t="shared" si="247"/>
        <v>180.55532030650846</v>
      </c>
      <c r="AC833" s="7">
        <f t="shared" si="214"/>
        <v>59.10936501560488</v>
      </c>
      <c r="AD833" s="6" t="str">
        <f t="shared" si="248"/>
        <v>Cumple</v>
      </c>
      <c r="AE833" s="6"/>
      <c r="AH833" s="3"/>
    </row>
    <row r="834" spans="1:43" ht="15" customHeight="1" x14ac:dyDescent="0.3">
      <c r="A834" s="13" t="s">
        <v>6</v>
      </c>
      <c r="B834" s="1">
        <v>1</v>
      </c>
      <c r="C834" s="1">
        <v>408</v>
      </c>
      <c r="D834" s="1">
        <v>1</v>
      </c>
      <c r="E834" s="5">
        <v>1</v>
      </c>
      <c r="F834" s="3">
        <f>E834</f>
        <v>1</v>
      </c>
      <c r="G834" s="5">
        <v>2.5</v>
      </c>
      <c r="H834" s="3">
        <f t="shared" si="211"/>
        <v>4.908738521234052</v>
      </c>
      <c r="I834" s="4">
        <v>7.9057000000000002E-2</v>
      </c>
      <c r="K834" s="3">
        <v>369.95827385963406</v>
      </c>
      <c r="L834" s="3">
        <v>1498.3681200000001</v>
      </c>
      <c r="M834" s="3">
        <v>2646.0040600000002</v>
      </c>
      <c r="N834" s="12">
        <f t="shared" si="245"/>
        <v>1.6105359790100443E-2</v>
      </c>
      <c r="O834" s="11">
        <f t="shared" si="246"/>
        <v>790.57</v>
      </c>
      <c r="P834" s="1">
        <v>10</v>
      </c>
      <c r="Q834" s="1">
        <v>2</v>
      </c>
      <c r="R834" s="3">
        <f>Q834*VLOOKUP(P834,[4]Datos!$A$2:$D$14,2)</f>
        <v>16.38</v>
      </c>
      <c r="S834" s="10">
        <f t="shared" si="212"/>
        <v>49</v>
      </c>
      <c r="T834" s="2">
        <v>52</v>
      </c>
      <c r="U834" s="3">
        <f t="shared" si="213"/>
        <v>0.13</v>
      </c>
      <c r="V834" s="3"/>
      <c r="W834" s="1">
        <v>280</v>
      </c>
      <c r="X834" s="9">
        <v>2</v>
      </c>
      <c r="Y834" s="1">
        <v>6</v>
      </c>
      <c r="Z834" s="3">
        <f>X834*VLOOKUP(Y834,[4]Datos!$A$2:$D$14,2)</f>
        <v>5.68</v>
      </c>
      <c r="AA834" s="8">
        <v>0.06</v>
      </c>
      <c r="AB834" s="7">
        <f t="shared" si="247"/>
        <v>180.55532030650846</v>
      </c>
      <c r="AC834" s="7">
        <f t="shared" si="214"/>
        <v>650.66122730355755</v>
      </c>
      <c r="AD834" s="6" t="str">
        <f t="shared" si="248"/>
        <v>Cumple</v>
      </c>
      <c r="AE834" s="6"/>
      <c r="AG834" s="7">
        <f t="shared" ref="AG834:AG841" si="249">ROUNDUP(MAX(0.45,3*G834,),0)</f>
        <v>8</v>
      </c>
      <c r="AH834" s="3">
        <f t="shared" ref="AH834:AH841" si="250">PI()*(G834-0.15)^2/4</f>
        <v>4.3373613573624086</v>
      </c>
      <c r="AI834" s="7">
        <f>G834-0.15-VLOOKUP(Y834,[4]Datos!$A$2:$D$14,3)/100</f>
        <v>2.3309000000000002</v>
      </c>
      <c r="AJ834" s="7">
        <f t="shared" ref="AJ834:AJ841" si="251">SQRT((PI()*AI834)^2+AA834^2)</f>
        <v>7.3229841218120741</v>
      </c>
      <c r="AK834" s="1">
        <v>0.12</v>
      </c>
      <c r="AL834" s="16">
        <f t="shared" ref="AL834:AL841" si="252">MAX(0.45*(H834/AH834-1),AK834)*(W834/4220)</f>
        <v>7.9620853080568724E-3</v>
      </c>
      <c r="AM834" s="7">
        <f t="shared" ref="AM834:AM841" si="253">AG834*(AJ834/AA834)</f>
        <v>976.39788290827664</v>
      </c>
      <c r="AN834" s="17">
        <f t="shared" ref="AN834:AN841" si="254">AM834*Z834/X834/10000</f>
        <v>0.27729699874595054</v>
      </c>
      <c r="AO834" s="17">
        <f t="shared" ref="AO834:AO841" si="255">AH834*AG834</f>
        <v>34.698890858899269</v>
      </c>
      <c r="AP834" s="16">
        <f t="shared" ref="AP834:AP841" si="256">AN834/AO834</f>
        <v>7.9915234142082618E-3</v>
      </c>
      <c r="AQ834" s="6" t="str">
        <f t="shared" ref="AQ834:AQ841" si="257">+IF(AP834&gt;AL834,"Cumple","No Cumple")</f>
        <v>Cumple</v>
      </c>
    </row>
    <row r="835" spans="1:43" ht="15" customHeight="1" x14ac:dyDescent="0.3">
      <c r="A835" s="13"/>
      <c r="B835" s="1">
        <v>2</v>
      </c>
      <c r="C835" s="1">
        <v>410</v>
      </c>
      <c r="D835" s="1">
        <v>1</v>
      </c>
      <c r="E835" s="5">
        <v>1</v>
      </c>
      <c r="F835" s="3">
        <f>F834+E835</f>
        <v>2</v>
      </c>
      <c r="G835" s="5">
        <v>2.5</v>
      </c>
      <c r="H835" s="3">
        <f t="shared" si="211"/>
        <v>4.908738521234052</v>
      </c>
      <c r="I835" s="4">
        <v>8.1204999999999999E-2</v>
      </c>
      <c r="K835" s="3">
        <v>351.66344496727265</v>
      </c>
      <c r="L835" s="3">
        <v>1229.72497</v>
      </c>
      <c r="M835" s="3">
        <v>2782.4229799999998</v>
      </c>
      <c r="N835" s="12">
        <f t="shared" si="245"/>
        <v>1.6542946756835021E-2</v>
      </c>
      <c r="O835" s="11">
        <f t="shared" si="246"/>
        <v>812.05</v>
      </c>
      <c r="P835" s="1">
        <v>10</v>
      </c>
      <c r="Q835" s="1">
        <v>2</v>
      </c>
      <c r="R835" s="3">
        <f>Q835*VLOOKUP(P835,[4]Datos!$A$2:$D$14,2)</f>
        <v>16.38</v>
      </c>
      <c r="S835" s="10">
        <f t="shared" si="212"/>
        <v>50</v>
      </c>
      <c r="T835" s="2">
        <v>52</v>
      </c>
      <c r="U835" s="3">
        <f t="shared" si="213"/>
        <v>0.13</v>
      </c>
      <c r="V835" s="3"/>
      <c r="W835" s="1">
        <v>280</v>
      </c>
      <c r="X835" s="9">
        <v>2</v>
      </c>
      <c r="Y835" s="1">
        <v>6</v>
      </c>
      <c r="Z835" s="3">
        <f>X835*VLOOKUP(Y835,[4]Datos!$A$2:$D$14,2)</f>
        <v>5.68</v>
      </c>
      <c r="AA835" s="8">
        <v>0.06</v>
      </c>
      <c r="AB835" s="7">
        <f t="shared" si="247"/>
        <v>180.55532030650846</v>
      </c>
      <c r="AC835" s="7">
        <f t="shared" si="214"/>
        <v>650.66122730355755</v>
      </c>
      <c r="AD835" s="6" t="str">
        <f t="shared" si="248"/>
        <v>Cumple</v>
      </c>
      <c r="AE835" s="6"/>
      <c r="AG835" s="7">
        <f t="shared" si="249"/>
        <v>8</v>
      </c>
      <c r="AH835" s="3">
        <f t="shared" si="250"/>
        <v>4.3373613573624086</v>
      </c>
      <c r="AI835" s="7">
        <f>G835-0.15-VLOOKUP(Y835,[4]Datos!$A$2:$D$14,3)/100</f>
        <v>2.3309000000000002</v>
      </c>
      <c r="AJ835" s="7">
        <f t="shared" si="251"/>
        <v>7.3229841218120741</v>
      </c>
      <c r="AK835" s="1">
        <v>0.12</v>
      </c>
      <c r="AL835" s="16">
        <f t="shared" si="252"/>
        <v>7.9620853080568724E-3</v>
      </c>
      <c r="AM835" s="7">
        <f t="shared" si="253"/>
        <v>976.39788290827664</v>
      </c>
      <c r="AN835" s="17">
        <f t="shared" si="254"/>
        <v>0.27729699874595054</v>
      </c>
      <c r="AO835" s="17">
        <f t="shared" si="255"/>
        <v>34.698890858899269</v>
      </c>
      <c r="AP835" s="16">
        <f t="shared" si="256"/>
        <v>7.9915234142082618E-3</v>
      </c>
      <c r="AQ835" s="6" t="str">
        <f t="shared" si="257"/>
        <v>Cumple</v>
      </c>
    </row>
    <row r="836" spans="1:43" ht="15" customHeight="1" x14ac:dyDescent="0.3">
      <c r="A836" s="13"/>
      <c r="B836" s="1">
        <v>3</v>
      </c>
      <c r="C836" s="1">
        <v>412</v>
      </c>
      <c r="D836" s="1">
        <v>1</v>
      </c>
      <c r="E836" s="5">
        <v>1</v>
      </c>
      <c r="F836" s="3">
        <f t="shared" ref="F836:F855" si="258">F835+E836</f>
        <v>3</v>
      </c>
      <c r="G836" s="5">
        <v>2.5</v>
      </c>
      <c r="H836" s="3">
        <f t="shared" si="211"/>
        <v>4.908738521234052</v>
      </c>
      <c r="I836" s="4">
        <v>8.3096000000000003E-2</v>
      </c>
      <c r="K836" s="3">
        <v>318.48426910056327</v>
      </c>
      <c r="L836" s="3">
        <v>967.96765000000005</v>
      </c>
      <c r="M836" s="3">
        <v>2906.03748</v>
      </c>
      <c r="N836" s="12">
        <f t="shared" si="245"/>
        <v>1.6928178113490094E-2</v>
      </c>
      <c r="O836" s="11">
        <f t="shared" si="246"/>
        <v>830.96</v>
      </c>
      <c r="P836" s="1">
        <v>10</v>
      </c>
      <c r="Q836" s="1">
        <v>2</v>
      </c>
      <c r="R836" s="3">
        <f>Q836*VLOOKUP(P836,[4]Datos!$A$2:$D$14,2)</f>
        <v>16.38</v>
      </c>
      <c r="S836" s="10">
        <f t="shared" si="212"/>
        <v>51</v>
      </c>
      <c r="T836" s="2">
        <v>52</v>
      </c>
      <c r="U836" s="3">
        <f t="shared" si="213"/>
        <v>0.13</v>
      </c>
      <c r="V836" s="3"/>
      <c r="W836" s="1">
        <v>280</v>
      </c>
      <c r="X836" s="9">
        <v>2</v>
      </c>
      <c r="Y836" s="1">
        <v>6</v>
      </c>
      <c r="Z836" s="3">
        <f>X836*VLOOKUP(Y836,[4]Datos!$A$2:$D$14,2)</f>
        <v>5.68</v>
      </c>
      <c r="AA836" s="8">
        <v>0.06</v>
      </c>
      <c r="AB836" s="7">
        <f t="shared" si="247"/>
        <v>180.55532030650846</v>
      </c>
      <c r="AC836" s="7">
        <f t="shared" si="214"/>
        <v>650.66122730355755</v>
      </c>
      <c r="AD836" s="6" t="str">
        <f t="shared" si="248"/>
        <v>Cumple</v>
      </c>
      <c r="AE836" s="6"/>
      <c r="AG836" s="7">
        <f t="shared" si="249"/>
        <v>8</v>
      </c>
      <c r="AH836" s="3">
        <f t="shared" si="250"/>
        <v>4.3373613573624086</v>
      </c>
      <c r="AI836" s="7">
        <f>G836-0.15-VLOOKUP(Y836,[4]Datos!$A$2:$D$14,3)/100</f>
        <v>2.3309000000000002</v>
      </c>
      <c r="AJ836" s="7">
        <f t="shared" si="251"/>
        <v>7.3229841218120741</v>
      </c>
      <c r="AK836" s="1">
        <v>0.12</v>
      </c>
      <c r="AL836" s="16">
        <f t="shared" si="252"/>
        <v>7.9620853080568724E-3</v>
      </c>
      <c r="AM836" s="7">
        <f t="shared" si="253"/>
        <v>976.39788290827664</v>
      </c>
      <c r="AN836" s="17">
        <f t="shared" si="254"/>
        <v>0.27729699874595054</v>
      </c>
      <c r="AO836" s="17">
        <f t="shared" si="255"/>
        <v>34.698890858899269</v>
      </c>
      <c r="AP836" s="16">
        <f t="shared" si="256"/>
        <v>7.9915234142082618E-3</v>
      </c>
      <c r="AQ836" s="6" t="str">
        <f t="shared" si="257"/>
        <v>Cumple</v>
      </c>
    </row>
    <row r="837" spans="1:43" ht="15" customHeight="1" x14ac:dyDescent="0.3">
      <c r="A837" s="13"/>
      <c r="B837" s="1">
        <v>4</v>
      </c>
      <c r="C837" s="1">
        <v>430</v>
      </c>
      <c r="D837" s="1">
        <v>1</v>
      </c>
      <c r="E837" s="5">
        <v>1</v>
      </c>
      <c r="F837" s="3">
        <f t="shared" si="258"/>
        <v>4</v>
      </c>
      <c r="G837" s="5">
        <v>2.5</v>
      </c>
      <c r="H837" s="3">
        <f t="shared" si="211"/>
        <v>4.908738521234052</v>
      </c>
      <c r="I837" s="4">
        <v>8.3854999999999999E-2</v>
      </c>
      <c r="K837" s="3">
        <v>276.93669446676796</v>
      </c>
      <c r="L837" s="3">
        <v>722.25932999999998</v>
      </c>
      <c r="M837" s="3">
        <v>2971.4114300000001</v>
      </c>
      <c r="N837" s="12">
        <f t="shared" si="245"/>
        <v>1.708280032380273E-2</v>
      </c>
      <c r="O837" s="11">
        <f t="shared" si="246"/>
        <v>838.55</v>
      </c>
      <c r="P837" s="1">
        <v>10</v>
      </c>
      <c r="Q837" s="1">
        <v>2</v>
      </c>
      <c r="R837" s="3">
        <f>Q837*VLOOKUP(P837,[4]Datos!$A$2:$D$14,2)</f>
        <v>16.38</v>
      </c>
      <c r="S837" s="10">
        <f t="shared" si="212"/>
        <v>52</v>
      </c>
      <c r="T837" s="2">
        <v>52</v>
      </c>
      <c r="U837" s="3">
        <f t="shared" si="213"/>
        <v>0.13</v>
      </c>
      <c r="V837" s="3"/>
      <c r="W837" s="1">
        <v>280</v>
      </c>
      <c r="X837" s="9">
        <v>2</v>
      </c>
      <c r="Y837" s="1">
        <v>6</v>
      </c>
      <c r="Z837" s="3">
        <f>X837*VLOOKUP(Y837,[4]Datos!$A$2:$D$14,2)</f>
        <v>5.68</v>
      </c>
      <c r="AA837" s="8">
        <v>0.06</v>
      </c>
      <c r="AB837" s="7">
        <f t="shared" si="247"/>
        <v>180.55532030650846</v>
      </c>
      <c r="AC837" s="7">
        <f t="shared" si="214"/>
        <v>650.66122730355755</v>
      </c>
      <c r="AD837" s="6" t="str">
        <f t="shared" si="248"/>
        <v>Cumple</v>
      </c>
      <c r="AE837" s="6"/>
      <c r="AG837" s="7">
        <f t="shared" si="249"/>
        <v>8</v>
      </c>
      <c r="AH837" s="3">
        <f t="shared" si="250"/>
        <v>4.3373613573624086</v>
      </c>
      <c r="AI837" s="7">
        <f>G837-0.15-VLOOKUP(Y837,[4]Datos!$A$2:$D$14,3)/100</f>
        <v>2.3309000000000002</v>
      </c>
      <c r="AJ837" s="7">
        <f t="shared" si="251"/>
        <v>7.3229841218120741</v>
      </c>
      <c r="AK837" s="1">
        <v>0.12</v>
      </c>
      <c r="AL837" s="16">
        <f t="shared" si="252"/>
        <v>7.9620853080568724E-3</v>
      </c>
      <c r="AM837" s="7">
        <f t="shared" si="253"/>
        <v>976.39788290827664</v>
      </c>
      <c r="AN837" s="17">
        <f t="shared" si="254"/>
        <v>0.27729699874595054</v>
      </c>
      <c r="AO837" s="17">
        <f t="shared" si="255"/>
        <v>34.698890858899269</v>
      </c>
      <c r="AP837" s="16">
        <f t="shared" si="256"/>
        <v>7.9915234142082618E-3</v>
      </c>
      <c r="AQ837" s="6" t="str">
        <f t="shared" si="257"/>
        <v>Cumple</v>
      </c>
    </row>
    <row r="838" spans="1:43" ht="15" customHeight="1" x14ac:dyDescent="0.3">
      <c r="A838" s="13"/>
      <c r="B838" s="1">
        <v>5</v>
      </c>
      <c r="C838" s="1">
        <v>448</v>
      </c>
      <c r="D838" s="1">
        <v>1</v>
      </c>
      <c r="E838" s="5">
        <v>1</v>
      </c>
      <c r="F838" s="3">
        <f t="shared" si="258"/>
        <v>5</v>
      </c>
      <c r="G838" s="5">
        <v>2.5</v>
      </c>
      <c r="H838" s="3">
        <f t="shared" si="211"/>
        <v>4.908738521234052</v>
      </c>
      <c r="I838" s="4">
        <v>8.3856E-2</v>
      </c>
      <c r="K838" s="3">
        <v>238.74538179261185</v>
      </c>
      <c r="L838" s="3">
        <v>555.01270999999997</v>
      </c>
      <c r="M838" s="3">
        <v>2971.4114300000001</v>
      </c>
      <c r="N838" s="12">
        <f t="shared" si="245"/>
        <v>1.7083004042129889E-2</v>
      </c>
      <c r="O838" s="11">
        <f t="shared" si="246"/>
        <v>838.56</v>
      </c>
      <c r="P838" s="1">
        <v>10</v>
      </c>
      <c r="Q838" s="1">
        <v>2</v>
      </c>
      <c r="R838" s="3">
        <f>Q838*VLOOKUP(P838,[4]Datos!$A$2:$D$14,2)</f>
        <v>16.38</v>
      </c>
      <c r="S838" s="10">
        <f t="shared" si="212"/>
        <v>52</v>
      </c>
      <c r="T838" s="2">
        <v>52</v>
      </c>
      <c r="U838" s="3">
        <f t="shared" si="213"/>
        <v>0.13</v>
      </c>
      <c r="V838" s="3"/>
      <c r="W838" s="1">
        <v>280</v>
      </c>
      <c r="X838" s="9">
        <v>2</v>
      </c>
      <c r="Y838" s="1">
        <v>6</v>
      </c>
      <c r="Z838" s="3">
        <f>X838*VLOOKUP(Y838,[4]Datos!$A$2:$D$14,2)</f>
        <v>5.68</v>
      </c>
      <c r="AA838" s="8">
        <v>0.06</v>
      </c>
      <c r="AB838" s="7">
        <f t="shared" si="247"/>
        <v>180.55532030650846</v>
      </c>
      <c r="AC838" s="7">
        <f t="shared" si="214"/>
        <v>650.66122730355755</v>
      </c>
      <c r="AD838" s="6" t="str">
        <f t="shared" si="248"/>
        <v>Cumple</v>
      </c>
      <c r="AE838" s="6"/>
      <c r="AG838" s="7">
        <f t="shared" si="249"/>
        <v>8</v>
      </c>
      <c r="AH838" s="3">
        <f t="shared" si="250"/>
        <v>4.3373613573624086</v>
      </c>
      <c r="AI838" s="7">
        <f>G838-0.15-VLOOKUP(Y838,[4]Datos!$A$2:$D$14,3)/100</f>
        <v>2.3309000000000002</v>
      </c>
      <c r="AJ838" s="7">
        <f t="shared" si="251"/>
        <v>7.3229841218120741</v>
      </c>
      <c r="AK838" s="1">
        <v>0.12</v>
      </c>
      <c r="AL838" s="16">
        <f t="shared" si="252"/>
        <v>7.9620853080568724E-3</v>
      </c>
      <c r="AM838" s="7">
        <f t="shared" si="253"/>
        <v>976.39788290827664</v>
      </c>
      <c r="AN838" s="17">
        <f t="shared" si="254"/>
        <v>0.27729699874595054</v>
      </c>
      <c r="AO838" s="17">
        <f t="shared" si="255"/>
        <v>34.698890858899269</v>
      </c>
      <c r="AP838" s="16">
        <f t="shared" si="256"/>
        <v>7.9915234142082618E-3</v>
      </c>
      <c r="AQ838" s="6" t="str">
        <f t="shared" si="257"/>
        <v>Cumple</v>
      </c>
    </row>
    <row r="839" spans="1:43" ht="15" customHeight="1" x14ac:dyDescent="0.3">
      <c r="A839" s="13"/>
      <c r="B839" s="1">
        <v>6</v>
      </c>
      <c r="C839" s="1">
        <v>450</v>
      </c>
      <c r="D839" s="1">
        <v>1</v>
      </c>
      <c r="E839" s="5">
        <v>1</v>
      </c>
      <c r="F839" s="3">
        <f t="shared" si="258"/>
        <v>6</v>
      </c>
      <c r="G839" s="5">
        <v>2.5</v>
      </c>
      <c r="H839" s="3">
        <f t="shared" si="211"/>
        <v>4.908738521234052</v>
      </c>
      <c r="I839" s="4">
        <v>8.3160999999999999E-2</v>
      </c>
      <c r="K839" s="3">
        <v>206.62416830685612</v>
      </c>
      <c r="L839" s="3">
        <v>448.02309000000002</v>
      </c>
      <c r="M839" s="3">
        <v>2965.3125300000002</v>
      </c>
      <c r="N839" s="12">
        <f t="shared" si="245"/>
        <v>1.6941419804755338E-2</v>
      </c>
      <c r="O839" s="11">
        <f t="shared" si="246"/>
        <v>831.61</v>
      </c>
      <c r="P839" s="1">
        <v>10</v>
      </c>
      <c r="Q839" s="15">
        <v>2</v>
      </c>
      <c r="R839" s="3">
        <f>Q839*VLOOKUP(P839,[4]Datos!$A$2:$D$14,2)</f>
        <v>16.38</v>
      </c>
      <c r="S839" s="10">
        <f t="shared" si="212"/>
        <v>51</v>
      </c>
      <c r="T839" s="14">
        <v>52</v>
      </c>
      <c r="U839" s="3">
        <f t="shared" si="213"/>
        <v>0.13</v>
      </c>
      <c r="V839" s="3"/>
      <c r="W839" s="1">
        <v>280</v>
      </c>
      <c r="X839" s="9">
        <v>2</v>
      </c>
      <c r="Y839" s="1">
        <v>6</v>
      </c>
      <c r="Z839" s="3">
        <f>X839*VLOOKUP(Y839,[4]Datos!$A$2:$D$14,2)</f>
        <v>5.68</v>
      </c>
      <c r="AA839" s="8">
        <v>0.06</v>
      </c>
      <c r="AB839" s="7">
        <f t="shared" si="247"/>
        <v>180.55532030650846</v>
      </c>
      <c r="AC839" s="7">
        <f t="shared" si="214"/>
        <v>650.66122730355755</v>
      </c>
      <c r="AD839" s="6" t="str">
        <f t="shared" si="248"/>
        <v>Cumple</v>
      </c>
      <c r="AE839" s="6"/>
      <c r="AG839" s="7">
        <f t="shared" si="249"/>
        <v>8</v>
      </c>
      <c r="AH839" s="3">
        <f t="shared" si="250"/>
        <v>4.3373613573624086</v>
      </c>
      <c r="AI839" s="7">
        <f>G839-0.15-VLOOKUP(Y839,[4]Datos!$A$2:$D$14,3)/100</f>
        <v>2.3309000000000002</v>
      </c>
      <c r="AJ839" s="7">
        <f t="shared" si="251"/>
        <v>7.3229841218120741</v>
      </c>
      <c r="AK839" s="1">
        <v>0.12</v>
      </c>
      <c r="AL839" s="16">
        <f t="shared" si="252"/>
        <v>7.9620853080568724E-3</v>
      </c>
      <c r="AM839" s="7">
        <f t="shared" si="253"/>
        <v>976.39788290827664</v>
      </c>
      <c r="AN839" s="17">
        <f t="shared" si="254"/>
        <v>0.27729699874595054</v>
      </c>
      <c r="AO839" s="17">
        <f t="shared" si="255"/>
        <v>34.698890858899269</v>
      </c>
      <c r="AP839" s="16">
        <f t="shared" si="256"/>
        <v>7.9915234142082618E-3</v>
      </c>
      <c r="AQ839" s="6" t="str">
        <f t="shared" si="257"/>
        <v>Cumple</v>
      </c>
    </row>
    <row r="840" spans="1:43" ht="15" customHeight="1" x14ac:dyDescent="0.3">
      <c r="A840" s="13"/>
      <c r="B840" s="1">
        <v>7</v>
      </c>
      <c r="C840" s="1">
        <v>452</v>
      </c>
      <c r="D840" s="1">
        <v>1</v>
      </c>
      <c r="E840" s="5">
        <v>1</v>
      </c>
      <c r="F840" s="3">
        <f t="shared" si="258"/>
        <v>7</v>
      </c>
      <c r="G840" s="5">
        <v>2.5</v>
      </c>
      <c r="H840" s="3">
        <f t="shared" si="211"/>
        <v>4.908738521234052</v>
      </c>
      <c r="I840" s="4">
        <v>8.0928E-2</v>
      </c>
      <c r="K840" s="3">
        <v>200.18625947924096</v>
      </c>
      <c r="L840" s="3">
        <v>385.96435000000002</v>
      </c>
      <c r="M840" s="3">
        <v>2887.4563400000002</v>
      </c>
      <c r="N840" s="12">
        <f t="shared" si="245"/>
        <v>1.648651678021236E-2</v>
      </c>
      <c r="O840" s="11">
        <f t="shared" si="246"/>
        <v>809.28</v>
      </c>
      <c r="P840" s="1">
        <v>10</v>
      </c>
      <c r="Q840" s="15">
        <v>2</v>
      </c>
      <c r="R840" s="3">
        <f>Q840*VLOOKUP(P840,[4]Datos!$A$2:$D$14,2)</f>
        <v>16.38</v>
      </c>
      <c r="S840" s="10">
        <f t="shared" si="212"/>
        <v>50</v>
      </c>
      <c r="T840" s="14">
        <v>52</v>
      </c>
      <c r="U840" s="3">
        <f t="shared" si="213"/>
        <v>0.13</v>
      </c>
      <c r="V840" s="3"/>
      <c r="W840" s="1">
        <v>280</v>
      </c>
      <c r="X840" s="9">
        <v>2</v>
      </c>
      <c r="Y840" s="1">
        <v>6</v>
      </c>
      <c r="Z840" s="3">
        <f>X840*VLOOKUP(Y840,[4]Datos!$A$2:$D$14,2)</f>
        <v>5.68</v>
      </c>
      <c r="AA840" s="8">
        <v>0.06</v>
      </c>
      <c r="AB840" s="7">
        <f t="shared" si="247"/>
        <v>180.55532030650846</v>
      </c>
      <c r="AC840" s="7">
        <f t="shared" si="214"/>
        <v>650.66122730355755</v>
      </c>
      <c r="AD840" s="6" t="str">
        <f t="shared" si="248"/>
        <v>Cumple</v>
      </c>
      <c r="AE840" s="6"/>
      <c r="AG840" s="7">
        <f t="shared" si="249"/>
        <v>8</v>
      </c>
      <c r="AH840" s="3">
        <f t="shared" si="250"/>
        <v>4.3373613573624086</v>
      </c>
      <c r="AI840" s="7">
        <f>G840-0.15-VLOOKUP(Y840,[4]Datos!$A$2:$D$14,3)/100</f>
        <v>2.3309000000000002</v>
      </c>
      <c r="AJ840" s="7">
        <f t="shared" si="251"/>
        <v>7.3229841218120741</v>
      </c>
      <c r="AK840" s="1">
        <v>0.12</v>
      </c>
      <c r="AL840" s="16">
        <f t="shared" si="252"/>
        <v>7.9620853080568724E-3</v>
      </c>
      <c r="AM840" s="7">
        <f t="shared" si="253"/>
        <v>976.39788290827664</v>
      </c>
      <c r="AN840" s="17">
        <f t="shared" si="254"/>
        <v>0.27729699874595054</v>
      </c>
      <c r="AO840" s="17">
        <f t="shared" si="255"/>
        <v>34.698890858899269</v>
      </c>
      <c r="AP840" s="16">
        <f t="shared" si="256"/>
        <v>7.9915234142082618E-3</v>
      </c>
      <c r="AQ840" s="6" t="str">
        <f t="shared" si="257"/>
        <v>Cumple</v>
      </c>
    </row>
    <row r="841" spans="1:43" ht="15" customHeight="1" x14ac:dyDescent="0.3">
      <c r="A841" s="13"/>
      <c r="B841" s="1">
        <v>8</v>
      </c>
      <c r="C841" s="1">
        <v>454</v>
      </c>
      <c r="D841" s="1">
        <v>1</v>
      </c>
      <c r="E841" s="5">
        <v>1</v>
      </c>
      <c r="F841" s="3">
        <f t="shared" si="258"/>
        <v>8</v>
      </c>
      <c r="G841" s="5">
        <v>2.5</v>
      </c>
      <c r="H841" s="3">
        <f t="shared" ref="H841:H904" si="259">PI()*(G841^2)/4</f>
        <v>4.908738521234052</v>
      </c>
      <c r="I841" s="4">
        <v>7.6853000000000005E-2</v>
      </c>
      <c r="K841" s="3">
        <v>229.85093276821829</v>
      </c>
      <c r="L841" s="3">
        <v>375.42266999999998</v>
      </c>
      <c r="M841" s="3">
        <v>2744.24415</v>
      </c>
      <c r="N841" s="12">
        <f t="shared" si="245"/>
        <v>1.5656364597045034E-2</v>
      </c>
      <c r="O841" s="11">
        <f t="shared" si="246"/>
        <v>768.53000000000009</v>
      </c>
      <c r="P841" s="1">
        <v>10</v>
      </c>
      <c r="Q841" s="15">
        <v>2</v>
      </c>
      <c r="R841" s="3">
        <f>Q841*VLOOKUP(P841,[4]Datos!$A$2:$D$14,2)</f>
        <v>16.38</v>
      </c>
      <c r="S841" s="10">
        <f t="shared" ref="S841:S904" si="260">ROUNDUP(O841/R841,0)</f>
        <v>47</v>
      </c>
      <c r="T841" s="14">
        <v>52</v>
      </c>
      <c r="U841" s="3">
        <f t="shared" ref="U841:U904" si="261">ROUNDDOWN(PI()*(G841-0.185)/T841,2)</f>
        <v>0.13</v>
      </c>
      <c r="V841" s="3"/>
      <c r="W841" s="1">
        <v>280</v>
      </c>
      <c r="X841" s="9">
        <v>2</v>
      </c>
      <c r="Y841" s="1">
        <v>6</v>
      </c>
      <c r="Z841" s="3">
        <f>X841*VLOOKUP(Y841,[4]Datos!$A$2:$D$14,2)</f>
        <v>5.68</v>
      </c>
      <c r="AA841" s="8">
        <v>0.06</v>
      </c>
      <c r="AB841" s="7">
        <f t="shared" si="247"/>
        <v>180.55532030650846</v>
      </c>
      <c r="AC841" s="7">
        <f t="shared" ref="AC841:AC904" si="262">0.9*Z841*4220*MAX(0.72*G841,0.9*((G841/2)+((G841-0.11)/PI())))/AA841/1000</f>
        <v>650.66122730355755</v>
      </c>
      <c r="AD841" s="6" t="str">
        <f t="shared" si="248"/>
        <v>Cumple</v>
      </c>
      <c r="AE841" s="6"/>
      <c r="AG841" s="7">
        <f t="shared" si="249"/>
        <v>8</v>
      </c>
      <c r="AH841" s="3">
        <f t="shared" si="250"/>
        <v>4.3373613573624086</v>
      </c>
      <c r="AI841" s="7">
        <f>G841-0.15-VLOOKUP(Y841,[4]Datos!$A$2:$D$14,3)/100</f>
        <v>2.3309000000000002</v>
      </c>
      <c r="AJ841" s="7">
        <f t="shared" si="251"/>
        <v>7.3229841218120741</v>
      </c>
      <c r="AK841" s="1">
        <v>0.12</v>
      </c>
      <c r="AL841" s="16">
        <f t="shared" si="252"/>
        <v>7.9620853080568724E-3</v>
      </c>
      <c r="AM841" s="7">
        <f t="shared" si="253"/>
        <v>976.39788290827664</v>
      </c>
      <c r="AN841" s="17">
        <f t="shared" si="254"/>
        <v>0.27729699874595054</v>
      </c>
      <c r="AO841" s="17">
        <f t="shared" si="255"/>
        <v>34.698890858899269</v>
      </c>
      <c r="AP841" s="16">
        <f t="shared" si="256"/>
        <v>7.9915234142082618E-3</v>
      </c>
      <c r="AQ841" s="6" t="str">
        <f t="shared" si="257"/>
        <v>Cumple</v>
      </c>
    </row>
    <row r="842" spans="1:43" x14ac:dyDescent="0.3">
      <c r="A842" s="13"/>
      <c r="B842" s="1">
        <v>9</v>
      </c>
      <c r="C842" s="1">
        <v>456</v>
      </c>
      <c r="D842" s="1">
        <v>1</v>
      </c>
      <c r="E842" s="5">
        <v>1</v>
      </c>
      <c r="F842" s="3">
        <f t="shared" si="258"/>
        <v>9</v>
      </c>
      <c r="G842" s="5">
        <v>2.5</v>
      </c>
      <c r="H842" s="3">
        <f t="shared" si="259"/>
        <v>4.908738521234052</v>
      </c>
      <c r="I842" s="4">
        <v>7.0435999999999999E-2</v>
      </c>
      <c r="K842" s="3">
        <v>256.46426810505199</v>
      </c>
      <c r="L842" s="3">
        <v>375.55766</v>
      </c>
      <c r="M842" s="3">
        <v>2546.6897100000001</v>
      </c>
      <c r="N842" s="12">
        <f t="shared" si="245"/>
        <v>1.4349104091674546E-2</v>
      </c>
      <c r="O842" s="11">
        <f t="shared" si="246"/>
        <v>704.36</v>
      </c>
      <c r="P842" s="1">
        <v>10</v>
      </c>
      <c r="Q842" s="1">
        <v>1</v>
      </c>
      <c r="R842" s="3">
        <f>Q842*VLOOKUP(P842,[4]Datos!$A$2:$D$14,2)</f>
        <v>8.19</v>
      </c>
      <c r="S842" s="10">
        <f t="shared" si="260"/>
        <v>87</v>
      </c>
      <c r="T842" s="2">
        <v>87</v>
      </c>
      <c r="U842" s="3">
        <f t="shared" si="261"/>
        <v>0.08</v>
      </c>
      <c r="V842" s="3"/>
      <c r="W842" s="1">
        <v>280</v>
      </c>
      <c r="X842" s="9">
        <v>2</v>
      </c>
      <c r="Y842" s="1">
        <v>4</v>
      </c>
      <c r="Z842" s="3">
        <f>X842*VLOOKUP(Y842,[4]Datos!$A$2:$D$14,2)</f>
        <v>2.58</v>
      </c>
      <c r="AA842" s="8">
        <v>0.15</v>
      </c>
      <c r="AB842" s="7">
        <f t="shared" si="247"/>
        <v>180.55532030650846</v>
      </c>
      <c r="AC842" s="7">
        <f t="shared" si="262"/>
        <v>118.21873003120976</v>
      </c>
      <c r="AD842" s="6" t="str">
        <f t="shared" si="248"/>
        <v>Cumple</v>
      </c>
      <c r="AE842" s="6"/>
      <c r="AH842" s="3"/>
    </row>
    <row r="843" spans="1:43" x14ac:dyDescent="0.3">
      <c r="A843" s="13"/>
      <c r="B843" s="1">
        <v>10</v>
      </c>
      <c r="C843" s="1">
        <v>458</v>
      </c>
      <c r="D843" s="1">
        <v>1</v>
      </c>
      <c r="E843" s="5">
        <v>1</v>
      </c>
      <c r="F843" s="3">
        <f t="shared" si="258"/>
        <v>10</v>
      </c>
      <c r="G843" s="5">
        <v>2.5</v>
      </c>
      <c r="H843" s="3">
        <f t="shared" si="259"/>
        <v>4.908738521234052</v>
      </c>
      <c r="I843" s="4">
        <v>6.0823000000000002E-2</v>
      </c>
      <c r="K843" s="3">
        <v>276.13113800891779</v>
      </c>
      <c r="L843" s="3">
        <v>375.55766</v>
      </c>
      <c r="M843" s="3">
        <v>2307.9671699999999</v>
      </c>
      <c r="N843" s="12">
        <f t="shared" si="245"/>
        <v>1.2390759812708289E-2</v>
      </c>
      <c r="O843" s="11">
        <f t="shared" si="246"/>
        <v>608.23</v>
      </c>
      <c r="P843" s="1">
        <v>10</v>
      </c>
      <c r="Q843" s="1">
        <v>1</v>
      </c>
      <c r="R843" s="3">
        <f>Q843*VLOOKUP(P843,[4]Datos!$A$2:$D$14,2)</f>
        <v>8.19</v>
      </c>
      <c r="S843" s="10">
        <f t="shared" si="260"/>
        <v>75</v>
      </c>
      <c r="T843" s="2">
        <v>87</v>
      </c>
      <c r="U843" s="3">
        <f t="shared" si="261"/>
        <v>0.08</v>
      </c>
      <c r="V843" s="3"/>
      <c r="W843" s="1">
        <v>280</v>
      </c>
      <c r="X843" s="9">
        <v>2</v>
      </c>
      <c r="Y843" s="1">
        <v>4</v>
      </c>
      <c r="Z843" s="3">
        <f>X843*VLOOKUP(Y843,[4]Datos!$A$2:$D$14,2)</f>
        <v>2.58</v>
      </c>
      <c r="AA843" s="8">
        <v>0.15</v>
      </c>
      <c r="AB843" s="7">
        <f t="shared" si="247"/>
        <v>180.55532030650846</v>
      </c>
      <c r="AC843" s="7">
        <f t="shared" si="262"/>
        <v>118.21873003120976</v>
      </c>
      <c r="AD843" s="6" t="str">
        <f t="shared" si="248"/>
        <v>Cumple</v>
      </c>
      <c r="AE843" s="6"/>
      <c r="AH843" s="3"/>
    </row>
    <row r="844" spans="1:43" x14ac:dyDescent="0.3">
      <c r="A844" s="13"/>
      <c r="B844" s="1">
        <v>11</v>
      </c>
      <c r="C844" s="1">
        <v>460</v>
      </c>
      <c r="D844" s="1">
        <v>1</v>
      </c>
      <c r="E844" s="5">
        <v>1</v>
      </c>
      <c r="F844" s="3">
        <f t="shared" si="258"/>
        <v>11</v>
      </c>
      <c r="G844" s="5">
        <v>2.5</v>
      </c>
      <c r="H844" s="3">
        <f t="shared" si="259"/>
        <v>4.908738521234052</v>
      </c>
      <c r="I844" s="4">
        <v>4.9086999999999999E-2</v>
      </c>
      <c r="K844" s="3">
        <v>285.57389884555278</v>
      </c>
      <c r="L844" s="3">
        <v>383.73889000000003</v>
      </c>
      <c r="M844" s="3">
        <v>2042.09878</v>
      </c>
      <c r="N844" s="12">
        <f t="shared" si="245"/>
        <v>9.9999215251863893E-3</v>
      </c>
      <c r="O844" s="11">
        <f t="shared" si="246"/>
        <v>490.87</v>
      </c>
      <c r="P844" s="1">
        <v>10</v>
      </c>
      <c r="Q844" s="1">
        <v>1</v>
      </c>
      <c r="R844" s="3">
        <f>Q844*VLOOKUP(P844,[4]Datos!$A$2:$D$14,2)</f>
        <v>8.19</v>
      </c>
      <c r="S844" s="10">
        <f t="shared" si="260"/>
        <v>60</v>
      </c>
      <c r="T844" s="2">
        <v>87</v>
      </c>
      <c r="U844" s="3">
        <f t="shared" si="261"/>
        <v>0.08</v>
      </c>
      <c r="V844" s="3"/>
      <c r="W844" s="1">
        <v>280</v>
      </c>
      <c r="X844" s="9">
        <v>2</v>
      </c>
      <c r="Y844" s="1">
        <v>4</v>
      </c>
      <c r="Z844" s="3">
        <f>X844*VLOOKUP(Y844,[4]Datos!$A$2:$D$14,2)</f>
        <v>2.58</v>
      </c>
      <c r="AA844" s="8">
        <v>0.15</v>
      </c>
      <c r="AB844" s="7">
        <f t="shared" si="247"/>
        <v>180.55532030650846</v>
      </c>
      <c r="AC844" s="7">
        <f t="shared" si="262"/>
        <v>118.21873003120976</v>
      </c>
      <c r="AD844" s="6" t="str">
        <f t="shared" si="248"/>
        <v>Cumple</v>
      </c>
      <c r="AE844" s="6"/>
      <c r="AH844" s="3"/>
    </row>
    <row r="845" spans="1:43" x14ac:dyDescent="0.3">
      <c r="A845" s="13"/>
      <c r="B845" s="1">
        <v>12</v>
      </c>
      <c r="C845" s="1">
        <v>462</v>
      </c>
      <c r="D845" s="1">
        <v>1</v>
      </c>
      <c r="E845" s="5">
        <v>1</v>
      </c>
      <c r="F845" s="3">
        <f t="shared" si="258"/>
        <v>12</v>
      </c>
      <c r="G845" s="5">
        <v>2.5</v>
      </c>
      <c r="H845" s="3">
        <f t="shared" si="259"/>
        <v>4.908738521234052</v>
      </c>
      <c r="I845" s="4">
        <v>4.9086999999999999E-2</v>
      </c>
      <c r="K845" s="3">
        <v>284.57387933338151</v>
      </c>
      <c r="L845" s="3">
        <v>383.73889000000003</v>
      </c>
      <c r="M845" s="3">
        <v>1762.90173</v>
      </c>
      <c r="N845" s="12">
        <f t="shared" si="245"/>
        <v>9.9999215251863893E-3</v>
      </c>
      <c r="O845" s="11">
        <f t="shared" si="246"/>
        <v>490.87</v>
      </c>
      <c r="P845" s="1">
        <v>10</v>
      </c>
      <c r="Q845" s="15">
        <v>1</v>
      </c>
      <c r="R845" s="3">
        <f>Q845*VLOOKUP(P845,[4]Datos!$A$2:$D$14,2)</f>
        <v>8.19</v>
      </c>
      <c r="S845" s="10">
        <f t="shared" si="260"/>
        <v>60</v>
      </c>
      <c r="T845" s="14">
        <v>87</v>
      </c>
      <c r="U845" s="3">
        <f t="shared" si="261"/>
        <v>0.08</v>
      </c>
      <c r="V845" s="3"/>
      <c r="W845" s="1">
        <v>280</v>
      </c>
      <c r="X845" s="9">
        <v>2</v>
      </c>
      <c r="Y845" s="1">
        <v>4</v>
      </c>
      <c r="Z845" s="3">
        <f>X845*VLOOKUP(Y845,[4]Datos!$A$2:$D$14,2)</f>
        <v>2.58</v>
      </c>
      <c r="AA845" s="8">
        <v>0.15</v>
      </c>
      <c r="AB845" s="7">
        <f t="shared" si="247"/>
        <v>180.55532030650846</v>
      </c>
      <c r="AC845" s="7">
        <f t="shared" si="262"/>
        <v>118.21873003120976</v>
      </c>
      <c r="AD845" s="6" t="str">
        <f t="shared" si="248"/>
        <v>Cumple</v>
      </c>
      <c r="AE845" s="6"/>
      <c r="AH845" s="3"/>
    </row>
    <row r="846" spans="1:43" x14ac:dyDescent="0.3">
      <c r="A846" s="13"/>
      <c r="B846" s="1">
        <v>13</v>
      </c>
      <c r="C846" s="1">
        <v>464</v>
      </c>
      <c r="D846" s="1">
        <v>1</v>
      </c>
      <c r="E846" s="5">
        <v>1</v>
      </c>
      <c r="F846" s="3">
        <f t="shared" si="258"/>
        <v>13</v>
      </c>
      <c r="G846" s="5">
        <v>2.5</v>
      </c>
      <c r="H846" s="3">
        <f t="shared" si="259"/>
        <v>4.908738521234052</v>
      </c>
      <c r="I846" s="4">
        <v>4.9086999999999999E-2</v>
      </c>
      <c r="K846" s="3">
        <v>273.56822187984477</v>
      </c>
      <c r="L846" s="3">
        <v>378.95521000000002</v>
      </c>
      <c r="M846" s="3">
        <v>1482.8394699999999</v>
      </c>
      <c r="N846" s="12">
        <f t="shared" si="245"/>
        <v>9.9999215251863893E-3</v>
      </c>
      <c r="O846" s="11">
        <f t="shared" si="246"/>
        <v>490.87</v>
      </c>
      <c r="P846" s="1">
        <v>10</v>
      </c>
      <c r="Q846" s="15">
        <v>1</v>
      </c>
      <c r="R846" s="3">
        <f>Q846*VLOOKUP(P846,[4]Datos!$A$2:$D$14,2)</f>
        <v>8.19</v>
      </c>
      <c r="S846" s="10">
        <f t="shared" si="260"/>
        <v>60</v>
      </c>
      <c r="T846" s="14">
        <v>87</v>
      </c>
      <c r="U846" s="3">
        <f t="shared" si="261"/>
        <v>0.08</v>
      </c>
      <c r="V846" s="3"/>
      <c r="W846" s="1">
        <v>280</v>
      </c>
      <c r="X846" s="9">
        <v>2</v>
      </c>
      <c r="Y846" s="1">
        <v>4</v>
      </c>
      <c r="Z846" s="3">
        <f>X846*VLOOKUP(Y846,[4]Datos!$A$2:$D$14,2)</f>
        <v>2.58</v>
      </c>
      <c r="AA846" s="8">
        <v>0.15</v>
      </c>
      <c r="AB846" s="7">
        <f t="shared" si="247"/>
        <v>180.55532030650846</v>
      </c>
      <c r="AC846" s="7">
        <f t="shared" si="262"/>
        <v>118.21873003120976</v>
      </c>
      <c r="AD846" s="6" t="str">
        <f t="shared" si="248"/>
        <v>Cumple</v>
      </c>
      <c r="AE846" s="6"/>
      <c r="AH846" s="3"/>
    </row>
    <row r="847" spans="1:43" x14ac:dyDescent="0.3">
      <c r="A847" s="13"/>
      <c r="B847" s="1">
        <v>14</v>
      </c>
      <c r="C847" s="1">
        <v>466</v>
      </c>
      <c r="D847" s="1">
        <v>1</v>
      </c>
      <c r="E847" s="5">
        <v>1</v>
      </c>
      <c r="F847" s="3">
        <f t="shared" si="258"/>
        <v>14</v>
      </c>
      <c r="G847" s="5">
        <v>2.5</v>
      </c>
      <c r="H847" s="3">
        <f t="shared" si="259"/>
        <v>4.908738521234052</v>
      </c>
      <c r="I847" s="4">
        <v>4.9086999999999999E-2</v>
      </c>
      <c r="K847" s="3">
        <v>254.14861772034092</v>
      </c>
      <c r="L847" s="3">
        <v>357.29455999999999</v>
      </c>
      <c r="M847" s="3">
        <v>1212.64526</v>
      </c>
      <c r="N847" s="12">
        <f t="shared" si="245"/>
        <v>9.9999215251863893E-3</v>
      </c>
      <c r="O847" s="11">
        <f t="shared" si="246"/>
        <v>490.87</v>
      </c>
      <c r="P847" s="1">
        <v>10</v>
      </c>
      <c r="Q847" s="15">
        <v>1</v>
      </c>
      <c r="R847" s="3">
        <f>Q847*VLOOKUP(P847,[4]Datos!$A$2:$D$14,2)</f>
        <v>8.19</v>
      </c>
      <c r="S847" s="10">
        <f t="shared" si="260"/>
        <v>60</v>
      </c>
      <c r="T847" s="14">
        <v>87</v>
      </c>
      <c r="U847" s="3">
        <f t="shared" si="261"/>
        <v>0.08</v>
      </c>
      <c r="V847" s="3"/>
      <c r="W847" s="1">
        <v>280</v>
      </c>
      <c r="X847" s="9">
        <v>2</v>
      </c>
      <c r="Y847" s="1">
        <v>4</v>
      </c>
      <c r="Z847" s="3">
        <f>X847*VLOOKUP(Y847,[4]Datos!$A$2:$D$14,2)</f>
        <v>2.58</v>
      </c>
      <c r="AA847" s="8">
        <v>0.15</v>
      </c>
      <c r="AB847" s="7">
        <f t="shared" si="247"/>
        <v>180.55532030650846</v>
      </c>
      <c r="AC847" s="7">
        <f t="shared" si="262"/>
        <v>118.21873003120976</v>
      </c>
      <c r="AD847" s="6" t="str">
        <f t="shared" si="248"/>
        <v>Cumple</v>
      </c>
      <c r="AE847" s="6"/>
      <c r="AH847" s="3"/>
    </row>
    <row r="848" spans="1:43" x14ac:dyDescent="0.3">
      <c r="A848" s="13"/>
      <c r="B848" s="1">
        <v>15</v>
      </c>
      <c r="C848" s="1">
        <v>468</v>
      </c>
      <c r="D848" s="1">
        <v>1</v>
      </c>
      <c r="E848" s="5">
        <v>1</v>
      </c>
      <c r="F848" s="3">
        <f t="shared" si="258"/>
        <v>15</v>
      </c>
      <c r="G848" s="5">
        <v>2.5</v>
      </c>
      <c r="H848" s="3">
        <f t="shared" si="259"/>
        <v>4.908738521234052</v>
      </c>
      <c r="I848" s="4">
        <v>4.9086999999999999E-2</v>
      </c>
      <c r="K848" s="3">
        <v>228.41652541917801</v>
      </c>
      <c r="L848" s="3">
        <v>322.72460000000001</v>
      </c>
      <c r="M848" s="3">
        <v>961.01667999999995</v>
      </c>
      <c r="N848" s="12">
        <f t="shared" si="245"/>
        <v>9.9999215251863893E-3</v>
      </c>
      <c r="O848" s="11">
        <f t="shared" si="246"/>
        <v>490.87</v>
      </c>
      <c r="P848" s="1">
        <v>10</v>
      </c>
      <c r="Q848" s="1">
        <v>1</v>
      </c>
      <c r="R848" s="3">
        <f>Q848*VLOOKUP(P848,[4]Datos!$A$2:$D$14,2)</f>
        <v>8.19</v>
      </c>
      <c r="S848" s="10">
        <f t="shared" si="260"/>
        <v>60</v>
      </c>
      <c r="T848" s="2">
        <v>60</v>
      </c>
      <c r="U848" s="3">
        <f t="shared" si="261"/>
        <v>0.12</v>
      </c>
      <c r="V848" s="3"/>
      <c r="W848" s="1">
        <v>280</v>
      </c>
      <c r="X848" s="9">
        <v>2</v>
      </c>
      <c r="Y848" s="1">
        <v>4</v>
      </c>
      <c r="Z848" s="3">
        <f>X848*VLOOKUP(Y848,[4]Datos!$A$2:$D$14,2)</f>
        <v>2.58</v>
      </c>
      <c r="AA848" s="8">
        <v>0.3</v>
      </c>
      <c r="AB848" s="7">
        <f t="shared" si="247"/>
        <v>180.55532030650846</v>
      </c>
      <c r="AC848" s="7">
        <f t="shared" si="262"/>
        <v>59.10936501560488</v>
      </c>
      <c r="AD848" s="6" t="str">
        <f t="shared" si="248"/>
        <v>Cumple</v>
      </c>
      <c r="AE848" s="6"/>
      <c r="AH848" s="3"/>
    </row>
    <row r="849" spans="1:43" x14ac:dyDescent="0.3">
      <c r="A849" s="13"/>
      <c r="B849" s="1">
        <v>16</v>
      </c>
      <c r="C849" s="1">
        <v>470</v>
      </c>
      <c r="D849" s="1">
        <v>1</v>
      </c>
      <c r="E849" s="5">
        <v>1</v>
      </c>
      <c r="F849" s="3">
        <f t="shared" si="258"/>
        <v>16</v>
      </c>
      <c r="G849" s="5">
        <v>2.5</v>
      </c>
      <c r="H849" s="3">
        <f t="shared" si="259"/>
        <v>4.908738521234052</v>
      </c>
      <c r="I849" s="4">
        <v>4.9086999999999999E-2</v>
      </c>
      <c r="K849" s="3">
        <v>198.69970714807306</v>
      </c>
      <c r="L849" s="3">
        <v>279.12342000000001</v>
      </c>
      <c r="M849" s="3">
        <v>734.44730000000004</v>
      </c>
      <c r="N849" s="12">
        <f t="shared" si="245"/>
        <v>9.9999215251863893E-3</v>
      </c>
      <c r="O849" s="11">
        <f t="shared" si="246"/>
        <v>490.87</v>
      </c>
      <c r="P849" s="1">
        <v>10</v>
      </c>
      <c r="Q849" s="1">
        <v>1</v>
      </c>
      <c r="R849" s="3">
        <f>Q849*VLOOKUP(P849,[4]Datos!$A$2:$D$14,2)</f>
        <v>8.19</v>
      </c>
      <c r="S849" s="10">
        <f t="shared" si="260"/>
        <v>60</v>
      </c>
      <c r="T849" s="2">
        <v>60</v>
      </c>
      <c r="U849" s="3">
        <f t="shared" si="261"/>
        <v>0.12</v>
      </c>
      <c r="V849" s="3"/>
      <c r="W849" s="1">
        <v>280</v>
      </c>
      <c r="X849" s="9">
        <v>2</v>
      </c>
      <c r="Y849" s="1">
        <v>4</v>
      </c>
      <c r="Z849" s="3">
        <f>X849*VLOOKUP(Y849,[4]Datos!$A$2:$D$14,2)</f>
        <v>2.58</v>
      </c>
      <c r="AA849" s="8">
        <v>0.3</v>
      </c>
      <c r="AB849" s="7">
        <f t="shared" si="247"/>
        <v>180.55532030650846</v>
      </c>
      <c r="AC849" s="7">
        <f t="shared" si="262"/>
        <v>59.10936501560488</v>
      </c>
      <c r="AD849" s="6" t="str">
        <f t="shared" si="248"/>
        <v>Cumple</v>
      </c>
      <c r="AE849" s="6"/>
      <c r="AH849" s="3"/>
    </row>
    <row r="850" spans="1:43" x14ac:dyDescent="0.3">
      <c r="A850" s="13"/>
      <c r="B850" s="1">
        <v>17</v>
      </c>
      <c r="C850" s="1">
        <v>472</v>
      </c>
      <c r="D850" s="1">
        <v>1</v>
      </c>
      <c r="E850" s="5">
        <v>1</v>
      </c>
      <c r="F850" s="3">
        <f t="shared" si="258"/>
        <v>17</v>
      </c>
      <c r="G850" s="5">
        <v>2.5</v>
      </c>
      <c r="H850" s="3">
        <f t="shared" si="259"/>
        <v>4.908738521234052</v>
      </c>
      <c r="I850" s="4">
        <v>4.9086999999999999E-2</v>
      </c>
      <c r="K850" s="3">
        <v>166.68185869374028</v>
      </c>
      <c r="L850" s="3">
        <v>230.16077999999999</v>
      </c>
      <c r="M850" s="3">
        <v>537.27805999999998</v>
      </c>
      <c r="N850" s="12">
        <f t="shared" si="245"/>
        <v>9.9999215251863893E-3</v>
      </c>
      <c r="O850" s="11">
        <f t="shared" si="246"/>
        <v>490.87</v>
      </c>
      <c r="P850" s="1">
        <v>10</v>
      </c>
      <c r="Q850" s="1">
        <v>1</v>
      </c>
      <c r="R850" s="3">
        <f>Q850*VLOOKUP(P850,[4]Datos!$A$2:$D$14,2)</f>
        <v>8.19</v>
      </c>
      <c r="S850" s="10">
        <f t="shared" si="260"/>
        <v>60</v>
      </c>
      <c r="T850" s="2">
        <v>60</v>
      </c>
      <c r="U850" s="3">
        <f t="shared" si="261"/>
        <v>0.12</v>
      </c>
      <c r="V850" s="3"/>
      <c r="W850" s="1">
        <v>280</v>
      </c>
      <c r="X850" s="9">
        <v>2</v>
      </c>
      <c r="Y850" s="1">
        <v>4</v>
      </c>
      <c r="Z850" s="3">
        <f>X850*VLOOKUP(Y850,[4]Datos!$A$2:$D$14,2)</f>
        <v>2.58</v>
      </c>
      <c r="AA850" s="8">
        <v>0.3</v>
      </c>
      <c r="AB850" s="7">
        <f t="shared" si="247"/>
        <v>180.55532030650846</v>
      </c>
      <c r="AC850" s="7">
        <f t="shared" si="262"/>
        <v>59.10936501560488</v>
      </c>
      <c r="AD850" s="6" t="str">
        <f t="shared" si="248"/>
        <v>Cumple</v>
      </c>
      <c r="AE850" s="6"/>
      <c r="AH850" s="3"/>
    </row>
    <row r="851" spans="1:43" x14ac:dyDescent="0.3">
      <c r="A851" s="13"/>
      <c r="B851" s="1">
        <v>18</v>
      </c>
      <c r="C851" s="1">
        <v>474</v>
      </c>
      <c r="D851" s="1">
        <v>1</v>
      </c>
      <c r="E851" s="5">
        <v>1</v>
      </c>
      <c r="F851" s="3">
        <f t="shared" si="258"/>
        <v>18</v>
      </c>
      <c r="G851" s="5">
        <v>2.5</v>
      </c>
      <c r="H851" s="3">
        <f t="shared" si="259"/>
        <v>4.908738521234052</v>
      </c>
      <c r="I851" s="4">
        <v>4.9086999999999999E-2</v>
      </c>
      <c r="K851" s="3">
        <v>134.88056579841293</v>
      </c>
      <c r="L851" s="3">
        <v>179.24494000000001</v>
      </c>
      <c r="M851" s="3">
        <v>371.88576999999998</v>
      </c>
      <c r="N851" s="12">
        <f t="shared" si="245"/>
        <v>9.9999215251863893E-3</v>
      </c>
      <c r="O851" s="11">
        <f t="shared" si="246"/>
        <v>490.87</v>
      </c>
      <c r="P851" s="1">
        <v>10</v>
      </c>
      <c r="Q851" s="1">
        <v>1</v>
      </c>
      <c r="R851" s="3">
        <f>Q851*VLOOKUP(P851,[4]Datos!$A$2:$D$14,2)</f>
        <v>8.19</v>
      </c>
      <c r="S851" s="10">
        <f t="shared" si="260"/>
        <v>60</v>
      </c>
      <c r="T851" s="2">
        <v>60</v>
      </c>
      <c r="U851" s="3">
        <f t="shared" si="261"/>
        <v>0.12</v>
      </c>
      <c r="V851" s="3"/>
      <c r="W851" s="1">
        <v>280</v>
      </c>
      <c r="X851" s="9">
        <v>2</v>
      </c>
      <c r="Y851" s="1">
        <v>4</v>
      </c>
      <c r="Z851" s="3">
        <f>X851*VLOOKUP(Y851,[4]Datos!$A$2:$D$14,2)</f>
        <v>2.58</v>
      </c>
      <c r="AA851" s="8">
        <v>0.3</v>
      </c>
      <c r="AB851" s="7">
        <f t="shared" si="247"/>
        <v>180.55532030650846</v>
      </c>
      <c r="AC851" s="7">
        <f t="shared" si="262"/>
        <v>59.10936501560488</v>
      </c>
      <c r="AD851" s="6" t="str">
        <f t="shared" si="248"/>
        <v>Cumple</v>
      </c>
      <c r="AE851" s="6"/>
      <c r="AH851" s="3"/>
    </row>
    <row r="852" spans="1:43" x14ac:dyDescent="0.3">
      <c r="A852" s="13"/>
      <c r="B852" s="1">
        <v>19</v>
      </c>
      <c r="C852" s="1">
        <v>476</v>
      </c>
      <c r="D852" s="1">
        <v>1</v>
      </c>
      <c r="E852" s="5">
        <v>1</v>
      </c>
      <c r="F852" s="3">
        <f t="shared" si="258"/>
        <v>19</v>
      </c>
      <c r="G852" s="5">
        <v>2.5</v>
      </c>
      <c r="H852" s="3">
        <f t="shared" si="259"/>
        <v>4.908738521234052</v>
      </c>
      <c r="I852" s="4">
        <v>4.9086999999999999E-2</v>
      </c>
      <c r="K852" s="3">
        <v>103.8212054054469</v>
      </c>
      <c r="L852" s="3">
        <v>129.52781999999999</v>
      </c>
      <c r="M852" s="3">
        <v>239.61991</v>
      </c>
      <c r="N852" s="12">
        <f t="shared" si="245"/>
        <v>9.9999215251863893E-3</v>
      </c>
      <c r="O852" s="11">
        <f t="shared" si="246"/>
        <v>490.87</v>
      </c>
      <c r="P852" s="1">
        <v>10</v>
      </c>
      <c r="Q852" s="1">
        <v>1</v>
      </c>
      <c r="R852" s="3">
        <f>Q852*VLOOKUP(P852,[4]Datos!$A$2:$D$14,2)</f>
        <v>8.19</v>
      </c>
      <c r="S852" s="10">
        <f t="shared" si="260"/>
        <v>60</v>
      </c>
      <c r="T852" s="2">
        <v>60</v>
      </c>
      <c r="U852" s="3">
        <f t="shared" si="261"/>
        <v>0.12</v>
      </c>
      <c r="V852" s="3"/>
      <c r="W852" s="1">
        <v>280</v>
      </c>
      <c r="X852" s="9">
        <v>2</v>
      </c>
      <c r="Y852" s="1">
        <v>4</v>
      </c>
      <c r="Z852" s="3">
        <f>X852*VLOOKUP(Y852,[4]Datos!$A$2:$D$14,2)</f>
        <v>2.58</v>
      </c>
      <c r="AA852" s="8">
        <v>0.3</v>
      </c>
      <c r="AB852" s="7">
        <f t="shared" si="247"/>
        <v>180.55532030650846</v>
      </c>
      <c r="AC852" s="7">
        <f t="shared" si="262"/>
        <v>59.10936501560488</v>
      </c>
      <c r="AD852" s="6" t="str">
        <f t="shared" si="248"/>
        <v>Cumple</v>
      </c>
      <c r="AE852" s="6"/>
      <c r="AH852" s="3"/>
    </row>
    <row r="853" spans="1:43" x14ac:dyDescent="0.3">
      <c r="A853" s="13"/>
      <c r="B853" s="1">
        <v>20</v>
      </c>
      <c r="C853" s="1">
        <v>478</v>
      </c>
      <c r="D853" s="1">
        <v>1</v>
      </c>
      <c r="E853" s="5">
        <v>1</v>
      </c>
      <c r="F853" s="3">
        <f t="shared" si="258"/>
        <v>20</v>
      </c>
      <c r="G853" s="5">
        <v>2.5</v>
      </c>
      <c r="H853" s="3">
        <f t="shared" si="259"/>
        <v>4.908738521234052</v>
      </c>
      <c r="I853" s="4">
        <v>4.9086999999999999E-2</v>
      </c>
      <c r="K853" s="3">
        <v>74.406043078905896</v>
      </c>
      <c r="L853" s="3">
        <v>83.957939999999994</v>
      </c>
      <c r="M853" s="3">
        <v>138.42993000000001</v>
      </c>
      <c r="N853" s="12">
        <f t="shared" si="245"/>
        <v>9.9999215251863893E-3</v>
      </c>
      <c r="O853" s="11">
        <f t="shared" si="246"/>
        <v>490.87</v>
      </c>
      <c r="P853" s="1">
        <v>10</v>
      </c>
      <c r="Q853" s="1">
        <v>1</v>
      </c>
      <c r="R853" s="3">
        <f>Q853*VLOOKUP(P853,[4]Datos!$A$2:$D$14,2)</f>
        <v>8.19</v>
      </c>
      <c r="S853" s="10">
        <f t="shared" si="260"/>
        <v>60</v>
      </c>
      <c r="T853" s="2">
        <v>60</v>
      </c>
      <c r="U853" s="3">
        <f t="shared" si="261"/>
        <v>0.12</v>
      </c>
      <c r="V853" s="3"/>
      <c r="W853" s="1">
        <v>280</v>
      </c>
      <c r="X853" s="9">
        <v>2</v>
      </c>
      <c r="Y853" s="1">
        <v>4</v>
      </c>
      <c r="Z853" s="3">
        <f>X853*VLOOKUP(Y853,[4]Datos!$A$2:$D$14,2)</f>
        <v>2.58</v>
      </c>
      <c r="AA853" s="8">
        <v>0.3</v>
      </c>
      <c r="AB853" s="7">
        <f t="shared" si="247"/>
        <v>180.55532030650846</v>
      </c>
      <c r="AC853" s="7">
        <f t="shared" si="262"/>
        <v>59.10936501560488</v>
      </c>
      <c r="AD853" s="6" t="str">
        <f t="shared" si="248"/>
        <v>Cumple</v>
      </c>
      <c r="AE853" s="6"/>
      <c r="AH853" s="3"/>
    </row>
    <row r="854" spans="1:43" x14ac:dyDescent="0.3">
      <c r="A854" s="13"/>
      <c r="B854" s="1">
        <v>21</v>
      </c>
      <c r="C854" s="1">
        <v>684</v>
      </c>
      <c r="D854" s="1">
        <v>1</v>
      </c>
      <c r="E854" s="5">
        <v>1</v>
      </c>
      <c r="F854" s="3">
        <f t="shared" si="258"/>
        <v>21</v>
      </c>
      <c r="G854" s="5">
        <v>2.5</v>
      </c>
      <c r="H854" s="3">
        <f t="shared" si="259"/>
        <v>4.908738521234052</v>
      </c>
      <c r="I854" s="4">
        <v>4.9086999999999999E-2</v>
      </c>
      <c r="K854" s="3">
        <v>47.322778457419432</v>
      </c>
      <c r="L854" s="3">
        <v>45.36365</v>
      </c>
      <c r="M854" s="3">
        <v>66.620710000000003</v>
      </c>
      <c r="N854" s="12">
        <f t="shared" si="245"/>
        <v>9.9999215251863893E-3</v>
      </c>
      <c r="O854" s="11">
        <f t="shared" si="246"/>
        <v>490.87</v>
      </c>
      <c r="P854" s="1">
        <v>10</v>
      </c>
      <c r="Q854" s="1">
        <v>1</v>
      </c>
      <c r="R854" s="3">
        <f>Q854*VLOOKUP(P854,[4]Datos!$A$2:$D$14,2)</f>
        <v>8.19</v>
      </c>
      <c r="S854" s="10">
        <f t="shared" si="260"/>
        <v>60</v>
      </c>
      <c r="T854" s="2">
        <v>60</v>
      </c>
      <c r="U854" s="3">
        <f t="shared" si="261"/>
        <v>0.12</v>
      </c>
      <c r="V854" s="3"/>
      <c r="W854" s="1">
        <v>280</v>
      </c>
      <c r="X854" s="9">
        <v>2</v>
      </c>
      <c r="Y854" s="1">
        <v>4</v>
      </c>
      <c r="Z854" s="3">
        <f>X854*VLOOKUP(Y854,[4]Datos!$A$2:$D$14,2)</f>
        <v>2.58</v>
      </c>
      <c r="AA854" s="8">
        <v>0.3</v>
      </c>
      <c r="AB854" s="7">
        <f t="shared" si="247"/>
        <v>180.55532030650846</v>
      </c>
      <c r="AC854" s="7">
        <f t="shared" si="262"/>
        <v>59.10936501560488</v>
      </c>
      <c r="AD854" s="6" t="str">
        <f t="shared" si="248"/>
        <v>Cumple</v>
      </c>
      <c r="AE854" s="6"/>
      <c r="AH854" s="3"/>
    </row>
    <row r="855" spans="1:43" x14ac:dyDescent="0.3">
      <c r="A855" s="13"/>
      <c r="B855" s="1">
        <v>22</v>
      </c>
      <c r="C855" s="1">
        <v>686</v>
      </c>
      <c r="D855" s="1">
        <v>1</v>
      </c>
      <c r="E855" s="5">
        <v>1</v>
      </c>
      <c r="F855" s="3">
        <f t="shared" si="258"/>
        <v>22</v>
      </c>
      <c r="G855" s="5">
        <v>2.5</v>
      </c>
      <c r="H855" s="3">
        <f t="shared" si="259"/>
        <v>4.908738521234052</v>
      </c>
      <c r="I855" s="4">
        <v>4.9086999999999999E-2</v>
      </c>
      <c r="K855" s="3">
        <v>23.768690761167303</v>
      </c>
      <c r="L855" s="3">
        <v>16.524509999999999</v>
      </c>
      <c r="M855" s="3">
        <v>21.637989999999999</v>
      </c>
      <c r="N855" s="12">
        <f t="shared" si="245"/>
        <v>9.9999215251863893E-3</v>
      </c>
      <c r="O855" s="11">
        <f t="shared" si="246"/>
        <v>490.87</v>
      </c>
      <c r="P855" s="1">
        <v>10</v>
      </c>
      <c r="Q855" s="1">
        <v>1</v>
      </c>
      <c r="R855" s="3">
        <f>Q855*VLOOKUP(P855,[4]Datos!$A$2:$D$14,2)</f>
        <v>8.19</v>
      </c>
      <c r="S855" s="10">
        <f t="shared" si="260"/>
        <v>60</v>
      </c>
      <c r="T855" s="2">
        <v>60</v>
      </c>
      <c r="U855" s="3">
        <f t="shared" si="261"/>
        <v>0.12</v>
      </c>
      <c r="V855" s="3"/>
      <c r="W855" s="1">
        <v>280</v>
      </c>
      <c r="X855" s="9">
        <v>2</v>
      </c>
      <c r="Y855" s="1">
        <v>4</v>
      </c>
      <c r="Z855" s="3">
        <f>X855*VLOOKUP(Y855,[4]Datos!$A$2:$D$14,2)</f>
        <v>2.58</v>
      </c>
      <c r="AA855" s="8">
        <v>0.3</v>
      </c>
      <c r="AB855" s="7">
        <f t="shared" si="247"/>
        <v>180.55532030650846</v>
      </c>
      <c r="AC855" s="7">
        <f t="shared" si="262"/>
        <v>59.10936501560488</v>
      </c>
      <c r="AD855" s="6" t="str">
        <f t="shared" si="248"/>
        <v>Cumple</v>
      </c>
      <c r="AE855" s="6"/>
      <c r="AH855" s="3"/>
    </row>
    <row r="856" spans="1:43" x14ac:dyDescent="0.3">
      <c r="A856" s="13" t="s">
        <v>5</v>
      </c>
      <c r="B856" s="1">
        <v>1</v>
      </c>
      <c r="C856" s="1">
        <v>569</v>
      </c>
      <c r="D856" s="1">
        <v>1</v>
      </c>
      <c r="E856" s="5">
        <v>1</v>
      </c>
      <c r="F856" s="3">
        <f>E856</f>
        <v>1</v>
      </c>
      <c r="G856" s="5">
        <v>3</v>
      </c>
      <c r="H856" s="3">
        <f t="shared" si="259"/>
        <v>7.0685834705770345</v>
      </c>
      <c r="I856" s="4">
        <v>9.9626999999999993E-2</v>
      </c>
      <c r="K856" s="3">
        <v>614.78082720647694</v>
      </c>
      <c r="L856" s="3">
        <v>3315.51415</v>
      </c>
      <c r="M856" s="3">
        <v>3147.20453</v>
      </c>
      <c r="N856" s="12">
        <f t="shared" si="245"/>
        <v>1.4094337347036672E-2</v>
      </c>
      <c r="O856" s="11">
        <f t="shared" si="246"/>
        <v>996.27</v>
      </c>
      <c r="P856" s="1">
        <v>10</v>
      </c>
      <c r="Q856" s="1">
        <v>1.5</v>
      </c>
      <c r="R856" s="3">
        <f>Q856*VLOOKUP(P856,[4]Datos!$A$2:$D$14,2)</f>
        <v>12.285</v>
      </c>
      <c r="S856" s="10">
        <f t="shared" si="260"/>
        <v>82</v>
      </c>
      <c r="T856" s="2">
        <v>87</v>
      </c>
      <c r="U856" s="3">
        <f t="shared" si="261"/>
        <v>0.1</v>
      </c>
      <c r="V856" s="3"/>
      <c r="W856" s="1">
        <v>280</v>
      </c>
      <c r="X856" s="9">
        <v>2</v>
      </c>
      <c r="Y856" s="1">
        <v>6</v>
      </c>
      <c r="Z856" s="3">
        <f>X856*VLOOKUP(Y856,[4]Datos!$A$2:$D$14,2)</f>
        <v>5.68</v>
      </c>
      <c r="AA856" s="8">
        <v>4.972E-2</v>
      </c>
      <c r="AB856" s="7">
        <f t="shared" si="247"/>
        <v>260.7542389499979</v>
      </c>
      <c r="AC856" s="7">
        <f t="shared" si="262"/>
        <v>944.96320797669352</v>
      </c>
      <c r="AD856" s="6" t="str">
        <f t="shared" si="248"/>
        <v>Cumple</v>
      </c>
      <c r="AE856" s="6"/>
      <c r="AG856" s="7">
        <f t="shared" ref="AG856:AG864" si="263">ROUNDUP(MAX(0.45,3*G856,),0)</f>
        <v>9</v>
      </c>
      <c r="AH856" s="3">
        <f t="shared" ref="AH856:AH864" si="264">PI()*(G856-0.15)^2/4</f>
        <v>6.3793965821957741</v>
      </c>
      <c r="AI856" s="7">
        <f>G856-0.15-VLOOKUP(Y856,[4]Datos!$A$2:$D$14,3)/100</f>
        <v>2.8309000000000002</v>
      </c>
      <c r="AJ856" s="7">
        <f t="shared" ref="AJ856:AJ864" si="265">SQRT((PI()*AI856)^2+AA856^2)</f>
        <v>8.8936736237329566</v>
      </c>
      <c r="AK856" s="1">
        <v>0.12</v>
      </c>
      <c r="AL856" s="16">
        <f t="shared" ref="AL856:AL864" si="266">MAX(0.45*(H856/AH856-1),AK856)*(W856/4220)</f>
        <v>7.9620853080568724E-3</v>
      </c>
      <c r="AM856" s="7">
        <f t="shared" ref="AM856:AM864" si="267">AG856*(AJ856/AA856)</f>
        <v>1609.8765610136084</v>
      </c>
      <c r="AN856" s="17">
        <f t="shared" ref="AN856:AN864" si="268">AM856*Z856/X856/10000</f>
        <v>0.45720494332786477</v>
      </c>
      <c r="AO856" s="17">
        <f t="shared" ref="AO856:AO864" si="269">AH856*AG856</f>
        <v>57.414569239761967</v>
      </c>
      <c r="AP856" s="16">
        <f t="shared" ref="AP856:AP864" si="270">AN856/AO856</f>
        <v>7.9632216941067178E-3</v>
      </c>
      <c r="AQ856" s="6" t="str">
        <f t="shared" ref="AQ856:AQ864" si="271">+IF(AP856&gt;AL856,"Cumple","No Cumple")</f>
        <v>Cumple</v>
      </c>
    </row>
    <row r="857" spans="1:43" x14ac:dyDescent="0.3">
      <c r="A857" s="13"/>
      <c r="B857" s="1">
        <v>2</v>
      </c>
      <c r="C857" s="1">
        <v>571</v>
      </c>
      <c r="D857" s="1">
        <v>1</v>
      </c>
      <c r="E857" s="5">
        <v>1</v>
      </c>
      <c r="F857" s="3">
        <f>F856+E857</f>
        <v>2</v>
      </c>
      <c r="G857" s="5">
        <v>3</v>
      </c>
      <c r="H857" s="3">
        <f t="shared" si="259"/>
        <v>7.0685834705770345</v>
      </c>
      <c r="I857" s="4">
        <v>8.3950999999999998E-2</v>
      </c>
      <c r="K857" s="3">
        <v>602.66704451898647</v>
      </c>
      <c r="L857" s="3">
        <v>2773.4238599999999</v>
      </c>
      <c r="M857" s="3">
        <v>3189.16491</v>
      </c>
      <c r="N857" s="12">
        <f t="shared" si="245"/>
        <v>1.1876637002229072E-2</v>
      </c>
      <c r="O857" s="11">
        <f t="shared" si="246"/>
        <v>839.51</v>
      </c>
      <c r="P857" s="1">
        <v>10</v>
      </c>
      <c r="Q857" s="1">
        <v>1.5</v>
      </c>
      <c r="R857" s="3">
        <f>Q857*VLOOKUP(P857,[4]Datos!$A$2:$D$14,2)</f>
        <v>12.285</v>
      </c>
      <c r="S857" s="10">
        <f t="shared" si="260"/>
        <v>69</v>
      </c>
      <c r="T857" s="2">
        <v>87</v>
      </c>
      <c r="U857" s="3">
        <f t="shared" si="261"/>
        <v>0.1</v>
      </c>
      <c r="V857" s="3"/>
      <c r="W857" s="1">
        <v>280</v>
      </c>
      <c r="X857" s="9">
        <v>2</v>
      </c>
      <c r="Y857" s="1">
        <v>6</v>
      </c>
      <c r="Z857" s="3">
        <f>X857*VLOOKUP(Y857,[4]Datos!$A$2:$D$14,2)</f>
        <v>5.68</v>
      </c>
      <c r="AA857" s="8">
        <v>4.972E-2</v>
      </c>
      <c r="AB857" s="7">
        <f t="shared" si="247"/>
        <v>260.7542389499979</v>
      </c>
      <c r="AC857" s="7">
        <f t="shared" si="262"/>
        <v>944.96320797669352</v>
      </c>
      <c r="AD857" s="6" t="str">
        <f t="shared" si="248"/>
        <v>Cumple</v>
      </c>
      <c r="AE857" s="6"/>
      <c r="AG857" s="7">
        <f t="shared" si="263"/>
        <v>9</v>
      </c>
      <c r="AH857" s="3">
        <f t="shared" si="264"/>
        <v>6.3793965821957741</v>
      </c>
      <c r="AI857" s="7">
        <f>G857-0.15-VLOOKUP(Y857,[4]Datos!$A$2:$D$14,3)/100</f>
        <v>2.8309000000000002</v>
      </c>
      <c r="AJ857" s="7">
        <f t="shared" si="265"/>
        <v>8.8936736237329566</v>
      </c>
      <c r="AK857" s="1">
        <v>0.12</v>
      </c>
      <c r="AL857" s="16">
        <f t="shared" si="266"/>
        <v>7.9620853080568724E-3</v>
      </c>
      <c r="AM857" s="7">
        <f t="shared" si="267"/>
        <v>1609.8765610136084</v>
      </c>
      <c r="AN857" s="17">
        <f t="shared" si="268"/>
        <v>0.45720494332786477</v>
      </c>
      <c r="AO857" s="17">
        <f t="shared" si="269"/>
        <v>57.414569239761967</v>
      </c>
      <c r="AP857" s="16">
        <f t="shared" si="270"/>
        <v>7.9632216941067178E-3</v>
      </c>
      <c r="AQ857" s="6" t="str">
        <f t="shared" si="271"/>
        <v>Cumple</v>
      </c>
    </row>
    <row r="858" spans="1:43" x14ac:dyDescent="0.3">
      <c r="A858" s="13"/>
      <c r="B858" s="1">
        <v>3</v>
      </c>
      <c r="C858" s="1">
        <v>573</v>
      </c>
      <c r="D858" s="1">
        <v>1</v>
      </c>
      <c r="E858" s="5">
        <v>1</v>
      </c>
      <c r="F858" s="3">
        <f t="shared" ref="F858:F885" si="272">F857+E858</f>
        <v>3</v>
      </c>
      <c r="G858" s="5">
        <v>3</v>
      </c>
      <c r="H858" s="3">
        <f t="shared" si="259"/>
        <v>7.0685834705770345</v>
      </c>
      <c r="I858" s="4">
        <v>7.0685999999999999E-2</v>
      </c>
      <c r="K858" s="3">
        <v>576.19866925050246</v>
      </c>
      <c r="L858" s="3">
        <v>2242.0229199999999</v>
      </c>
      <c r="M858" s="3">
        <v>3205.0101800000002</v>
      </c>
      <c r="N858" s="12">
        <f t="shared" si="245"/>
        <v>1.0000023384349969E-2</v>
      </c>
      <c r="O858" s="11">
        <f t="shared" si="246"/>
        <v>706.86</v>
      </c>
      <c r="P858" s="1">
        <v>10</v>
      </c>
      <c r="Q858" s="1">
        <v>1.5</v>
      </c>
      <c r="R858" s="3">
        <f>Q858*VLOOKUP(P858,[4]Datos!$A$2:$D$14,2)</f>
        <v>12.285</v>
      </c>
      <c r="S858" s="10">
        <f t="shared" si="260"/>
        <v>58</v>
      </c>
      <c r="T858" s="2">
        <v>87</v>
      </c>
      <c r="U858" s="3">
        <f t="shared" si="261"/>
        <v>0.1</v>
      </c>
      <c r="V858" s="3"/>
      <c r="W858" s="1">
        <v>280</v>
      </c>
      <c r="X858" s="9">
        <v>2</v>
      </c>
      <c r="Y858" s="1">
        <v>6</v>
      </c>
      <c r="Z858" s="3">
        <f>X858*VLOOKUP(Y858,[4]Datos!$A$2:$D$14,2)</f>
        <v>5.68</v>
      </c>
      <c r="AA858" s="8">
        <v>4.972E-2</v>
      </c>
      <c r="AB858" s="7">
        <f t="shared" si="247"/>
        <v>260.7542389499979</v>
      </c>
      <c r="AC858" s="7">
        <f t="shared" si="262"/>
        <v>944.96320797669352</v>
      </c>
      <c r="AD858" s="6" t="str">
        <f t="shared" si="248"/>
        <v>Cumple</v>
      </c>
      <c r="AE858" s="6"/>
      <c r="AG858" s="7">
        <f t="shared" si="263"/>
        <v>9</v>
      </c>
      <c r="AH858" s="3">
        <f t="shared" si="264"/>
        <v>6.3793965821957741</v>
      </c>
      <c r="AI858" s="7">
        <f>G858-0.15-VLOOKUP(Y858,[4]Datos!$A$2:$D$14,3)/100</f>
        <v>2.8309000000000002</v>
      </c>
      <c r="AJ858" s="7">
        <f t="shared" si="265"/>
        <v>8.8936736237329566</v>
      </c>
      <c r="AK858" s="1">
        <v>0.12</v>
      </c>
      <c r="AL858" s="16">
        <f t="shared" si="266"/>
        <v>7.9620853080568724E-3</v>
      </c>
      <c r="AM858" s="7">
        <f t="shared" si="267"/>
        <v>1609.8765610136084</v>
      </c>
      <c r="AN858" s="17">
        <f t="shared" si="268"/>
        <v>0.45720494332786477</v>
      </c>
      <c r="AO858" s="17">
        <f t="shared" si="269"/>
        <v>57.414569239761967</v>
      </c>
      <c r="AP858" s="16">
        <f t="shared" si="270"/>
        <v>7.9632216941067178E-3</v>
      </c>
      <c r="AQ858" s="6" t="str">
        <f t="shared" si="271"/>
        <v>Cumple</v>
      </c>
    </row>
    <row r="859" spans="1:43" x14ac:dyDescent="0.3">
      <c r="A859" s="13"/>
      <c r="B859" s="1">
        <v>4</v>
      </c>
      <c r="C859" s="1">
        <v>575</v>
      </c>
      <c r="D859" s="1">
        <v>1</v>
      </c>
      <c r="E859" s="5">
        <v>1</v>
      </c>
      <c r="F859" s="3">
        <f t="shared" si="272"/>
        <v>4</v>
      </c>
      <c r="G859" s="5">
        <v>3</v>
      </c>
      <c r="H859" s="3">
        <f t="shared" si="259"/>
        <v>7.0685834705770345</v>
      </c>
      <c r="I859" s="4">
        <v>7.0685999999999999E-2</v>
      </c>
      <c r="K859" s="3">
        <v>538.14449607008896</v>
      </c>
      <c r="L859" s="3">
        <v>1735.65418</v>
      </c>
      <c r="M859" s="3">
        <v>3205.0101800000002</v>
      </c>
      <c r="N859" s="12">
        <f t="shared" si="245"/>
        <v>1.0000023384349969E-2</v>
      </c>
      <c r="O859" s="11">
        <f t="shared" si="246"/>
        <v>706.86</v>
      </c>
      <c r="P859" s="1">
        <v>10</v>
      </c>
      <c r="Q859" s="1">
        <v>1</v>
      </c>
      <c r="R859" s="3">
        <f>Q859*VLOOKUP(P859,[4]Datos!$A$2:$D$14,2)</f>
        <v>8.19</v>
      </c>
      <c r="S859" s="10">
        <f t="shared" si="260"/>
        <v>87</v>
      </c>
      <c r="T859" s="2">
        <v>87</v>
      </c>
      <c r="U859" s="3">
        <f t="shared" si="261"/>
        <v>0.1</v>
      </c>
      <c r="V859" s="3"/>
      <c r="W859" s="1">
        <v>280</v>
      </c>
      <c r="X859" s="9">
        <v>2</v>
      </c>
      <c r="Y859" s="1">
        <v>6</v>
      </c>
      <c r="Z859" s="3">
        <f>X859*VLOOKUP(Y859,[4]Datos!$A$2:$D$14,2)</f>
        <v>5.68</v>
      </c>
      <c r="AA859" s="8">
        <v>4.972E-2</v>
      </c>
      <c r="AB859" s="7">
        <f t="shared" si="247"/>
        <v>260.7542389499979</v>
      </c>
      <c r="AC859" s="7">
        <f t="shared" si="262"/>
        <v>944.96320797669352</v>
      </c>
      <c r="AD859" s="6" t="str">
        <f t="shared" si="248"/>
        <v>Cumple</v>
      </c>
      <c r="AE859" s="6"/>
      <c r="AG859" s="7">
        <f t="shared" si="263"/>
        <v>9</v>
      </c>
      <c r="AH859" s="3">
        <f t="shared" si="264"/>
        <v>6.3793965821957741</v>
      </c>
      <c r="AI859" s="7">
        <f>G859-0.15-VLOOKUP(Y859,[4]Datos!$A$2:$D$14,3)/100</f>
        <v>2.8309000000000002</v>
      </c>
      <c r="AJ859" s="7">
        <f t="shared" si="265"/>
        <v>8.8936736237329566</v>
      </c>
      <c r="AK859" s="1">
        <v>0.12</v>
      </c>
      <c r="AL859" s="16">
        <f t="shared" si="266"/>
        <v>7.9620853080568724E-3</v>
      </c>
      <c r="AM859" s="7">
        <f t="shared" si="267"/>
        <v>1609.8765610136084</v>
      </c>
      <c r="AN859" s="17">
        <f t="shared" si="268"/>
        <v>0.45720494332786477</v>
      </c>
      <c r="AO859" s="17">
        <f t="shared" si="269"/>
        <v>57.414569239761967</v>
      </c>
      <c r="AP859" s="16">
        <f t="shared" si="270"/>
        <v>7.9632216941067178E-3</v>
      </c>
      <c r="AQ859" s="6" t="str">
        <f t="shared" si="271"/>
        <v>Cumple</v>
      </c>
    </row>
    <row r="860" spans="1:43" x14ac:dyDescent="0.3">
      <c r="A860" s="13"/>
      <c r="B860" s="1">
        <v>5</v>
      </c>
      <c r="C860" s="1">
        <v>577</v>
      </c>
      <c r="D860" s="1">
        <v>1</v>
      </c>
      <c r="E860" s="5">
        <v>1</v>
      </c>
      <c r="F860" s="3">
        <f t="shared" si="272"/>
        <v>5</v>
      </c>
      <c r="G860" s="5">
        <v>3</v>
      </c>
      <c r="H860" s="3">
        <f t="shared" si="259"/>
        <v>7.0685834705770345</v>
      </c>
      <c r="I860" s="4">
        <v>7.0685999999999999E-2</v>
      </c>
      <c r="K860" s="3">
        <v>492.09031147500764</v>
      </c>
      <c r="L860" s="3">
        <v>1269.8409200000001</v>
      </c>
      <c r="M860" s="3">
        <v>3185.2581399999999</v>
      </c>
      <c r="N860" s="12">
        <f t="shared" si="245"/>
        <v>1.0000023384349969E-2</v>
      </c>
      <c r="O860" s="11">
        <f t="shared" si="246"/>
        <v>706.86</v>
      </c>
      <c r="P860" s="1">
        <v>10</v>
      </c>
      <c r="Q860" s="15">
        <v>1</v>
      </c>
      <c r="R860" s="3">
        <f>Q860*VLOOKUP(P860,[4]Datos!$A$2:$D$14,2)</f>
        <v>8.19</v>
      </c>
      <c r="S860" s="10">
        <f t="shared" si="260"/>
        <v>87</v>
      </c>
      <c r="T860" s="14">
        <v>87</v>
      </c>
      <c r="U860" s="3">
        <f t="shared" si="261"/>
        <v>0.1</v>
      </c>
      <c r="V860" s="3"/>
      <c r="W860" s="1">
        <v>280</v>
      </c>
      <c r="X860" s="9">
        <v>2</v>
      </c>
      <c r="Y860" s="1">
        <v>6</v>
      </c>
      <c r="Z860" s="3">
        <f>X860*VLOOKUP(Y860,[4]Datos!$A$2:$D$14,2)</f>
        <v>5.68</v>
      </c>
      <c r="AA860" s="8">
        <v>4.972E-2</v>
      </c>
      <c r="AB860" s="7">
        <f t="shared" si="247"/>
        <v>260.7542389499979</v>
      </c>
      <c r="AC860" s="7">
        <f t="shared" si="262"/>
        <v>944.96320797669352</v>
      </c>
      <c r="AD860" s="6" t="str">
        <f t="shared" si="248"/>
        <v>Cumple</v>
      </c>
      <c r="AE860" s="6"/>
      <c r="AG860" s="7">
        <f t="shared" si="263"/>
        <v>9</v>
      </c>
      <c r="AH860" s="3">
        <f t="shared" si="264"/>
        <v>6.3793965821957741</v>
      </c>
      <c r="AI860" s="7">
        <f>G860-0.15-VLOOKUP(Y860,[4]Datos!$A$2:$D$14,3)/100</f>
        <v>2.8309000000000002</v>
      </c>
      <c r="AJ860" s="7">
        <f t="shared" si="265"/>
        <v>8.8936736237329566</v>
      </c>
      <c r="AK860" s="1">
        <v>0.12</v>
      </c>
      <c r="AL860" s="16">
        <f t="shared" si="266"/>
        <v>7.9620853080568724E-3</v>
      </c>
      <c r="AM860" s="7">
        <f t="shared" si="267"/>
        <v>1609.8765610136084</v>
      </c>
      <c r="AN860" s="17">
        <f t="shared" si="268"/>
        <v>0.45720494332786477</v>
      </c>
      <c r="AO860" s="17">
        <f t="shared" si="269"/>
        <v>57.414569239761967</v>
      </c>
      <c r="AP860" s="16">
        <f t="shared" si="270"/>
        <v>7.9632216941067178E-3</v>
      </c>
      <c r="AQ860" s="6" t="str">
        <f t="shared" si="271"/>
        <v>Cumple</v>
      </c>
    </row>
    <row r="861" spans="1:43" x14ac:dyDescent="0.3">
      <c r="A861" s="13"/>
      <c r="B861" s="1">
        <v>6</v>
      </c>
      <c r="C861" s="1">
        <v>579</v>
      </c>
      <c r="D861" s="1">
        <v>1</v>
      </c>
      <c r="E861" s="5">
        <v>1</v>
      </c>
      <c r="F861" s="3">
        <f t="shared" si="272"/>
        <v>6</v>
      </c>
      <c r="G861" s="5">
        <v>3</v>
      </c>
      <c r="H861" s="3">
        <f t="shared" si="259"/>
        <v>7.0685834705770345</v>
      </c>
      <c r="I861" s="4">
        <v>7.0685999999999999E-2</v>
      </c>
      <c r="K861" s="3">
        <v>441.72292970599796</v>
      </c>
      <c r="L861" s="3">
        <v>870.54458</v>
      </c>
      <c r="M861" s="3">
        <v>3125.3007299999999</v>
      </c>
      <c r="N861" s="12">
        <f t="shared" si="245"/>
        <v>1.0000023384349969E-2</v>
      </c>
      <c r="O861" s="11">
        <f t="shared" si="246"/>
        <v>706.86</v>
      </c>
      <c r="P861" s="1">
        <v>10</v>
      </c>
      <c r="Q861" s="15">
        <v>1</v>
      </c>
      <c r="R861" s="3">
        <f>Q861*VLOOKUP(P861,[4]Datos!$A$2:$D$14,2)</f>
        <v>8.19</v>
      </c>
      <c r="S861" s="10">
        <f t="shared" si="260"/>
        <v>87</v>
      </c>
      <c r="T861" s="14">
        <v>87</v>
      </c>
      <c r="U861" s="3">
        <f t="shared" si="261"/>
        <v>0.1</v>
      </c>
      <c r="V861" s="3"/>
      <c r="W861" s="1">
        <v>280</v>
      </c>
      <c r="X861" s="9">
        <v>2</v>
      </c>
      <c r="Y861" s="1">
        <v>6</v>
      </c>
      <c r="Z861" s="3">
        <f>X861*VLOOKUP(Y861,[4]Datos!$A$2:$D$14,2)</f>
        <v>5.68</v>
      </c>
      <c r="AA861" s="8">
        <v>4.972E-2</v>
      </c>
      <c r="AB861" s="7">
        <f t="shared" si="247"/>
        <v>260.7542389499979</v>
      </c>
      <c r="AC861" s="7">
        <f t="shared" si="262"/>
        <v>944.96320797669352</v>
      </c>
      <c r="AD861" s="6" t="str">
        <f t="shared" si="248"/>
        <v>Cumple</v>
      </c>
      <c r="AE861" s="6"/>
      <c r="AG861" s="7">
        <f t="shared" si="263"/>
        <v>9</v>
      </c>
      <c r="AH861" s="3">
        <f t="shared" si="264"/>
        <v>6.3793965821957741</v>
      </c>
      <c r="AI861" s="7">
        <f>G861-0.15-VLOOKUP(Y861,[4]Datos!$A$2:$D$14,3)/100</f>
        <v>2.8309000000000002</v>
      </c>
      <c r="AJ861" s="7">
        <f t="shared" si="265"/>
        <v>8.8936736237329566</v>
      </c>
      <c r="AK861" s="1">
        <v>0.12</v>
      </c>
      <c r="AL861" s="16">
        <f t="shared" si="266"/>
        <v>7.9620853080568724E-3</v>
      </c>
      <c r="AM861" s="7">
        <f t="shared" si="267"/>
        <v>1609.8765610136084</v>
      </c>
      <c r="AN861" s="17">
        <f t="shared" si="268"/>
        <v>0.45720494332786477</v>
      </c>
      <c r="AO861" s="17">
        <f t="shared" si="269"/>
        <v>57.414569239761967</v>
      </c>
      <c r="AP861" s="16">
        <f t="shared" si="270"/>
        <v>7.9632216941067178E-3</v>
      </c>
      <c r="AQ861" s="6" t="str">
        <f t="shared" si="271"/>
        <v>Cumple</v>
      </c>
    </row>
    <row r="862" spans="1:43" x14ac:dyDescent="0.3">
      <c r="A862" s="13"/>
      <c r="B862" s="1">
        <v>7</v>
      </c>
      <c r="C862" s="1">
        <v>581</v>
      </c>
      <c r="D862" s="1">
        <v>1</v>
      </c>
      <c r="E862" s="5">
        <v>1</v>
      </c>
      <c r="F862" s="3">
        <f t="shared" si="272"/>
        <v>7</v>
      </c>
      <c r="G862" s="5">
        <v>3</v>
      </c>
      <c r="H862" s="3">
        <f t="shared" si="259"/>
        <v>7.0685834705770345</v>
      </c>
      <c r="I862" s="4">
        <v>7.0685999999999999E-2</v>
      </c>
      <c r="K862" s="3">
        <v>389.39298051614901</v>
      </c>
      <c r="L862" s="3">
        <v>639.94525999999996</v>
      </c>
      <c r="M862" s="3">
        <v>3025.0056800000002</v>
      </c>
      <c r="N862" s="12">
        <f t="shared" si="245"/>
        <v>1.0000023384349969E-2</v>
      </c>
      <c r="O862" s="11">
        <f t="shared" si="246"/>
        <v>706.86</v>
      </c>
      <c r="P862" s="1">
        <v>10</v>
      </c>
      <c r="Q862" s="15">
        <v>1</v>
      </c>
      <c r="R862" s="3">
        <f>Q862*VLOOKUP(P862,[4]Datos!$A$2:$D$14,2)</f>
        <v>8.19</v>
      </c>
      <c r="S862" s="10">
        <f t="shared" si="260"/>
        <v>87</v>
      </c>
      <c r="T862" s="14">
        <v>87</v>
      </c>
      <c r="U862" s="3">
        <f t="shared" si="261"/>
        <v>0.1</v>
      </c>
      <c r="V862" s="3"/>
      <c r="W862" s="1">
        <v>280</v>
      </c>
      <c r="X862" s="9">
        <v>2</v>
      </c>
      <c r="Y862" s="1">
        <v>6</v>
      </c>
      <c r="Z862" s="3">
        <f>X862*VLOOKUP(Y862,[4]Datos!$A$2:$D$14,2)</f>
        <v>5.68</v>
      </c>
      <c r="AA862" s="8">
        <v>4.972E-2</v>
      </c>
      <c r="AB862" s="7">
        <f t="shared" si="247"/>
        <v>260.7542389499979</v>
      </c>
      <c r="AC862" s="7">
        <f t="shared" si="262"/>
        <v>944.96320797669352</v>
      </c>
      <c r="AD862" s="6" t="str">
        <f t="shared" si="248"/>
        <v>Cumple</v>
      </c>
      <c r="AE862" s="6"/>
      <c r="AG862" s="7">
        <f t="shared" si="263"/>
        <v>9</v>
      </c>
      <c r="AH862" s="3">
        <f t="shared" si="264"/>
        <v>6.3793965821957741</v>
      </c>
      <c r="AI862" s="7">
        <f>G862-0.15-VLOOKUP(Y862,[4]Datos!$A$2:$D$14,3)/100</f>
        <v>2.8309000000000002</v>
      </c>
      <c r="AJ862" s="7">
        <f t="shared" si="265"/>
        <v>8.8936736237329566</v>
      </c>
      <c r="AK862" s="1">
        <v>0.12</v>
      </c>
      <c r="AL862" s="16">
        <f t="shared" si="266"/>
        <v>7.9620853080568724E-3</v>
      </c>
      <c r="AM862" s="7">
        <f t="shared" si="267"/>
        <v>1609.8765610136084</v>
      </c>
      <c r="AN862" s="17">
        <f t="shared" si="268"/>
        <v>0.45720494332786477</v>
      </c>
      <c r="AO862" s="17">
        <f t="shared" si="269"/>
        <v>57.414569239761967</v>
      </c>
      <c r="AP862" s="16">
        <f t="shared" si="270"/>
        <v>7.9632216941067178E-3</v>
      </c>
      <c r="AQ862" s="6" t="str">
        <f t="shared" si="271"/>
        <v>Cumple</v>
      </c>
    </row>
    <row r="863" spans="1:43" x14ac:dyDescent="0.3">
      <c r="A863" s="13"/>
      <c r="B863" s="1">
        <v>8</v>
      </c>
      <c r="C863" s="1">
        <v>583</v>
      </c>
      <c r="D863" s="1">
        <v>1</v>
      </c>
      <c r="E863" s="5">
        <v>1</v>
      </c>
      <c r="F863" s="3">
        <f t="shared" si="272"/>
        <v>8</v>
      </c>
      <c r="G863" s="5">
        <v>3</v>
      </c>
      <c r="H863" s="3">
        <f t="shared" si="259"/>
        <v>7.0685834705770345</v>
      </c>
      <c r="I863" s="4">
        <v>7.0685999999999999E-2</v>
      </c>
      <c r="K863" s="3">
        <v>336.56801940208163</v>
      </c>
      <c r="L863" s="3">
        <v>713.42516000000001</v>
      </c>
      <c r="M863" s="3">
        <v>2886.72948</v>
      </c>
      <c r="N863" s="12">
        <f t="shared" si="245"/>
        <v>1.0000023384349969E-2</v>
      </c>
      <c r="O863" s="11">
        <f t="shared" si="246"/>
        <v>706.86</v>
      </c>
      <c r="P863" s="1">
        <v>10</v>
      </c>
      <c r="Q863" s="1">
        <v>1</v>
      </c>
      <c r="R863" s="3">
        <f>Q863*VLOOKUP(P863,[4]Datos!$A$2:$D$14,2)</f>
        <v>8.19</v>
      </c>
      <c r="S863" s="10">
        <f t="shared" si="260"/>
        <v>87</v>
      </c>
      <c r="T863" s="2">
        <v>87</v>
      </c>
      <c r="U863" s="3">
        <f t="shared" si="261"/>
        <v>0.1</v>
      </c>
      <c r="V863" s="3"/>
      <c r="W863" s="1">
        <v>280</v>
      </c>
      <c r="X863" s="9">
        <v>2</v>
      </c>
      <c r="Y863" s="1">
        <v>6</v>
      </c>
      <c r="Z863" s="3">
        <f>X863*VLOOKUP(Y863,[4]Datos!$A$2:$D$14,2)</f>
        <v>5.68</v>
      </c>
      <c r="AA863" s="8">
        <v>4.972E-2</v>
      </c>
      <c r="AB863" s="7">
        <f t="shared" si="247"/>
        <v>260.7542389499979</v>
      </c>
      <c r="AC863" s="7">
        <f t="shared" si="262"/>
        <v>944.96320797669352</v>
      </c>
      <c r="AD863" s="6" t="str">
        <f t="shared" si="248"/>
        <v>Cumple</v>
      </c>
      <c r="AE863" s="6"/>
      <c r="AG863" s="7">
        <f t="shared" si="263"/>
        <v>9</v>
      </c>
      <c r="AH863" s="3">
        <f t="shared" si="264"/>
        <v>6.3793965821957741</v>
      </c>
      <c r="AI863" s="7">
        <f>G863-0.15-VLOOKUP(Y863,[4]Datos!$A$2:$D$14,3)/100</f>
        <v>2.8309000000000002</v>
      </c>
      <c r="AJ863" s="7">
        <f t="shared" si="265"/>
        <v>8.8936736237329566</v>
      </c>
      <c r="AK863" s="1">
        <v>0.12</v>
      </c>
      <c r="AL863" s="16">
        <f t="shared" si="266"/>
        <v>7.9620853080568724E-3</v>
      </c>
      <c r="AM863" s="7">
        <f t="shared" si="267"/>
        <v>1609.8765610136084</v>
      </c>
      <c r="AN863" s="17">
        <f t="shared" si="268"/>
        <v>0.45720494332786477</v>
      </c>
      <c r="AO863" s="17">
        <f t="shared" si="269"/>
        <v>57.414569239761967</v>
      </c>
      <c r="AP863" s="16">
        <f t="shared" si="270"/>
        <v>7.9632216941067178E-3</v>
      </c>
      <c r="AQ863" s="6" t="str">
        <f t="shared" si="271"/>
        <v>Cumple</v>
      </c>
    </row>
    <row r="864" spans="1:43" x14ac:dyDescent="0.3">
      <c r="A864" s="13"/>
      <c r="B864" s="1">
        <v>9</v>
      </c>
      <c r="C864" s="1">
        <v>585</v>
      </c>
      <c r="D864" s="1">
        <v>1</v>
      </c>
      <c r="E864" s="5">
        <v>1</v>
      </c>
      <c r="F864" s="3">
        <f t="shared" si="272"/>
        <v>9</v>
      </c>
      <c r="G864" s="5">
        <v>3</v>
      </c>
      <c r="H864" s="3">
        <f t="shared" si="259"/>
        <v>7.0685834705770345</v>
      </c>
      <c r="I864" s="4">
        <v>7.0685999999999999E-2</v>
      </c>
      <c r="K864" s="3">
        <v>286.25656713223191</v>
      </c>
      <c r="L864" s="3">
        <v>775.48533999999995</v>
      </c>
      <c r="M864" s="3">
        <v>2715.38582</v>
      </c>
      <c r="N864" s="12">
        <f t="shared" si="245"/>
        <v>1.0000023384349969E-2</v>
      </c>
      <c r="O864" s="11">
        <f t="shared" si="246"/>
        <v>706.86</v>
      </c>
      <c r="P864" s="1">
        <v>10</v>
      </c>
      <c r="Q864" s="1">
        <v>1</v>
      </c>
      <c r="R864" s="3">
        <f>Q864*VLOOKUP(P864,[4]Datos!$A$2:$D$14,2)</f>
        <v>8.19</v>
      </c>
      <c r="S864" s="10">
        <f t="shared" si="260"/>
        <v>87</v>
      </c>
      <c r="T864" s="2">
        <v>87</v>
      </c>
      <c r="U864" s="3">
        <f t="shared" si="261"/>
        <v>0.1</v>
      </c>
      <c r="V864" s="3"/>
      <c r="W864" s="1">
        <v>280</v>
      </c>
      <c r="X864" s="9">
        <v>2</v>
      </c>
      <c r="Y864" s="1">
        <v>6</v>
      </c>
      <c r="Z864" s="3">
        <f>X864*VLOOKUP(Y864,[4]Datos!$A$2:$D$14,2)</f>
        <v>5.68</v>
      </c>
      <c r="AA864" s="8">
        <v>4.972E-2</v>
      </c>
      <c r="AB864" s="7">
        <f t="shared" si="247"/>
        <v>260.7542389499979</v>
      </c>
      <c r="AC864" s="7">
        <f t="shared" si="262"/>
        <v>944.96320797669352</v>
      </c>
      <c r="AD864" s="6" t="str">
        <f t="shared" si="248"/>
        <v>Cumple</v>
      </c>
      <c r="AE864" s="6"/>
      <c r="AG864" s="7">
        <f t="shared" si="263"/>
        <v>9</v>
      </c>
      <c r="AH864" s="3">
        <f t="shared" si="264"/>
        <v>6.3793965821957741</v>
      </c>
      <c r="AI864" s="7">
        <f>G864-0.15-VLOOKUP(Y864,[4]Datos!$A$2:$D$14,3)/100</f>
        <v>2.8309000000000002</v>
      </c>
      <c r="AJ864" s="7">
        <f t="shared" si="265"/>
        <v>8.8936736237329566</v>
      </c>
      <c r="AK864" s="1">
        <v>0.12</v>
      </c>
      <c r="AL864" s="16">
        <f t="shared" si="266"/>
        <v>7.9620853080568724E-3</v>
      </c>
      <c r="AM864" s="7">
        <f t="shared" si="267"/>
        <v>1609.8765610136084</v>
      </c>
      <c r="AN864" s="17">
        <f t="shared" si="268"/>
        <v>0.45720494332786477</v>
      </c>
      <c r="AO864" s="17">
        <f t="shared" si="269"/>
        <v>57.414569239761967</v>
      </c>
      <c r="AP864" s="16">
        <f t="shared" si="270"/>
        <v>7.9632216941067178E-3</v>
      </c>
      <c r="AQ864" s="6" t="str">
        <f t="shared" si="271"/>
        <v>Cumple</v>
      </c>
    </row>
    <row r="865" spans="1:34" x14ac:dyDescent="0.3">
      <c r="A865" s="13"/>
      <c r="B865" s="1">
        <v>10</v>
      </c>
      <c r="C865" s="1">
        <v>587</v>
      </c>
      <c r="D865" s="1">
        <v>1</v>
      </c>
      <c r="E865" s="5">
        <v>1</v>
      </c>
      <c r="F865" s="3">
        <f t="shared" si="272"/>
        <v>10</v>
      </c>
      <c r="G865" s="5">
        <v>3</v>
      </c>
      <c r="H865" s="3">
        <f t="shared" si="259"/>
        <v>7.0685834705770345</v>
      </c>
      <c r="I865" s="4">
        <v>7.0685999999999999E-2</v>
      </c>
      <c r="K865" s="3">
        <v>269.54581972097066</v>
      </c>
      <c r="L865" s="3">
        <v>813.97389999999996</v>
      </c>
      <c r="M865" s="3">
        <v>2517.4341599999998</v>
      </c>
      <c r="N865" s="12">
        <f t="shared" si="245"/>
        <v>1.0000023384349969E-2</v>
      </c>
      <c r="O865" s="11">
        <f t="shared" si="246"/>
        <v>706.86</v>
      </c>
      <c r="P865" s="1">
        <v>10</v>
      </c>
      <c r="Q865" s="1">
        <v>1</v>
      </c>
      <c r="R865" s="3">
        <f>Q865*VLOOKUP(P865,[4]Datos!$A$2:$D$14,2)</f>
        <v>8.19</v>
      </c>
      <c r="S865" s="10">
        <f t="shared" si="260"/>
        <v>87</v>
      </c>
      <c r="T865" s="2">
        <v>87</v>
      </c>
      <c r="U865" s="3">
        <f t="shared" si="261"/>
        <v>0.1</v>
      </c>
      <c r="V865" s="3"/>
      <c r="W865" s="1">
        <v>280</v>
      </c>
      <c r="X865" s="9">
        <v>2</v>
      </c>
      <c r="Y865" s="1">
        <v>4</v>
      </c>
      <c r="Z865" s="3">
        <f>X865*VLOOKUP(Y865,[4]Datos!$A$2:$D$14,2)</f>
        <v>2.58</v>
      </c>
      <c r="AA865" s="8">
        <v>0.3</v>
      </c>
      <c r="AB865" s="7">
        <f t="shared" si="247"/>
        <v>260.7542389499979</v>
      </c>
      <c r="AC865" s="7">
        <f t="shared" si="262"/>
        <v>71.137096483304632</v>
      </c>
      <c r="AD865" s="6" t="str">
        <f t="shared" si="248"/>
        <v>Cumple</v>
      </c>
      <c r="AE865" s="6"/>
      <c r="AH865" s="3"/>
    </row>
    <row r="866" spans="1:34" x14ac:dyDescent="0.3">
      <c r="A866" s="13"/>
      <c r="B866" s="1">
        <v>11</v>
      </c>
      <c r="C866" s="1">
        <v>589</v>
      </c>
      <c r="D866" s="1">
        <v>1</v>
      </c>
      <c r="E866" s="5">
        <v>1</v>
      </c>
      <c r="F866" s="3">
        <f t="shared" si="272"/>
        <v>11</v>
      </c>
      <c r="G866" s="5">
        <v>3</v>
      </c>
      <c r="H866" s="3">
        <f t="shared" si="259"/>
        <v>7.0685834705770345</v>
      </c>
      <c r="I866" s="4">
        <v>7.0685999999999999E-2</v>
      </c>
      <c r="K866" s="3">
        <v>267.9846301444357</v>
      </c>
      <c r="L866" s="3">
        <v>829.71114999999998</v>
      </c>
      <c r="M866" s="3">
        <v>2308.3407200000001</v>
      </c>
      <c r="N866" s="12">
        <f t="shared" si="245"/>
        <v>1.0000023384349969E-2</v>
      </c>
      <c r="O866" s="11">
        <f t="shared" si="246"/>
        <v>706.86</v>
      </c>
      <c r="P866" s="1">
        <v>10</v>
      </c>
      <c r="Q866" s="1">
        <v>1</v>
      </c>
      <c r="R866" s="3">
        <f>Q866*VLOOKUP(P866,[4]Datos!$A$2:$D$14,2)</f>
        <v>8.19</v>
      </c>
      <c r="S866" s="10">
        <f t="shared" si="260"/>
        <v>87</v>
      </c>
      <c r="T866" s="2">
        <v>87</v>
      </c>
      <c r="U866" s="3">
        <f t="shared" si="261"/>
        <v>0.1</v>
      </c>
      <c r="V866" s="3"/>
      <c r="W866" s="1">
        <v>280</v>
      </c>
      <c r="X866" s="9">
        <v>2</v>
      </c>
      <c r="Y866" s="1">
        <v>4</v>
      </c>
      <c r="Z866" s="3">
        <f>X866*VLOOKUP(Y866,[4]Datos!$A$2:$D$14,2)</f>
        <v>2.58</v>
      </c>
      <c r="AA866" s="8">
        <v>0.3</v>
      </c>
      <c r="AB866" s="7">
        <f t="shared" si="247"/>
        <v>260.7542389499979</v>
      </c>
      <c r="AC866" s="7">
        <f t="shared" si="262"/>
        <v>71.137096483304632</v>
      </c>
      <c r="AD866" s="6" t="str">
        <f t="shared" si="248"/>
        <v>Cumple</v>
      </c>
      <c r="AE866" s="6"/>
      <c r="AH866" s="3"/>
    </row>
    <row r="867" spans="1:34" x14ac:dyDescent="0.3">
      <c r="A867" s="13"/>
      <c r="B867" s="1">
        <v>12</v>
      </c>
      <c r="C867" s="1">
        <v>591</v>
      </c>
      <c r="D867" s="1">
        <v>1</v>
      </c>
      <c r="E867" s="5">
        <v>1</v>
      </c>
      <c r="F867" s="3">
        <f t="shared" si="272"/>
        <v>12</v>
      </c>
      <c r="G867" s="5">
        <v>3</v>
      </c>
      <c r="H867" s="3">
        <f t="shared" si="259"/>
        <v>7.0685834705770345</v>
      </c>
      <c r="I867" s="4">
        <v>7.0685999999999999E-2</v>
      </c>
      <c r="K867" s="3">
        <v>263.64151697393942</v>
      </c>
      <c r="L867" s="3">
        <v>885.86503000000005</v>
      </c>
      <c r="M867" s="3">
        <v>2097.60826</v>
      </c>
      <c r="N867" s="12">
        <f t="shared" si="245"/>
        <v>1.0000023384349969E-2</v>
      </c>
      <c r="O867" s="11">
        <f t="shared" si="246"/>
        <v>706.86</v>
      </c>
      <c r="P867" s="1">
        <v>10</v>
      </c>
      <c r="Q867" s="1">
        <v>1</v>
      </c>
      <c r="R867" s="3">
        <f>Q867*VLOOKUP(P867,[4]Datos!$A$2:$D$14,2)</f>
        <v>8.19</v>
      </c>
      <c r="S867" s="10">
        <f t="shared" si="260"/>
        <v>87</v>
      </c>
      <c r="T867" s="2">
        <v>87</v>
      </c>
      <c r="U867" s="3">
        <f t="shared" si="261"/>
        <v>0.1</v>
      </c>
      <c r="V867" s="3"/>
      <c r="W867" s="1">
        <v>280</v>
      </c>
      <c r="X867" s="9">
        <v>2</v>
      </c>
      <c r="Y867" s="1">
        <v>4</v>
      </c>
      <c r="Z867" s="3">
        <f>X867*VLOOKUP(Y867,[4]Datos!$A$2:$D$14,2)</f>
        <v>2.58</v>
      </c>
      <c r="AA867" s="8">
        <v>0.3</v>
      </c>
      <c r="AB867" s="7">
        <f t="shared" si="247"/>
        <v>260.7542389499979</v>
      </c>
      <c r="AC867" s="7">
        <f t="shared" si="262"/>
        <v>71.137096483304632</v>
      </c>
      <c r="AD867" s="6" t="str">
        <f t="shared" si="248"/>
        <v>Cumple</v>
      </c>
      <c r="AE867" s="6"/>
      <c r="AH867" s="3"/>
    </row>
    <row r="868" spans="1:34" x14ac:dyDescent="0.3">
      <c r="A868" s="13"/>
      <c r="B868" s="1">
        <v>13</v>
      </c>
      <c r="C868" s="1">
        <v>593</v>
      </c>
      <c r="D868" s="1">
        <v>1</v>
      </c>
      <c r="E868" s="5">
        <v>1</v>
      </c>
      <c r="F868" s="3">
        <f t="shared" si="272"/>
        <v>13</v>
      </c>
      <c r="G868" s="5">
        <v>3</v>
      </c>
      <c r="H868" s="3">
        <f t="shared" si="259"/>
        <v>7.0685834705770345</v>
      </c>
      <c r="I868" s="4">
        <v>7.0685999999999999E-2</v>
      </c>
      <c r="K868" s="3">
        <v>256.2275141046527</v>
      </c>
      <c r="L868" s="3">
        <v>915.81442000000004</v>
      </c>
      <c r="M868" s="3">
        <v>1876.5959600000001</v>
      </c>
      <c r="N868" s="12">
        <f t="shared" si="245"/>
        <v>1.0000023384349969E-2</v>
      </c>
      <c r="O868" s="11">
        <f t="shared" si="246"/>
        <v>706.86</v>
      </c>
      <c r="P868" s="1">
        <v>10</v>
      </c>
      <c r="Q868" s="1">
        <v>1</v>
      </c>
      <c r="R868" s="3">
        <f>Q868*VLOOKUP(P868,[4]Datos!$A$2:$D$14,2)</f>
        <v>8.19</v>
      </c>
      <c r="S868" s="10">
        <f t="shared" si="260"/>
        <v>87</v>
      </c>
      <c r="T868" s="2">
        <v>87</v>
      </c>
      <c r="U868" s="3">
        <f t="shared" si="261"/>
        <v>0.1</v>
      </c>
      <c r="V868" s="3"/>
      <c r="W868" s="1">
        <v>280</v>
      </c>
      <c r="X868" s="9">
        <v>2</v>
      </c>
      <c r="Y868" s="1">
        <v>4</v>
      </c>
      <c r="Z868" s="3">
        <f>X868*VLOOKUP(Y868,[4]Datos!$A$2:$D$14,2)</f>
        <v>2.58</v>
      </c>
      <c r="AA868" s="8">
        <v>0.3</v>
      </c>
      <c r="AB868" s="7">
        <f t="shared" si="247"/>
        <v>260.7542389499979</v>
      </c>
      <c r="AC868" s="7">
        <f t="shared" si="262"/>
        <v>71.137096483304632</v>
      </c>
      <c r="AD868" s="6" t="str">
        <f t="shared" si="248"/>
        <v>Cumple</v>
      </c>
      <c r="AE868" s="6"/>
      <c r="AH868" s="3"/>
    </row>
    <row r="869" spans="1:34" x14ac:dyDescent="0.3">
      <c r="A869" s="13"/>
      <c r="B869" s="1">
        <v>14</v>
      </c>
      <c r="C869" s="1">
        <v>595</v>
      </c>
      <c r="D869" s="1">
        <v>1</v>
      </c>
      <c r="E869" s="5">
        <v>1</v>
      </c>
      <c r="F869" s="3">
        <f t="shared" si="272"/>
        <v>14</v>
      </c>
      <c r="G869" s="5">
        <v>3</v>
      </c>
      <c r="H869" s="3">
        <f t="shared" si="259"/>
        <v>7.0685834705770345</v>
      </c>
      <c r="I869" s="4">
        <v>7.0685999999999999E-2</v>
      </c>
      <c r="K869" s="3">
        <v>245.89288994100664</v>
      </c>
      <c r="L869" s="3">
        <v>915.81440999999995</v>
      </c>
      <c r="M869" s="3">
        <v>1651.8940399999999</v>
      </c>
      <c r="N869" s="12">
        <f t="shared" si="245"/>
        <v>1.0000023384349969E-2</v>
      </c>
      <c r="O869" s="11">
        <f t="shared" si="246"/>
        <v>706.86</v>
      </c>
      <c r="P869" s="1">
        <v>10</v>
      </c>
      <c r="Q869" s="15">
        <v>1</v>
      </c>
      <c r="R869" s="3">
        <f>Q869*VLOOKUP(P869,[4]Datos!$A$2:$D$14,2)</f>
        <v>8.19</v>
      </c>
      <c r="S869" s="10">
        <f t="shared" si="260"/>
        <v>87</v>
      </c>
      <c r="T869" s="14">
        <v>87</v>
      </c>
      <c r="U869" s="3">
        <f t="shared" si="261"/>
        <v>0.1</v>
      </c>
      <c r="V869" s="3"/>
      <c r="W869" s="1">
        <v>280</v>
      </c>
      <c r="X869" s="9">
        <v>2</v>
      </c>
      <c r="Y869" s="1">
        <v>4</v>
      </c>
      <c r="Z869" s="3">
        <f>X869*VLOOKUP(Y869,[4]Datos!$A$2:$D$14,2)</f>
        <v>2.58</v>
      </c>
      <c r="AA869" s="8">
        <v>0.3</v>
      </c>
      <c r="AB869" s="7">
        <f t="shared" si="247"/>
        <v>260.7542389499979</v>
      </c>
      <c r="AC869" s="7">
        <f t="shared" si="262"/>
        <v>71.137096483304632</v>
      </c>
      <c r="AD869" s="6" t="str">
        <f t="shared" si="248"/>
        <v>Cumple</v>
      </c>
      <c r="AE869" s="6"/>
      <c r="AH869" s="3"/>
    </row>
    <row r="870" spans="1:34" x14ac:dyDescent="0.3">
      <c r="A870" s="13"/>
      <c r="B870" s="1">
        <v>15</v>
      </c>
      <c r="C870" s="1">
        <v>597</v>
      </c>
      <c r="D870" s="1">
        <v>1</v>
      </c>
      <c r="E870" s="5">
        <v>1</v>
      </c>
      <c r="F870" s="3">
        <f t="shared" si="272"/>
        <v>15</v>
      </c>
      <c r="G870" s="5">
        <v>3</v>
      </c>
      <c r="H870" s="3">
        <f t="shared" si="259"/>
        <v>7.0685834705770345</v>
      </c>
      <c r="I870" s="4">
        <v>7.0685999999999999E-2</v>
      </c>
      <c r="K870" s="3">
        <v>231.68867903136743</v>
      </c>
      <c r="L870" s="3">
        <v>912.65611000000001</v>
      </c>
      <c r="M870" s="3">
        <v>1429.54636</v>
      </c>
      <c r="N870" s="12">
        <f t="shared" si="245"/>
        <v>1.0000023384349969E-2</v>
      </c>
      <c r="O870" s="11">
        <f t="shared" si="246"/>
        <v>706.86</v>
      </c>
      <c r="P870" s="1">
        <v>10</v>
      </c>
      <c r="Q870" s="15">
        <v>1</v>
      </c>
      <c r="R870" s="3">
        <f>Q870*VLOOKUP(P870,[4]Datos!$A$2:$D$14,2)</f>
        <v>8.19</v>
      </c>
      <c r="S870" s="10">
        <f t="shared" si="260"/>
        <v>87</v>
      </c>
      <c r="T870" s="14">
        <v>87</v>
      </c>
      <c r="U870" s="3">
        <f t="shared" si="261"/>
        <v>0.1</v>
      </c>
      <c r="V870" s="3"/>
      <c r="W870" s="1">
        <v>280</v>
      </c>
      <c r="X870" s="9">
        <v>2</v>
      </c>
      <c r="Y870" s="1">
        <v>4</v>
      </c>
      <c r="Z870" s="3">
        <f>X870*VLOOKUP(Y870,[4]Datos!$A$2:$D$14,2)</f>
        <v>2.58</v>
      </c>
      <c r="AA870" s="8">
        <v>0.3</v>
      </c>
      <c r="AB870" s="7">
        <f t="shared" si="247"/>
        <v>260.7542389499979</v>
      </c>
      <c r="AC870" s="7">
        <f t="shared" si="262"/>
        <v>71.137096483304632</v>
      </c>
      <c r="AD870" s="6" t="str">
        <f t="shared" si="248"/>
        <v>Cumple</v>
      </c>
      <c r="AE870" s="6"/>
      <c r="AH870" s="3"/>
    </row>
    <row r="871" spans="1:34" x14ac:dyDescent="0.3">
      <c r="A871" s="13"/>
      <c r="B871" s="1">
        <v>16</v>
      </c>
      <c r="C871" s="1">
        <v>599</v>
      </c>
      <c r="D871" s="1">
        <v>1</v>
      </c>
      <c r="E871" s="5">
        <v>1</v>
      </c>
      <c r="F871" s="3">
        <f t="shared" si="272"/>
        <v>16</v>
      </c>
      <c r="G871" s="5">
        <v>3</v>
      </c>
      <c r="H871" s="3">
        <f t="shared" si="259"/>
        <v>7.0685834705770345</v>
      </c>
      <c r="I871" s="4">
        <v>7.0685999999999999E-2</v>
      </c>
      <c r="K871" s="3">
        <v>213.9943831155388</v>
      </c>
      <c r="L871" s="3">
        <v>882.11843999999996</v>
      </c>
      <c r="M871" s="3">
        <v>1214.9423099999999</v>
      </c>
      <c r="N871" s="12">
        <f t="shared" si="245"/>
        <v>1.0000023384349969E-2</v>
      </c>
      <c r="O871" s="11">
        <f t="shared" si="246"/>
        <v>706.86</v>
      </c>
      <c r="P871" s="1">
        <v>10</v>
      </c>
      <c r="Q871" s="15">
        <v>1</v>
      </c>
      <c r="R871" s="3">
        <f>Q871*VLOOKUP(P871,[4]Datos!$A$2:$D$14,2)</f>
        <v>8.19</v>
      </c>
      <c r="S871" s="10">
        <f t="shared" si="260"/>
        <v>87</v>
      </c>
      <c r="T871" s="14">
        <v>87</v>
      </c>
      <c r="U871" s="3">
        <f t="shared" si="261"/>
        <v>0.1</v>
      </c>
      <c r="V871" s="3"/>
      <c r="W871" s="1">
        <v>280</v>
      </c>
      <c r="X871" s="9">
        <v>2</v>
      </c>
      <c r="Y871" s="1">
        <v>4</v>
      </c>
      <c r="Z871" s="3">
        <f>X871*VLOOKUP(Y871,[4]Datos!$A$2:$D$14,2)</f>
        <v>2.58</v>
      </c>
      <c r="AA871" s="8">
        <v>0.3</v>
      </c>
      <c r="AB871" s="7">
        <f t="shared" si="247"/>
        <v>260.7542389499979</v>
      </c>
      <c r="AC871" s="7">
        <f t="shared" si="262"/>
        <v>71.137096483304632</v>
      </c>
      <c r="AD871" s="6" t="str">
        <f t="shared" si="248"/>
        <v>Cumple</v>
      </c>
      <c r="AE871" s="6"/>
      <c r="AH871" s="3"/>
    </row>
    <row r="872" spans="1:34" x14ac:dyDescent="0.3">
      <c r="A872" s="13"/>
      <c r="B872" s="1">
        <v>17</v>
      </c>
      <c r="C872" s="1">
        <v>601</v>
      </c>
      <c r="D872" s="1">
        <v>1</v>
      </c>
      <c r="E872" s="5">
        <v>1</v>
      </c>
      <c r="F872" s="3">
        <f t="shared" si="272"/>
        <v>17</v>
      </c>
      <c r="G872" s="5">
        <v>3</v>
      </c>
      <c r="H872" s="3">
        <f t="shared" si="259"/>
        <v>7.0685834705770345</v>
      </c>
      <c r="I872" s="4">
        <v>7.0685999999999999E-2</v>
      </c>
      <c r="K872" s="3">
        <v>195.24248520119795</v>
      </c>
      <c r="L872" s="3">
        <v>830.44938000000002</v>
      </c>
      <c r="M872" s="3">
        <v>1012.69052</v>
      </c>
      <c r="N872" s="12">
        <f t="shared" si="245"/>
        <v>1.0000023384349969E-2</v>
      </c>
      <c r="O872" s="11">
        <f t="shared" si="246"/>
        <v>706.86</v>
      </c>
      <c r="P872" s="1">
        <v>10</v>
      </c>
      <c r="Q872" s="1">
        <v>1</v>
      </c>
      <c r="R872" s="3">
        <f>Q872*VLOOKUP(P872,[4]Datos!$A$2:$D$14,2)</f>
        <v>8.19</v>
      </c>
      <c r="S872" s="10">
        <f t="shared" si="260"/>
        <v>87</v>
      </c>
      <c r="T872" s="2">
        <v>87</v>
      </c>
      <c r="U872" s="3">
        <f t="shared" si="261"/>
        <v>0.1</v>
      </c>
      <c r="V872" s="3"/>
      <c r="W872" s="1">
        <v>280</v>
      </c>
      <c r="X872" s="9">
        <v>2</v>
      </c>
      <c r="Y872" s="1">
        <v>4</v>
      </c>
      <c r="Z872" s="3">
        <f>X872*VLOOKUP(Y872,[4]Datos!$A$2:$D$14,2)</f>
        <v>2.58</v>
      </c>
      <c r="AA872" s="8">
        <v>0.3</v>
      </c>
      <c r="AB872" s="7">
        <f t="shared" si="247"/>
        <v>260.7542389499979</v>
      </c>
      <c r="AC872" s="7">
        <f t="shared" si="262"/>
        <v>71.137096483304632</v>
      </c>
      <c r="AD872" s="6" t="str">
        <f t="shared" si="248"/>
        <v>Cumple</v>
      </c>
      <c r="AE872" s="6"/>
      <c r="AH872" s="3"/>
    </row>
    <row r="873" spans="1:34" x14ac:dyDescent="0.3">
      <c r="A873" s="13"/>
      <c r="B873" s="1">
        <v>18</v>
      </c>
      <c r="C873" s="1">
        <v>603</v>
      </c>
      <c r="D873" s="1">
        <v>1</v>
      </c>
      <c r="E873" s="5">
        <v>1</v>
      </c>
      <c r="F873" s="3">
        <f t="shared" si="272"/>
        <v>18</v>
      </c>
      <c r="G873" s="5">
        <v>3</v>
      </c>
      <c r="H873" s="3">
        <f t="shared" si="259"/>
        <v>7.0685834705770345</v>
      </c>
      <c r="I873" s="4">
        <v>7.0685999999999999E-2</v>
      </c>
      <c r="K873" s="3">
        <v>176.53797399248128</v>
      </c>
      <c r="L873" s="3">
        <v>762.84027000000003</v>
      </c>
      <c r="M873" s="3">
        <v>826.51248999999996</v>
      </c>
      <c r="N873" s="12">
        <f t="shared" si="245"/>
        <v>1.0000023384349969E-2</v>
      </c>
      <c r="O873" s="11">
        <f t="shared" si="246"/>
        <v>706.86</v>
      </c>
      <c r="P873" s="1">
        <v>10</v>
      </c>
      <c r="Q873" s="1">
        <v>1</v>
      </c>
      <c r="R873" s="3">
        <f>Q873*VLOOKUP(P873,[4]Datos!$A$2:$D$14,2)</f>
        <v>8.19</v>
      </c>
      <c r="S873" s="10">
        <f t="shared" si="260"/>
        <v>87</v>
      </c>
      <c r="T873" s="2">
        <v>87</v>
      </c>
      <c r="U873" s="3">
        <f t="shared" si="261"/>
        <v>0.1</v>
      </c>
      <c r="V873" s="3"/>
      <c r="W873" s="1">
        <v>280</v>
      </c>
      <c r="X873" s="9">
        <v>2</v>
      </c>
      <c r="Y873" s="1">
        <v>4</v>
      </c>
      <c r="Z873" s="3">
        <f>X873*VLOOKUP(Y873,[4]Datos!$A$2:$D$14,2)</f>
        <v>2.58</v>
      </c>
      <c r="AA873" s="8">
        <v>0.3</v>
      </c>
      <c r="AB873" s="7">
        <f t="shared" si="247"/>
        <v>260.7542389499979</v>
      </c>
      <c r="AC873" s="7">
        <f t="shared" si="262"/>
        <v>71.137096483304632</v>
      </c>
      <c r="AD873" s="6" t="str">
        <f t="shared" si="248"/>
        <v>Cumple</v>
      </c>
      <c r="AE873" s="6"/>
      <c r="AH873" s="3"/>
    </row>
    <row r="874" spans="1:34" x14ac:dyDescent="0.3">
      <c r="A874" s="13"/>
      <c r="B874" s="1">
        <v>19</v>
      </c>
      <c r="C874" s="1">
        <v>605</v>
      </c>
      <c r="D874" s="1">
        <v>1</v>
      </c>
      <c r="E874" s="5">
        <v>1</v>
      </c>
      <c r="F874" s="3">
        <f t="shared" si="272"/>
        <v>19</v>
      </c>
      <c r="G874" s="5">
        <v>3</v>
      </c>
      <c r="H874" s="3">
        <f t="shared" si="259"/>
        <v>7.0685834705770345</v>
      </c>
      <c r="I874" s="4">
        <v>7.0685999999999999E-2</v>
      </c>
      <c r="K874" s="3">
        <v>156.58367817247111</v>
      </c>
      <c r="L874" s="3">
        <v>684.41905999999994</v>
      </c>
      <c r="M874" s="3">
        <v>659.18805999999995</v>
      </c>
      <c r="N874" s="12">
        <f t="shared" si="245"/>
        <v>1.0000023384349969E-2</v>
      </c>
      <c r="O874" s="11">
        <f t="shared" si="246"/>
        <v>706.86</v>
      </c>
      <c r="P874" s="1">
        <v>10</v>
      </c>
      <c r="Q874" s="1">
        <v>1</v>
      </c>
      <c r="R874" s="3">
        <f>Q874*VLOOKUP(P874,[4]Datos!$A$2:$D$14,2)</f>
        <v>8.19</v>
      </c>
      <c r="S874" s="10">
        <f t="shared" si="260"/>
        <v>87</v>
      </c>
      <c r="T874" s="2">
        <v>87</v>
      </c>
      <c r="U874" s="3">
        <f t="shared" si="261"/>
        <v>0.1</v>
      </c>
      <c r="V874" s="3"/>
      <c r="W874" s="1">
        <v>280</v>
      </c>
      <c r="X874" s="9">
        <v>2</v>
      </c>
      <c r="Y874" s="1">
        <v>4</v>
      </c>
      <c r="Z874" s="3">
        <f>X874*VLOOKUP(Y874,[4]Datos!$A$2:$D$14,2)</f>
        <v>2.58</v>
      </c>
      <c r="AA874" s="8">
        <v>0.3</v>
      </c>
      <c r="AB874" s="7">
        <f t="shared" si="247"/>
        <v>260.7542389499979</v>
      </c>
      <c r="AC874" s="7">
        <f t="shared" si="262"/>
        <v>71.137096483304632</v>
      </c>
      <c r="AD874" s="6" t="str">
        <f t="shared" si="248"/>
        <v>Cumple</v>
      </c>
      <c r="AE874" s="6"/>
      <c r="AH874" s="3"/>
    </row>
    <row r="875" spans="1:34" x14ac:dyDescent="0.3">
      <c r="A875" s="13"/>
      <c r="B875" s="1">
        <v>20</v>
      </c>
      <c r="C875" s="1">
        <v>607</v>
      </c>
      <c r="D875" s="1">
        <v>1</v>
      </c>
      <c r="E875" s="5">
        <v>1</v>
      </c>
      <c r="F875" s="3">
        <f t="shared" si="272"/>
        <v>20</v>
      </c>
      <c r="G875" s="5">
        <v>3</v>
      </c>
      <c r="H875" s="3">
        <f t="shared" si="259"/>
        <v>7.0685834705770345</v>
      </c>
      <c r="I875" s="4">
        <v>7.0685999999999999E-2</v>
      </c>
      <c r="K875" s="3">
        <v>136.10050576720866</v>
      </c>
      <c r="L875" s="3">
        <v>599.89475000000004</v>
      </c>
      <c r="M875" s="3">
        <v>512.56282999999996</v>
      </c>
      <c r="N875" s="12">
        <f t="shared" si="245"/>
        <v>1.0000023384349969E-2</v>
      </c>
      <c r="O875" s="11">
        <f t="shared" si="246"/>
        <v>706.86</v>
      </c>
      <c r="P875" s="1">
        <v>10</v>
      </c>
      <c r="Q875" s="15">
        <v>1</v>
      </c>
      <c r="R875" s="3">
        <f>Q875*VLOOKUP(P875,[4]Datos!$A$2:$D$14,2)</f>
        <v>8.19</v>
      </c>
      <c r="S875" s="10">
        <f t="shared" si="260"/>
        <v>87</v>
      </c>
      <c r="T875" s="14">
        <v>87</v>
      </c>
      <c r="U875" s="3">
        <f t="shared" si="261"/>
        <v>0.1</v>
      </c>
      <c r="V875" s="3"/>
      <c r="W875" s="1">
        <v>280</v>
      </c>
      <c r="X875" s="9">
        <v>2</v>
      </c>
      <c r="Y875" s="1">
        <v>4</v>
      </c>
      <c r="Z875" s="3">
        <f>X875*VLOOKUP(Y875,[4]Datos!$A$2:$D$14,2)</f>
        <v>2.58</v>
      </c>
      <c r="AA875" s="8">
        <v>0.3</v>
      </c>
      <c r="AB875" s="7">
        <f t="shared" si="247"/>
        <v>260.7542389499979</v>
      </c>
      <c r="AC875" s="7">
        <f t="shared" si="262"/>
        <v>71.137096483304632</v>
      </c>
      <c r="AD875" s="6" t="str">
        <f t="shared" si="248"/>
        <v>Cumple</v>
      </c>
      <c r="AE875" s="6"/>
      <c r="AH875" s="3"/>
    </row>
    <row r="876" spans="1:34" x14ac:dyDescent="0.3">
      <c r="A876" s="13"/>
      <c r="B876" s="1">
        <v>21</v>
      </c>
      <c r="C876" s="1">
        <v>657</v>
      </c>
      <c r="D876" s="1">
        <v>1</v>
      </c>
      <c r="E876" s="5">
        <v>1</v>
      </c>
      <c r="F876" s="3">
        <f t="shared" si="272"/>
        <v>21</v>
      </c>
      <c r="G876" s="5">
        <v>3</v>
      </c>
      <c r="H876" s="3">
        <f t="shared" si="259"/>
        <v>7.0685834705770345</v>
      </c>
      <c r="I876" s="4">
        <v>7.0685999999999999E-2</v>
      </c>
      <c r="K876" s="3">
        <v>115.78375394765018</v>
      </c>
      <c r="L876" s="3">
        <v>513.34625000000005</v>
      </c>
      <c r="M876" s="3">
        <v>387.61223000000001</v>
      </c>
      <c r="N876" s="12">
        <f t="shared" si="245"/>
        <v>1.0000023384349969E-2</v>
      </c>
      <c r="O876" s="11">
        <f t="shared" si="246"/>
        <v>706.86</v>
      </c>
      <c r="P876" s="1">
        <v>10</v>
      </c>
      <c r="Q876" s="15">
        <v>1</v>
      </c>
      <c r="R876" s="3">
        <f>Q876*VLOOKUP(P876,[4]Datos!$A$2:$D$14,2)</f>
        <v>8.19</v>
      </c>
      <c r="S876" s="10">
        <f t="shared" si="260"/>
        <v>87</v>
      </c>
      <c r="T876" s="14">
        <v>87</v>
      </c>
      <c r="U876" s="3">
        <f t="shared" si="261"/>
        <v>0.1</v>
      </c>
      <c r="V876" s="3"/>
      <c r="W876" s="1">
        <v>280</v>
      </c>
      <c r="X876" s="9">
        <v>2</v>
      </c>
      <c r="Y876" s="1">
        <v>4</v>
      </c>
      <c r="Z876" s="3">
        <f>X876*VLOOKUP(Y876,[4]Datos!$A$2:$D$14,2)</f>
        <v>2.58</v>
      </c>
      <c r="AA876" s="8">
        <v>0.3</v>
      </c>
      <c r="AB876" s="7">
        <f t="shared" si="247"/>
        <v>260.7542389499979</v>
      </c>
      <c r="AC876" s="7">
        <f t="shared" si="262"/>
        <v>71.137096483304632</v>
      </c>
      <c r="AD876" s="6" t="str">
        <f t="shared" si="248"/>
        <v>Cumple</v>
      </c>
      <c r="AE876" s="6"/>
      <c r="AH876" s="3"/>
    </row>
    <row r="877" spans="1:34" x14ac:dyDescent="0.3">
      <c r="A877" s="13"/>
      <c r="B877" s="1">
        <v>22</v>
      </c>
      <c r="C877" s="1">
        <v>658</v>
      </c>
      <c r="D877" s="1">
        <v>1</v>
      </c>
      <c r="E877" s="5">
        <v>1</v>
      </c>
      <c r="F877" s="3">
        <f t="shared" si="272"/>
        <v>22</v>
      </c>
      <c r="G877" s="5">
        <v>3</v>
      </c>
      <c r="H877" s="3">
        <f t="shared" si="259"/>
        <v>7.0685834705770345</v>
      </c>
      <c r="I877" s="4">
        <v>7.0685999999999999E-2</v>
      </c>
      <c r="K877" s="3">
        <v>96.643807832731824</v>
      </c>
      <c r="L877" s="3">
        <v>428.18374</v>
      </c>
      <c r="M877" s="3">
        <v>284.55047000000002</v>
      </c>
      <c r="N877" s="12">
        <f t="shared" si="245"/>
        <v>1.0000023384349969E-2</v>
      </c>
      <c r="O877" s="11">
        <f t="shared" si="246"/>
        <v>706.86</v>
      </c>
      <c r="P877" s="1">
        <v>10</v>
      </c>
      <c r="Q877" s="15">
        <v>1</v>
      </c>
      <c r="R877" s="3">
        <f>Q877*VLOOKUP(P877,[4]Datos!$A$2:$D$14,2)</f>
        <v>8.19</v>
      </c>
      <c r="S877" s="10">
        <f t="shared" si="260"/>
        <v>87</v>
      </c>
      <c r="T877" s="14">
        <v>87</v>
      </c>
      <c r="U877" s="3">
        <f t="shared" si="261"/>
        <v>0.1</v>
      </c>
      <c r="V877" s="3"/>
      <c r="W877" s="1">
        <v>280</v>
      </c>
      <c r="X877" s="9">
        <v>2</v>
      </c>
      <c r="Y877" s="1">
        <v>4</v>
      </c>
      <c r="Z877" s="3">
        <f>X877*VLOOKUP(Y877,[4]Datos!$A$2:$D$14,2)</f>
        <v>2.58</v>
      </c>
      <c r="AA877" s="8">
        <v>0.3</v>
      </c>
      <c r="AB877" s="7">
        <f t="shared" si="247"/>
        <v>260.7542389499979</v>
      </c>
      <c r="AC877" s="7">
        <f t="shared" si="262"/>
        <v>71.137096483304632</v>
      </c>
      <c r="AD877" s="6" t="str">
        <f t="shared" si="248"/>
        <v>Cumple</v>
      </c>
      <c r="AE877" s="6"/>
      <c r="AH877" s="3"/>
    </row>
    <row r="878" spans="1:34" x14ac:dyDescent="0.3">
      <c r="A878" s="13"/>
      <c r="B878" s="1">
        <v>23</v>
      </c>
      <c r="C878" s="1">
        <v>659</v>
      </c>
      <c r="D878" s="1">
        <v>1</v>
      </c>
      <c r="E878" s="5">
        <v>1</v>
      </c>
      <c r="F878" s="3">
        <f t="shared" si="272"/>
        <v>23</v>
      </c>
      <c r="G878" s="5">
        <v>3</v>
      </c>
      <c r="H878" s="3">
        <f t="shared" si="259"/>
        <v>7.0685834705770345</v>
      </c>
      <c r="I878" s="4">
        <v>7.0685999999999999E-2</v>
      </c>
      <c r="K878" s="3">
        <v>87.212913573163007</v>
      </c>
      <c r="L878" s="3">
        <v>347.15125999999998</v>
      </c>
      <c r="M878" s="3">
        <v>202.96118999999999</v>
      </c>
      <c r="N878" s="12">
        <f t="shared" si="245"/>
        <v>1.0000023384349969E-2</v>
      </c>
      <c r="O878" s="11">
        <f t="shared" si="246"/>
        <v>706.86</v>
      </c>
      <c r="P878" s="1">
        <v>10</v>
      </c>
      <c r="Q878" s="1">
        <v>1</v>
      </c>
      <c r="R878" s="3">
        <f>Q878*VLOOKUP(P878,[4]Datos!$A$2:$D$14,2)</f>
        <v>8.19</v>
      </c>
      <c r="S878" s="10">
        <f t="shared" si="260"/>
        <v>87</v>
      </c>
      <c r="T878" s="2">
        <v>87</v>
      </c>
      <c r="U878" s="3">
        <f t="shared" si="261"/>
        <v>0.1</v>
      </c>
      <c r="V878" s="3"/>
      <c r="W878" s="1">
        <v>280</v>
      </c>
      <c r="X878" s="9">
        <v>2</v>
      </c>
      <c r="Y878" s="1">
        <v>4</v>
      </c>
      <c r="Z878" s="3">
        <f>X878*VLOOKUP(Y878,[4]Datos!$A$2:$D$14,2)</f>
        <v>2.58</v>
      </c>
      <c r="AA878" s="8">
        <v>0.3</v>
      </c>
      <c r="AB878" s="7">
        <f t="shared" si="247"/>
        <v>260.7542389499979</v>
      </c>
      <c r="AC878" s="7">
        <f t="shared" si="262"/>
        <v>71.137096483304632</v>
      </c>
      <c r="AD878" s="6" t="str">
        <f t="shared" si="248"/>
        <v>Cumple</v>
      </c>
      <c r="AE878" s="6"/>
      <c r="AH878" s="3"/>
    </row>
    <row r="879" spans="1:34" x14ac:dyDescent="0.3">
      <c r="A879" s="13"/>
      <c r="B879" s="1">
        <v>24</v>
      </c>
      <c r="C879" s="1">
        <v>660</v>
      </c>
      <c r="D879" s="1">
        <v>1</v>
      </c>
      <c r="E879" s="5">
        <v>1</v>
      </c>
      <c r="F879" s="3">
        <f t="shared" si="272"/>
        <v>24</v>
      </c>
      <c r="G879" s="5">
        <v>3</v>
      </c>
      <c r="H879" s="3">
        <f t="shared" si="259"/>
        <v>7.0685834705770345</v>
      </c>
      <c r="I879" s="4">
        <v>7.0685999999999999E-2</v>
      </c>
      <c r="K879" s="3">
        <v>76.769346274994433</v>
      </c>
      <c r="L879" s="3">
        <v>272.36313000000001</v>
      </c>
      <c r="M879" s="3">
        <v>141.86503999999999</v>
      </c>
      <c r="N879" s="12">
        <f t="shared" si="245"/>
        <v>1.0000023384349969E-2</v>
      </c>
      <c r="O879" s="11">
        <f t="shared" si="246"/>
        <v>706.86</v>
      </c>
      <c r="P879" s="1">
        <v>10</v>
      </c>
      <c r="Q879" s="1">
        <v>1</v>
      </c>
      <c r="R879" s="3">
        <f>Q879*VLOOKUP(P879,[4]Datos!$A$2:$D$14,2)</f>
        <v>8.19</v>
      </c>
      <c r="S879" s="10">
        <f t="shared" si="260"/>
        <v>87</v>
      </c>
      <c r="T879" s="2">
        <v>87</v>
      </c>
      <c r="U879" s="3">
        <f t="shared" si="261"/>
        <v>0.1</v>
      </c>
      <c r="V879" s="3"/>
      <c r="W879" s="1">
        <v>280</v>
      </c>
      <c r="X879" s="9">
        <v>2</v>
      </c>
      <c r="Y879" s="1">
        <v>4</v>
      </c>
      <c r="Z879" s="3">
        <f>X879*VLOOKUP(Y879,[4]Datos!$A$2:$D$14,2)</f>
        <v>2.58</v>
      </c>
      <c r="AA879" s="8">
        <v>0.3</v>
      </c>
      <c r="AB879" s="7">
        <f t="shared" si="247"/>
        <v>260.7542389499979</v>
      </c>
      <c r="AC879" s="7">
        <f t="shared" si="262"/>
        <v>71.137096483304632</v>
      </c>
      <c r="AD879" s="6" t="str">
        <f t="shared" si="248"/>
        <v>Cumple</v>
      </c>
      <c r="AE879" s="6"/>
      <c r="AH879" s="3"/>
    </row>
    <row r="880" spans="1:34" x14ac:dyDescent="0.3">
      <c r="A880" s="13"/>
      <c r="B880" s="1">
        <v>25</v>
      </c>
      <c r="C880" s="1">
        <v>661</v>
      </c>
      <c r="D880" s="1">
        <v>1</v>
      </c>
      <c r="E880" s="5">
        <v>1</v>
      </c>
      <c r="F880" s="3">
        <f t="shared" si="272"/>
        <v>25</v>
      </c>
      <c r="G880" s="5">
        <v>3</v>
      </c>
      <c r="H880" s="3">
        <f t="shared" si="259"/>
        <v>7.0685834705770345</v>
      </c>
      <c r="I880" s="4">
        <v>7.0685999999999999E-2</v>
      </c>
      <c r="K880" s="3">
        <v>65.767181826880801</v>
      </c>
      <c r="L880" s="3">
        <v>205.36421000000001</v>
      </c>
      <c r="M880" s="3">
        <v>101.87039</v>
      </c>
      <c r="N880" s="12">
        <f t="shared" ref="N880:N943" si="273">I880/H880</f>
        <v>1.0000023384349969E-2</v>
      </c>
      <c r="O880" s="11">
        <f t="shared" ref="O880:O943" si="274">I880*10000</f>
        <v>706.86</v>
      </c>
      <c r="P880" s="1">
        <v>10</v>
      </c>
      <c r="Q880" s="1">
        <v>1</v>
      </c>
      <c r="R880" s="3">
        <f>Q880*VLOOKUP(P880,[4]Datos!$A$2:$D$14,2)</f>
        <v>8.19</v>
      </c>
      <c r="S880" s="10">
        <f t="shared" si="260"/>
        <v>87</v>
      </c>
      <c r="T880" s="2">
        <v>87</v>
      </c>
      <c r="U880" s="3">
        <f t="shared" si="261"/>
        <v>0.1</v>
      </c>
      <c r="V880" s="3"/>
      <c r="W880" s="1">
        <v>280</v>
      </c>
      <c r="X880" s="9">
        <v>2</v>
      </c>
      <c r="Y880" s="1">
        <v>4</v>
      </c>
      <c r="Z880" s="3">
        <f>X880*VLOOKUP(Y880,[4]Datos!$A$2:$D$14,2)</f>
        <v>2.58</v>
      </c>
      <c r="AA880" s="8">
        <v>0.3</v>
      </c>
      <c r="AB880" s="7">
        <f t="shared" ref="AB880:AB943" si="275">IF(D880=0,0.9,0.5)*0.9*0.53*SQRT(W880)*G880*MAX(0.72*G880,0.9*((G880/2)+((G880-0.11)/PI())))*10</f>
        <v>260.7542389499979</v>
      </c>
      <c r="AC880" s="7">
        <f t="shared" si="262"/>
        <v>71.137096483304632</v>
      </c>
      <c r="AD880" s="6" t="str">
        <f t="shared" ref="AD880:AD943" si="276">+IF(AC880&gt;K880-AB880,"Cumple","No Cumple")</f>
        <v>Cumple</v>
      </c>
      <c r="AE880" s="6"/>
      <c r="AH880" s="3"/>
    </row>
    <row r="881" spans="1:43" x14ac:dyDescent="0.3">
      <c r="A881" s="13"/>
      <c r="B881" s="1">
        <v>26</v>
      </c>
      <c r="C881" s="1">
        <v>662</v>
      </c>
      <c r="D881" s="1">
        <v>1</v>
      </c>
      <c r="E881" s="5">
        <v>1</v>
      </c>
      <c r="F881" s="3">
        <f t="shared" si="272"/>
        <v>26</v>
      </c>
      <c r="G881" s="5">
        <v>3</v>
      </c>
      <c r="H881" s="3">
        <f t="shared" si="259"/>
        <v>7.0685834705770345</v>
      </c>
      <c r="I881" s="4">
        <v>7.0685999999999999E-2</v>
      </c>
      <c r="K881" s="3">
        <v>54.622009701950738</v>
      </c>
      <c r="L881" s="3">
        <v>147.20872</v>
      </c>
      <c r="M881" s="3">
        <v>74.61148</v>
      </c>
      <c r="N881" s="12">
        <f t="shared" si="273"/>
        <v>1.0000023384349969E-2</v>
      </c>
      <c r="O881" s="11">
        <f t="shared" si="274"/>
        <v>706.86</v>
      </c>
      <c r="P881" s="1">
        <v>10</v>
      </c>
      <c r="Q881" s="1">
        <v>1</v>
      </c>
      <c r="R881" s="3">
        <f>Q881*VLOOKUP(P881,[4]Datos!$A$2:$D$14,2)</f>
        <v>8.19</v>
      </c>
      <c r="S881" s="10">
        <f t="shared" si="260"/>
        <v>87</v>
      </c>
      <c r="T881" s="2">
        <v>87</v>
      </c>
      <c r="U881" s="3">
        <f t="shared" si="261"/>
        <v>0.1</v>
      </c>
      <c r="V881" s="3"/>
      <c r="W881" s="1">
        <v>280</v>
      </c>
      <c r="X881" s="9">
        <v>2</v>
      </c>
      <c r="Y881" s="1">
        <v>4</v>
      </c>
      <c r="Z881" s="3">
        <f>X881*VLOOKUP(Y881,[4]Datos!$A$2:$D$14,2)</f>
        <v>2.58</v>
      </c>
      <c r="AA881" s="8">
        <v>0.3</v>
      </c>
      <c r="AB881" s="7">
        <f t="shared" si="275"/>
        <v>260.7542389499979</v>
      </c>
      <c r="AC881" s="7">
        <f t="shared" si="262"/>
        <v>71.137096483304632</v>
      </c>
      <c r="AD881" s="6" t="str">
        <f t="shared" si="276"/>
        <v>Cumple</v>
      </c>
      <c r="AE881" s="6"/>
      <c r="AH881" s="3"/>
    </row>
    <row r="882" spans="1:43" x14ac:dyDescent="0.3">
      <c r="A882" s="13"/>
      <c r="B882" s="1">
        <v>27</v>
      </c>
      <c r="C882" s="1">
        <v>663</v>
      </c>
      <c r="D882" s="1">
        <v>1</v>
      </c>
      <c r="E882" s="5">
        <v>1</v>
      </c>
      <c r="F882" s="3">
        <f t="shared" si="272"/>
        <v>27</v>
      </c>
      <c r="G882" s="5">
        <v>3</v>
      </c>
      <c r="H882" s="3">
        <f t="shared" si="259"/>
        <v>7.0685834705770345</v>
      </c>
      <c r="I882" s="4">
        <v>7.0685999999999999E-2</v>
      </c>
      <c r="K882" s="3">
        <v>43.712510376893249</v>
      </c>
      <c r="L882" s="3">
        <v>98.548450000000003</v>
      </c>
      <c r="M882" s="3">
        <v>52.877380000000002</v>
      </c>
      <c r="N882" s="12">
        <f t="shared" si="273"/>
        <v>1.0000023384349969E-2</v>
      </c>
      <c r="O882" s="11">
        <f t="shared" si="274"/>
        <v>706.86</v>
      </c>
      <c r="P882" s="1">
        <v>10</v>
      </c>
      <c r="Q882" s="1">
        <v>1</v>
      </c>
      <c r="R882" s="3">
        <f>Q882*VLOOKUP(P882,[4]Datos!$A$2:$D$14,2)</f>
        <v>8.19</v>
      </c>
      <c r="S882" s="10">
        <f t="shared" si="260"/>
        <v>87</v>
      </c>
      <c r="T882" s="2">
        <v>87</v>
      </c>
      <c r="U882" s="3">
        <f t="shared" si="261"/>
        <v>0.1</v>
      </c>
      <c r="V882" s="3"/>
      <c r="W882" s="1">
        <v>280</v>
      </c>
      <c r="X882" s="9">
        <v>2</v>
      </c>
      <c r="Y882" s="1">
        <v>4</v>
      </c>
      <c r="Z882" s="3">
        <f>X882*VLOOKUP(Y882,[4]Datos!$A$2:$D$14,2)</f>
        <v>2.58</v>
      </c>
      <c r="AA882" s="8">
        <v>0.3</v>
      </c>
      <c r="AB882" s="7">
        <f t="shared" si="275"/>
        <v>260.7542389499979</v>
      </c>
      <c r="AC882" s="7">
        <f t="shared" si="262"/>
        <v>71.137096483304632</v>
      </c>
      <c r="AD882" s="6" t="str">
        <f t="shared" si="276"/>
        <v>Cumple</v>
      </c>
      <c r="AE882" s="6"/>
      <c r="AH882" s="3"/>
    </row>
    <row r="883" spans="1:43" x14ac:dyDescent="0.3">
      <c r="A883" s="13"/>
      <c r="B883" s="1">
        <v>28</v>
      </c>
      <c r="C883" s="1">
        <v>664</v>
      </c>
      <c r="D883" s="1">
        <v>1</v>
      </c>
      <c r="E883" s="5">
        <v>1</v>
      </c>
      <c r="F883" s="3">
        <f t="shared" si="272"/>
        <v>28</v>
      </c>
      <c r="G883" s="5">
        <v>3</v>
      </c>
      <c r="H883" s="3">
        <f t="shared" si="259"/>
        <v>7.0685834705770345</v>
      </c>
      <c r="I883" s="4">
        <v>7.0685999999999999E-2</v>
      </c>
      <c r="K883" s="3">
        <v>33.216296417872961</v>
      </c>
      <c r="L883" s="3">
        <v>59.712539999999997</v>
      </c>
      <c r="M883" s="3">
        <v>37.269280000000002</v>
      </c>
      <c r="N883" s="12">
        <f t="shared" si="273"/>
        <v>1.0000023384349969E-2</v>
      </c>
      <c r="O883" s="11">
        <f t="shared" si="274"/>
        <v>706.86</v>
      </c>
      <c r="P883" s="1">
        <v>10</v>
      </c>
      <c r="Q883" s="1">
        <v>1</v>
      </c>
      <c r="R883" s="3">
        <f>Q883*VLOOKUP(P883,[4]Datos!$A$2:$D$14,2)</f>
        <v>8.19</v>
      </c>
      <c r="S883" s="10">
        <f t="shared" si="260"/>
        <v>87</v>
      </c>
      <c r="T883" s="2">
        <v>87</v>
      </c>
      <c r="U883" s="3">
        <f t="shared" si="261"/>
        <v>0.1</v>
      </c>
      <c r="V883" s="3"/>
      <c r="W883" s="1">
        <v>280</v>
      </c>
      <c r="X883" s="9">
        <v>2</v>
      </c>
      <c r="Y883" s="1">
        <v>4</v>
      </c>
      <c r="Z883" s="3">
        <f>X883*VLOOKUP(Y883,[4]Datos!$A$2:$D$14,2)</f>
        <v>2.58</v>
      </c>
      <c r="AA883" s="8">
        <v>0.3</v>
      </c>
      <c r="AB883" s="7">
        <f t="shared" si="275"/>
        <v>260.7542389499979</v>
      </c>
      <c r="AC883" s="7">
        <f t="shared" si="262"/>
        <v>71.137096483304632</v>
      </c>
      <c r="AD883" s="6" t="str">
        <f t="shared" si="276"/>
        <v>Cumple</v>
      </c>
      <c r="AE883" s="6"/>
      <c r="AH883" s="3"/>
    </row>
    <row r="884" spans="1:43" x14ac:dyDescent="0.3">
      <c r="A884" s="13"/>
      <c r="B884" s="1">
        <v>29</v>
      </c>
      <c r="C884" s="1">
        <v>665</v>
      </c>
      <c r="D884" s="1">
        <v>1</v>
      </c>
      <c r="E884" s="5">
        <v>1</v>
      </c>
      <c r="F884" s="3">
        <f t="shared" si="272"/>
        <v>29</v>
      </c>
      <c r="G884" s="5">
        <v>3</v>
      </c>
      <c r="H884" s="3">
        <f t="shared" si="259"/>
        <v>7.0685834705770345</v>
      </c>
      <c r="I884" s="4">
        <v>7.0685999999999999E-2</v>
      </c>
      <c r="K884" s="3">
        <v>22.997409011669117</v>
      </c>
      <c r="L884" s="3">
        <v>30.74973</v>
      </c>
      <c r="M884" s="3">
        <v>22.830449999999999</v>
      </c>
      <c r="N884" s="12">
        <f t="shared" si="273"/>
        <v>1.0000023384349969E-2</v>
      </c>
      <c r="O884" s="11">
        <f t="shared" si="274"/>
        <v>706.86</v>
      </c>
      <c r="P884" s="1">
        <v>10</v>
      </c>
      <c r="Q884" s="1">
        <v>1</v>
      </c>
      <c r="R884" s="3">
        <f>Q884*VLOOKUP(P884,[4]Datos!$A$2:$D$14,2)</f>
        <v>8.19</v>
      </c>
      <c r="S884" s="10">
        <f t="shared" si="260"/>
        <v>87</v>
      </c>
      <c r="T884" s="2">
        <v>87</v>
      </c>
      <c r="U884" s="3">
        <f t="shared" si="261"/>
        <v>0.1</v>
      </c>
      <c r="V884" s="3"/>
      <c r="W884" s="1">
        <v>280</v>
      </c>
      <c r="X884" s="9">
        <v>2</v>
      </c>
      <c r="Y884" s="1">
        <v>4</v>
      </c>
      <c r="Z884" s="3">
        <f>X884*VLOOKUP(Y884,[4]Datos!$A$2:$D$14,2)</f>
        <v>2.58</v>
      </c>
      <c r="AA884" s="8">
        <v>0.3</v>
      </c>
      <c r="AB884" s="7">
        <f t="shared" si="275"/>
        <v>260.7542389499979</v>
      </c>
      <c r="AC884" s="7">
        <f t="shared" si="262"/>
        <v>71.137096483304632</v>
      </c>
      <c r="AD884" s="6" t="str">
        <f t="shared" si="276"/>
        <v>Cumple</v>
      </c>
      <c r="AE884" s="6"/>
      <c r="AH884" s="3"/>
    </row>
    <row r="885" spans="1:43" x14ac:dyDescent="0.3">
      <c r="A885" s="13"/>
      <c r="B885" s="1">
        <v>30</v>
      </c>
      <c r="C885" s="1">
        <v>667</v>
      </c>
      <c r="D885" s="1">
        <v>1</v>
      </c>
      <c r="E885" s="5">
        <v>1</v>
      </c>
      <c r="F885" s="3">
        <f t="shared" si="272"/>
        <v>30</v>
      </c>
      <c r="G885" s="5">
        <v>3</v>
      </c>
      <c r="H885" s="3">
        <f t="shared" si="259"/>
        <v>7.0685834705770345</v>
      </c>
      <c r="I885" s="4">
        <v>7.0685999999999999E-2</v>
      </c>
      <c r="K885" s="3">
        <v>13.422930669939408</v>
      </c>
      <c r="L885" s="3">
        <v>11.317080000000001</v>
      </c>
      <c r="M885" s="3">
        <v>10.00254</v>
      </c>
      <c r="N885" s="12">
        <f t="shared" si="273"/>
        <v>1.0000023384349969E-2</v>
      </c>
      <c r="O885" s="11">
        <f t="shared" si="274"/>
        <v>706.86</v>
      </c>
      <c r="P885" s="1">
        <v>10</v>
      </c>
      <c r="Q885" s="1">
        <v>1</v>
      </c>
      <c r="R885" s="3">
        <f>Q885*VLOOKUP(P885,[4]Datos!$A$2:$D$14,2)</f>
        <v>8.19</v>
      </c>
      <c r="S885" s="10">
        <f t="shared" si="260"/>
        <v>87</v>
      </c>
      <c r="T885" s="2">
        <v>87</v>
      </c>
      <c r="U885" s="3">
        <f t="shared" si="261"/>
        <v>0.1</v>
      </c>
      <c r="V885" s="3"/>
      <c r="W885" s="1">
        <v>280</v>
      </c>
      <c r="X885" s="9">
        <v>2</v>
      </c>
      <c r="Y885" s="1">
        <v>4</v>
      </c>
      <c r="Z885" s="3">
        <f>X885*VLOOKUP(Y885,[4]Datos!$A$2:$D$14,2)</f>
        <v>2.58</v>
      </c>
      <c r="AA885" s="8">
        <v>0.3</v>
      </c>
      <c r="AB885" s="7">
        <f t="shared" si="275"/>
        <v>260.7542389499979</v>
      </c>
      <c r="AC885" s="7">
        <f t="shared" si="262"/>
        <v>71.137096483304632</v>
      </c>
      <c r="AD885" s="6" t="str">
        <f t="shared" si="276"/>
        <v>Cumple</v>
      </c>
      <c r="AE885" s="6"/>
      <c r="AH885" s="3"/>
    </row>
    <row r="886" spans="1:43" x14ac:dyDescent="0.3">
      <c r="A886" s="13" t="s">
        <v>4</v>
      </c>
      <c r="B886" s="1">
        <v>1</v>
      </c>
      <c r="C886" s="1">
        <v>568</v>
      </c>
      <c r="D886" s="1">
        <v>1</v>
      </c>
      <c r="E886" s="5">
        <v>1</v>
      </c>
      <c r="F886" s="3">
        <f>E886</f>
        <v>1</v>
      </c>
      <c r="G886" s="5">
        <v>3</v>
      </c>
      <c r="H886" s="3">
        <f t="shared" si="259"/>
        <v>7.0685834705770345</v>
      </c>
      <c r="I886" s="4">
        <v>9.0464000000000003E-2</v>
      </c>
      <c r="K886" s="3">
        <v>613.67906967119234</v>
      </c>
      <c r="L886" s="3">
        <v>3404.8508299999999</v>
      </c>
      <c r="M886" s="3">
        <v>2896.28559</v>
      </c>
      <c r="N886" s="12">
        <f t="shared" si="273"/>
        <v>1.2798038019435751E-2</v>
      </c>
      <c r="O886" s="11">
        <f t="shared" si="274"/>
        <v>904.64</v>
      </c>
      <c r="P886" s="1">
        <v>10</v>
      </c>
      <c r="Q886" s="1">
        <v>1.5</v>
      </c>
      <c r="R886" s="3">
        <f>Q886*VLOOKUP(P886,[4]Datos!$A$2:$D$14,2)</f>
        <v>12.285</v>
      </c>
      <c r="S886" s="10">
        <f t="shared" si="260"/>
        <v>74</v>
      </c>
      <c r="T886" s="2">
        <v>87</v>
      </c>
      <c r="U886" s="3">
        <f t="shared" si="261"/>
        <v>0.1</v>
      </c>
      <c r="V886" s="3"/>
      <c r="W886" s="1">
        <v>280</v>
      </c>
      <c r="X886" s="9">
        <v>2</v>
      </c>
      <c r="Y886" s="1">
        <v>6</v>
      </c>
      <c r="Z886" s="3">
        <f>X886*VLOOKUP(Y886,[4]Datos!$A$2:$D$14,2)</f>
        <v>5.68</v>
      </c>
      <c r="AA886" s="8">
        <v>4.972E-2</v>
      </c>
      <c r="AB886" s="7">
        <f t="shared" si="275"/>
        <v>260.7542389499979</v>
      </c>
      <c r="AC886" s="7">
        <f t="shared" si="262"/>
        <v>944.96320797669352</v>
      </c>
      <c r="AD886" s="6" t="str">
        <f t="shared" si="276"/>
        <v>Cumple</v>
      </c>
      <c r="AE886" s="6"/>
      <c r="AG886" s="7">
        <f t="shared" ref="AG886:AG894" si="277">ROUNDUP(MAX(0.45,3*G886,),0)</f>
        <v>9</v>
      </c>
      <c r="AH886" s="3">
        <f t="shared" ref="AH886:AH894" si="278">PI()*(G886-0.15)^2/4</f>
        <v>6.3793965821957741</v>
      </c>
      <c r="AI886" s="7">
        <f>G886-0.15-VLOOKUP(Y886,[4]Datos!$A$2:$D$14,3)/100</f>
        <v>2.8309000000000002</v>
      </c>
      <c r="AJ886" s="7">
        <f t="shared" ref="AJ886:AJ894" si="279">SQRT((PI()*AI886)^2+AA886^2)</f>
        <v>8.8936736237329566</v>
      </c>
      <c r="AK886" s="1">
        <v>0.12</v>
      </c>
      <c r="AL886" s="16">
        <f t="shared" ref="AL886:AL894" si="280">MAX(0.45*(H886/AH886-1),AK886)*(W886/4220)</f>
        <v>7.9620853080568724E-3</v>
      </c>
      <c r="AM886" s="7">
        <f t="shared" ref="AM886:AM894" si="281">AG886*(AJ886/AA886)</f>
        <v>1609.8765610136084</v>
      </c>
      <c r="AN886" s="17">
        <f t="shared" ref="AN886:AN894" si="282">AM886*Z886/X886/10000</f>
        <v>0.45720494332786477</v>
      </c>
      <c r="AO886" s="17">
        <f t="shared" ref="AO886:AO894" si="283">AH886*AG886</f>
        <v>57.414569239761967</v>
      </c>
      <c r="AP886" s="16">
        <f t="shared" ref="AP886:AP894" si="284">AN886/AO886</f>
        <v>7.9632216941067178E-3</v>
      </c>
      <c r="AQ886" s="6" t="str">
        <f t="shared" ref="AQ886:AQ894" si="285">+IF(AP886&gt;AL886,"Cumple","No Cumple")</f>
        <v>Cumple</v>
      </c>
    </row>
    <row r="887" spans="1:43" x14ac:dyDescent="0.3">
      <c r="A887" s="13"/>
      <c r="B887" s="1">
        <v>2</v>
      </c>
      <c r="C887" s="1">
        <v>570</v>
      </c>
      <c r="D887" s="1">
        <v>1</v>
      </c>
      <c r="E887" s="5">
        <v>1</v>
      </c>
      <c r="F887" s="3">
        <f>F886+E887</f>
        <v>2</v>
      </c>
      <c r="G887" s="5">
        <v>3</v>
      </c>
      <c r="H887" s="3">
        <f t="shared" si="259"/>
        <v>7.0685834705770345</v>
      </c>
      <c r="I887" s="4">
        <v>7.1068000000000006E-2</v>
      </c>
      <c r="K887" s="3">
        <v>600.00874820644071</v>
      </c>
      <c r="L887" s="3">
        <v>2846.9666000000002</v>
      </c>
      <c r="M887" s="3">
        <v>2955.8849</v>
      </c>
      <c r="N887" s="12">
        <f t="shared" si="273"/>
        <v>1.005406532947095E-2</v>
      </c>
      <c r="O887" s="11">
        <f t="shared" si="274"/>
        <v>710.68000000000006</v>
      </c>
      <c r="P887" s="1">
        <v>10</v>
      </c>
      <c r="Q887" s="1">
        <v>1.5</v>
      </c>
      <c r="R887" s="3">
        <f>Q887*VLOOKUP(P887,[4]Datos!$A$2:$D$14,2)</f>
        <v>12.285</v>
      </c>
      <c r="S887" s="10">
        <f t="shared" si="260"/>
        <v>58</v>
      </c>
      <c r="T887" s="2">
        <v>87</v>
      </c>
      <c r="U887" s="3">
        <f t="shared" si="261"/>
        <v>0.1</v>
      </c>
      <c r="V887" s="3"/>
      <c r="W887" s="1">
        <v>280</v>
      </c>
      <c r="X887" s="9">
        <v>2</v>
      </c>
      <c r="Y887" s="1">
        <v>6</v>
      </c>
      <c r="Z887" s="3">
        <f>X887*VLOOKUP(Y887,[4]Datos!$A$2:$D$14,2)</f>
        <v>5.68</v>
      </c>
      <c r="AA887" s="8">
        <v>4.972E-2</v>
      </c>
      <c r="AB887" s="7">
        <f t="shared" si="275"/>
        <v>260.7542389499979</v>
      </c>
      <c r="AC887" s="7">
        <f t="shared" si="262"/>
        <v>944.96320797669352</v>
      </c>
      <c r="AD887" s="6" t="str">
        <f t="shared" si="276"/>
        <v>Cumple</v>
      </c>
      <c r="AE887" s="6"/>
      <c r="AG887" s="7">
        <f t="shared" si="277"/>
        <v>9</v>
      </c>
      <c r="AH887" s="3">
        <f t="shared" si="278"/>
        <v>6.3793965821957741</v>
      </c>
      <c r="AI887" s="7">
        <f>G887-0.15-VLOOKUP(Y887,[4]Datos!$A$2:$D$14,3)/100</f>
        <v>2.8309000000000002</v>
      </c>
      <c r="AJ887" s="7">
        <f t="shared" si="279"/>
        <v>8.8936736237329566</v>
      </c>
      <c r="AK887" s="1">
        <v>0.12</v>
      </c>
      <c r="AL887" s="16">
        <f t="shared" si="280"/>
        <v>7.9620853080568724E-3</v>
      </c>
      <c r="AM887" s="7">
        <f t="shared" si="281"/>
        <v>1609.8765610136084</v>
      </c>
      <c r="AN887" s="17">
        <f t="shared" si="282"/>
        <v>0.45720494332786477</v>
      </c>
      <c r="AO887" s="17">
        <f t="shared" si="283"/>
        <v>57.414569239761967</v>
      </c>
      <c r="AP887" s="16">
        <f t="shared" si="284"/>
        <v>7.9632216941067178E-3</v>
      </c>
      <c r="AQ887" s="6" t="str">
        <f t="shared" si="285"/>
        <v>Cumple</v>
      </c>
    </row>
    <row r="888" spans="1:43" x14ac:dyDescent="0.3">
      <c r="A888" s="13"/>
      <c r="B888" s="1">
        <v>3</v>
      </c>
      <c r="C888" s="1">
        <v>572</v>
      </c>
      <c r="D888" s="1">
        <v>1</v>
      </c>
      <c r="E888" s="5">
        <v>1</v>
      </c>
      <c r="F888" s="3">
        <f t="shared" ref="F888:F915" si="286">F887+E888</f>
        <v>3</v>
      </c>
      <c r="G888" s="5">
        <v>3</v>
      </c>
      <c r="H888" s="3">
        <f t="shared" si="259"/>
        <v>7.0685834705770345</v>
      </c>
      <c r="I888" s="4">
        <v>7.0685999999999999E-2</v>
      </c>
      <c r="K888" s="3">
        <v>571.10820333920094</v>
      </c>
      <c r="L888" s="3">
        <v>2300.0039200000001</v>
      </c>
      <c r="M888" s="3">
        <v>3001.0718999999999</v>
      </c>
      <c r="N888" s="12">
        <f t="shared" si="273"/>
        <v>1.0000023384349969E-2</v>
      </c>
      <c r="O888" s="11">
        <f t="shared" si="274"/>
        <v>706.86</v>
      </c>
      <c r="P888" s="1">
        <v>10</v>
      </c>
      <c r="Q888" s="1">
        <v>1.5</v>
      </c>
      <c r="R888" s="3">
        <f>Q888*VLOOKUP(P888,[4]Datos!$A$2:$D$14,2)</f>
        <v>12.285</v>
      </c>
      <c r="S888" s="10">
        <f t="shared" si="260"/>
        <v>58</v>
      </c>
      <c r="T888" s="2">
        <v>87</v>
      </c>
      <c r="U888" s="3">
        <f t="shared" si="261"/>
        <v>0.1</v>
      </c>
      <c r="V888" s="3"/>
      <c r="W888" s="1">
        <v>280</v>
      </c>
      <c r="X888" s="9">
        <v>2</v>
      </c>
      <c r="Y888" s="1">
        <v>6</v>
      </c>
      <c r="Z888" s="3">
        <f>X888*VLOOKUP(Y888,[4]Datos!$A$2:$D$14,2)</f>
        <v>5.68</v>
      </c>
      <c r="AA888" s="8">
        <v>4.972E-2</v>
      </c>
      <c r="AB888" s="7">
        <f t="shared" si="275"/>
        <v>260.7542389499979</v>
      </c>
      <c r="AC888" s="7">
        <f t="shared" si="262"/>
        <v>944.96320797669352</v>
      </c>
      <c r="AD888" s="6" t="str">
        <f t="shared" si="276"/>
        <v>Cumple</v>
      </c>
      <c r="AE888" s="6"/>
      <c r="AG888" s="7">
        <f t="shared" si="277"/>
        <v>9</v>
      </c>
      <c r="AH888" s="3">
        <f t="shared" si="278"/>
        <v>6.3793965821957741</v>
      </c>
      <c r="AI888" s="7">
        <f>G888-0.15-VLOOKUP(Y888,[4]Datos!$A$2:$D$14,3)/100</f>
        <v>2.8309000000000002</v>
      </c>
      <c r="AJ888" s="7">
        <f t="shared" si="279"/>
        <v>8.8936736237329566</v>
      </c>
      <c r="AK888" s="1">
        <v>0.12</v>
      </c>
      <c r="AL888" s="16">
        <f t="shared" si="280"/>
        <v>7.9620853080568724E-3</v>
      </c>
      <c r="AM888" s="7">
        <f t="shared" si="281"/>
        <v>1609.8765610136084</v>
      </c>
      <c r="AN888" s="17">
        <f t="shared" si="282"/>
        <v>0.45720494332786477</v>
      </c>
      <c r="AO888" s="17">
        <f t="shared" si="283"/>
        <v>57.414569239761967</v>
      </c>
      <c r="AP888" s="16">
        <f t="shared" si="284"/>
        <v>7.9632216941067178E-3</v>
      </c>
      <c r="AQ888" s="6" t="str">
        <f t="shared" si="285"/>
        <v>Cumple</v>
      </c>
    </row>
    <row r="889" spans="1:43" x14ac:dyDescent="0.3">
      <c r="A889" s="13"/>
      <c r="B889" s="1">
        <v>4</v>
      </c>
      <c r="C889" s="1">
        <v>574</v>
      </c>
      <c r="D889" s="1">
        <v>1</v>
      </c>
      <c r="E889" s="5">
        <v>1</v>
      </c>
      <c r="F889" s="3">
        <f t="shared" si="286"/>
        <v>4</v>
      </c>
      <c r="G889" s="5">
        <v>3</v>
      </c>
      <c r="H889" s="3">
        <f t="shared" si="259"/>
        <v>7.0685834705770345</v>
      </c>
      <c r="I889" s="4">
        <v>7.0685999999999999E-2</v>
      </c>
      <c r="K889" s="3">
        <v>530.28792677836816</v>
      </c>
      <c r="L889" s="3">
        <v>1778.5299500000001</v>
      </c>
      <c r="M889" s="3">
        <v>3020.3763899999999</v>
      </c>
      <c r="N889" s="12">
        <f t="shared" si="273"/>
        <v>1.0000023384349969E-2</v>
      </c>
      <c r="O889" s="11">
        <f t="shared" si="274"/>
        <v>706.86</v>
      </c>
      <c r="P889" s="1">
        <v>10</v>
      </c>
      <c r="Q889" s="1">
        <v>1</v>
      </c>
      <c r="R889" s="3">
        <f>Q889*VLOOKUP(P889,[4]Datos!$A$2:$D$14,2)</f>
        <v>8.19</v>
      </c>
      <c r="S889" s="10">
        <f t="shared" si="260"/>
        <v>87</v>
      </c>
      <c r="T889" s="2">
        <v>87</v>
      </c>
      <c r="U889" s="3">
        <f t="shared" si="261"/>
        <v>0.1</v>
      </c>
      <c r="V889" s="3"/>
      <c r="W889" s="1">
        <v>280</v>
      </c>
      <c r="X889" s="9">
        <v>2</v>
      </c>
      <c r="Y889" s="1">
        <v>6</v>
      </c>
      <c r="Z889" s="3">
        <f>X889*VLOOKUP(Y889,[4]Datos!$A$2:$D$14,2)</f>
        <v>5.68</v>
      </c>
      <c r="AA889" s="8">
        <v>4.972E-2</v>
      </c>
      <c r="AB889" s="7">
        <f t="shared" si="275"/>
        <v>260.7542389499979</v>
      </c>
      <c r="AC889" s="7">
        <f t="shared" si="262"/>
        <v>944.96320797669352</v>
      </c>
      <c r="AD889" s="6" t="str">
        <f t="shared" si="276"/>
        <v>Cumple</v>
      </c>
      <c r="AE889" s="6"/>
      <c r="AG889" s="7">
        <f t="shared" si="277"/>
        <v>9</v>
      </c>
      <c r="AH889" s="3">
        <f t="shared" si="278"/>
        <v>6.3793965821957741</v>
      </c>
      <c r="AI889" s="7">
        <f>G889-0.15-VLOOKUP(Y889,[4]Datos!$A$2:$D$14,3)/100</f>
        <v>2.8309000000000002</v>
      </c>
      <c r="AJ889" s="7">
        <f t="shared" si="279"/>
        <v>8.8936736237329566</v>
      </c>
      <c r="AK889" s="1">
        <v>0.12</v>
      </c>
      <c r="AL889" s="16">
        <f t="shared" si="280"/>
        <v>7.9620853080568724E-3</v>
      </c>
      <c r="AM889" s="7">
        <f t="shared" si="281"/>
        <v>1609.8765610136084</v>
      </c>
      <c r="AN889" s="17">
        <f t="shared" si="282"/>
        <v>0.45720494332786477</v>
      </c>
      <c r="AO889" s="17">
        <f t="shared" si="283"/>
        <v>57.414569239761967</v>
      </c>
      <c r="AP889" s="16">
        <f t="shared" si="284"/>
        <v>7.9632216941067178E-3</v>
      </c>
      <c r="AQ889" s="6" t="str">
        <f t="shared" si="285"/>
        <v>Cumple</v>
      </c>
    </row>
    <row r="890" spans="1:43" x14ac:dyDescent="0.3">
      <c r="A890" s="13"/>
      <c r="B890" s="1">
        <v>5</v>
      </c>
      <c r="C890" s="1">
        <v>576</v>
      </c>
      <c r="D890" s="1">
        <v>1</v>
      </c>
      <c r="E890" s="5">
        <v>1</v>
      </c>
      <c r="F890" s="3">
        <f t="shared" si="286"/>
        <v>5</v>
      </c>
      <c r="G890" s="5">
        <v>3</v>
      </c>
      <c r="H890" s="3">
        <f t="shared" si="259"/>
        <v>7.0685834705770345</v>
      </c>
      <c r="I890" s="4">
        <v>7.0685999999999999E-2</v>
      </c>
      <c r="K890" s="3">
        <v>481.25945086430249</v>
      </c>
      <c r="L890" s="3">
        <v>1298.0957000000001</v>
      </c>
      <c r="M890" s="3">
        <v>3020.3763899999999</v>
      </c>
      <c r="N890" s="12">
        <f t="shared" si="273"/>
        <v>1.0000023384349969E-2</v>
      </c>
      <c r="O890" s="11">
        <f t="shared" si="274"/>
        <v>706.86</v>
      </c>
      <c r="P890" s="1">
        <v>10</v>
      </c>
      <c r="Q890" s="15">
        <v>1</v>
      </c>
      <c r="R890" s="3">
        <f>Q890*VLOOKUP(P890,[4]Datos!$A$2:$D$14,2)</f>
        <v>8.19</v>
      </c>
      <c r="S890" s="10">
        <f t="shared" si="260"/>
        <v>87</v>
      </c>
      <c r="T890" s="14">
        <v>87</v>
      </c>
      <c r="U890" s="3">
        <f t="shared" si="261"/>
        <v>0.1</v>
      </c>
      <c r="V890" s="3"/>
      <c r="W890" s="1">
        <v>280</v>
      </c>
      <c r="X890" s="9">
        <v>2</v>
      </c>
      <c r="Y890" s="1">
        <v>6</v>
      </c>
      <c r="Z890" s="3">
        <f>X890*VLOOKUP(Y890,[4]Datos!$A$2:$D$14,2)</f>
        <v>5.68</v>
      </c>
      <c r="AA890" s="8">
        <v>4.972E-2</v>
      </c>
      <c r="AB890" s="7">
        <f t="shared" si="275"/>
        <v>260.7542389499979</v>
      </c>
      <c r="AC890" s="7">
        <f t="shared" si="262"/>
        <v>944.96320797669352</v>
      </c>
      <c r="AD890" s="6" t="str">
        <f t="shared" si="276"/>
        <v>Cumple</v>
      </c>
      <c r="AE890" s="6"/>
      <c r="AG890" s="7">
        <f t="shared" si="277"/>
        <v>9</v>
      </c>
      <c r="AH890" s="3">
        <f t="shared" si="278"/>
        <v>6.3793965821957741</v>
      </c>
      <c r="AI890" s="7">
        <f>G890-0.15-VLOOKUP(Y890,[4]Datos!$A$2:$D$14,3)/100</f>
        <v>2.8309000000000002</v>
      </c>
      <c r="AJ890" s="7">
        <f t="shared" si="279"/>
        <v>8.8936736237329566</v>
      </c>
      <c r="AK890" s="1">
        <v>0.12</v>
      </c>
      <c r="AL890" s="16">
        <f t="shared" si="280"/>
        <v>7.9620853080568724E-3</v>
      </c>
      <c r="AM890" s="7">
        <f t="shared" si="281"/>
        <v>1609.8765610136084</v>
      </c>
      <c r="AN890" s="17">
        <f t="shared" si="282"/>
        <v>0.45720494332786477</v>
      </c>
      <c r="AO890" s="17">
        <f t="shared" si="283"/>
        <v>57.414569239761967</v>
      </c>
      <c r="AP890" s="16">
        <f t="shared" si="284"/>
        <v>7.9632216941067178E-3</v>
      </c>
      <c r="AQ890" s="6" t="str">
        <f t="shared" si="285"/>
        <v>Cumple</v>
      </c>
    </row>
    <row r="891" spans="1:43" x14ac:dyDescent="0.3">
      <c r="A891" s="13"/>
      <c r="B891" s="1">
        <v>6</v>
      </c>
      <c r="C891" s="1">
        <v>578</v>
      </c>
      <c r="D891" s="1">
        <v>1</v>
      </c>
      <c r="E891" s="5">
        <v>1</v>
      </c>
      <c r="F891" s="3">
        <f t="shared" si="286"/>
        <v>6</v>
      </c>
      <c r="G891" s="5">
        <v>3</v>
      </c>
      <c r="H891" s="3">
        <f t="shared" si="259"/>
        <v>7.0685834705770345</v>
      </c>
      <c r="I891" s="4">
        <v>7.0685999999999999E-2</v>
      </c>
      <c r="K891" s="3">
        <v>428.14474673914896</v>
      </c>
      <c r="L891" s="3">
        <v>884.33847000000003</v>
      </c>
      <c r="M891" s="3">
        <v>3005.2261400000002</v>
      </c>
      <c r="N891" s="12">
        <f t="shared" si="273"/>
        <v>1.0000023384349969E-2</v>
      </c>
      <c r="O891" s="11">
        <f t="shared" si="274"/>
        <v>706.86</v>
      </c>
      <c r="P891" s="1">
        <v>10</v>
      </c>
      <c r="Q891" s="15">
        <v>1</v>
      </c>
      <c r="R891" s="3">
        <f>Q891*VLOOKUP(P891,[4]Datos!$A$2:$D$14,2)</f>
        <v>8.19</v>
      </c>
      <c r="S891" s="10">
        <f t="shared" si="260"/>
        <v>87</v>
      </c>
      <c r="T891" s="14">
        <v>87</v>
      </c>
      <c r="U891" s="3">
        <f t="shared" si="261"/>
        <v>0.1</v>
      </c>
      <c r="V891" s="3"/>
      <c r="W891" s="1">
        <v>280</v>
      </c>
      <c r="X891" s="9">
        <v>2</v>
      </c>
      <c r="Y891" s="1">
        <v>6</v>
      </c>
      <c r="Z891" s="3">
        <f>X891*VLOOKUP(Y891,[4]Datos!$A$2:$D$14,2)</f>
        <v>5.68</v>
      </c>
      <c r="AA891" s="8">
        <v>4.972E-2</v>
      </c>
      <c r="AB891" s="7">
        <f t="shared" si="275"/>
        <v>260.7542389499979</v>
      </c>
      <c r="AC891" s="7">
        <f t="shared" si="262"/>
        <v>944.96320797669352</v>
      </c>
      <c r="AD891" s="6" t="str">
        <f t="shared" si="276"/>
        <v>Cumple</v>
      </c>
      <c r="AE891" s="6"/>
      <c r="AG891" s="7">
        <f t="shared" si="277"/>
        <v>9</v>
      </c>
      <c r="AH891" s="3">
        <f t="shared" si="278"/>
        <v>6.3793965821957741</v>
      </c>
      <c r="AI891" s="7">
        <f>G891-0.15-VLOOKUP(Y891,[4]Datos!$A$2:$D$14,3)/100</f>
        <v>2.8309000000000002</v>
      </c>
      <c r="AJ891" s="7">
        <f t="shared" si="279"/>
        <v>8.8936736237329566</v>
      </c>
      <c r="AK891" s="1">
        <v>0.12</v>
      </c>
      <c r="AL891" s="16">
        <f t="shared" si="280"/>
        <v>7.9620853080568724E-3</v>
      </c>
      <c r="AM891" s="7">
        <f t="shared" si="281"/>
        <v>1609.8765610136084</v>
      </c>
      <c r="AN891" s="17">
        <f t="shared" si="282"/>
        <v>0.45720494332786477</v>
      </c>
      <c r="AO891" s="17">
        <f t="shared" si="283"/>
        <v>57.414569239761967</v>
      </c>
      <c r="AP891" s="16">
        <f t="shared" si="284"/>
        <v>7.9632216941067178E-3</v>
      </c>
      <c r="AQ891" s="6" t="str">
        <f t="shared" si="285"/>
        <v>Cumple</v>
      </c>
    </row>
    <row r="892" spans="1:43" x14ac:dyDescent="0.3">
      <c r="A892" s="13"/>
      <c r="B892" s="1">
        <v>7</v>
      </c>
      <c r="C892" s="1">
        <v>580</v>
      </c>
      <c r="D892" s="1">
        <v>1</v>
      </c>
      <c r="E892" s="5">
        <v>1</v>
      </c>
      <c r="F892" s="3">
        <f t="shared" si="286"/>
        <v>7</v>
      </c>
      <c r="G892" s="5">
        <v>3</v>
      </c>
      <c r="H892" s="3">
        <f t="shared" si="259"/>
        <v>7.0685834705770345</v>
      </c>
      <c r="I892" s="4">
        <v>7.0685999999999999E-2</v>
      </c>
      <c r="K892" s="3">
        <v>372.39245535348857</v>
      </c>
      <c r="L892" s="3">
        <v>651.94551000000001</v>
      </c>
      <c r="M892" s="3">
        <v>2949.6522799999998</v>
      </c>
      <c r="N892" s="12">
        <f t="shared" si="273"/>
        <v>1.0000023384349969E-2</v>
      </c>
      <c r="O892" s="11">
        <f t="shared" si="274"/>
        <v>706.86</v>
      </c>
      <c r="P892" s="1">
        <v>10</v>
      </c>
      <c r="Q892" s="15">
        <v>1</v>
      </c>
      <c r="R892" s="3">
        <f>Q892*VLOOKUP(P892,[4]Datos!$A$2:$D$14,2)</f>
        <v>8.19</v>
      </c>
      <c r="S892" s="10">
        <f t="shared" si="260"/>
        <v>87</v>
      </c>
      <c r="T892" s="14">
        <v>87</v>
      </c>
      <c r="U892" s="3">
        <f t="shared" si="261"/>
        <v>0.1</v>
      </c>
      <c r="V892" s="3"/>
      <c r="W892" s="1">
        <v>280</v>
      </c>
      <c r="X892" s="9">
        <v>2</v>
      </c>
      <c r="Y892" s="1">
        <v>6</v>
      </c>
      <c r="Z892" s="3">
        <f>X892*VLOOKUP(Y892,[4]Datos!$A$2:$D$14,2)</f>
        <v>5.68</v>
      </c>
      <c r="AA892" s="8">
        <v>4.972E-2</v>
      </c>
      <c r="AB892" s="7">
        <f t="shared" si="275"/>
        <v>260.7542389499979</v>
      </c>
      <c r="AC892" s="7">
        <f t="shared" si="262"/>
        <v>944.96320797669352</v>
      </c>
      <c r="AD892" s="6" t="str">
        <f t="shared" si="276"/>
        <v>Cumple</v>
      </c>
      <c r="AE892" s="6"/>
      <c r="AG892" s="7">
        <f t="shared" si="277"/>
        <v>9</v>
      </c>
      <c r="AH892" s="3">
        <f t="shared" si="278"/>
        <v>6.3793965821957741</v>
      </c>
      <c r="AI892" s="7">
        <f>G892-0.15-VLOOKUP(Y892,[4]Datos!$A$2:$D$14,3)/100</f>
        <v>2.8309000000000002</v>
      </c>
      <c r="AJ892" s="7">
        <f t="shared" si="279"/>
        <v>8.8936736237329566</v>
      </c>
      <c r="AK892" s="1">
        <v>0.12</v>
      </c>
      <c r="AL892" s="16">
        <f t="shared" si="280"/>
        <v>7.9620853080568724E-3</v>
      </c>
      <c r="AM892" s="7">
        <f t="shared" si="281"/>
        <v>1609.8765610136084</v>
      </c>
      <c r="AN892" s="17">
        <f t="shared" si="282"/>
        <v>0.45720494332786477</v>
      </c>
      <c r="AO892" s="17">
        <f t="shared" si="283"/>
        <v>57.414569239761967</v>
      </c>
      <c r="AP892" s="16">
        <f t="shared" si="284"/>
        <v>7.9632216941067178E-3</v>
      </c>
      <c r="AQ892" s="6" t="str">
        <f t="shared" si="285"/>
        <v>Cumple</v>
      </c>
    </row>
    <row r="893" spans="1:43" x14ac:dyDescent="0.3">
      <c r="A893" s="13"/>
      <c r="B893" s="1">
        <v>8</v>
      </c>
      <c r="C893" s="1">
        <v>582</v>
      </c>
      <c r="D893" s="1">
        <v>1</v>
      </c>
      <c r="E893" s="5">
        <v>1</v>
      </c>
      <c r="F893" s="3">
        <f t="shared" si="286"/>
        <v>8</v>
      </c>
      <c r="G893" s="5">
        <v>3</v>
      </c>
      <c r="H893" s="3">
        <f t="shared" si="259"/>
        <v>7.0685834705770345</v>
      </c>
      <c r="I893" s="4">
        <v>7.0685999999999999E-2</v>
      </c>
      <c r="K893" s="3">
        <v>315.95441213385516</v>
      </c>
      <c r="L893" s="3">
        <v>731.19678999999996</v>
      </c>
      <c r="M893" s="3">
        <v>2852.5297599999999</v>
      </c>
      <c r="N893" s="12">
        <f t="shared" si="273"/>
        <v>1.0000023384349969E-2</v>
      </c>
      <c r="O893" s="11">
        <f t="shared" si="274"/>
        <v>706.86</v>
      </c>
      <c r="P893" s="1">
        <v>10</v>
      </c>
      <c r="Q893" s="1">
        <v>1</v>
      </c>
      <c r="R893" s="3">
        <f>Q893*VLOOKUP(P893,[4]Datos!$A$2:$D$14,2)</f>
        <v>8.19</v>
      </c>
      <c r="S893" s="10">
        <f t="shared" si="260"/>
        <v>87</v>
      </c>
      <c r="T893" s="2">
        <v>87</v>
      </c>
      <c r="U893" s="3">
        <f t="shared" si="261"/>
        <v>0.1</v>
      </c>
      <c r="V893" s="3"/>
      <c r="W893" s="1">
        <v>280</v>
      </c>
      <c r="X893" s="9">
        <v>2</v>
      </c>
      <c r="Y893" s="1">
        <v>6</v>
      </c>
      <c r="Z893" s="3">
        <f>X893*VLOOKUP(Y893,[4]Datos!$A$2:$D$14,2)</f>
        <v>5.68</v>
      </c>
      <c r="AA893" s="8">
        <v>4.972E-2</v>
      </c>
      <c r="AB893" s="7">
        <f t="shared" si="275"/>
        <v>260.7542389499979</v>
      </c>
      <c r="AC893" s="7">
        <f t="shared" si="262"/>
        <v>944.96320797669352</v>
      </c>
      <c r="AD893" s="6" t="str">
        <f t="shared" si="276"/>
        <v>Cumple</v>
      </c>
      <c r="AE893" s="6"/>
      <c r="AG893" s="7">
        <f t="shared" si="277"/>
        <v>9</v>
      </c>
      <c r="AH893" s="3">
        <f t="shared" si="278"/>
        <v>6.3793965821957741</v>
      </c>
      <c r="AI893" s="7">
        <f>G893-0.15-VLOOKUP(Y893,[4]Datos!$A$2:$D$14,3)/100</f>
        <v>2.8309000000000002</v>
      </c>
      <c r="AJ893" s="7">
        <f t="shared" si="279"/>
        <v>8.8936736237329566</v>
      </c>
      <c r="AK893" s="1">
        <v>0.12</v>
      </c>
      <c r="AL893" s="16">
        <f t="shared" si="280"/>
        <v>7.9620853080568724E-3</v>
      </c>
      <c r="AM893" s="7">
        <f t="shared" si="281"/>
        <v>1609.8765610136084</v>
      </c>
      <c r="AN893" s="17">
        <f t="shared" si="282"/>
        <v>0.45720494332786477</v>
      </c>
      <c r="AO893" s="17">
        <f t="shared" si="283"/>
        <v>57.414569239761967</v>
      </c>
      <c r="AP893" s="16">
        <f t="shared" si="284"/>
        <v>7.9632216941067178E-3</v>
      </c>
      <c r="AQ893" s="6" t="str">
        <f t="shared" si="285"/>
        <v>Cumple</v>
      </c>
    </row>
    <row r="894" spans="1:43" x14ac:dyDescent="0.3">
      <c r="A894" s="13"/>
      <c r="B894" s="1">
        <v>9</v>
      </c>
      <c r="C894" s="1">
        <v>584</v>
      </c>
      <c r="D894" s="1">
        <v>1</v>
      </c>
      <c r="E894" s="5">
        <v>1</v>
      </c>
      <c r="F894" s="3">
        <f t="shared" si="286"/>
        <v>9</v>
      </c>
      <c r="G894" s="5">
        <v>3</v>
      </c>
      <c r="H894" s="3">
        <f t="shared" si="259"/>
        <v>7.0685834705770345</v>
      </c>
      <c r="I894" s="4">
        <v>7.0685999999999999E-2</v>
      </c>
      <c r="K894" s="3">
        <v>261.33510809303829</v>
      </c>
      <c r="L894" s="3">
        <v>798.30543</v>
      </c>
      <c r="M894" s="3">
        <v>2715.4509200000002</v>
      </c>
      <c r="N894" s="12">
        <f t="shared" si="273"/>
        <v>1.0000023384349969E-2</v>
      </c>
      <c r="O894" s="11">
        <f t="shared" si="274"/>
        <v>706.86</v>
      </c>
      <c r="P894" s="1">
        <v>10</v>
      </c>
      <c r="Q894" s="1">
        <v>1</v>
      </c>
      <c r="R894" s="3">
        <f>Q894*VLOOKUP(P894,[4]Datos!$A$2:$D$14,2)</f>
        <v>8.19</v>
      </c>
      <c r="S894" s="10">
        <f t="shared" si="260"/>
        <v>87</v>
      </c>
      <c r="T894" s="2">
        <v>87</v>
      </c>
      <c r="U894" s="3">
        <f t="shared" si="261"/>
        <v>0.1</v>
      </c>
      <c r="V894" s="3"/>
      <c r="W894" s="1">
        <v>280</v>
      </c>
      <c r="X894" s="9">
        <v>2</v>
      </c>
      <c r="Y894" s="1">
        <v>6</v>
      </c>
      <c r="Z894" s="3">
        <f>X894*VLOOKUP(Y894,[4]Datos!$A$2:$D$14,2)</f>
        <v>5.68</v>
      </c>
      <c r="AA894" s="8">
        <v>4.972E-2</v>
      </c>
      <c r="AB894" s="7">
        <f t="shared" si="275"/>
        <v>260.7542389499979</v>
      </c>
      <c r="AC894" s="7">
        <f t="shared" si="262"/>
        <v>944.96320797669352</v>
      </c>
      <c r="AD894" s="6" t="str">
        <f t="shared" si="276"/>
        <v>Cumple</v>
      </c>
      <c r="AE894" s="6"/>
      <c r="AG894" s="7">
        <f t="shared" si="277"/>
        <v>9</v>
      </c>
      <c r="AH894" s="3">
        <f t="shared" si="278"/>
        <v>6.3793965821957741</v>
      </c>
      <c r="AI894" s="7">
        <f>G894-0.15-VLOOKUP(Y894,[4]Datos!$A$2:$D$14,3)/100</f>
        <v>2.8309000000000002</v>
      </c>
      <c r="AJ894" s="7">
        <f t="shared" si="279"/>
        <v>8.8936736237329566</v>
      </c>
      <c r="AK894" s="1">
        <v>0.12</v>
      </c>
      <c r="AL894" s="16">
        <f t="shared" si="280"/>
        <v>7.9620853080568724E-3</v>
      </c>
      <c r="AM894" s="7">
        <f t="shared" si="281"/>
        <v>1609.8765610136084</v>
      </c>
      <c r="AN894" s="17">
        <f t="shared" si="282"/>
        <v>0.45720494332786477</v>
      </c>
      <c r="AO894" s="17">
        <f t="shared" si="283"/>
        <v>57.414569239761967</v>
      </c>
      <c r="AP894" s="16">
        <f t="shared" si="284"/>
        <v>7.9632216941067178E-3</v>
      </c>
      <c r="AQ894" s="6" t="str">
        <f t="shared" si="285"/>
        <v>Cumple</v>
      </c>
    </row>
    <row r="895" spans="1:43" x14ac:dyDescent="0.3">
      <c r="A895" s="13"/>
      <c r="B895" s="1">
        <v>10</v>
      </c>
      <c r="C895" s="1">
        <v>586</v>
      </c>
      <c r="D895" s="1">
        <v>1</v>
      </c>
      <c r="E895" s="5">
        <v>1</v>
      </c>
      <c r="F895" s="3">
        <f t="shared" si="286"/>
        <v>10</v>
      </c>
      <c r="G895" s="5">
        <v>3</v>
      </c>
      <c r="H895" s="3">
        <f t="shared" si="259"/>
        <v>7.0685834705770345</v>
      </c>
      <c r="I895" s="4">
        <v>7.0685999999999999E-2</v>
      </c>
      <c r="K895" s="3">
        <v>255.780670075692</v>
      </c>
      <c r="L895" s="3">
        <v>840.47586999999999</v>
      </c>
      <c r="M895" s="3">
        <v>2543.3815399999999</v>
      </c>
      <c r="N895" s="12">
        <f t="shared" si="273"/>
        <v>1.0000023384349969E-2</v>
      </c>
      <c r="O895" s="11">
        <f t="shared" si="274"/>
        <v>706.86</v>
      </c>
      <c r="P895" s="1">
        <v>10</v>
      </c>
      <c r="Q895" s="1">
        <v>1</v>
      </c>
      <c r="R895" s="3">
        <f>Q895*VLOOKUP(P895,[4]Datos!$A$2:$D$14,2)</f>
        <v>8.19</v>
      </c>
      <c r="S895" s="10">
        <f t="shared" si="260"/>
        <v>87</v>
      </c>
      <c r="T895" s="2">
        <v>87</v>
      </c>
      <c r="U895" s="3">
        <f t="shared" si="261"/>
        <v>0.1</v>
      </c>
      <c r="V895" s="3"/>
      <c r="W895" s="1">
        <v>280</v>
      </c>
      <c r="X895" s="9">
        <v>2</v>
      </c>
      <c r="Y895" s="1">
        <v>4</v>
      </c>
      <c r="Z895" s="3">
        <f>X895*VLOOKUP(Y895,[4]Datos!$A$2:$D$14,2)</f>
        <v>2.58</v>
      </c>
      <c r="AA895" s="8">
        <v>0.3</v>
      </c>
      <c r="AB895" s="7">
        <f t="shared" si="275"/>
        <v>260.7542389499979</v>
      </c>
      <c r="AC895" s="7">
        <f t="shared" si="262"/>
        <v>71.137096483304632</v>
      </c>
      <c r="AD895" s="6" t="str">
        <f t="shared" si="276"/>
        <v>Cumple</v>
      </c>
      <c r="AE895" s="6"/>
      <c r="AH895" s="3"/>
    </row>
    <row r="896" spans="1:43" x14ac:dyDescent="0.3">
      <c r="A896" s="13"/>
      <c r="B896" s="1">
        <v>11</v>
      </c>
      <c r="C896" s="1">
        <v>588</v>
      </c>
      <c r="D896" s="1">
        <v>1</v>
      </c>
      <c r="E896" s="5">
        <v>1</v>
      </c>
      <c r="F896" s="3">
        <f t="shared" si="286"/>
        <v>11</v>
      </c>
      <c r="G896" s="5">
        <v>3</v>
      </c>
      <c r="H896" s="3">
        <f t="shared" si="259"/>
        <v>7.0685834705770345</v>
      </c>
      <c r="I896" s="4">
        <v>7.0685999999999999E-2</v>
      </c>
      <c r="K896" s="3">
        <v>255.06091270292669</v>
      </c>
      <c r="L896" s="3">
        <v>856.44124999999997</v>
      </c>
      <c r="M896" s="3">
        <v>2343.3297299999999</v>
      </c>
      <c r="N896" s="12">
        <f t="shared" si="273"/>
        <v>1.0000023384349969E-2</v>
      </c>
      <c r="O896" s="11">
        <f t="shared" si="274"/>
        <v>706.86</v>
      </c>
      <c r="P896" s="1">
        <v>10</v>
      </c>
      <c r="Q896" s="1">
        <v>1</v>
      </c>
      <c r="R896" s="3">
        <f>Q896*VLOOKUP(P896,[4]Datos!$A$2:$D$14,2)</f>
        <v>8.19</v>
      </c>
      <c r="S896" s="10">
        <f t="shared" si="260"/>
        <v>87</v>
      </c>
      <c r="T896" s="2">
        <v>87</v>
      </c>
      <c r="U896" s="3">
        <f t="shared" si="261"/>
        <v>0.1</v>
      </c>
      <c r="V896" s="3"/>
      <c r="W896" s="1">
        <v>280</v>
      </c>
      <c r="X896" s="9">
        <v>2</v>
      </c>
      <c r="Y896" s="1">
        <v>4</v>
      </c>
      <c r="Z896" s="3">
        <f>X896*VLOOKUP(Y896,[4]Datos!$A$2:$D$14,2)</f>
        <v>2.58</v>
      </c>
      <c r="AA896" s="8">
        <v>0.3</v>
      </c>
      <c r="AB896" s="7">
        <f t="shared" si="275"/>
        <v>260.7542389499979</v>
      </c>
      <c r="AC896" s="7">
        <f t="shared" si="262"/>
        <v>71.137096483304632</v>
      </c>
      <c r="AD896" s="6" t="str">
        <f t="shared" si="276"/>
        <v>Cumple</v>
      </c>
      <c r="AE896" s="6"/>
      <c r="AH896" s="3"/>
    </row>
    <row r="897" spans="1:34" x14ac:dyDescent="0.3">
      <c r="A897" s="13"/>
      <c r="B897" s="1">
        <v>12</v>
      </c>
      <c r="C897" s="1">
        <v>590</v>
      </c>
      <c r="D897" s="1">
        <v>1</v>
      </c>
      <c r="E897" s="5">
        <v>1</v>
      </c>
      <c r="F897" s="3">
        <f t="shared" si="286"/>
        <v>12</v>
      </c>
      <c r="G897" s="5">
        <v>3</v>
      </c>
      <c r="H897" s="3">
        <f t="shared" si="259"/>
        <v>7.0685834705770345</v>
      </c>
      <c r="I897" s="4">
        <v>7.0685999999999999E-2</v>
      </c>
      <c r="K897" s="3">
        <v>253.72102469937332</v>
      </c>
      <c r="L897" s="3">
        <v>904.53565000000003</v>
      </c>
      <c r="M897" s="3">
        <v>2123.21659</v>
      </c>
      <c r="N897" s="12">
        <f t="shared" si="273"/>
        <v>1.0000023384349969E-2</v>
      </c>
      <c r="O897" s="11">
        <f t="shared" si="274"/>
        <v>706.86</v>
      </c>
      <c r="P897" s="1">
        <v>10</v>
      </c>
      <c r="Q897" s="1">
        <v>1</v>
      </c>
      <c r="R897" s="3">
        <f>Q897*VLOOKUP(P897,[4]Datos!$A$2:$D$14,2)</f>
        <v>8.19</v>
      </c>
      <c r="S897" s="10">
        <f t="shared" si="260"/>
        <v>87</v>
      </c>
      <c r="T897" s="2">
        <v>87</v>
      </c>
      <c r="U897" s="3">
        <f t="shared" si="261"/>
        <v>0.1</v>
      </c>
      <c r="V897" s="3"/>
      <c r="W897" s="1">
        <v>280</v>
      </c>
      <c r="X897" s="9">
        <v>2</v>
      </c>
      <c r="Y897" s="1">
        <v>4</v>
      </c>
      <c r="Z897" s="3">
        <f>X897*VLOOKUP(Y897,[4]Datos!$A$2:$D$14,2)</f>
        <v>2.58</v>
      </c>
      <c r="AA897" s="8">
        <v>0.3</v>
      </c>
      <c r="AB897" s="7">
        <f t="shared" si="275"/>
        <v>260.7542389499979</v>
      </c>
      <c r="AC897" s="7">
        <f t="shared" si="262"/>
        <v>71.137096483304632</v>
      </c>
      <c r="AD897" s="6" t="str">
        <f t="shared" si="276"/>
        <v>Cumple</v>
      </c>
      <c r="AE897" s="6"/>
      <c r="AH897" s="3"/>
    </row>
    <row r="898" spans="1:34" x14ac:dyDescent="0.3">
      <c r="A898" s="13"/>
      <c r="B898" s="1">
        <v>13</v>
      </c>
      <c r="C898" s="1">
        <v>592</v>
      </c>
      <c r="D898" s="1">
        <v>1</v>
      </c>
      <c r="E898" s="5">
        <v>1</v>
      </c>
      <c r="F898" s="3">
        <f t="shared" si="286"/>
        <v>13</v>
      </c>
      <c r="G898" s="5">
        <v>3</v>
      </c>
      <c r="H898" s="3">
        <f t="shared" si="259"/>
        <v>7.0685834705770345</v>
      </c>
      <c r="I898" s="4">
        <v>7.0685999999999999E-2</v>
      </c>
      <c r="K898" s="3">
        <v>250.21482875309371</v>
      </c>
      <c r="L898" s="3">
        <v>936.72886000000005</v>
      </c>
      <c r="M898" s="3">
        <v>1891.17382</v>
      </c>
      <c r="N898" s="12">
        <f t="shared" si="273"/>
        <v>1.0000023384349969E-2</v>
      </c>
      <c r="O898" s="11">
        <f t="shared" si="274"/>
        <v>706.86</v>
      </c>
      <c r="P898" s="1">
        <v>10</v>
      </c>
      <c r="Q898" s="1">
        <v>1</v>
      </c>
      <c r="R898" s="3">
        <f>Q898*VLOOKUP(P898,[4]Datos!$A$2:$D$14,2)</f>
        <v>8.19</v>
      </c>
      <c r="S898" s="10">
        <f t="shared" si="260"/>
        <v>87</v>
      </c>
      <c r="T898" s="2">
        <v>87</v>
      </c>
      <c r="U898" s="3">
        <f t="shared" si="261"/>
        <v>0.1</v>
      </c>
      <c r="V898" s="3"/>
      <c r="W898" s="1">
        <v>280</v>
      </c>
      <c r="X898" s="9">
        <v>2</v>
      </c>
      <c r="Y898" s="1">
        <v>4</v>
      </c>
      <c r="Z898" s="3">
        <f>X898*VLOOKUP(Y898,[4]Datos!$A$2:$D$14,2)</f>
        <v>2.58</v>
      </c>
      <c r="AA898" s="8">
        <v>0.3</v>
      </c>
      <c r="AB898" s="7">
        <f t="shared" si="275"/>
        <v>260.7542389499979</v>
      </c>
      <c r="AC898" s="7">
        <f t="shared" si="262"/>
        <v>71.137096483304632</v>
      </c>
      <c r="AD898" s="6" t="str">
        <f t="shared" si="276"/>
        <v>Cumple</v>
      </c>
      <c r="AE898" s="6"/>
      <c r="AH898" s="3"/>
    </row>
    <row r="899" spans="1:34" x14ac:dyDescent="0.3">
      <c r="A899" s="13"/>
      <c r="B899" s="1">
        <v>14</v>
      </c>
      <c r="C899" s="1">
        <v>594</v>
      </c>
      <c r="D899" s="1">
        <v>1</v>
      </c>
      <c r="E899" s="5">
        <v>1</v>
      </c>
      <c r="F899" s="3">
        <f t="shared" si="286"/>
        <v>14</v>
      </c>
      <c r="G899" s="5">
        <v>3</v>
      </c>
      <c r="H899" s="3">
        <f t="shared" si="259"/>
        <v>7.0685834705770345</v>
      </c>
      <c r="I899" s="4">
        <v>7.0685999999999999E-2</v>
      </c>
      <c r="K899" s="3">
        <v>243.78837781208929</v>
      </c>
      <c r="L899" s="3">
        <v>936.72886000000005</v>
      </c>
      <c r="M899" s="3">
        <v>1655.0189800000001</v>
      </c>
      <c r="N899" s="12">
        <f t="shared" si="273"/>
        <v>1.0000023384349969E-2</v>
      </c>
      <c r="O899" s="11">
        <f t="shared" si="274"/>
        <v>706.86</v>
      </c>
      <c r="P899" s="1">
        <v>10</v>
      </c>
      <c r="Q899" s="15">
        <v>1</v>
      </c>
      <c r="R899" s="3">
        <f>Q899*VLOOKUP(P899,[4]Datos!$A$2:$D$14,2)</f>
        <v>8.19</v>
      </c>
      <c r="S899" s="10">
        <f t="shared" si="260"/>
        <v>87</v>
      </c>
      <c r="T899" s="14">
        <v>87</v>
      </c>
      <c r="U899" s="3">
        <f t="shared" si="261"/>
        <v>0.1</v>
      </c>
      <c r="V899" s="3"/>
      <c r="W899" s="1">
        <v>280</v>
      </c>
      <c r="X899" s="9">
        <v>2</v>
      </c>
      <c r="Y899" s="1">
        <v>4</v>
      </c>
      <c r="Z899" s="3">
        <f>X899*VLOOKUP(Y899,[4]Datos!$A$2:$D$14,2)</f>
        <v>2.58</v>
      </c>
      <c r="AA899" s="8">
        <v>0.3</v>
      </c>
      <c r="AB899" s="7">
        <f t="shared" si="275"/>
        <v>260.7542389499979</v>
      </c>
      <c r="AC899" s="7">
        <f t="shared" si="262"/>
        <v>71.137096483304632</v>
      </c>
      <c r="AD899" s="6" t="str">
        <f t="shared" si="276"/>
        <v>Cumple</v>
      </c>
      <c r="AE899" s="6"/>
      <c r="AH899" s="3"/>
    </row>
    <row r="900" spans="1:34" x14ac:dyDescent="0.3">
      <c r="A900" s="13"/>
      <c r="B900" s="1">
        <v>15</v>
      </c>
      <c r="C900" s="1">
        <v>596</v>
      </c>
      <c r="D900" s="1">
        <v>1</v>
      </c>
      <c r="E900" s="5">
        <v>1</v>
      </c>
      <c r="F900" s="3">
        <f t="shared" si="286"/>
        <v>15</v>
      </c>
      <c r="G900" s="5">
        <v>3</v>
      </c>
      <c r="H900" s="3">
        <f t="shared" si="259"/>
        <v>7.0685834705770345</v>
      </c>
      <c r="I900" s="4">
        <v>7.0685999999999999E-2</v>
      </c>
      <c r="K900" s="3">
        <v>232.78991571382554</v>
      </c>
      <c r="L900" s="3">
        <v>934.66783999999996</v>
      </c>
      <c r="M900" s="3">
        <v>1421.8777700000001</v>
      </c>
      <c r="N900" s="12">
        <f t="shared" si="273"/>
        <v>1.0000023384349969E-2</v>
      </c>
      <c r="O900" s="11">
        <f t="shared" si="274"/>
        <v>706.86</v>
      </c>
      <c r="P900" s="1">
        <v>10</v>
      </c>
      <c r="Q900" s="15">
        <v>1</v>
      </c>
      <c r="R900" s="3">
        <f>Q900*VLOOKUP(P900,[4]Datos!$A$2:$D$14,2)</f>
        <v>8.19</v>
      </c>
      <c r="S900" s="10">
        <f t="shared" si="260"/>
        <v>87</v>
      </c>
      <c r="T900" s="14">
        <v>87</v>
      </c>
      <c r="U900" s="3">
        <f t="shared" si="261"/>
        <v>0.1</v>
      </c>
      <c r="V900" s="3"/>
      <c r="W900" s="1">
        <v>280</v>
      </c>
      <c r="X900" s="9">
        <v>2</v>
      </c>
      <c r="Y900" s="1">
        <v>4</v>
      </c>
      <c r="Z900" s="3">
        <f>X900*VLOOKUP(Y900,[4]Datos!$A$2:$D$14,2)</f>
        <v>2.58</v>
      </c>
      <c r="AA900" s="8">
        <v>0.3</v>
      </c>
      <c r="AB900" s="7">
        <f t="shared" si="275"/>
        <v>260.7542389499979</v>
      </c>
      <c r="AC900" s="7">
        <f t="shared" si="262"/>
        <v>71.137096483304632</v>
      </c>
      <c r="AD900" s="6" t="str">
        <f t="shared" si="276"/>
        <v>Cumple</v>
      </c>
      <c r="AE900" s="6"/>
      <c r="AH900" s="3"/>
    </row>
    <row r="901" spans="1:34" x14ac:dyDescent="0.3">
      <c r="A901" s="13"/>
      <c r="B901" s="1">
        <v>16</v>
      </c>
      <c r="C901" s="1">
        <v>598</v>
      </c>
      <c r="D901" s="1">
        <v>1</v>
      </c>
      <c r="E901" s="5">
        <v>1</v>
      </c>
      <c r="F901" s="3">
        <f t="shared" si="286"/>
        <v>16</v>
      </c>
      <c r="G901" s="5">
        <v>3</v>
      </c>
      <c r="H901" s="3">
        <f t="shared" si="259"/>
        <v>7.0685834705770345</v>
      </c>
      <c r="I901" s="4">
        <v>7.0685999999999999E-2</v>
      </c>
      <c r="K901" s="3">
        <v>217.40448739738562</v>
      </c>
      <c r="L901" s="3">
        <v>904.26176999999996</v>
      </c>
      <c r="M901" s="3">
        <v>1197.9303399999999</v>
      </c>
      <c r="N901" s="12">
        <f t="shared" si="273"/>
        <v>1.0000023384349969E-2</v>
      </c>
      <c r="O901" s="11">
        <f t="shared" si="274"/>
        <v>706.86</v>
      </c>
      <c r="P901" s="1">
        <v>10</v>
      </c>
      <c r="Q901" s="15">
        <v>1</v>
      </c>
      <c r="R901" s="3">
        <f>Q901*VLOOKUP(P901,[4]Datos!$A$2:$D$14,2)</f>
        <v>8.19</v>
      </c>
      <c r="S901" s="10">
        <f t="shared" si="260"/>
        <v>87</v>
      </c>
      <c r="T901" s="14">
        <v>87</v>
      </c>
      <c r="U901" s="3">
        <f t="shared" si="261"/>
        <v>0.1</v>
      </c>
      <c r="V901" s="3"/>
      <c r="W901" s="1">
        <v>280</v>
      </c>
      <c r="X901" s="9">
        <v>2</v>
      </c>
      <c r="Y901" s="1">
        <v>4</v>
      </c>
      <c r="Z901" s="3">
        <f>X901*VLOOKUP(Y901,[4]Datos!$A$2:$D$14,2)</f>
        <v>2.58</v>
      </c>
      <c r="AA901" s="8">
        <v>0.3</v>
      </c>
      <c r="AB901" s="7">
        <f t="shared" si="275"/>
        <v>260.7542389499979</v>
      </c>
      <c r="AC901" s="7">
        <f t="shared" si="262"/>
        <v>71.137096483304632</v>
      </c>
      <c r="AD901" s="6" t="str">
        <f t="shared" si="276"/>
        <v>Cumple</v>
      </c>
      <c r="AE901" s="6"/>
      <c r="AH901" s="3"/>
    </row>
    <row r="902" spans="1:34" x14ac:dyDescent="0.3">
      <c r="A902" s="13"/>
      <c r="B902" s="1">
        <v>17</v>
      </c>
      <c r="C902" s="1">
        <v>600</v>
      </c>
      <c r="D902" s="1">
        <v>1</v>
      </c>
      <c r="E902" s="5">
        <v>1</v>
      </c>
      <c r="F902" s="3">
        <f t="shared" si="286"/>
        <v>17</v>
      </c>
      <c r="G902" s="5">
        <v>3</v>
      </c>
      <c r="H902" s="3">
        <f t="shared" si="259"/>
        <v>7.0685834705770345</v>
      </c>
      <c r="I902" s="4">
        <v>7.0685999999999999E-2</v>
      </c>
      <c r="K902" s="3">
        <v>198.50535137799184</v>
      </c>
      <c r="L902" s="3">
        <v>851.51873999999998</v>
      </c>
      <c r="M902" s="3">
        <v>988.26306999999997</v>
      </c>
      <c r="N902" s="12">
        <f t="shared" si="273"/>
        <v>1.0000023384349969E-2</v>
      </c>
      <c r="O902" s="11">
        <f t="shared" si="274"/>
        <v>706.86</v>
      </c>
      <c r="P902" s="1">
        <v>10</v>
      </c>
      <c r="Q902" s="1">
        <v>1</v>
      </c>
      <c r="R902" s="3">
        <f>Q902*VLOOKUP(P902,[4]Datos!$A$2:$D$14,2)</f>
        <v>8.19</v>
      </c>
      <c r="S902" s="10">
        <f t="shared" si="260"/>
        <v>87</v>
      </c>
      <c r="T902" s="2">
        <v>87</v>
      </c>
      <c r="U902" s="3">
        <f t="shared" si="261"/>
        <v>0.1</v>
      </c>
      <c r="V902" s="3"/>
      <c r="W902" s="1">
        <v>280</v>
      </c>
      <c r="X902" s="9">
        <v>2</v>
      </c>
      <c r="Y902" s="1">
        <v>4</v>
      </c>
      <c r="Z902" s="3">
        <f>X902*VLOOKUP(Y902,[4]Datos!$A$2:$D$14,2)</f>
        <v>2.58</v>
      </c>
      <c r="AA902" s="8">
        <v>0.3</v>
      </c>
      <c r="AB902" s="7">
        <f t="shared" si="275"/>
        <v>260.7542389499979</v>
      </c>
      <c r="AC902" s="7">
        <f t="shared" si="262"/>
        <v>71.137096483304632</v>
      </c>
      <c r="AD902" s="6" t="str">
        <f t="shared" si="276"/>
        <v>Cumple</v>
      </c>
      <c r="AE902" s="6"/>
      <c r="AH902" s="3"/>
    </row>
    <row r="903" spans="1:34" x14ac:dyDescent="0.3">
      <c r="A903" s="13"/>
      <c r="B903" s="1">
        <v>18</v>
      </c>
      <c r="C903" s="1">
        <v>602</v>
      </c>
      <c r="D903" s="1">
        <v>1</v>
      </c>
      <c r="E903" s="5">
        <v>1</v>
      </c>
      <c r="F903" s="3">
        <f t="shared" si="286"/>
        <v>18</v>
      </c>
      <c r="G903" s="5">
        <v>3</v>
      </c>
      <c r="H903" s="3">
        <f t="shared" si="259"/>
        <v>7.0685834705770345</v>
      </c>
      <c r="I903" s="4">
        <v>7.0685999999999999E-2</v>
      </c>
      <c r="K903" s="3">
        <v>177.7759978956102</v>
      </c>
      <c r="L903" s="3">
        <v>782.25064999999995</v>
      </c>
      <c r="M903" s="3">
        <v>796.80916000000002</v>
      </c>
      <c r="N903" s="12">
        <f t="shared" si="273"/>
        <v>1.0000023384349969E-2</v>
      </c>
      <c r="O903" s="11">
        <f t="shared" si="274"/>
        <v>706.86</v>
      </c>
      <c r="P903" s="1">
        <v>10</v>
      </c>
      <c r="Q903" s="1">
        <v>1</v>
      </c>
      <c r="R903" s="3">
        <f>Q903*VLOOKUP(P903,[4]Datos!$A$2:$D$14,2)</f>
        <v>8.19</v>
      </c>
      <c r="S903" s="10">
        <f t="shared" si="260"/>
        <v>87</v>
      </c>
      <c r="T903" s="2">
        <v>87</v>
      </c>
      <c r="U903" s="3">
        <f t="shared" si="261"/>
        <v>0.1</v>
      </c>
      <c r="V903" s="3"/>
      <c r="W903" s="1">
        <v>280</v>
      </c>
      <c r="X903" s="9">
        <v>2</v>
      </c>
      <c r="Y903" s="1">
        <v>4</v>
      </c>
      <c r="Z903" s="3">
        <f>X903*VLOOKUP(Y903,[4]Datos!$A$2:$D$14,2)</f>
        <v>2.58</v>
      </c>
      <c r="AA903" s="8">
        <v>0.3</v>
      </c>
      <c r="AB903" s="7">
        <f t="shared" si="275"/>
        <v>260.7542389499979</v>
      </c>
      <c r="AC903" s="7">
        <f t="shared" si="262"/>
        <v>71.137096483304632</v>
      </c>
      <c r="AD903" s="6" t="str">
        <f t="shared" si="276"/>
        <v>Cumple</v>
      </c>
      <c r="AE903" s="6"/>
      <c r="AH903" s="3"/>
    </row>
    <row r="904" spans="1:34" x14ac:dyDescent="0.3">
      <c r="A904" s="13"/>
      <c r="B904" s="1">
        <v>19</v>
      </c>
      <c r="C904" s="1">
        <v>604</v>
      </c>
      <c r="D904" s="1">
        <v>1</v>
      </c>
      <c r="E904" s="5">
        <v>1</v>
      </c>
      <c r="F904" s="3">
        <f t="shared" si="286"/>
        <v>19</v>
      </c>
      <c r="G904" s="5">
        <v>3</v>
      </c>
      <c r="H904" s="3">
        <f t="shared" si="259"/>
        <v>7.0685834705770345</v>
      </c>
      <c r="I904" s="4">
        <v>7.0685999999999999E-2</v>
      </c>
      <c r="K904" s="3">
        <v>156.68027775651919</v>
      </c>
      <c r="L904" s="3">
        <v>701.85801000000004</v>
      </c>
      <c r="M904" s="3">
        <v>626.36216999999999</v>
      </c>
      <c r="N904" s="12">
        <f t="shared" si="273"/>
        <v>1.0000023384349969E-2</v>
      </c>
      <c r="O904" s="11">
        <f t="shared" si="274"/>
        <v>706.86</v>
      </c>
      <c r="P904" s="1">
        <v>10</v>
      </c>
      <c r="Q904" s="1">
        <v>1</v>
      </c>
      <c r="R904" s="3">
        <f>Q904*VLOOKUP(P904,[4]Datos!$A$2:$D$14,2)</f>
        <v>8.19</v>
      </c>
      <c r="S904" s="10">
        <f t="shared" si="260"/>
        <v>87</v>
      </c>
      <c r="T904" s="2">
        <v>87</v>
      </c>
      <c r="U904" s="3">
        <f t="shared" si="261"/>
        <v>0.1</v>
      </c>
      <c r="V904" s="3"/>
      <c r="W904" s="1">
        <v>280</v>
      </c>
      <c r="X904" s="9">
        <v>2</v>
      </c>
      <c r="Y904" s="1">
        <v>4</v>
      </c>
      <c r="Z904" s="3">
        <f>X904*VLOOKUP(Y904,[4]Datos!$A$2:$D$14,2)</f>
        <v>2.58</v>
      </c>
      <c r="AA904" s="8">
        <v>0.3</v>
      </c>
      <c r="AB904" s="7">
        <f t="shared" si="275"/>
        <v>260.7542389499979</v>
      </c>
      <c r="AC904" s="7">
        <f t="shared" si="262"/>
        <v>71.137096483304632</v>
      </c>
      <c r="AD904" s="6" t="str">
        <f t="shared" si="276"/>
        <v>Cumple</v>
      </c>
      <c r="AE904" s="6"/>
      <c r="AH904" s="3"/>
    </row>
    <row r="905" spans="1:34" x14ac:dyDescent="0.3">
      <c r="A905" s="13"/>
      <c r="B905" s="1">
        <v>20</v>
      </c>
      <c r="C905" s="1">
        <v>606</v>
      </c>
      <c r="D905" s="1">
        <v>1</v>
      </c>
      <c r="E905" s="5">
        <v>1</v>
      </c>
      <c r="F905" s="3">
        <f t="shared" si="286"/>
        <v>20</v>
      </c>
      <c r="G905" s="5">
        <v>3</v>
      </c>
      <c r="H905" s="3">
        <f t="shared" ref="H905:H968" si="287">PI()*(G905^2)/4</f>
        <v>7.0685834705770345</v>
      </c>
      <c r="I905" s="4">
        <v>7.0685999999999999E-2</v>
      </c>
      <c r="K905" s="3">
        <v>135.12140165218094</v>
      </c>
      <c r="L905" s="3">
        <v>615.18210999999997</v>
      </c>
      <c r="M905" s="3">
        <v>478.64845000000003</v>
      </c>
      <c r="N905" s="12">
        <f t="shared" si="273"/>
        <v>1.0000023384349969E-2</v>
      </c>
      <c r="O905" s="11">
        <f t="shared" si="274"/>
        <v>706.86</v>
      </c>
      <c r="P905" s="1">
        <v>10</v>
      </c>
      <c r="Q905" s="15">
        <v>1</v>
      </c>
      <c r="R905" s="3">
        <f>Q905*VLOOKUP(P905,[4]Datos!$A$2:$D$14,2)</f>
        <v>8.19</v>
      </c>
      <c r="S905" s="10">
        <f t="shared" ref="S905:S968" si="288">ROUNDUP(O905/R905,0)</f>
        <v>87</v>
      </c>
      <c r="T905" s="14">
        <v>87</v>
      </c>
      <c r="U905" s="3">
        <f t="shared" ref="U905:U968" si="289">ROUNDDOWN(PI()*(G905-0.185)/T905,2)</f>
        <v>0.1</v>
      </c>
      <c r="V905" s="3"/>
      <c r="W905" s="1">
        <v>280</v>
      </c>
      <c r="X905" s="9">
        <v>2</v>
      </c>
      <c r="Y905" s="1">
        <v>4</v>
      </c>
      <c r="Z905" s="3">
        <f>X905*VLOOKUP(Y905,[4]Datos!$A$2:$D$14,2)</f>
        <v>2.58</v>
      </c>
      <c r="AA905" s="8">
        <v>0.3</v>
      </c>
      <c r="AB905" s="7">
        <f t="shared" si="275"/>
        <v>260.7542389499979</v>
      </c>
      <c r="AC905" s="7">
        <f t="shared" ref="AC905:AC968" si="290">0.9*Z905*4220*MAX(0.72*G905,0.9*((G905/2)+((G905-0.11)/PI())))/AA905/1000</f>
        <v>71.137096483304632</v>
      </c>
      <c r="AD905" s="6" t="str">
        <f t="shared" si="276"/>
        <v>Cumple</v>
      </c>
      <c r="AE905" s="6"/>
      <c r="AH905" s="3"/>
    </row>
    <row r="906" spans="1:34" x14ac:dyDescent="0.3">
      <c r="A906" s="13"/>
      <c r="B906" s="1">
        <v>21</v>
      </c>
      <c r="C906" s="1">
        <v>648</v>
      </c>
      <c r="D906" s="1">
        <v>1</v>
      </c>
      <c r="E906" s="5">
        <v>1</v>
      </c>
      <c r="F906" s="3">
        <f t="shared" si="286"/>
        <v>21</v>
      </c>
      <c r="G906" s="5">
        <v>3</v>
      </c>
      <c r="H906" s="3">
        <f t="shared" si="287"/>
        <v>7.0685834705770345</v>
      </c>
      <c r="I906" s="4">
        <v>7.0685999999999999E-2</v>
      </c>
      <c r="K906" s="3">
        <v>113.89901874981189</v>
      </c>
      <c r="L906" s="3">
        <v>526.41557999999998</v>
      </c>
      <c r="M906" s="3">
        <v>354.44574999999998</v>
      </c>
      <c r="N906" s="12">
        <f t="shared" si="273"/>
        <v>1.0000023384349969E-2</v>
      </c>
      <c r="O906" s="11">
        <f t="shared" si="274"/>
        <v>706.86</v>
      </c>
      <c r="P906" s="1">
        <v>10</v>
      </c>
      <c r="Q906" s="15">
        <v>1</v>
      </c>
      <c r="R906" s="3">
        <f>Q906*VLOOKUP(P906,[4]Datos!$A$2:$D$14,2)</f>
        <v>8.19</v>
      </c>
      <c r="S906" s="10">
        <f t="shared" si="288"/>
        <v>87</v>
      </c>
      <c r="T906" s="14">
        <v>87</v>
      </c>
      <c r="U906" s="3">
        <f t="shared" si="289"/>
        <v>0.1</v>
      </c>
      <c r="V906" s="3"/>
      <c r="W906" s="1">
        <v>280</v>
      </c>
      <c r="X906" s="9">
        <v>2</v>
      </c>
      <c r="Y906" s="1">
        <v>4</v>
      </c>
      <c r="Z906" s="3">
        <f>X906*VLOOKUP(Y906,[4]Datos!$A$2:$D$14,2)</f>
        <v>2.58</v>
      </c>
      <c r="AA906" s="8">
        <v>0.3</v>
      </c>
      <c r="AB906" s="7">
        <f t="shared" si="275"/>
        <v>260.7542389499979</v>
      </c>
      <c r="AC906" s="7">
        <f t="shared" si="290"/>
        <v>71.137096483304632</v>
      </c>
      <c r="AD906" s="6" t="str">
        <f t="shared" si="276"/>
        <v>Cumple</v>
      </c>
      <c r="AE906" s="6"/>
      <c r="AH906" s="3"/>
    </row>
    <row r="907" spans="1:34" x14ac:dyDescent="0.3">
      <c r="A907" s="13"/>
      <c r="B907" s="1">
        <v>22</v>
      </c>
      <c r="C907" s="1">
        <v>649</v>
      </c>
      <c r="D907" s="1">
        <v>1</v>
      </c>
      <c r="E907" s="5">
        <v>1</v>
      </c>
      <c r="F907" s="3">
        <f t="shared" si="286"/>
        <v>22</v>
      </c>
      <c r="G907" s="5">
        <v>3</v>
      </c>
      <c r="H907" s="3">
        <f t="shared" si="287"/>
        <v>7.0685834705770345</v>
      </c>
      <c r="I907" s="4">
        <v>7.0685999999999999E-2</v>
      </c>
      <c r="K907" s="3">
        <v>102.40458791606946</v>
      </c>
      <c r="L907" s="3">
        <v>439.06301000000002</v>
      </c>
      <c r="M907" s="3">
        <v>253.73564999999999</v>
      </c>
      <c r="N907" s="12">
        <f t="shared" si="273"/>
        <v>1.0000023384349969E-2</v>
      </c>
      <c r="O907" s="11">
        <f t="shared" si="274"/>
        <v>706.86</v>
      </c>
      <c r="P907" s="1">
        <v>10</v>
      </c>
      <c r="Q907" s="15">
        <v>1</v>
      </c>
      <c r="R907" s="3">
        <f>Q907*VLOOKUP(P907,[4]Datos!$A$2:$D$14,2)</f>
        <v>8.19</v>
      </c>
      <c r="S907" s="10">
        <f t="shared" si="288"/>
        <v>87</v>
      </c>
      <c r="T907" s="14">
        <v>87</v>
      </c>
      <c r="U907" s="3">
        <f t="shared" si="289"/>
        <v>0.1</v>
      </c>
      <c r="V907" s="3"/>
      <c r="W907" s="1">
        <v>280</v>
      </c>
      <c r="X907" s="9">
        <v>2</v>
      </c>
      <c r="Y907" s="1">
        <v>4</v>
      </c>
      <c r="Z907" s="3">
        <f>X907*VLOOKUP(Y907,[4]Datos!$A$2:$D$14,2)</f>
        <v>2.58</v>
      </c>
      <c r="AA907" s="8">
        <v>0.3</v>
      </c>
      <c r="AB907" s="7">
        <f t="shared" si="275"/>
        <v>260.7542389499979</v>
      </c>
      <c r="AC907" s="7">
        <f t="shared" si="290"/>
        <v>71.137096483304632</v>
      </c>
      <c r="AD907" s="6" t="str">
        <f t="shared" si="276"/>
        <v>Cumple</v>
      </c>
      <c r="AE907" s="6"/>
      <c r="AH907" s="3"/>
    </row>
    <row r="908" spans="1:34" x14ac:dyDescent="0.3">
      <c r="A908" s="13"/>
      <c r="B908" s="1">
        <v>23</v>
      </c>
      <c r="C908" s="1">
        <v>650</v>
      </c>
      <c r="D908" s="1">
        <v>1</v>
      </c>
      <c r="E908" s="5">
        <v>1</v>
      </c>
      <c r="F908" s="3">
        <f t="shared" si="286"/>
        <v>23</v>
      </c>
      <c r="G908" s="5">
        <v>3</v>
      </c>
      <c r="H908" s="3">
        <f t="shared" si="287"/>
        <v>7.0685834705770345</v>
      </c>
      <c r="I908" s="4">
        <v>7.0685999999999999E-2</v>
      </c>
      <c r="K908" s="3">
        <v>90.784327223811033</v>
      </c>
      <c r="L908" s="3">
        <v>355.94382000000002</v>
      </c>
      <c r="M908" s="3">
        <v>175.86172999999999</v>
      </c>
      <c r="N908" s="12">
        <f t="shared" si="273"/>
        <v>1.0000023384349969E-2</v>
      </c>
      <c r="O908" s="11">
        <f t="shared" si="274"/>
        <v>706.86</v>
      </c>
      <c r="P908" s="1">
        <v>10</v>
      </c>
      <c r="Q908" s="1">
        <v>1</v>
      </c>
      <c r="R908" s="3">
        <f>Q908*VLOOKUP(P908,[4]Datos!$A$2:$D$14,2)</f>
        <v>8.19</v>
      </c>
      <c r="S908" s="10">
        <f t="shared" si="288"/>
        <v>87</v>
      </c>
      <c r="T908" s="2">
        <v>87</v>
      </c>
      <c r="U908" s="3">
        <f t="shared" si="289"/>
        <v>0.1</v>
      </c>
      <c r="V908" s="3"/>
      <c r="W908" s="1">
        <v>280</v>
      </c>
      <c r="X908" s="9">
        <v>2</v>
      </c>
      <c r="Y908" s="1">
        <v>4</v>
      </c>
      <c r="Z908" s="3">
        <f>X908*VLOOKUP(Y908,[4]Datos!$A$2:$D$14,2)</f>
        <v>2.58</v>
      </c>
      <c r="AA908" s="8">
        <v>0.3</v>
      </c>
      <c r="AB908" s="7">
        <f t="shared" si="275"/>
        <v>260.7542389499979</v>
      </c>
      <c r="AC908" s="7">
        <f t="shared" si="290"/>
        <v>71.137096483304632</v>
      </c>
      <c r="AD908" s="6" t="str">
        <f t="shared" si="276"/>
        <v>Cumple</v>
      </c>
      <c r="AE908" s="6"/>
      <c r="AH908" s="3"/>
    </row>
    <row r="909" spans="1:34" x14ac:dyDescent="0.3">
      <c r="A909" s="13"/>
      <c r="B909" s="1">
        <v>24</v>
      </c>
      <c r="C909" s="1">
        <v>651</v>
      </c>
      <c r="D909" s="1">
        <v>1</v>
      </c>
      <c r="E909" s="5">
        <v>1</v>
      </c>
      <c r="F909" s="3">
        <f t="shared" si="286"/>
        <v>24</v>
      </c>
      <c r="G909" s="5">
        <v>3</v>
      </c>
      <c r="H909" s="3">
        <f t="shared" si="287"/>
        <v>7.0685834705770345</v>
      </c>
      <c r="I909" s="4">
        <v>7.0685999999999999E-2</v>
      </c>
      <c r="K909" s="3">
        <v>78.596592356793678</v>
      </c>
      <c r="L909" s="3">
        <v>279.22994</v>
      </c>
      <c r="M909" s="3">
        <v>119.56879000000001</v>
      </c>
      <c r="N909" s="12">
        <f t="shared" si="273"/>
        <v>1.0000023384349969E-2</v>
      </c>
      <c r="O909" s="11">
        <f t="shared" si="274"/>
        <v>706.86</v>
      </c>
      <c r="P909" s="1">
        <v>10</v>
      </c>
      <c r="Q909" s="1">
        <v>1</v>
      </c>
      <c r="R909" s="3">
        <f>Q909*VLOOKUP(P909,[4]Datos!$A$2:$D$14,2)</f>
        <v>8.19</v>
      </c>
      <c r="S909" s="10">
        <f t="shared" si="288"/>
        <v>87</v>
      </c>
      <c r="T909" s="2">
        <v>87</v>
      </c>
      <c r="U909" s="3">
        <f t="shared" si="289"/>
        <v>0.1</v>
      </c>
      <c r="V909" s="3"/>
      <c r="W909" s="1">
        <v>280</v>
      </c>
      <c r="X909" s="9">
        <v>2</v>
      </c>
      <c r="Y909" s="1">
        <v>4</v>
      </c>
      <c r="Z909" s="3">
        <f>X909*VLOOKUP(Y909,[4]Datos!$A$2:$D$14,2)</f>
        <v>2.58</v>
      </c>
      <c r="AA909" s="8">
        <v>0.3</v>
      </c>
      <c r="AB909" s="7">
        <f t="shared" si="275"/>
        <v>260.7542389499979</v>
      </c>
      <c r="AC909" s="7">
        <f t="shared" si="290"/>
        <v>71.137096483304632</v>
      </c>
      <c r="AD909" s="6" t="str">
        <f t="shared" si="276"/>
        <v>Cumple</v>
      </c>
      <c r="AE909" s="6"/>
      <c r="AH909" s="3"/>
    </row>
    <row r="910" spans="1:34" x14ac:dyDescent="0.3">
      <c r="A910" s="13"/>
      <c r="B910" s="1">
        <v>25</v>
      </c>
      <c r="C910" s="1">
        <v>652</v>
      </c>
      <c r="D910" s="1">
        <v>1</v>
      </c>
      <c r="E910" s="5">
        <v>1</v>
      </c>
      <c r="F910" s="3">
        <f t="shared" si="286"/>
        <v>25</v>
      </c>
      <c r="G910" s="5">
        <v>3</v>
      </c>
      <c r="H910" s="3">
        <f t="shared" si="287"/>
        <v>7.0685834705770345</v>
      </c>
      <c r="I910" s="4">
        <v>7.0685999999999999E-2</v>
      </c>
      <c r="K910" s="3">
        <v>66.310646152559841</v>
      </c>
      <c r="L910" s="3">
        <v>210.50771</v>
      </c>
      <c r="M910" s="3">
        <v>82.596869999999996</v>
      </c>
      <c r="N910" s="12">
        <f t="shared" si="273"/>
        <v>1.0000023384349969E-2</v>
      </c>
      <c r="O910" s="11">
        <f t="shared" si="274"/>
        <v>706.86</v>
      </c>
      <c r="P910" s="1">
        <v>10</v>
      </c>
      <c r="Q910" s="1">
        <v>1</v>
      </c>
      <c r="R910" s="3">
        <f>Q910*VLOOKUP(P910,[4]Datos!$A$2:$D$14,2)</f>
        <v>8.19</v>
      </c>
      <c r="S910" s="10">
        <f t="shared" si="288"/>
        <v>87</v>
      </c>
      <c r="T910" s="2">
        <v>87</v>
      </c>
      <c r="U910" s="3">
        <f t="shared" si="289"/>
        <v>0.1</v>
      </c>
      <c r="V910" s="3"/>
      <c r="W910" s="1">
        <v>280</v>
      </c>
      <c r="X910" s="9">
        <v>2</v>
      </c>
      <c r="Y910" s="1">
        <v>4</v>
      </c>
      <c r="Z910" s="3">
        <f>X910*VLOOKUP(Y910,[4]Datos!$A$2:$D$14,2)</f>
        <v>2.58</v>
      </c>
      <c r="AA910" s="8">
        <v>0.3</v>
      </c>
      <c r="AB910" s="7">
        <f t="shared" si="275"/>
        <v>260.7542389499979</v>
      </c>
      <c r="AC910" s="7">
        <f t="shared" si="290"/>
        <v>71.137096483304632</v>
      </c>
      <c r="AD910" s="6" t="str">
        <f t="shared" si="276"/>
        <v>Cumple</v>
      </c>
      <c r="AE910" s="6"/>
      <c r="AH910" s="3"/>
    </row>
    <row r="911" spans="1:34" x14ac:dyDescent="0.3">
      <c r="A911" s="13"/>
      <c r="B911" s="1">
        <v>26</v>
      </c>
      <c r="C911" s="1">
        <v>653</v>
      </c>
      <c r="D911" s="1">
        <v>1</v>
      </c>
      <c r="E911" s="5">
        <v>1</v>
      </c>
      <c r="F911" s="3">
        <f t="shared" si="286"/>
        <v>26</v>
      </c>
      <c r="G911" s="5">
        <v>3</v>
      </c>
      <c r="H911" s="3">
        <f t="shared" si="287"/>
        <v>7.0685834705770345</v>
      </c>
      <c r="I911" s="4">
        <v>7.0685999999999999E-2</v>
      </c>
      <c r="K911" s="3">
        <v>54.314260792999839</v>
      </c>
      <c r="L911" s="3">
        <v>150.85896</v>
      </c>
      <c r="M911" s="3">
        <v>59.879739999999998</v>
      </c>
      <c r="N911" s="12">
        <f t="shared" si="273"/>
        <v>1.0000023384349969E-2</v>
      </c>
      <c r="O911" s="11">
        <f t="shared" si="274"/>
        <v>706.86</v>
      </c>
      <c r="P911" s="1">
        <v>10</v>
      </c>
      <c r="Q911" s="1">
        <v>1</v>
      </c>
      <c r="R911" s="3">
        <f>Q911*VLOOKUP(P911,[4]Datos!$A$2:$D$14,2)</f>
        <v>8.19</v>
      </c>
      <c r="S911" s="10">
        <f t="shared" si="288"/>
        <v>87</v>
      </c>
      <c r="T911" s="2">
        <v>87</v>
      </c>
      <c r="U911" s="3">
        <f t="shared" si="289"/>
        <v>0.1</v>
      </c>
      <c r="V911" s="3"/>
      <c r="W911" s="1">
        <v>280</v>
      </c>
      <c r="X911" s="9">
        <v>2</v>
      </c>
      <c r="Y911" s="1">
        <v>4</v>
      </c>
      <c r="Z911" s="3">
        <f>X911*VLOOKUP(Y911,[4]Datos!$A$2:$D$14,2)</f>
        <v>2.58</v>
      </c>
      <c r="AA911" s="8">
        <v>0.3</v>
      </c>
      <c r="AB911" s="7">
        <f t="shared" si="275"/>
        <v>260.7542389499979</v>
      </c>
      <c r="AC911" s="7">
        <f t="shared" si="290"/>
        <v>71.137096483304632</v>
      </c>
      <c r="AD911" s="6" t="str">
        <f t="shared" si="276"/>
        <v>Cumple</v>
      </c>
      <c r="AE911" s="6"/>
      <c r="AH911" s="3"/>
    </row>
    <row r="912" spans="1:34" x14ac:dyDescent="0.3">
      <c r="A912" s="13"/>
      <c r="B912" s="1">
        <v>27</v>
      </c>
      <c r="C912" s="1">
        <v>654</v>
      </c>
      <c r="D912" s="1">
        <v>1</v>
      </c>
      <c r="E912" s="5">
        <v>1</v>
      </c>
      <c r="F912" s="3">
        <f t="shared" si="286"/>
        <v>27</v>
      </c>
      <c r="G912" s="5">
        <v>3</v>
      </c>
      <c r="H912" s="3">
        <f t="shared" si="287"/>
        <v>7.0685834705770345</v>
      </c>
      <c r="I912" s="4">
        <v>7.0685999999999999E-2</v>
      </c>
      <c r="K912" s="3">
        <v>42.891369168400303</v>
      </c>
      <c r="L912" s="3">
        <v>100.9517</v>
      </c>
      <c r="M912" s="3">
        <v>45.333480000000002</v>
      </c>
      <c r="N912" s="12">
        <f t="shared" si="273"/>
        <v>1.0000023384349969E-2</v>
      </c>
      <c r="O912" s="11">
        <f t="shared" si="274"/>
        <v>706.86</v>
      </c>
      <c r="P912" s="1">
        <v>10</v>
      </c>
      <c r="Q912" s="1">
        <v>1</v>
      </c>
      <c r="R912" s="3">
        <f>Q912*VLOOKUP(P912,[4]Datos!$A$2:$D$14,2)</f>
        <v>8.19</v>
      </c>
      <c r="S912" s="10">
        <f t="shared" si="288"/>
        <v>87</v>
      </c>
      <c r="T912" s="2">
        <v>87</v>
      </c>
      <c r="U912" s="3">
        <f t="shared" si="289"/>
        <v>0.1</v>
      </c>
      <c r="V912" s="3"/>
      <c r="W912" s="1">
        <v>280</v>
      </c>
      <c r="X912" s="9">
        <v>2</v>
      </c>
      <c r="Y912" s="1">
        <v>4</v>
      </c>
      <c r="Z912" s="3">
        <f>X912*VLOOKUP(Y912,[4]Datos!$A$2:$D$14,2)</f>
        <v>2.58</v>
      </c>
      <c r="AA912" s="8">
        <v>0.3</v>
      </c>
      <c r="AB912" s="7">
        <f t="shared" si="275"/>
        <v>260.7542389499979</v>
      </c>
      <c r="AC912" s="7">
        <f t="shared" si="290"/>
        <v>71.137096483304632</v>
      </c>
      <c r="AD912" s="6" t="str">
        <f t="shared" si="276"/>
        <v>Cumple</v>
      </c>
      <c r="AE912" s="6"/>
      <c r="AH912" s="3"/>
    </row>
    <row r="913" spans="1:43" x14ac:dyDescent="0.3">
      <c r="A913" s="13"/>
      <c r="B913" s="1">
        <v>28</v>
      </c>
      <c r="C913" s="1">
        <v>655</v>
      </c>
      <c r="D913" s="1">
        <v>1</v>
      </c>
      <c r="E913" s="5">
        <v>1</v>
      </c>
      <c r="F913" s="3">
        <f t="shared" si="286"/>
        <v>28</v>
      </c>
      <c r="G913" s="5">
        <v>3</v>
      </c>
      <c r="H913" s="3">
        <f t="shared" si="287"/>
        <v>7.0685834705770345</v>
      </c>
      <c r="I913" s="4">
        <v>7.0685999999999999E-2</v>
      </c>
      <c r="K913" s="3">
        <v>32.152854829703692</v>
      </c>
      <c r="L913" s="3">
        <v>61.122819999999997</v>
      </c>
      <c r="M913" s="3">
        <v>32.916359999999997</v>
      </c>
      <c r="N913" s="12">
        <f t="shared" si="273"/>
        <v>1.0000023384349969E-2</v>
      </c>
      <c r="O913" s="11">
        <f t="shared" si="274"/>
        <v>706.86</v>
      </c>
      <c r="P913" s="1">
        <v>10</v>
      </c>
      <c r="Q913" s="1">
        <v>1</v>
      </c>
      <c r="R913" s="3">
        <f>Q913*VLOOKUP(P913,[4]Datos!$A$2:$D$14,2)</f>
        <v>8.19</v>
      </c>
      <c r="S913" s="10">
        <f t="shared" si="288"/>
        <v>87</v>
      </c>
      <c r="T913" s="2">
        <v>87</v>
      </c>
      <c r="U913" s="3">
        <f t="shared" si="289"/>
        <v>0.1</v>
      </c>
      <c r="V913" s="3"/>
      <c r="W913" s="1">
        <v>280</v>
      </c>
      <c r="X913" s="9">
        <v>2</v>
      </c>
      <c r="Y913" s="1">
        <v>4</v>
      </c>
      <c r="Z913" s="3">
        <f>X913*VLOOKUP(Y913,[4]Datos!$A$2:$D$14,2)</f>
        <v>2.58</v>
      </c>
      <c r="AA913" s="8">
        <v>0.3</v>
      </c>
      <c r="AB913" s="7">
        <f t="shared" si="275"/>
        <v>260.7542389499979</v>
      </c>
      <c r="AC913" s="7">
        <f t="shared" si="290"/>
        <v>71.137096483304632</v>
      </c>
      <c r="AD913" s="6" t="str">
        <f t="shared" si="276"/>
        <v>Cumple</v>
      </c>
      <c r="AE913" s="6"/>
      <c r="AH913" s="3"/>
    </row>
    <row r="914" spans="1:43" x14ac:dyDescent="0.3">
      <c r="A914" s="13"/>
      <c r="B914" s="1">
        <v>29</v>
      </c>
      <c r="C914" s="1">
        <v>656</v>
      </c>
      <c r="D914" s="1">
        <v>1</v>
      </c>
      <c r="E914" s="5">
        <v>1</v>
      </c>
      <c r="F914" s="3">
        <f t="shared" si="286"/>
        <v>29</v>
      </c>
      <c r="G914" s="5">
        <v>3</v>
      </c>
      <c r="H914" s="3">
        <f t="shared" si="287"/>
        <v>7.0685834705770345</v>
      </c>
      <c r="I914" s="4">
        <v>7.0685999999999999E-2</v>
      </c>
      <c r="K914" s="3">
        <v>21.91414902659923</v>
      </c>
      <c r="L914" s="3">
        <v>31.42426</v>
      </c>
      <c r="M914" s="3">
        <v>20.674130000000002</v>
      </c>
      <c r="N914" s="12">
        <f t="shared" si="273"/>
        <v>1.0000023384349969E-2</v>
      </c>
      <c r="O914" s="11">
        <f t="shared" si="274"/>
        <v>706.86</v>
      </c>
      <c r="P914" s="1">
        <v>10</v>
      </c>
      <c r="Q914" s="1">
        <v>1</v>
      </c>
      <c r="R914" s="3">
        <f>Q914*VLOOKUP(P914,[4]Datos!$A$2:$D$14,2)</f>
        <v>8.19</v>
      </c>
      <c r="S914" s="10">
        <f t="shared" si="288"/>
        <v>87</v>
      </c>
      <c r="T914" s="2">
        <v>87</v>
      </c>
      <c r="U914" s="3">
        <f t="shared" si="289"/>
        <v>0.1</v>
      </c>
      <c r="V914" s="3"/>
      <c r="W914" s="1">
        <v>280</v>
      </c>
      <c r="X914" s="9">
        <v>2</v>
      </c>
      <c r="Y914" s="1">
        <v>4</v>
      </c>
      <c r="Z914" s="3">
        <f>X914*VLOOKUP(Y914,[4]Datos!$A$2:$D$14,2)</f>
        <v>2.58</v>
      </c>
      <c r="AA914" s="8">
        <v>0.3</v>
      </c>
      <c r="AB914" s="7">
        <f t="shared" si="275"/>
        <v>260.7542389499979</v>
      </c>
      <c r="AC914" s="7">
        <f t="shared" si="290"/>
        <v>71.137096483304632</v>
      </c>
      <c r="AD914" s="6" t="str">
        <f t="shared" si="276"/>
        <v>Cumple</v>
      </c>
      <c r="AE914" s="6"/>
      <c r="AH914" s="3"/>
    </row>
    <row r="915" spans="1:43" x14ac:dyDescent="0.3">
      <c r="A915" s="13"/>
      <c r="B915" s="1">
        <v>30</v>
      </c>
      <c r="C915" s="1">
        <v>666</v>
      </c>
      <c r="D915" s="1">
        <v>1</v>
      </c>
      <c r="E915" s="5">
        <v>1</v>
      </c>
      <c r="F915" s="3">
        <f t="shared" si="286"/>
        <v>30</v>
      </c>
      <c r="G915" s="5">
        <v>3</v>
      </c>
      <c r="H915" s="3">
        <f t="shared" si="287"/>
        <v>7.0685834705770345</v>
      </c>
      <c r="I915" s="4">
        <v>7.0685999999999999E-2</v>
      </c>
      <c r="K915" s="3">
        <v>12.690771855170984</v>
      </c>
      <c r="L915" s="3">
        <v>11.51843</v>
      </c>
      <c r="M915" s="3">
        <v>9.2801899999999993</v>
      </c>
      <c r="N915" s="12">
        <f t="shared" si="273"/>
        <v>1.0000023384349969E-2</v>
      </c>
      <c r="O915" s="11">
        <f t="shared" si="274"/>
        <v>706.86</v>
      </c>
      <c r="P915" s="1">
        <v>10</v>
      </c>
      <c r="Q915" s="1">
        <v>1</v>
      </c>
      <c r="R915" s="3">
        <f>Q915*VLOOKUP(P915,[4]Datos!$A$2:$D$14,2)</f>
        <v>8.19</v>
      </c>
      <c r="S915" s="10">
        <f t="shared" si="288"/>
        <v>87</v>
      </c>
      <c r="T915" s="2">
        <v>87</v>
      </c>
      <c r="U915" s="3">
        <f t="shared" si="289"/>
        <v>0.1</v>
      </c>
      <c r="V915" s="3"/>
      <c r="W915" s="1">
        <v>280</v>
      </c>
      <c r="X915" s="9">
        <v>2</v>
      </c>
      <c r="Y915" s="1">
        <v>4</v>
      </c>
      <c r="Z915" s="3">
        <f>X915*VLOOKUP(Y915,[4]Datos!$A$2:$D$14,2)</f>
        <v>2.58</v>
      </c>
      <c r="AA915" s="8">
        <v>0.3</v>
      </c>
      <c r="AB915" s="7">
        <f t="shared" si="275"/>
        <v>260.7542389499979</v>
      </c>
      <c r="AC915" s="7">
        <f t="shared" si="290"/>
        <v>71.137096483304632</v>
      </c>
      <c r="AD915" s="6" t="str">
        <f t="shared" si="276"/>
        <v>Cumple</v>
      </c>
      <c r="AE915" s="6"/>
      <c r="AH915" s="3"/>
    </row>
    <row r="916" spans="1:43" ht="15" customHeight="1" x14ac:dyDescent="0.3">
      <c r="A916" s="13" t="s">
        <v>3</v>
      </c>
      <c r="B916" s="1">
        <v>1</v>
      </c>
      <c r="C916" s="1">
        <v>628</v>
      </c>
      <c r="D916" s="1">
        <v>1</v>
      </c>
      <c r="E916" s="5">
        <v>1</v>
      </c>
      <c r="F916" s="3">
        <f>E916</f>
        <v>1</v>
      </c>
      <c r="G916" s="5">
        <v>3</v>
      </c>
      <c r="H916" s="3">
        <f t="shared" si="287"/>
        <v>7.0685834705770345</v>
      </c>
      <c r="I916" s="4">
        <v>9.0191999999999994E-2</v>
      </c>
      <c r="K916" s="3">
        <v>664.26856625441042</v>
      </c>
      <c r="L916" s="3">
        <v>3271.1407399999998</v>
      </c>
      <c r="M916" s="3">
        <v>3610.24991</v>
      </c>
      <c r="N916" s="12">
        <f t="shared" si="273"/>
        <v>1.2759557890972644E-2</v>
      </c>
      <c r="O916" s="11">
        <f t="shared" si="274"/>
        <v>901.92</v>
      </c>
      <c r="P916" s="1">
        <v>10</v>
      </c>
      <c r="Q916" s="1">
        <v>1.33</v>
      </c>
      <c r="R916" s="3">
        <f>Q916*VLOOKUP(P916,[4]Datos!$A$2:$D$14,2)</f>
        <v>10.8927</v>
      </c>
      <c r="S916" s="10">
        <f t="shared" si="288"/>
        <v>83</v>
      </c>
      <c r="T916" s="2">
        <v>87</v>
      </c>
      <c r="U916" s="3">
        <f t="shared" si="289"/>
        <v>0.1</v>
      </c>
      <c r="V916" s="3"/>
      <c r="W916" s="1">
        <v>280</v>
      </c>
      <c r="X916" s="9">
        <v>2</v>
      </c>
      <c r="Y916" s="1">
        <v>6</v>
      </c>
      <c r="Z916" s="3">
        <f>X916*VLOOKUP(Y916,[4]Datos!$A$2:$D$14,2)</f>
        <v>5.68</v>
      </c>
      <c r="AA916" s="8">
        <v>4.972E-2</v>
      </c>
      <c r="AB916" s="7">
        <f t="shared" si="275"/>
        <v>260.7542389499979</v>
      </c>
      <c r="AC916" s="7">
        <f t="shared" si="290"/>
        <v>944.96320797669352</v>
      </c>
      <c r="AD916" s="6" t="str">
        <f t="shared" si="276"/>
        <v>Cumple</v>
      </c>
      <c r="AE916" s="6"/>
      <c r="AG916" s="7">
        <f t="shared" ref="AG916:AG924" si="291">ROUNDUP(MAX(0.45,3*G916,),0)</f>
        <v>9</v>
      </c>
      <c r="AH916" s="3">
        <f t="shared" ref="AH916:AH924" si="292">PI()*(G916-0.15)^2/4</f>
        <v>6.3793965821957741</v>
      </c>
      <c r="AI916" s="7">
        <f>G916-0.15-VLOOKUP(Y916,[4]Datos!$A$2:$D$14,3)/100</f>
        <v>2.8309000000000002</v>
      </c>
      <c r="AJ916" s="7">
        <f t="shared" ref="AJ916:AJ924" si="293">SQRT((PI()*AI916)^2+AA916^2)</f>
        <v>8.8936736237329566</v>
      </c>
      <c r="AK916" s="1">
        <v>0.12</v>
      </c>
      <c r="AL916" s="16">
        <f t="shared" ref="AL916:AL924" si="294">MAX(0.45*(H916/AH916-1),AK916)*(W916/4220)</f>
        <v>7.9620853080568724E-3</v>
      </c>
      <c r="AM916" s="7">
        <f t="shared" ref="AM916:AM924" si="295">AG916*(AJ916/AA916)</f>
        <v>1609.8765610136084</v>
      </c>
      <c r="AN916" s="17">
        <f t="shared" ref="AN916:AN924" si="296">AM916*Z916/X916/10000</f>
        <v>0.45720494332786477</v>
      </c>
      <c r="AO916" s="17">
        <f t="shared" ref="AO916:AO924" si="297">AH916*AG916</f>
        <v>57.414569239761967</v>
      </c>
      <c r="AP916" s="16">
        <f t="shared" ref="AP916:AP924" si="298">AN916/AO916</f>
        <v>7.9632216941067178E-3</v>
      </c>
      <c r="AQ916" s="6" t="str">
        <f t="shared" ref="AQ916:AQ924" si="299">+IF(AP916&gt;AL916,"Cumple","No Cumple")</f>
        <v>Cumple</v>
      </c>
    </row>
    <row r="917" spans="1:43" ht="15" customHeight="1" x14ac:dyDescent="0.3">
      <c r="A917" s="13"/>
      <c r="B917" s="1">
        <v>2</v>
      </c>
      <c r="C917" s="1">
        <v>629</v>
      </c>
      <c r="D917" s="1">
        <v>1</v>
      </c>
      <c r="E917" s="5">
        <v>1</v>
      </c>
      <c r="F917" s="3">
        <f>F916+E917</f>
        <v>2</v>
      </c>
      <c r="G917" s="5">
        <v>3</v>
      </c>
      <c r="H917" s="3">
        <f t="shared" si="287"/>
        <v>7.0685834705770345</v>
      </c>
      <c r="I917" s="4">
        <v>7.0685999999999999E-2</v>
      </c>
      <c r="K917" s="3">
        <v>644.0156674575627</v>
      </c>
      <c r="L917" s="3">
        <v>2677.5304299999998</v>
      </c>
      <c r="M917" s="3">
        <v>3618.2461899999998</v>
      </c>
      <c r="N917" s="12">
        <f t="shared" si="273"/>
        <v>1.0000023384349969E-2</v>
      </c>
      <c r="O917" s="11">
        <f t="shared" si="274"/>
        <v>706.86</v>
      </c>
      <c r="P917" s="1">
        <v>10</v>
      </c>
      <c r="Q917" s="1">
        <v>1.33</v>
      </c>
      <c r="R917" s="3">
        <f>Q917*VLOOKUP(P917,[4]Datos!$A$2:$D$14,2)</f>
        <v>10.8927</v>
      </c>
      <c r="S917" s="10">
        <f t="shared" si="288"/>
        <v>65</v>
      </c>
      <c r="T917" s="2">
        <v>87</v>
      </c>
      <c r="U917" s="3">
        <f t="shared" si="289"/>
        <v>0.1</v>
      </c>
      <c r="V917" s="3"/>
      <c r="W917" s="1">
        <v>280</v>
      </c>
      <c r="X917" s="9">
        <v>2</v>
      </c>
      <c r="Y917" s="1">
        <v>6</v>
      </c>
      <c r="Z917" s="3">
        <f>X917*VLOOKUP(Y917,[4]Datos!$A$2:$D$14,2)</f>
        <v>5.68</v>
      </c>
      <c r="AA917" s="8">
        <v>4.972E-2</v>
      </c>
      <c r="AB917" s="7">
        <f t="shared" si="275"/>
        <v>260.7542389499979</v>
      </c>
      <c r="AC917" s="7">
        <f t="shared" si="290"/>
        <v>944.96320797669352</v>
      </c>
      <c r="AD917" s="6" t="str">
        <f t="shared" si="276"/>
        <v>Cumple</v>
      </c>
      <c r="AE917" s="6"/>
      <c r="AG917" s="7">
        <f t="shared" si="291"/>
        <v>9</v>
      </c>
      <c r="AH917" s="3">
        <f t="shared" si="292"/>
        <v>6.3793965821957741</v>
      </c>
      <c r="AI917" s="7">
        <f>G917-0.15-VLOOKUP(Y917,[4]Datos!$A$2:$D$14,3)/100</f>
        <v>2.8309000000000002</v>
      </c>
      <c r="AJ917" s="7">
        <f t="shared" si="293"/>
        <v>8.8936736237329566</v>
      </c>
      <c r="AK917" s="1">
        <v>0.12</v>
      </c>
      <c r="AL917" s="16">
        <f t="shared" si="294"/>
        <v>7.9620853080568724E-3</v>
      </c>
      <c r="AM917" s="7">
        <f t="shared" si="295"/>
        <v>1609.8765610136084</v>
      </c>
      <c r="AN917" s="17">
        <f t="shared" si="296"/>
        <v>0.45720494332786477</v>
      </c>
      <c r="AO917" s="17">
        <f t="shared" si="297"/>
        <v>57.414569239761967</v>
      </c>
      <c r="AP917" s="16">
        <f t="shared" si="298"/>
        <v>7.9632216941067178E-3</v>
      </c>
      <c r="AQ917" s="6" t="str">
        <f t="shared" si="299"/>
        <v>Cumple</v>
      </c>
    </row>
    <row r="918" spans="1:43" ht="15" customHeight="1" x14ac:dyDescent="0.3">
      <c r="A918" s="13"/>
      <c r="B918" s="1">
        <v>3</v>
      </c>
      <c r="C918" s="1">
        <v>630</v>
      </c>
      <c r="D918" s="1">
        <v>1</v>
      </c>
      <c r="E918" s="5">
        <v>1</v>
      </c>
      <c r="F918" s="3">
        <f t="shared" ref="F918:F940" si="300">F917+E918</f>
        <v>3</v>
      </c>
      <c r="G918" s="5">
        <v>3</v>
      </c>
      <c r="H918" s="3">
        <f t="shared" si="287"/>
        <v>7.0685834705770345</v>
      </c>
      <c r="I918" s="4">
        <v>7.0685999999999999E-2</v>
      </c>
      <c r="K918" s="3">
        <v>605.16867591383152</v>
      </c>
      <c r="L918" s="3">
        <v>2100.1652600000002</v>
      </c>
      <c r="M918" s="3">
        <v>3618.2461899999998</v>
      </c>
      <c r="N918" s="12">
        <f t="shared" si="273"/>
        <v>1.0000023384349969E-2</v>
      </c>
      <c r="O918" s="11">
        <f t="shared" si="274"/>
        <v>706.86</v>
      </c>
      <c r="P918" s="1">
        <v>10</v>
      </c>
      <c r="Q918" s="1">
        <v>1</v>
      </c>
      <c r="R918" s="3">
        <f>Q918*VLOOKUP(P918,[4]Datos!$A$2:$D$14,2)</f>
        <v>8.19</v>
      </c>
      <c r="S918" s="10">
        <f t="shared" si="288"/>
        <v>87</v>
      </c>
      <c r="T918" s="2">
        <v>87</v>
      </c>
      <c r="U918" s="3">
        <f t="shared" si="289"/>
        <v>0.1</v>
      </c>
      <c r="V918" s="3"/>
      <c r="W918" s="1">
        <v>280</v>
      </c>
      <c r="X918" s="9">
        <v>2</v>
      </c>
      <c r="Y918" s="1">
        <v>6</v>
      </c>
      <c r="Z918" s="3">
        <f>X918*VLOOKUP(Y918,[4]Datos!$A$2:$D$14,2)</f>
        <v>5.68</v>
      </c>
      <c r="AA918" s="8">
        <v>4.972E-2</v>
      </c>
      <c r="AB918" s="7">
        <f t="shared" si="275"/>
        <v>260.7542389499979</v>
      </c>
      <c r="AC918" s="7">
        <f t="shared" si="290"/>
        <v>944.96320797669352</v>
      </c>
      <c r="AD918" s="6" t="str">
        <f t="shared" si="276"/>
        <v>Cumple</v>
      </c>
      <c r="AE918" s="6"/>
      <c r="AG918" s="7">
        <f t="shared" si="291"/>
        <v>9</v>
      </c>
      <c r="AH918" s="3">
        <f t="shared" si="292"/>
        <v>6.3793965821957741</v>
      </c>
      <c r="AI918" s="7">
        <f>G918-0.15-VLOOKUP(Y918,[4]Datos!$A$2:$D$14,3)/100</f>
        <v>2.8309000000000002</v>
      </c>
      <c r="AJ918" s="7">
        <f t="shared" si="293"/>
        <v>8.8936736237329566</v>
      </c>
      <c r="AK918" s="1">
        <v>0.12</v>
      </c>
      <c r="AL918" s="16">
        <f t="shared" si="294"/>
        <v>7.9620853080568724E-3</v>
      </c>
      <c r="AM918" s="7">
        <f t="shared" si="295"/>
        <v>1609.8765610136084</v>
      </c>
      <c r="AN918" s="17">
        <f t="shared" si="296"/>
        <v>0.45720494332786477</v>
      </c>
      <c r="AO918" s="17">
        <f t="shared" si="297"/>
        <v>57.414569239761967</v>
      </c>
      <c r="AP918" s="16">
        <f t="shared" si="298"/>
        <v>7.9632216941067178E-3</v>
      </c>
      <c r="AQ918" s="6" t="str">
        <f t="shared" si="299"/>
        <v>Cumple</v>
      </c>
    </row>
    <row r="919" spans="1:43" ht="15" customHeight="1" x14ac:dyDescent="0.3">
      <c r="A919" s="13"/>
      <c r="B919" s="1">
        <v>4</v>
      </c>
      <c r="C919" s="1">
        <v>631</v>
      </c>
      <c r="D919" s="1">
        <v>1</v>
      </c>
      <c r="E919" s="5">
        <v>1</v>
      </c>
      <c r="F919" s="3">
        <f t="shared" si="300"/>
        <v>4</v>
      </c>
      <c r="G919" s="5">
        <v>3</v>
      </c>
      <c r="H919" s="3">
        <f t="shared" si="287"/>
        <v>7.0685834705770345</v>
      </c>
      <c r="I919" s="4">
        <v>7.0685999999999999E-2</v>
      </c>
      <c r="K919" s="3">
        <v>553.97276481592485</v>
      </c>
      <c r="L919" s="3">
        <v>1558.41391</v>
      </c>
      <c r="M919" s="3">
        <v>3595.2631900000001</v>
      </c>
      <c r="N919" s="12">
        <f t="shared" si="273"/>
        <v>1.0000023384349969E-2</v>
      </c>
      <c r="O919" s="11">
        <f t="shared" si="274"/>
        <v>706.86</v>
      </c>
      <c r="P919" s="1">
        <v>10</v>
      </c>
      <c r="Q919" s="1">
        <v>1</v>
      </c>
      <c r="R919" s="3">
        <f>Q919*VLOOKUP(P919,[4]Datos!$A$2:$D$14,2)</f>
        <v>8.19</v>
      </c>
      <c r="S919" s="10">
        <f t="shared" si="288"/>
        <v>87</v>
      </c>
      <c r="T919" s="2">
        <v>87</v>
      </c>
      <c r="U919" s="3">
        <f t="shared" si="289"/>
        <v>0.1</v>
      </c>
      <c r="V919" s="3"/>
      <c r="W919" s="1">
        <v>280</v>
      </c>
      <c r="X919" s="9">
        <v>2</v>
      </c>
      <c r="Y919" s="1">
        <v>6</v>
      </c>
      <c r="Z919" s="3">
        <f>X919*VLOOKUP(Y919,[4]Datos!$A$2:$D$14,2)</f>
        <v>5.68</v>
      </c>
      <c r="AA919" s="8">
        <v>4.972E-2</v>
      </c>
      <c r="AB919" s="7">
        <f t="shared" si="275"/>
        <v>260.7542389499979</v>
      </c>
      <c r="AC919" s="7">
        <f t="shared" si="290"/>
        <v>944.96320797669352</v>
      </c>
      <c r="AD919" s="6" t="str">
        <f t="shared" si="276"/>
        <v>Cumple</v>
      </c>
      <c r="AE919" s="6"/>
      <c r="AG919" s="7">
        <f t="shared" si="291"/>
        <v>9</v>
      </c>
      <c r="AH919" s="3">
        <f t="shared" si="292"/>
        <v>6.3793965821957741</v>
      </c>
      <c r="AI919" s="7">
        <f>G919-0.15-VLOOKUP(Y919,[4]Datos!$A$2:$D$14,3)/100</f>
        <v>2.8309000000000002</v>
      </c>
      <c r="AJ919" s="7">
        <f t="shared" si="293"/>
        <v>8.8936736237329566</v>
      </c>
      <c r="AK919" s="1">
        <v>0.12</v>
      </c>
      <c r="AL919" s="16">
        <f t="shared" si="294"/>
        <v>7.9620853080568724E-3</v>
      </c>
      <c r="AM919" s="7">
        <f t="shared" si="295"/>
        <v>1609.8765610136084</v>
      </c>
      <c r="AN919" s="17">
        <f t="shared" si="296"/>
        <v>0.45720494332786477</v>
      </c>
      <c r="AO919" s="17">
        <f t="shared" si="297"/>
        <v>57.414569239761967</v>
      </c>
      <c r="AP919" s="16">
        <f t="shared" si="298"/>
        <v>7.9632216941067178E-3</v>
      </c>
      <c r="AQ919" s="6" t="str">
        <f t="shared" si="299"/>
        <v>Cumple</v>
      </c>
    </row>
    <row r="920" spans="1:43" ht="15" customHeight="1" x14ac:dyDescent="0.3">
      <c r="A920" s="13"/>
      <c r="B920" s="1">
        <v>5</v>
      </c>
      <c r="C920" s="1">
        <v>632</v>
      </c>
      <c r="D920" s="1">
        <v>1</v>
      </c>
      <c r="E920" s="5">
        <v>1</v>
      </c>
      <c r="F920" s="3">
        <f t="shared" si="300"/>
        <v>5</v>
      </c>
      <c r="G920" s="5">
        <v>3</v>
      </c>
      <c r="H920" s="3">
        <f t="shared" si="287"/>
        <v>7.0685834705770345</v>
      </c>
      <c r="I920" s="4">
        <v>7.0685999999999999E-2</v>
      </c>
      <c r="K920" s="3">
        <v>494.53766560460286</v>
      </c>
      <c r="L920" s="3">
        <v>1075.3432700000001</v>
      </c>
      <c r="M920" s="3">
        <v>3532.4537599999999</v>
      </c>
      <c r="N920" s="12">
        <f t="shared" si="273"/>
        <v>1.0000023384349969E-2</v>
      </c>
      <c r="O920" s="11">
        <f t="shared" si="274"/>
        <v>706.86</v>
      </c>
      <c r="P920" s="1">
        <v>10</v>
      </c>
      <c r="Q920" s="15">
        <v>1</v>
      </c>
      <c r="R920" s="3">
        <f>Q920*VLOOKUP(P920,[4]Datos!$A$2:$D$14,2)</f>
        <v>8.19</v>
      </c>
      <c r="S920" s="10">
        <f t="shared" si="288"/>
        <v>87</v>
      </c>
      <c r="T920" s="14">
        <v>87</v>
      </c>
      <c r="U920" s="3">
        <f t="shared" si="289"/>
        <v>0.1</v>
      </c>
      <c r="V920" s="3"/>
      <c r="W920" s="1">
        <v>280</v>
      </c>
      <c r="X920" s="9">
        <v>2</v>
      </c>
      <c r="Y920" s="1">
        <v>6</v>
      </c>
      <c r="Z920" s="3">
        <f>X920*VLOOKUP(Y920,[4]Datos!$A$2:$D$14,2)</f>
        <v>5.68</v>
      </c>
      <c r="AA920" s="8">
        <v>4.972E-2</v>
      </c>
      <c r="AB920" s="7">
        <f t="shared" si="275"/>
        <v>260.7542389499979</v>
      </c>
      <c r="AC920" s="7">
        <f t="shared" si="290"/>
        <v>944.96320797669352</v>
      </c>
      <c r="AD920" s="6" t="str">
        <f t="shared" si="276"/>
        <v>Cumple</v>
      </c>
      <c r="AE920" s="6"/>
      <c r="AG920" s="7">
        <f t="shared" si="291"/>
        <v>9</v>
      </c>
      <c r="AH920" s="3">
        <f t="shared" si="292"/>
        <v>6.3793965821957741</v>
      </c>
      <c r="AI920" s="7">
        <f>G920-0.15-VLOOKUP(Y920,[4]Datos!$A$2:$D$14,3)/100</f>
        <v>2.8309000000000002</v>
      </c>
      <c r="AJ920" s="7">
        <f t="shared" si="293"/>
        <v>8.8936736237329566</v>
      </c>
      <c r="AK920" s="1">
        <v>0.12</v>
      </c>
      <c r="AL920" s="16">
        <f t="shared" si="294"/>
        <v>7.9620853080568724E-3</v>
      </c>
      <c r="AM920" s="7">
        <f t="shared" si="295"/>
        <v>1609.8765610136084</v>
      </c>
      <c r="AN920" s="17">
        <f t="shared" si="296"/>
        <v>0.45720494332786477</v>
      </c>
      <c r="AO920" s="17">
        <f t="shared" si="297"/>
        <v>57.414569239761967</v>
      </c>
      <c r="AP920" s="16">
        <f t="shared" si="298"/>
        <v>7.9632216941067178E-3</v>
      </c>
      <c r="AQ920" s="6" t="str">
        <f t="shared" si="299"/>
        <v>Cumple</v>
      </c>
    </row>
    <row r="921" spans="1:43" ht="15" customHeight="1" x14ac:dyDescent="0.3">
      <c r="A921" s="13"/>
      <c r="B921" s="1">
        <v>6</v>
      </c>
      <c r="C921" s="1">
        <v>633</v>
      </c>
      <c r="D921" s="1">
        <v>1</v>
      </c>
      <c r="E921" s="5">
        <v>1</v>
      </c>
      <c r="F921" s="3">
        <f t="shared" si="300"/>
        <v>6</v>
      </c>
      <c r="G921" s="5">
        <v>3</v>
      </c>
      <c r="H921" s="3">
        <f t="shared" si="287"/>
        <v>7.0685834705770345</v>
      </c>
      <c r="I921" s="4">
        <v>7.0685999999999999E-2</v>
      </c>
      <c r="K921" s="3">
        <v>429.75723369485013</v>
      </c>
      <c r="L921" s="3">
        <v>743.21031000000005</v>
      </c>
      <c r="M921" s="3">
        <v>3421.2196199999998</v>
      </c>
      <c r="N921" s="12">
        <f t="shared" si="273"/>
        <v>1.0000023384349969E-2</v>
      </c>
      <c r="O921" s="11">
        <f t="shared" si="274"/>
        <v>706.86</v>
      </c>
      <c r="P921" s="1">
        <v>10</v>
      </c>
      <c r="Q921" s="15">
        <v>1</v>
      </c>
      <c r="R921" s="3">
        <f>Q921*VLOOKUP(P921,[4]Datos!$A$2:$D$14,2)</f>
        <v>8.19</v>
      </c>
      <c r="S921" s="10">
        <f t="shared" si="288"/>
        <v>87</v>
      </c>
      <c r="T921" s="14">
        <v>87</v>
      </c>
      <c r="U921" s="3">
        <f t="shared" si="289"/>
        <v>0.1</v>
      </c>
      <c r="V921" s="3"/>
      <c r="W921" s="1">
        <v>280</v>
      </c>
      <c r="X921" s="9">
        <v>2</v>
      </c>
      <c r="Y921" s="1">
        <v>6</v>
      </c>
      <c r="Z921" s="3">
        <f>X921*VLOOKUP(Y921,[4]Datos!$A$2:$D$14,2)</f>
        <v>5.68</v>
      </c>
      <c r="AA921" s="8">
        <v>4.972E-2</v>
      </c>
      <c r="AB921" s="7">
        <f t="shared" si="275"/>
        <v>260.7542389499979</v>
      </c>
      <c r="AC921" s="7">
        <f t="shared" si="290"/>
        <v>944.96320797669352</v>
      </c>
      <c r="AD921" s="6" t="str">
        <f t="shared" si="276"/>
        <v>Cumple</v>
      </c>
      <c r="AE921" s="6"/>
      <c r="AG921" s="7">
        <f t="shared" si="291"/>
        <v>9</v>
      </c>
      <c r="AH921" s="3">
        <f t="shared" si="292"/>
        <v>6.3793965821957741</v>
      </c>
      <c r="AI921" s="7">
        <f>G921-0.15-VLOOKUP(Y921,[4]Datos!$A$2:$D$14,3)/100</f>
        <v>2.8309000000000002</v>
      </c>
      <c r="AJ921" s="7">
        <f t="shared" si="293"/>
        <v>8.8936736237329566</v>
      </c>
      <c r="AK921" s="1">
        <v>0.12</v>
      </c>
      <c r="AL921" s="16">
        <f t="shared" si="294"/>
        <v>7.9620853080568724E-3</v>
      </c>
      <c r="AM921" s="7">
        <f t="shared" si="295"/>
        <v>1609.8765610136084</v>
      </c>
      <c r="AN921" s="17">
        <f t="shared" si="296"/>
        <v>0.45720494332786477</v>
      </c>
      <c r="AO921" s="17">
        <f t="shared" si="297"/>
        <v>57.414569239761967</v>
      </c>
      <c r="AP921" s="16">
        <f t="shared" si="298"/>
        <v>7.9632216941067178E-3</v>
      </c>
      <c r="AQ921" s="6" t="str">
        <f t="shared" si="299"/>
        <v>Cumple</v>
      </c>
    </row>
    <row r="922" spans="1:43" ht="15" customHeight="1" x14ac:dyDescent="0.3">
      <c r="A922" s="13"/>
      <c r="B922" s="1">
        <v>7</v>
      </c>
      <c r="C922" s="1">
        <v>634</v>
      </c>
      <c r="D922" s="1">
        <v>1</v>
      </c>
      <c r="E922" s="5">
        <v>1</v>
      </c>
      <c r="F922" s="3">
        <f t="shared" si="300"/>
        <v>7</v>
      </c>
      <c r="G922" s="5">
        <v>3</v>
      </c>
      <c r="H922" s="3">
        <f t="shared" si="287"/>
        <v>7.0685834705770345</v>
      </c>
      <c r="I922" s="4">
        <v>7.0685999999999999E-2</v>
      </c>
      <c r="K922" s="3">
        <v>362.69433531916377</v>
      </c>
      <c r="L922" s="3">
        <v>733.72671000000003</v>
      </c>
      <c r="M922" s="3">
        <v>3256.1888300000001</v>
      </c>
      <c r="N922" s="12">
        <f t="shared" si="273"/>
        <v>1.0000023384349969E-2</v>
      </c>
      <c r="O922" s="11">
        <f t="shared" si="274"/>
        <v>706.86</v>
      </c>
      <c r="P922" s="1">
        <v>10</v>
      </c>
      <c r="Q922" s="15">
        <v>1</v>
      </c>
      <c r="R922" s="3">
        <f>Q922*VLOOKUP(P922,[4]Datos!$A$2:$D$14,2)</f>
        <v>8.19</v>
      </c>
      <c r="S922" s="10">
        <f t="shared" si="288"/>
        <v>87</v>
      </c>
      <c r="T922" s="14">
        <v>87</v>
      </c>
      <c r="U922" s="3">
        <f t="shared" si="289"/>
        <v>0.1</v>
      </c>
      <c r="V922" s="3"/>
      <c r="W922" s="1">
        <v>280</v>
      </c>
      <c r="X922" s="9">
        <v>2</v>
      </c>
      <c r="Y922" s="1">
        <v>6</v>
      </c>
      <c r="Z922" s="3">
        <f>X922*VLOOKUP(Y922,[4]Datos!$A$2:$D$14,2)</f>
        <v>5.68</v>
      </c>
      <c r="AA922" s="8">
        <v>4.972E-2</v>
      </c>
      <c r="AB922" s="7">
        <f t="shared" si="275"/>
        <v>260.7542389499979</v>
      </c>
      <c r="AC922" s="7">
        <f t="shared" si="290"/>
        <v>944.96320797669352</v>
      </c>
      <c r="AD922" s="6" t="str">
        <f t="shared" si="276"/>
        <v>Cumple</v>
      </c>
      <c r="AE922" s="6"/>
      <c r="AG922" s="7">
        <f t="shared" si="291"/>
        <v>9</v>
      </c>
      <c r="AH922" s="3">
        <f t="shared" si="292"/>
        <v>6.3793965821957741</v>
      </c>
      <c r="AI922" s="7">
        <f>G922-0.15-VLOOKUP(Y922,[4]Datos!$A$2:$D$14,3)/100</f>
        <v>2.8309000000000002</v>
      </c>
      <c r="AJ922" s="7">
        <f t="shared" si="293"/>
        <v>8.8936736237329566</v>
      </c>
      <c r="AK922" s="1">
        <v>0.12</v>
      </c>
      <c r="AL922" s="16">
        <f t="shared" si="294"/>
        <v>7.9620853080568724E-3</v>
      </c>
      <c r="AM922" s="7">
        <f t="shared" si="295"/>
        <v>1609.8765610136084</v>
      </c>
      <c r="AN922" s="17">
        <f t="shared" si="296"/>
        <v>0.45720494332786477</v>
      </c>
      <c r="AO922" s="17">
        <f t="shared" si="297"/>
        <v>57.414569239761967</v>
      </c>
      <c r="AP922" s="16">
        <f t="shared" si="298"/>
        <v>7.9632216941067178E-3</v>
      </c>
      <c r="AQ922" s="6" t="str">
        <f t="shared" si="299"/>
        <v>Cumple</v>
      </c>
    </row>
    <row r="923" spans="1:43" ht="15" customHeight="1" x14ac:dyDescent="0.3">
      <c r="A923" s="13"/>
      <c r="B923" s="1">
        <v>8</v>
      </c>
      <c r="C923" s="1">
        <v>635</v>
      </c>
      <c r="D923" s="1">
        <v>1</v>
      </c>
      <c r="E923" s="5">
        <v>1</v>
      </c>
      <c r="F923" s="3">
        <f t="shared" si="300"/>
        <v>8</v>
      </c>
      <c r="G923" s="5">
        <v>3</v>
      </c>
      <c r="H923" s="3">
        <f t="shared" si="287"/>
        <v>7.0685834705770345</v>
      </c>
      <c r="I923" s="4">
        <v>7.0685999999999999E-2</v>
      </c>
      <c r="K923" s="3">
        <v>343.22476966049521</v>
      </c>
      <c r="L923" s="3">
        <v>771.00783000000001</v>
      </c>
      <c r="M923" s="3">
        <v>3039.52297</v>
      </c>
      <c r="N923" s="12">
        <f t="shared" si="273"/>
        <v>1.0000023384349969E-2</v>
      </c>
      <c r="O923" s="11">
        <f t="shared" si="274"/>
        <v>706.86</v>
      </c>
      <c r="P923" s="1">
        <v>10</v>
      </c>
      <c r="Q923" s="1">
        <v>1</v>
      </c>
      <c r="R923" s="3">
        <f>Q923*VLOOKUP(P923,[4]Datos!$A$2:$D$14,2)</f>
        <v>8.19</v>
      </c>
      <c r="S923" s="10">
        <f t="shared" si="288"/>
        <v>87</v>
      </c>
      <c r="T923" s="2">
        <v>87</v>
      </c>
      <c r="U923" s="3">
        <f t="shared" si="289"/>
        <v>0.1</v>
      </c>
      <c r="V923" s="3"/>
      <c r="W923" s="1">
        <v>280</v>
      </c>
      <c r="X923" s="9">
        <v>2</v>
      </c>
      <c r="Y923" s="1">
        <v>6</v>
      </c>
      <c r="Z923" s="3">
        <f>X923*VLOOKUP(Y923,[4]Datos!$A$2:$D$14,2)</f>
        <v>5.68</v>
      </c>
      <c r="AA923" s="8">
        <v>4.972E-2</v>
      </c>
      <c r="AB923" s="7">
        <f t="shared" si="275"/>
        <v>260.7542389499979</v>
      </c>
      <c r="AC923" s="7">
        <f t="shared" si="290"/>
        <v>944.96320797669352</v>
      </c>
      <c r="AD923" s="6" t="str">
        <f t="shared" si="276"/>
        <v>Cumple</v>
      </c>
      <c r="AE923" s="6"/>
      <c r="AG923" s="7">
        <f t="shared" si="291"/>
        <v>9</v>
      </c>
      <c r="AH923" s="3">
        <f t="shared" si="292"/>
        <v>6.3793965821957741</v>
      </c>
      <c r="AI923" s="7">
        <f>G923-0.15-VLOOKUP(Y923,[4]Datos!$A$2:$D$14,3)/100</f>
        <v>2.8309000000000002</v>
      </c>
      <c r="AJ923" s="7">
        <f t="shared" si="293"/>
        <v>8.8936736237329566</v>
      </c>
      <c r="AK923" s="1">
        <v>0.12</v>
      </c>
      <c r="AL923" s="16">
        <f t="shared" si="294"/>
        <v>7.9620853080568724E-3</v>
      </c>
      <c r="AM923" s="7">
        <f t="shared" si="295"/>
        <v>1609.8765610136084</v>
      </c>
      <c r="AN923" s="17">
        <f t="shared" si="296"/>
        <v>0.45720494332786477</v>
      </c>
      <c r="AO923" s="17">
        <f t="shared" si="297"/>
        <v>57.414569239761967</v>
      </c>
      <c r="AP923" s="16">
        <f t="shared" si="298"/>
        <v>7.9632216941067178E-3</v>
      </c>
      <c r="AQ923" s="6" t="str">
        <f t="shared" si="299"/>
        <v>Cumple</v>
      </c>
    </row>
    <row r="924" spans="1:43" ht="15" customHeight="1" x14ac:dyDescent="0.3">
      <c r="A924" s="13"/>
      <c r="B924" s="1">
        <v>9</v>
      </c>
      <c r="C924" s="1">
        <v>636</v>
      </c>
      <c r="D924" s="1">
        <v>1</v>
      </c>
      <c r="E924" s="5">
        <v>1</v>
      </c>
      <c r="F924" s="3">
        <f t="shared" si="300"/>
        <v>9</v>
      </c>
      <c r="G924" s="5">
        <v>3</v>
      </c>
      <c r="H924" s="3">
        <f t="shared" si="287"/>
        <v>7.0685834705770345</v>
      </c>
      <c r="I924" s="4">
        <v>7.0685999999999999E-2</v>
      </c>
      <c r="K924" s="3">
        <v>343.34267096364533</v>
      </c>
      <c r="L924" s="3">
        <v>780.52793999999994</v>
      </c>
      <c r="M924" s="3">
        <v>2779.7132200000001</v>
      </c>
      <c r="N924" s="12">
        <f t="shared" si="273"/>
        <v>1.0000023384349969E-2</v>
      </c>
      <c r="O924" s="11">
        <f t="shared" si="274"/>
        <v>706.86</v>
      </c>
      <c r="P924" s="1">
        <v>10</v>
      </c>
      <c r="Q924" s="1">
        <v>1</v>
      </c>
      <c r="R924" s="3">
        <f>Q924*VLOOKUP(P924,[4]Datos!$A$2:$D$14,2)</f>
        <v>8.19</v>
      </c>
      <c r="S924" s="10">
        <f t="shared" si="288"/>
        <v>87</v>
      </c>
      <c r="T924" s="2">
        <v>87</v>
      </c>
      <c r="U924" s="3">
        <f t="shared" si="289"/>
        <v>0.1</v>
      </c>
      <c r="V924" s="3"/>
      <c r="W924" s="1">
        <v>280</v>
      </c>
      <c r="X924" s="9">
        <v>2</v>
      </c>
      <c r="Y924" s="1">
        <v>6</v>
      </c>
      <c r="Z924" s="3">
        <f>X924*VLOOKUP(Y924,[4]Datos!$A$2:$D$14,2)</f>
        <v>5.68</v>
      </c>
      <c r="AA924" s="8">
        <v>4.972E-2</v>
      </c>
      <c r="AB924" s="7">
        <f t="shared" si="275"/>
        <v>260.7542389499979</v>
      </c>
      <c r="AC924" s="7">
        <f t="shared" si="290"/>
        <v>944.96320797669352</v>
      </c>
      <c r="AD924" s="6" t="str">
        <f t="shared" si="276"/>
        <v>Cumple</v>
      </c>
      <c r="AE924" s="6"/>
      <c r="AG924" s="7">
        <f t="shared" si="291"/>
        <v>9</v>
      </c>
      <c r="AH924" s="3">
        <f t="shared" si="292"/>
        <v>6.3793965821957741</v>
      </c>
      <c r="AI924" s="7">
        <f>G924-0.15-VLOOKUP(Y924,[4]Datos!$A$2:$D$14,3)/100</f>
        <v>2.8309000000000002</v>
      </c>
      <c r="AJ924" s="7">
        <f t="shared" si="293"/>
        <v>8.8936736237329566</v>
      </c>
      <c r="AK924" s="1">
        <v>0.12</v>
      </c>
      <c r="AL924" s="16">
        <f t="shared" si="294"/>
        <v>7.9620853080568724E-3</v>
      </c>
      <c r="AM924" s="7">
        <f t="shared" si="295"/>
        <v>1609.8765610136084</v>
      </c>
      <c r="AN924" s="17">
        <f t="shared" si="296"/>
        <v>0.45720494332786477</v>
      </c>
      <c r="AO924" s="17">
        <f t="shared" si="297"/>
        <v>57.414569239761967</v>
      </c>
      <c r="AP924" s="16">
        <f t="shared" si="298"/>
        <v>7.9632216941067178E-3</v>
      </c>
      <c r="AQ924" s="6" t="str">
        <f t="shared" si="299"/>
        <v>Cumple</v>
      </c>
    </row>
    <row r="925" spans="1:43" ht="15" customHeight="1" x14ac:dyDescent="0.3">
      <c r="A925" s="13"/>
      <c r="B925" s="1">
        <v>10</v>
      </c>
      <c r="C925" s="1">
        <v>637</v>
      </c>
      <c r="D925" s="1">
        <v>1</v>
      </c>
      <c r="E925" s="5">
        <v>1</v>
      </c>
      <c r="F925" s="3">
        <f t="shared" si="300"/>
        <v>10</v>
      </c>
      <c r="G925" s="5">
        <v>3</v>
      </c>
      <c r="H925" s="3">
        <f t="shared" si="287"/>
        <v>7.0685834705770345</v>
      </c>
      <c r="I925" s="4">
        <v>7.0685999999999999E-2</v>
      </c>
      <c r="K925" s="3">
        <v>339.93330275549647</v>
      </c>
      <c r="L925" s="3">
        <v>780.52795000000003</v>
      </c>
      <c r="M925" s="3">
        <v>2488.7702300000001</v>
      </c>
      <c r="N925" s="12">
        <f t="shared" si="273"/>
        <v>1.0000023384349969E-2</v>
      </c>
      <c r="O925" s="11">
        <f t="shared" si="274"/>
        <v>706.86</v>
      </c>
      <c r="P925" s="1">
        <v>10</v>
      </c>
      <c r="Q925" s="1">
        <v>1</v>
      </c>
      <c r="R925" s="3">
        <f>Q925*VLOOKUP(P925,[4]Datos!$A$2:$D$14,2)</f>
        <v>8.19</v>
      </c>
      <c r="S925" s="10">
        <f t="shared" si="288"/>
        <v>87</v>
      </c>
      <c r="T925" s="2">
        <v>87</v>
      </c>
      <c r="U925" s="3">
        <f t="shared" si="289"/>
        <v>0.1</v>
      </c>
      <c r="V925" s="3"/>
      <c r="W925" s="1">
        <v>280</v>
      </c>
      <c r="X925" s="9">
        <v>2</v>
      </c>
      <c r="Y925" s="1">
        <v>4</v>
      </c>
      <c r="Z925" s="3">
        <f>X925*VLOOKUP(Y925,[4]Datos!$A$2:$D$14,2)</f>
        <v>2.58</v>
      </c>
      <c r="AA925" s="8">
        <v>0.15</v>
      </c>
      <c r="AB925" s="7">
        <f t="shared" si="275"/>
        <v>260.7542389499979</v>
      </c>
      <c r="AC925" s="7">
        <f t="shared" si="290"/>
        <v>142.27419296660926</v>
      </c>
      <c r="AD925" s="6" t="str">
        <f t="shared" si="276"/>
        <v>Cumple</v>
      </c>
      <c r="AE925" s="6"/>
      <c r="AH925" s="3"/>
    </row>
    <row r="926" spans="1:43" ht="15" customHeight="1" x14ac:dyDescent="0.3">
      <c r="A926" s="13"/>
      <c r="B926" s="1">
        <v>11</v>
      </c>
      <c r="C926" s="1">
        <v>638</v>
      </c>
      <c r="D926" s="1">
        <v>1</v>
      </c>
      <c r="E926" s="5">
        <v>1</v>
      </c>
      <c r="F926" s="3">
        <f t="shared" si="300"/>
        <v>11</v>
      </c>
      <c r="G926" s="5">
        <v>3</v>
      </c>
      <c r="H926" s="3">
        <f t="shared" si="287"/>
        <v>7.0685834705770345</v>
      </c>
      <c r="I926" s="4">
        <v>7.0685999999999999E-2</v>
      </c>
      <c r="K926" s="3">
        <v>332.08243181464752</v>
      </c>
      <c r="L926" s="3">
        <v>817.63917000000004</v>
      </c>
      <c r="M926" s="3">
        <v>2179.9813399999998</v>
      </c>
      <c r="N926" s="12">
        <f t="shared" si="273"/>
        <v>1.0000023384349969E-2</v>
      </c>
      <c r="O926" s="11">
        <f t="shared" si="274"/>
        <v>706.86</v>
      </c>
      <c r="P926" s="1">
        <v>10</v>
      </c>
      <c r="Q926" s="1">
        <v>1</v>
      </c>
      <c r="R926" s="3">
        <f>Q926*VLOOKUP(P926,[4]Datos!$A$2:$D$14,2)</f>
        <v>8.19</v>
      </c>
      <c r="S926" s="10">
        <f t="shared" si="288"/>
        <v>87</v>
      </c>
      <c r="T926" s="2">
        <v>87</v>
      </c>
      <c r="U926" s="3">
        <f t="shared" si="289"/>
        <v>0.1</v>
      </c>
      <c r="V926" s="3"/>
      <c r="W926" s="1">
        <v>280</v>
      </c>
      <c r="X926" s="9">
        <v>2</v>
      </c>
      <c r="Y926" s="1">
        <v>4</v>
      </c>
      <c r="Z926" s="3">
        <f>X926*VLOOKUP(Y926,[4]Datos!$A$2:$D$14,2)</f>
        <v>2.58</v>
      </c>
      <c r="AA926" s="8">
        <v>0.15</v>
      </c>
      <c r="AB926" s="7">
        <f t="shared" si="275"/>
        <v>260.7542389499979</v>
      </c>
      <c r="AC926" s="7">
        <f t="shared" si="290"/>
        <v>142.27419296660926</v>
      </c>
      <c r="AD926" s="6" t="str">
        <f t="shared" si="276"/>
        <v>Cumple</v>
      </c>
      <c r="AE926" s="6"/>
      <c r="AH926" s="3"/>
    </row>
    <row r="927" spans="1:43" ht="15" customHeight="1" x14ac:dyDescent="0.3">
      <c r="A927" s="13"/>
      <c r="B927" s="1">
        <v>12</v>
      </c>
      <c r="C927" s="1">
        <v>639</v>
      </c>
      <c r="D927" s="1">
        <v>1</v>
      </c>
      <c r="E927" s="5">
        <v>1</v>
      </c>
      <c r="F927" s="3">
        <f t="shared" si="300"/>
        <v>12</v>
      </c>
      <c r="G927" s="5">
        <v>3</v>
      </c>
      <c r="H927" s="3">
        <f t="shared" si="287"/>
        <v>7.0685834705770345</v>
      </c>
      <c r="I927" s="4">
        <v>7.0685999999999999E-2</v>
      </c>
      <c r="K927" s="3">
        <v>319.24947396041239</v>
      </c>
      <c r="L927" s="3">
        <v>823.70160999999996</v>
      </c>
      <c r="M927" s="3">
        <v>1866.28568</v>
      </c>
      <c r="N927" s="12">
        <f t="shared" si="273"/>
        <v>1.0000023384349969E-2</v>
      </c>
      <c r="O927" s="11">
        <f t="shared" si="274"/>
        <v>706.86</v>
      </c>
      <c r="P927" s="1">
        <v>10</v>
      </c>
      <c r="Q927" s="1">
        <v>1</v>
      </c>
      <c r="R927" s="3">
        <f>Q927*VLOOKUP(P927,[4]Datos!$A$2:$D$14,2)</f>
        <v>8.19</v>
      </c>
      <c r="S927" s="10">
        <f t="shared" si="288"/>
        <v>87</v>
      </c>
      <c r="T927" s="2">
        <v>87</v>
      </c>
      <c r="U927" s="3">
        <f t="shared" si="289"/>
        <v>0.1</v>
      </c>
      <c r="V927" s="3"/>
      <c r="W927" s="1">
        <v>280</v>
      </c>
      <c r="X927" s="9">
        <v>2</v>
      </c>
      <c r="Y927" s="1">
        <v>4</v>
      </c>
      <c r="Z927" s="3">
        <f>X927*VLOOKUP(Y927,[4]Datos!$A$2:$D$14,2)</f>
        <v>2.58</v>
      </c>
      <c r="AA927" s="8">
        <v>0.3</v>
      </c>
      <c r="AB927" s="7">
        <f t="shared" si="275"/>
        <v>260.7542389499979</v>
      </c>
      <c r="AC927" s="7">
        <f t="shared" si="290"/>
        <v>71.137096483304632</v>
      </c>
      <c r="AD927" s="6" t="str">
        <f t="shared" si="276"/>
        <v>Cumple</v>
      </c>
      <c r="AE927" s="6"/>
      <c r="AH927" s="3"/>
    </row>
    <row r="928" spans="1:43" ht="15" customHeight="1" x14ac:dyDescent="0.3">
      <c r="A928" s="13"/>
      <c r="B928" s="1">
        <v>13</v>
      </c>
      <c r="C928" s="1">
        <v>640</v>
      </c>
      <c r="D928" s="1">
        <v>1</v>
      </c>
      <c r="E928" s="5">
        <v>1</v>
      </c>
      <c r="F928" s="3">
        <f t="shared" si="300"/>
        <v>13</v>
      </c>
      <c r="G928" s="5">
        <v>3</v>
      </c>
      <c r="H928" s="3">
        <f t="shared" si="287"/>
        <v>7.0685834705770345</v>
      </c>
      <c r="I928" s="4">
        <v>7.0685999999999999E-2</v>
      </c>
      <c r="K928" s="3">
        <v>299.5889384981528</v>
      </c>
      <c r="L928" s="3">
        <v>823.70160999999996</v>
      </c>
      <c r="M928" s="3">
        <v>1559.5065</v>
      </c>
      <c r="N928" s="12">
        <f t="shared" si="273"/>
        <v>1.0000023384349969E-2</v>
      </c>
      <c r="O928" s="11">
        <f t="shared" si="274"/>
        <v>706.86</v>
      </c>
      <c r="P928" s="1">
        <v>10</v>
      </c>
      <c r="Q928" s="1">
        <v>1</v>
      </c>
      <c r="R928" s="3">
        <f>Q928*VLOOKUP(P928,[4]Datos!$A$2:$D$14,2)</f>
        <v>8.19</v>
      </c>
      <c r="S928" s="10">
        <f t="shared" si="288"/>
        <v>87</v>
      </c>
      <c r="T928" s="2">
        <v>87</v>
      </c>
      <c r="U928" s="3">
        <f t="shared" si="289"/>
        <v>0.1</v>
      </c>
      <c r="V928" s="3"/>
      <c r="W928" s="1">
        <v>280</v>
      </c>
      <c r="X928" s="9">
        <v>2</v>
      </c>
      <c r="Y928" s="1">
        <v>4</v>
      </c>
      <c r="Z928" s="3">
        <f>X928*VLOOKUP(Y928,[4]Datos!$A$2:$D$14,2)</f>
        <v>2.58</v>
      </c>
      <c r="AA928" s="8">
        <v>0.3</v>
      </c>
      <c r="AB928" s="7">
        <f t="shared" si="275"/>
        <v>260.7542389499979</v>
      </c>
      <c r="AC928" s="7">
        <f t="shared" si="290"/>
        <v>71.137096483304632</v>
      </c>
      <c r="AD928" s="6" t="str">
        <f t="shared" si="276"/>
        <v>Cumple</v>
      </c>
      <c r="AE928" s="6"/>
      <c r="AH928" s="3"/>
    </row>
    <row r="929" spans="1:43" ht="15" customHeight="1" x14ac:dyDescent="0.3">
      <c r="A929" s="13"/>
      <c r="B929" s="1">
        <v>14</v>
      </c>
      <c r="C929" s="1">
        <v>641</v>
      </c>
      <c r="D929" s="1">
        <v>1</v>
      </c>
      <c r="E929" s="5">
        <v>1</v>
      </c>
      <c r="F929" s="3">
        <f t="shared" si="300"/>
        <v>14</v>
      </c>
      <c r="G929" s="5">
        <v>3</v>
      </c>
      <c r="H929" s="3">
        <f t="shared" si="287"/>
        <v>7.0685834705770345</v>
      </c>
      <c r="I929" s="4">
        <v>7.0685999999999999E-2</v>
      </c>
      <c r="K929" s="3">
        <v>273.07342193455958</v>
      </c>
      <c r="L929" s="3">
        <v>797.12653</v>
      </c>
      <c r="M929" s="3">
        <v>1269.6410699999999</v>
      </c>
      <c r="N929" s="12">
        <f t="shared" si="273"/>
        <v>1.0000023384349969E-2</v>
      </c>
      <c r="O929" s="11">
        <f t="shared" si="274"/>
        <v>706.86</v>
      </c>
      <c r="P929" s="1">
        <v>10</v>
      </c>
      <c r="Q929" s="15">
        <v>1</v>
      </c>
      <c r="R929" s="3">
        <f>Q929*VLOOKUP(P929,[4]Datos!$A$2:$D$14,2)</f>
        <v>8.19</v>
      </c>
      <c r="S929" s="10">
        <f t="shared" si="288"/>
        <v>87</v>
      </c>
      <c r="T929" s="14">
        <v>87</v>
      </c>
      <c r="U929" s="3">
        <f t="shared" si="289"/>
        <v>0.1</v>
      </c>
      <c r="V929" s="3"/>
      <c r="W929" s="1">
        <v>280</v>
      </c>
      <c r="X929" s="9">
        <v>2</v>
      </c>
      <c r="Y929" s="1">
        <v>4</v>
      </c>
      <c r="Z929" s="3">
        <f>X929*VLOOKUP(Y929,[4]Datos!$A$2:$D$14,2)</f>
        <v>2.58</v>
      </c>
      <c r="AA929" s="8">
        <v>0.3</v>
      </c>
      <c r="AB929" s="7">
        <f t="shared" si="275"/>
        <v>260.7542389499979</v>
      </c>
      <c r="AC929" s="7">
        <f t="shared" si="290"/>
        <v>71.137096483304632</v>
      </c>
      <c r="AD929" s="6" t="str">
        <f t="shared" si="276"/>
        <v>Cumple</v>
      </c>
      <c r="AE929" s="6"/>
      <c r="AH929" s="3"/>
    </row>
    <row r="930" spans="1:43" ht="15" customHeight="1" x14ac:dyDescent="0.3">
      <c r="A930" s="13"/>
      <c r="B930" s="1">
        <v>15</v>
      </c>
      <c r="C930" s="1">
        <v>642</v>
      </c>
      <c r="D930" s="1">
        <v>1</v>
      </c>
      <c r="E930" s="5">
        <v>1</v>
      </c>
      <c r="F930" s="3">
        <f t="shared" si="300"/>
        <v>15</v>
      </c>
      <c r="G930" s="5">
        <v>3</v>
      </c>
      <c r="H930" s="3">
        <f t="shared" si="287"/>
        <v>7.0685834705770345</v>
      </c>
      <c r="I930" s="4">
        <v>7.0685999999999999E-2</v>
      </c>
      <c r="K930" s="3">
        <v>241.53076183215254</v>
      </c>
      <c r="L930" s="3">
        <v>744.98307</v>
      </c>
      <c r="M930" s="3">
        <v>1004.53326</v>
      </c>
      <c r="N930" s="12">
        <f t="shared" si="273"/>
        <v>1.0000023384349969E-2</v>
      </c>
      <c r="O930" s="11">
        <f t="shared" si="274"/>
        <v>706.86</v>
      </c>
      <c r="P930" s="1">
        <v>10</v>
      </c>
      <c r="Q930" s="15">
        <v>1</v>
      </c>
      <c r="R930" s="3">
        <f>Q930*VLOOKUP(P930,[4]Datos!$A$2:$D$14,2)</f>
        <v>8.19</v>
      </c>
      <c r="S930" s="10">
        <f t="shared" si="288"/>
        <v>87</v>
      </c>
      <c r="T930" s="14">
        <v>87</v>
      </c>
      <c r="U930" s="3">
        <f t="shared" si="289"/>
        <v>0.1</v>
      </c>
      <c r="V930" s="3"/>
      <c r="W930" s="1">
        <v>280</v>
      </c>
      <c r="X930" s="9">
        <v>2</v>
      </c>
      <c r="Y930" s="1">
        <v>4</v>
      </c>
      <c r="Z930" s="3">
        <f>X930*VLOOKUP(Y930,[4]Datos!$A$2:$D$14,2)</f>
        <v>2.58</v>
      </c>
      <c r="AA930" s="8">
        <v>0.3</v>
      </c>
      <c r="AB930" s="7">
        <f t="shared" si="275"/>
        <v>260.7542389499979</v>
      </c>
      <c r="AC930" s="7">
        <f t="shared" si="290"/>
        <v>71.137096483304632</v>
      </c>
      <c r="AD930" s="6" t="str">
        <f t="shared" si="276"/>
        <v>Cumple</v>
      </c>
      <c r="AE930" s="6"/>
      <c r="AH930" s="3"/>
    </row>
    <row r="931" spans="1:43" ht="15" customHeight="1" x14ac:dyDescent="0.3">
      <c r="A931" s="13"/>
      <c r="B931" s="1">
        <v>16</v>
      </c>
      <c r="C931" s="1">
        <v>643</v>
      </c>
      <c r="D931" s="1">
        <v>1</v>
      </c>
      <c r="E931" s="5">
        <v>1</v>
      </c>
      <c r="F931" s="3">
        <f t="shared" si="300"/>
        <v>16</v>
      </c>
      <c r="G931" s="5">
        <v>3</v>
      </c>
      <c r="H931" s="3">
        <f t="shared" si="287"/>
        <v>7.0685834705770345</v>
      </c>
      <c r="I931" s="4">
        <v>7.0685999999999999E-2</v>
      </c>
      <c r="K931" s="3">
        <v>206.991086586476</v>
      </c>
      <c r="L931" s="3">
        <v>673.17566999999997</v>
      </c>
      <c r="M931" s="3">
        <v>773.23582999999996</v>
      </c>
      <c r="N931" s="12">
        <f t="shared" si="273"/>
        <v>1.0000023384349969E-2</v>
      </c>
      <c r="O931" s="11">
        <f t="shared" si="274"/>
        <v>706.86</v>
      </c>
      <c r="P931" s="1">
        <v>10</v>
      </c>
      <c r="Q931" s="15">
        <v>1</v>
      </c>
      <c r="R931" s="3">
        <f>Q931*VLOOKUP(P931,[4]Datos!$A$2:$D$14,2)</f>
        <v>8.19</v>
      </c>
      <c r="S931" s="10">
        <f t="shared" si="288"/>
        <v>87</v>
      </c>
      <c r="T931" s="14">
        <v>87</v>
      </c>
      <c r="U931" s="3">
        <f t="shared" si="289"/>
        <v>0.1</v>
      </c>
      <c r="V931" s="3"/>
      <c r="W931" s="1">
        <v>280</v>
      </c>
      <c r="X931" s="9">
        <v>2</v>
      </c>
      <c r="Y931" s="1">
        <v>4</v>
      </c>
      <c r="Z931" s="3">
        <f>X931*VLOOKUP(Y931,[4]Datos!$A$2:$D$14,2)</f>
        <v>2.58</v>
      </c>
      <c r="AA931" s="8">
        <v>0.3</v>
      </c>
      <c r="AB931" s="7">
        <f t="shared" si="275"/>
        <v>260.7542389499979</v>
      </c>
      <c r="AC931" s="7">
        <f t="shared" si="290"/>
        <v>71.137096483304632</v>
      </c>
      <c r="AD931" s="6" t="str">
        <f t="shared" si="276"/>
        <v>Cumple</v>
      </c>
      <c r="AE931" s="6"/>
      <c r="AH931" s="3"/>
    </row>
    <row r="932" spans="1:43" ht="15" customHeight="1" x14ac:dyDescent="0.3">
      <c r="A932" s="13"/>
      <c r="B932" s="1">
        <v>17</v>
      </c>
      <c r="C932" s="1">
        <v>644</v>
      </c>
      <c r="D932" s="1">
        <v>1</v>
      </c>
      <c r="E932" s="5">
        <v>1</v>
      </c>
      <c r="F932" s="3">
        <f t="shared" si="300"/>
        <v>17</v>
      </c>
      <c r="G932" s="5">
        <v>3</v>
      </c>
      <c r="H932" s="3">
        <f t="shared" si="287"/>
        <v>7.0685834705770345</v>
      </c>
      <c r="I932" s="4">
        <v>7.0685999999999999E-2</v>
      </c>
      <c r="K932" s="3">
        <v>173.57356489007768</v>
      </c>
      <c r="L932" s="3">
        <v>588.36600999999996</v>
      </c>
      <c r="M932" s="3">
        <v>574.83235999999999</v>
      </c>
      <c r="N932" s="12">
        <f t="shared" si="273"/>
        <v>1.0000023384349969E-2</v>
      </c>
      <c r="O932" s="11">
        <f t="shared" si="274"/>
        <v>706.86</v>
      </c>
      <c r="P932" s="1">
        <v>10</v>
      </c>
      <c r="Q932" s="1">
        <v>1</v>
      </c>
      <c r="R932" s="3">
        <f>Q932*VLOOKUP(P932,[4]Datos!$A$2:$D$14,2)</f>
        <v>8.19</v>
      </c>
      <c r="S932" s="10">
        <f t="shared" si="288"/>
        <v>87</v>
      </c>
      <c r="T932" s="2">
        <v>87</v>
      </c>
      <c r="U932" s="3">
        <f t="shared" si="289"/>
        <v>0.1</v>
      </c>
      <c r="V932" s="3"/>
      <c r="W932" s="1">
        <v>280</v>
      </c>
      <c r="X932" s="9">
        <v>2</v>
      </c>
      <c r="Y932" s="1">
        <v>4</v>
      </c>
      <c r="Z932" s="3">
        <f>X932*VLOOKUP(Y932,[4]Datos!$A$2:$D$14,2)</f>
        <v>2.58</v>
      </c>
      <c r="AA932" s="8">
        <v>0.3</v>
      </c>
      <c r="AB932" s="7">
        <f t="shared" si="275"/>
        <v>260.7542389499979</v>
      </c>
      <c r="AC932" s="7">
        <f t="shared" si="290"/>
        <v>71.137096483304632</v>
      </c>
      <c r="AD932" s="6" t="str">
        <f t="shared" si="276"/>
        <v>Cumple</v>
      </c>
      <c r="AE932" s="6"/>
      <c r="AH932" s="3"/>
    </row>
    <row r="933" spans="1:43" ht="15" customHeight="1" x14ac:dyDescent="0.3">
      <c r="A933" s="13"/>
      <c r="B933" s="1">
        <v>18</v>
      </c>
      <c r="C933" s="1">
        <v>645</v>
      </c>
      <c r="D933" s="1">
        <v>1</v>
      </c>
      <c r="E933" s="5">
        <v>1</v>
      </c>
      <c r="F933" s="3">
        <f t="shared" si="300"/>
        <v>18</v>
      </c>
      <c r="G933" s="5">
        <v>3</v>
      </c>
      <c r="H933" s="3">
        <f t="shared" si="287"/>
        <v>7.0685834705770345</v>
      </c>
      <c r="I933" s="4">
        <v>7.0685999999999999E-2</v>
      </c>
      <c r="K933" s="3">
        <v>141.90396719912377</v>
      </c>
      <c r="L933" s="3">
        <v>497.01033000000001</v>
      </c>
      <c r="M933" s="3">
        <v>410.37736999999998</v>
      </c>
      <c r="N933" s="12">
        <f t="shared" si="273"/>
        <v>1.0000023384349969E-2</v>
      </c>
      <c r="O933" s="11">
        <f t="shared" si="274"/>
        <v>706.86</v>
      </c>
      <c r="P933" s="1">
        <v>10</v>
      </c>
      <c r="Q933" s="1">
        <v>1</v>
      </c>
      <c r="R933" s="3">
        <f>Q933*VLOOKUP(P933,[4]Datos!$A$2:$D$14,2)</f>
        <v>8.19</v>
      </c>
      <c r="S933" s="10">
        <f t="shared" si="288"/>
        <v>87</v>
      </c>
      <c r="T933" s="2">
        <v>87</v>
      </c>
      <c r="U933" s="3">
        <f t="shared" si="289"/>
        <v>0.1</v>
      </c>
      <c r="V933" s="3"/>
      <c r="W933" s="1">
        <v>280</v>
      </c>
      <c r="X933" s="9">
        <v>2</v>
      </c>
      <c r="Y933" s="1">
        <v>4</v>
      </c>
      <c r="Z933" s="3">
        <f>X933*VLOOKUP(Y933,[4]Datos!$A$2:$D$14,2)</f>
        <v>2.58</v>
      </c>
      <c r="AA933" s="8">
        <v>0.3</v>
      </c>
      <c r="AB933" s="7">
        <f t="shared" si="275"/>
        <v>260.7542389499979</v>
      </c>
      <c r="AC933" s="7">
        <f t="shared" si="290"/>
        <v>71.137096483304632</v>
      </c>
      <c r="AD933" s="6" t="str">
        <f t="shared" si="276"/>
        <v>Cumple</v>
      </c>
      <c r="AE933" s="6"/>
      <c r="AH933" s="3"/>
    </row>
    <row r="934" spans="1:43" ht="15" customHeight="1" x14ac:dyDescent="0.3">
      <c r="A934" s="13"/>
      <c r="B934" s="1">
        <v>19</v>
      </c>
      <c r="C934" s="1">
        <v>646</v>
      </c>
      <c r="D934" s="1">
        <v>1</v>
      </c>
      <c r="E934" s="5">
        <v>1</v>
      </c>
      <c r="F934" s="3">
        <f t="shared" si="300"/>
        <v>19</v>
      </c>
      <c r="G934" s="5">
        <v>3</v>
      </c>
      <c r="H934" s="3">
        <f t="shared" si="287"/>
        <v>7.0685834705770345</v>
      </c>
      <c r="I934" s="4">
        <v>7.0685999999999999E-2</v>
      </c>
      <c r="K934" s="3">
        <v>114.86208871807965</v>
      </c>
      <c r="L934" s="3">
        <v>404.57447999999999</v>
      </c>
      <c r="M934" s="3">
        <v>279.80953</v>
      </c>
      <c r="N934" s="12">
        <f t="shared" si="273"/>
        <v>1.0000023384349969E-2</v>
      </c>
      <c r="O934" s="11">
        <f t="shared" si="274"/>
        <v>706.86</v>
      </c>
      <c r="P934" s="1">
        <v>10</v>
      </c>
      <c r="Q934" s="1">
        <v>1</v>
      </c>
      <c r="R934" s="3">
        <f>Q934*VLOOKUP(P934,[4]Datos!$A$2:$D$14,2)</f>
        <v>8.19</v>
      </c>
      <c r="S934" s="10">
        <f t="shared" si="288"/>
        <v>87</v>
      </c>
      <c r="T934" s="2">
        <v>87</v>
      </c>
      <c r="U934" s="3">
        <f t="shared" si="289"/>
        <v>0.1</v>
      </c>
      <c r="V934" s="3"/>
      <c r="W934" s="1">
        <v>280</v>
      </c>
      <c r="X934" s="9">
        <v>2</v>
      </c>
      <c r="Y934" s="1">
        <v>4</v>
      </c>
      <c r="Z934" s="3">
        <f>X934*VLOOKUP(Y934,[4]Datos!$A$2:$D$14,2)</f>
        <v>2.58</v>
      </c>
      <c r="AA934" s="8">
        <v>0.3</v>
      </c>
      <c r="AB934" s="7">
        <f t="shared" si="275"/>
        <v>260.7542389499979</v>
      </c>
      <c r="AC934" s="7">
        <f t="shared" si="290"/>
        <v>71.137096483304632</v>
      </c>
      <c r="AD934" s="6" t="str">
        <f t="shared" si="276"/>
        <v>Cumple</v>
      </c>
      <c r="AE934" s="6"/>
      <c r="AH934" s="3"/>
    </row>
    <row r="935" spans="1:43" ht="15" customHeight="1" x14ac:dyDescent="0.3">
      <c r="A935" s="13"/>
      <c r="B935" s="1">
        <v>20</v>
      </c>
      <c r="C935" s="1">
        <v>647</v>
      </c>
      <c r="D935" s="1">
        <v>1</v>
      </c>
      <c r="E935" s="5">
        <v>1</v>
      </c>
      <c r="F935" s="3">
        <f t="shared" si="300"/>
        <v>20</v>
      </c>
      <c r="G935" s="5">
        <v>3</v>
      </c>
      <c r="H935" s="3">
        <f t="shared" si="287"/>
        <v>7.0685834705770345</v>
      </c>
      <c r="I935" s="4">
        <v>7.0685999999999999E-2</v>
      </c>
      <c r="K935" s="3">
        <v>100.29326865213837</v>
      </c>
      <c r="L935" s="3">
        <v>315.51999000000001</v>
      </c>
      <c r="M935" s="3">
        <v>181.67524</v>
      </c>
      <c r="N935" s="12">
        <f t="shared" si="273"/>
        <v>1.0000023384349969E-2</v>
      </c>
      <c r="O935" s="11">
        <f t="shared" si="274"/>
        <v>706.86</v>
      </c>
      <c r="P935" s="1">
        <v>10</v>
      </c>
      <c r="Q935" s="1">
        <v>1</v>
      </c>
      <c r="R935" s="3">
        <f>Q935*VLOOKUP(P935,[4]Datos!$A$2:$D$14,2)</f>
        <v>8.19</v>
      </c>
      <c r="S935" s="10">
        <f t="shared" si="288"/>
        <v>87</v>
      </c>
      <c r="T935" s="2">
        <v>87</v>
      </c>
      <c r="U935" s="3">
        <f t="shared" si="289"/>
        <v>0.1</v>
      </c>
      <c r="V935" s="3"/>
      <c r="W935" s="1">
        <v>280</v>
      </c>
      <c r="X935" s="9">
        <v>2</v>
      </c>
      <c r="Y935" s="1">
        <v>4</v>
      </c>
      <c r="Z935" s="3">
        <f>X935*VLOOKUP(Y935,[4]Datos!$A$2:$D$14,2)</f>
        <v>2.58</v>
      </c>
      <c r="AA935" s="8">
        <v>0.3</v>
      </c>
      <c r="AB935" s="7">
        <f t="shared" si="275"/>
        <v>260.7542389499979</v>
      </c>
      <c r="AC935" s="7">
        <f t="shared" si="290"/>
        <v>71.137096483304632</v>
      </c>
      <c r="AD935" s="6" t="str">
        <f t="shared" si="276"/>
        <v>Cumple</v>
      </c>
      <c r="AE935" s="6"/>
      <c r="AH935" s="3"/>
    </row>
    <row r="936" spans="1:43" ht="15" customHeight="1" x14ac:dyDescent="0.3">
      <c r="A936" s="13"/>
      <c r="B936" s="1">
        <v>21</v>
      </c>
      <c r="C936" s="1">
        <v>673</v>
      </c>
      <c r="D936" s="1">
        <v>1</v>
      </c>
      <c r="E936" s="5">
        <v>1</v>
      </c>
      <c r="F936" s="3">
        <f t="shared" si="300"/>
        <v>21</v>
      </c>
      <c r="G936" s="5">
        <v>3</v>
      </c>
      <c r="H936" s="3">
        <f t="shared" si="287"/>
        <v>7.0685834705770345</v>
      </c>
      <c r="I936" s="4">
        <v>7.0685999999999999E-2</v>
      </c>
      <c r="K936" s="3">
        <v>84.722972304623497</v>
      </c>
      <c r="L936" s="3">
        <v>233.37018</v>
      </c>
      <c r="M936" s="3">
        <v>117.17807999999999</v>
      </c>
      <c r="N936" s="12">
        <f t="shared" si="273"/>
        <v>1.0000023384349969E-2</v>
      </c>
      <c r="O936" s="11">
        <f t="shared" si="274"/>
        <v>706.86</v>
      </c>
      <c r="P936" s="1">
        <v>10</v>
      </c>
      <c r="Q936" s="1">
        <v>1</v>
      </c>
      <c r="R936" s="3">
        <f>Q936*VLOOKUP(P936,[4]Datos!$A$2:$D$14,2)</f>
        <v>8.19</v>
      </c>
      <c r="S936" s="10">
        <f t="shared" si="288"/>
        <v>87</v>
      </c>
      <c r="T936" s="2">
        <v>87</v>
      </c>
      <c r="U936" s="3">
        <f t="shared" si="289"/>
        <v>0.1</v>
      </c>
      <c r="V936" s="3"/>
      <c r="W936" s="1">
        <v>280</v>
      </c>
      <c r="X936" s="9">
        <v>2</v>
      </c>
      <c r="Y936" s="1">
        <v>4</v>
      </c>
      <c r="Z936" s="3">
        <f>X936*VLOOKUP(Y936,[4]Datos!$A$2:$D$14,2)</f>
        <v>2.58</v>
      </c>
      <c r="AA936" s="8">
        <v>0.3</v>
      </c>
      <c r="AB936" s="7">
        <f t="shared" si="275"/>
        <v>260.7542389499979</v>
      </c>
      <c r="AC936" s="7">
        <f t="shared" si="290"/>
        <v>71.137096483304632</v>
      </c>
      <c r="AD936" s="6" t="str">
        <f t="shared" si="276"/>
        <v>Cumple</v>
      </c>
      <c r="AE936" s="6"/>
      <c r="AH936" s="3"/>
    </row>
    <row r="937" spans="1:43" ht="15" customHeight="1" x14ac:dyDescent="0.3">
      <c r="A937" s="13"/>
      <c r="B937" s="1">
        <v>22</v>
      </c>
      <c r="C937" s="1">
        <v>674</v>
      </c>
      <c r="D937" s="1">
        <v>1</v>
      </c>
      <c r="E937" s="5">
        <v>1</v>
      </c>
      <c r="F937" s="3">
        <f t="shared" si="300"/>
        <v>22</v>
      </c>
      <c r="G937" s="5">
        <v>3</v>
      </c>
      <c r="H937" s="3">
        <f t="shared" si="287"/>
        <v>7.0685834705770345</v>
      </c>
      <c r="I937" s="4">
        <v>7.0685999999999999E-2</v>
      </c>
      <c r="K937" s="3">
        <v>68.728242455194504</v>
      </c>
      <c r="L937" s="3">
        <v>160.83671000000001</v>
      </c>
      <c r="M937" s="3">
        <v>75.598190000000002</v>
      </c>
      <c r="N937" s="12">
        <f t="shared" si="273"/>
        <v>1.0000023384349969E-2</v>
      </c>
      <c r="O937" s="11">
        <f t="shared" si="274"/>
        <v>706.86</v>
      </c>
      <c r="P937" s="1">
        <v>10</v>
      </c>
      <c r="Q937" s="1">
        <v>1</v>
      </c>
      <c r="R937" s="3">
        <f>Q937*VLOOKUP(P937,[4]Datos!$A$2:$D$14,2)</f>
        <v>8.19</v>
      </c>
      <c r="S937" s="10">
        <f t="shared" si="288"/>
        <v>87</v>
      </c>
      <c r="T937" s="2">
        <v>87</v>
      </c>
      <c r="U937" s="3">
        <f t="shared" si="289"/>
        <v>0.1</v>
      </c>
      <c r="V937" s="3"/>
      <c r="W937" s="1">
        <v>280</v>
      </c>
      <c r="X937" s="9">
        <v>2</v>
      </c>
      <c r="Y937" s="1">
        <v>4</v>
      </c>
      <c r="Z937" s="3">
        <f>X937*VLOOKUP(Y937,[4]Datos!$A$2:$D$14,2)</f>
        <v>2.58</v>
      </c>
      <c r="AA937" s="8">
        <v>0.3</v>
      </c>
      <c r="AB937" s="7">
        <f t="shared" si="275"/>
        <v>260.7542389499979</v>
      </c>
      <c r="AC937" s="7">
        <f t="shared" si="290"/>
        <v>71.137096483304632</v>
      </c>
      <c r="AD937" s="6" t="str">
        <f t="shared" si="276"/>
        <v>Cumple</v>
      </c>
      <c r="AE937" s="6"/>
      <c r="AH937" s="3"/>
    </row>
    <row r="938" spans="1:43" ht="15" customHeight="1" x14ac:dyDescent="0.3">
      <c r="A938" s="13"/>
      <c r="B938" s="1">
        <v>23</v>
      </c>
      <c r="C938" s="1">
        <v>675</v>
      </c>
      <c r="D938" s="1">
        <v>1</v>
      </c>
      <c r="E938" s="5">
        <v>1</v>
      </c>
      <c r="F938" s="3">
        <f t="shared" si="300"/>
        <v>23</v>
      </c>
      <c r="G938" s="5">
        <v>3</v>
      </c>
      <c r="H938" s="3">
        <f t="shared" si="287"/>
        <v>7.0685834705770345</v>
      </c>
      <c r="I938" s="4">
        <v>7.0685999999999999E-2</v>
      </c>
      <c r="K938" s="3">
        <v>52.732075884133373</v>
      </c>
      <c r="L938" s="3">
        <v>99.978179999999995</v>
      </c>
      <c r="M938" s="3">
        <v>45.602350000000001</v>
      </c>
      <c r="N938" s="12">
        <f t="shared" si="273"/>
        <v>1.0000023384349969E-2</v>
      </c>
      <c r="O938" s="11">
        <f t="shared" si="274"/>
        <v>706.86</v>
      </c>
      <c r="P938" s="1">
        <v>10</v>
      </c>
      <c r="Q938" s="1">
        <v>1</v>
      </c>
      <c r="R938" s="3">
        <f>Q938*VLOOKUP(P938,[4]Datos!$A$2:$D$14,2)</f>
        <v>8.19</v>
      </c>
      <c r="S938" s="10">
        <f t="shared" si="288"/>
        <v>87</v>
      </c>
      <c r="T938" s="2">
        <v>87</v>
      </c>
      <c r="U938" s="3">
        <f t="shared" si="289"/>
        <v>0.1</v>
      </c>
      <c r="V938" s="3"/>
      <c r="W938" s="1">
        <v>280</v>
      </c>
      <c r="X938" s="9">
        <v>2</v>
      </c>
      <c r="Y938" s="1">
        <v>4</v>
      </c>
      <c r="Z938" s="3">
        <f>X938*VLOOKUP(Y938,[4]Datos!$A$2:$D$14,2)</f>
        <v>2.58</v>
      </c>
      <c r="AA938" s="8">
        <v>0.3</v>
      </c>
      <c r="AB938" s="7">
        <f t="shared" si="275"/>
        <v>260.7542389499979</v>
      </c>
      <c r="AC938" s="7">
        <f t="shared" si="290"/>
        <v>71.137096483304632</v>
      </c>
      <c r="AD938" s="6" t="str">
        <f t="shared" si="276"/>
        <v>Cumple</v>
      </c>
      <c r="AE938" s="6"/>
      <c r="AH938" s="3"/>
    </row>
    <row r="939" spans="1:43" ht="15" customHeight="1" x14ac:dyDescent="0.3">
      <c r="A939" s="13"/>
      <c r="B939" s="1">
        <v>24</v>
      </c>
      <c r="C939" s="1">
        <v>676</v>
      </c>
      <c r="D939" s="1">
        <v>1</v>
      </c>
      <c r="E939" s="5">
        <v>1</v>
      </c>
      <c r="F939" s="3">
        <f t="shared" si="300"/>
        <v>24</v>
      </c>
      <c r="G939" s="5">
        <v>3</v>
      </c>
      <c r="H939" s="3">
        <f t="shared" si="287"/>
        <v>7.0685834705770345</v>
      </c>
      <c r="I939" s="4">
        <v>7.0685999999999999E-2</v>
      </c>
      <c r="K939" s="3">
        <v>37.018810905403214</v>
      </c>
      <c r="L939" s="3">
        <v>52.355980000000002</v>
      </c>
      <c r="M939" s="3">
        <v>27.152950000000001</v>
      </c>
      <c r="N939" s="12">
        <f t="shared" si="273"/>
        <v>1.0000023384349969E-2</v>
      </c>
      <c r="O939" s="11">
        <f t="shared" si="274"/>
        <v>706.86</v>
      </c>
      <c r="P939" s="1">
        <v>10</v>
      </c>
      <c r="Q939" s="1">
        <v>1</v>
      </c>
      <c r="R939" s="3">
        <f>Q939*VLOOKUP(P939,[4]Datos!$A$2:$D$14,2)</f>
        <v>8.19</v>
      </c>
      <c r="S939" s="10">
        <f t="shared" si="288"/>
        <v>87</v>
      </c>
      <c r="T939" s="2">
        <v>87</v>
      </c>
      <c r="U939" s="3">
        <f t="shared" si="289"/>
        <v>0.1</v>
      </c>
      <c r="V939" s="3"/>
      <c r="W939" s="1">
        <v>280</v>
      </c>
      <c r="X939" s="9">
        <v>2</v>
      </c>
      <c r="Y939" s="1">
        <v>4</v>
      </c>
      <c r="Z939" s="3">
        <f>X939*VLOOKUP(Y939,[4]Datos!$A$2:$D$14,2)</f>
        <v>2.58</v>
      </c>
      <c r="AA939" s="8">
        <v>0.3</v>
      </c>
      <c r="AB939" s="7">
        <f t="shared" si="275"/>
        <v>260.7542389499979</v>
      </c>
      <c r="AC939" s="7">
        <f t="shared" si="290"/>
        <v>71.137096483304632</v>
      </c>
      <c r="AD939" s="6" t="str">
        <f t="shared" si="276"/>
        <v>Cumple</v>
      </c>
      <c r="AE939" s="6"/>
      <c r="AH939" s="3"/>
    </row>
    <row r="940" spans="1:43" ht="15" customHeight="1" x14ac:dyDescent="0.3">
      <c r="A940" s="13"/>
      <c r="B940" s="1">
        <v>25</v>
      </c>
      <c r="C940" s="1">
        <v>677</v>
      </c>
      <c r="D940" s="1">
        <v>1</v>
      </c>
      <c r="E940" s="5">
        <v>1</v>
      </c>
      <c r="F940" s="3">
        <f t="shared" si="300"/>
        <v>25</v>
      </c>
      <c r="G940" s="5">
        <v>3</v>
      </c>
      <c r="H940" s="3">
        <f t="shared" si="287"/>
        <v>7.0685834705770345</v>
      </c>
      <c r="I940" s="4">
        <v>7.0685999999999999E-2</v>
      </c>
      <c r="K940" s="3">
        <v>21.243648178690965</v>
      </c>
      <c r="L940" s="3">
        <v>19.056429999999999</v>
      </c>
      <c r="M940" s="3">
        <v>12.37861</v>
      </c>
      <c r="N940" s="12">
        <f t="shared" si="273"/>
        <v>1.0000023384349969E-2</v>
      </c>
      <c r="O940" s="11">
        <f t="shared" si="274"/>
        <v>706.86</v>
      </c>
      <c r="P940" s="1">
        <v>10</v>
      </c>
      <c r="Q940" s="1">
        <v>1</v>
      </c>
      <c r="R940" s="3">
        <f>Q940*VLOOKUP(P940,[4]Datos!$A$2:$D$14,2)</f>
        <v>8.19</v>
      </c>
      <c r="S940" s="10">
        <f t="shared" si="288"/>
        <v>87</v>
      </c>
      <c r="T940" s="2">
        <v>87</v>
      </c>
      <c r="U940" s="3">
        <f t="shared" si="289"/>
        <v>0.1</v>
      </c>
      <c r="V940" s="3"/>
      <c r="W940" s="1">
        <v>280</v>
      </c>
      <c r="X940" s="9">
        <v>2</v>
      </c>
      <c r="Y940" s="1">
        <v>4</v>
      </c>
      <c r="Z940" s="3">
        <f>X940*VLOOKUP(Y940,[4]Datos!$A$2:$D$14,2)</f>
        <v>2.58</v>
      </c>
      <c r="AA940" s="8">
        <v>0.3</v>
      </c>
      <c r="AB940" s="7">
        <f t="shared" si="275"/>
        <v>260.7542389499979</v>
      </c>
      <c r="AC940" s="7">
        <f t="shared" si="290"/>
        <v>71.137096483304632</v>
      </c>
      <c r="AD940" s="6" t="str">
        <f t="shared" si="276"/>
        <v>Cumple</v>
      </c>
      <c r="AE940" s="6"/>
      <c r="AH940" s="3"/>
    </row>
    <row r="941" spans="1:43" ht="15" customHeight="1" x14ac:dyDescent="0.3">
      <c r="A941" s="13" t="s">
        <v>2</v>
      </c>
      <c r="B941" s="1">
        <v>1</v>
      </c>
      <c r="C941" s="1">
        <v>608</v>
      </c>
      <c r="D941" s="1">
        <v>1</v>
      </c>
      <c r="E941" s="5">
        <v>1</v>
      </c>
      <c r="F941" s="3">
        <f>E941</f>
        <v>1</v>
      </c>
      <c r="G941" s="5">
        <v>3</v>
      </c>
      <c r="H941" s="3">
        <f t="shared" si="287"/>
        <v>7.0685834705770345</v>
      </c>
      <c r="I941" s="4">
        <v>8.5218000000000002E-2</v>
      </c>
      <c r="K941" s="3">
        <v>669.60202680383964</v>
      </c>
      <c r="L941" s="3">
        <v>3061.5783200000001</v>
      </c>
      <c r="M941" s="3">
        <v>3515.6355100000001</v>
      </c>
      <c r="N941" s="12">
        <f t="shared" si="273"/>
        <v>1.2055880835915678E-2</v>
      </c>
      <c r="O941" s="11">
        <f t="shared" si="274"/>
        <v>852.18000000000006</v>
      </c>
      <c r="P941" s="1">
        <v>10</v>
      </c>
      <c r="Q941" s="1">
        <v>1.33</v>
      </c>
      <c r="R941" s="3">
        <f>Q941*VLOOKUP(P941,[4]Datos!$A$2:$D$14,2)</f>
        <v>10.8927</v>
      </c>
      <c r="S941" s="10">
        <f t="shared" si="288"/>
        <v>79</v>
      </c>
      <c r="T941" s="2">
        <v>87</v>
      </c>
      <c r="U941" s="3">
        <f t="shared" si="289"/>
        <v>0.1</v>
      </c>
      <c r="V941" s="3"/>
      <c r="W941" s="1">
        <v>280</v>
      </c>
      <c r="X941" s="9">
        <v>2</v>
      </c>
      <c r="Y941" s="1">
        <v>6</v>
      </c>
      <c r="Z941" s="3">
        <f>X941*VLOOKUP(Y941,[4]Datos!$A$2:$D$14,2)</f>
        <v>5.68</v>
      </c>
      <c r="AA941" s="8">
        <v>4.972E-2</v>
      </c>
      <c r="AB941" s="7">
        <f t="shared" si="275"/>
        <v>260.7542389499979</v>
      </c>
      <c r="AC941" s="7">
        <f t="shared" si="290"/>
        <v>944.96320797669352</v>
      </c>
      <c r="AD941" s="6" t="str">
        <f t="shared" si="276"/>
        <v>Cumple</v>
      </c>
      <c r="AE941" s="6"/>
      <c r="AG941" s="7">
        <f t="shared" ref="AG941:AG949" si="301">ROUNDUP(MAX(0.45,3*G941,),0)</f>
        <v>9</v>
      </c>
      <c r="AH941" s="3">
        <f t="shared" ref="AH941:AH949" si="302">PI()*(G941-0.15)^2/4</f>
        <v>6.3793965821957741</v>
      </c>
      <c r="AI941" s="7">
        <f>G941-0.15-VLOOKUP(Y941,[4]Datos!$A$2:$D$14,3)/100</f>
        <v>2.8309000000000002</v>
      </c>
      <c r="AJ941" s="7">
        <f t="shared" ref="AJ941:AJ949" si="303">SQRT((PI()*AI941)^2+AA941^2)</f>
        <v>8.8936736237329566</v>
      </c>
      <c r="AK941" s="1">
        <v>0.12</v>
      </c>
      <c r="AL941" s="16">
        <f t="shared" ref="AL941:AL949" si="304">MAX(0.45*(H941/AH941-1),AK941)*(W941/4220)</f>
        <v>7.9620853080568724E-3</v>
      </c>
      <c r="AM941" s="7">
        <f t="shared" ref="AM941:AM949" si="305">AG941*(AJ941/AA941)</f>
        <v>1609.8765610136084</v>
      </c>
      <c r="AN941" s="17">
        <f t="shared" ref="AN941:AN949" si="306">AM941*Z941/X941/10000</f>
        <v>0.45720494332786477</v>
      </c>
      <c r="AO941" s="17">
        <f t="shared" ref="AO941:AO949" si="307">AH941*AG941</f>
        <v>57.414569239761967</v>
      </c>
      <c r="AP941" s="16">
        <f t="shared" ref="AP941:AP949" si="308">AN941/AO941</f>
        <v>7.9632216941067178E-3</v>
      </c>
      <c r="AQ941" s="6" t="str">
        <f t="shared" ref="AQ941:AQ949" si="309">+IF(AP941&gt;AL941,"Cumple","No Cumple")</f>
        <v>Cumple</v>
      </c>
    </row>
    <row r="942" spans="1:43" ht="15" customHeight="1" x14ac:dyDescent="0.3">
      <c r="A942" s="13"/>
      <c r="B942" s="1">
        <v>2</v>
      </c>
      <c r="C942" s="1">
        <v>609</v>
      </c>
      <c r="D942" s="1">
        <v>1</v>
      </c>
      <c r="E942" s="5">
        <v>1</v>
      </c>
      <c r="F942" s="3">
        <f>F941+E942</f>
        <v>2</v>
      </c>
      <c r="G942" s="5">
        <v>3</v>
      </c>
      <c r="H942" s="3">
        <f t="shared" si="287"/>
        <v>7.0685834705770345</v>
      </c>
      <c r="I942" s="4">
        <v>7.0685999999999999E-2</v>
      </c>
      <c r="K942" s="3">
        <v>649.72539099513426</v>
      </c>
      <c r="L942" s="3">
        <v>2492.8213799999999</v>
      </c>
      <c r="M942" s="3">
        <v>3564.3879999999999</v>
      </c>
      <c r="N942" s="12">
        <f t="shared" si="273"/>
        <v>1.0000023384349969E-2</v>
      </c>
      <c r="O942" s="11">
        <f t="shared" si="274"/>
        <v>706.86</v>
      </c>
      <c r="P942" s="1">
        <v>10</v>
      </c>
      <c r="Q942" s="1">
        <v>1.33</v>
      </c>
      <c r="R942" s="3">
        <f>Q942*VLOOKUP(P942,[4]Datos!$A$2:$D$14,2)</f>
        <v>10.8927</v>
      </c>
      <c r="S942" s="10">
        <f t="shared" si="288"/>
        <v>65</v>
      </c>
      <c r="T942" s="2">
        <v>87</v>
      </c>
      <c r="U942" s="3">
        <f t="shared" si="289"/>
        <v>0.1</v>
      </c>
      <c r="V942" s="3"/>
      <c r="W942" s="1">
        <v>280</v>
      </c>
      <c r="X942" s="9">
        <v>2</v>
      </c>
      <c r="Y942" s="1">
        <v>6</v>
      </c>
      <c r="Z942" s="3">
        <f>X942*VLOOKUP(Y942,[4]Datos!$A$2:$D$14,2)</f>
        <v>5.68</v>
      </c>
      <c r="AA942" s="8">
        <v>4.972E-2</v>
      </c>
      <c r="AB942" s="7">
        <f t="shared" si="275"/>
        <v>260.7542389499979</v>
      </c>
      <c r="AC942" s="7">
        <f t="shared" si="290"/>
        <v>944.96320797669352</v>
      </c>
      <c r="AD942" s="6" t="str">
        <f t="shared" si="276"/>
        <v>Cumple</v>
      </c>
      <c r="AE942" s="6"/>
      <c r="AG942" s="7">
        <f t="shared" si="301"/>
        <v>9</v>
      </c>
      <c r="AH942" s="3">
        <f t="shared" si="302"/>
        <v>6.3793965821957741</v>
      </c>
      <c r="AI942" s="7">
        <f>G942-0.15-VLOOKUP(Y942,[4]Datos!$A$2:$D$14,3)/100</f>
        <v>2.8309000000000002</v>
      </c>
      <c r="AJ942" s="7">
        <f t="shared" si="303"/>
        <v>8.8936736237329566</v>
      </c>
      <c r="AK942" s="1">
        <v>0.12</v>
      </c>
      <c r="AL942" s="16">
        <f t="shared" si="304"/>
        <v>7.9620853080568724E-3</v>
      </c>
      <c r="AM942" s="7">
        <f t="shared" si="305"/>
        <v>1609.8765610136084</v>
      </c>
      <c r="AN942" s="17">
        <f t="shared" si="306"/>
        <v>0.45720494332786477</v>
      </c>
      <c r="AO942" s="17">
        <f t="shared" si="307"/>
        <v>57.414569239761967</v>
      </c>
      <c r="AP942" s="16">
        <f t="shared" si="308"/>
        <v>7.9632216941067178E-3</v>
      </c>
      <c r="AQ942" s="6" t="str">
        <f t="shared" si="309"/>
        <v>Cumple</v>
      </c>
    </row>
    <row r="943" spans="1:43" ht="15" customHeight="1" x14ac:dyDescent="0.3">
      <c r="A943" s="13"/>
      <c r="B943" s="1">
        <v>3</v>
      </c>
      <c r="C943" s="1">
        <v>610</v>
      </c>
      <c r="D943" s="1">
        <v>1</v>
      </c>
      <c r="E943" s="5">
        <v>1</v>
      </c>
      <c r="F943" s="3">
        <f t="shared" ref="F943:F965" si="310">F942+E943</f>
        <v>3</v>
      </c>
      <c r="G943" s="5">
        <v>3</v>
      </c>
      <c r="H943" s="3">
        <f t="shared" si="287"/>
        <v>7.0685834705770345</v>
      </c>
      <c r="I943" s="4">
        <v>7.0685999999999999E-2</v>
      </c>
      <c r="K943" s="3">
        <v>609.81615352823337</v>
      </c>
      <c r="L943" s="3">
        <v>1940.58609</v>
      </c>
      <c r="M943" s="3">
        <v>3566.1042699999998</v>
      </c>
      <c r="N943" s="12">
        <f t="shared" si="273"/>
        <v>1.0000023384349969E-2</v>
      </c>
      <c r="O943" s="11">
        <f t="shared" si="274"/>
        <v>706.86</v>
      </c>
      <c r="P943" s="1">
        <v>10</v>
      </c>
      <c r="Q943" s="1">
        <v>1</v>
      </c>
      <c r="R943" s="3">
        <f>Q943*VLOOKUP(P943,[4]Datos!$A$2:$D$14,2)</f>
        <v>8.19</v>
      </c>
      <c r="S943" s="10">
        <f t="shared" si="288"/>
        <v>87</v>
      </c>
      <c r="T943" s="2">
        <v>87</v>
      </c>
      <c r="U943" s="3">
        <f t="shared" si="289"/>
        <v>0.1</v>
      </c>
      <c r="V943" s="3"/>
      <c r="W943" s="1">
        <v>280</v>
      </c>
      <c r="X943" s="9">
        <v>2</v>
      </c>
      <c r="Y943" s="1">
        <v>6</v>
      </c>
      <c r="Z943" s="3">
        <f>X943*VLOOKUP(Y943,[4]Datos!$A$2:$D$14,2)</f>
        <v>5.68</v>
      </c>
      <c r="AA943" s="8">
        <v>4.972E-2</v>
      </c>
      <c r="AB943" s="7">
        <f t="shared" si="275"/>
        <v>260.7542389499979</v>
      </c>
      <c r="AC943" s="7">
        <f t="shared" si="290"/>
        <v>944.96320797669352</v>
      </c>
      <c r="AD943" s="6" t="str">
        <f t="shared" si="276"/>
        <v>Cumple</v>
      </c>
      <c r="AE943" s="6"/>
      <c r="AG943" s="7">
        <f t="shared" si="301"/>
        <v>9</v>
      </c>
      <c r="AH943" s="3">
        <f t="shared" si="302"/>
        <v>6.3793965821957741</v>
      </c>
      <c r="AI943" s="7">
        <f>G943-0.15-VLOOKUP(Y943,[4]Datos!$A$2:$D$14,3)/100</f>
        <v>2.8309000000000002</v>
      </c>
      <c r="AJ943" s="7">
        <f t="shared" si="303"/>
        <v>8.8936736237329566</v>
      </c>
      <c r="AK943" s="1">
        <v>0.12</v>
      </c>
      <c r="AL943" s="16">
        <f t="shared" si="304"/>
        <v>7.9620853080568724E-3</v>
      </c>
      <c r="AM943" s="7">
        <f t="shared" si="305"/>
        <v>1609.8765610136084</v>
      </c>
      <c r="AN943" s="17">
        <f t="shared" si="306"/>
        <v>0.45720494332786477</v>
      </c>
      <c r="AO943" s="17">
        <f t="shared" si="307"/>
        <v>57.414569239761967</v>
      </c>
      <c r="AP943" s="16">
        <f t="shared" si="308"/>
        <v>7.9632216941067178E-3</v>
      </c>
      <c r="AQ943" s="6" t="str">
        <f t="shared" si="309"/>
        <v>Cumple</v>
      </c>
    </row>
    <row r="944" spans="1:43" ht="15" customHeight="1" x14ac:dyDescent="0.3">
      <c r="A944" s="13"/>
      <c r="B944" s="1">
        <v>4</v>
      </c>
      <c r="C944" s="1">
        <v>611</v>
      </c>
      <c r="D944" s="1">
        <v>1</v>
      </c>
      <c r="E944" s="5">
        <v>1</v>
      </c>
      <c r="F944" s="3">
        <f t="shared" si="310"/>
        <v>4</v>
      </c>
      <c r="G944" s="5">
        <v>3</v>
      </c>
      <c r="H944" s="3">
        <f t="shared" si="287"/>
        <v>7.0685834705770345</v>
      </c>
      <c r="I944" s="4">
        <v>7.0685999999999999E-2</v>
      </c>
      <c r="K944" s="3">
        <v>555.97575067275193</v>
      </c>
      <c r="L944" s="3">
        <v>1424.18967</v>
      </c>
      <c r="M944" s="3">
        <v>3566.1042699999998</v>
      </c>
      <c r="N944" s="12">
        <f t="shared" ref="N944:N1007" si="311">I944/H944</f>
        <v>1.0000023384349969E-2</v>
      </c>
      <c r="O944" s="11">
        <f t="shared" ref="O944:O1007" si="312">I944*10000</f>
        <v>706.86</v>
      </c>
      <c r="P944" s="1">
        <v>10</v>
      </c>
      <c r="Q944" s="1">
        <v>1</v>
      </c>
      <c r="R944" s="3">
        <f>Q944*VLOOKUP(P944,[4]Datos!$A$2:$D$14,2)</f>
        <v>8.19</v>
      </c>
      <c r="S944" s="10">
        <f t="shared" si="288"/>
        <v>87</v>
      </c>
      <c r="T944" s="2">
        <v>87</v>
      </c>
      <c r="U944" s="3">
        <f t="shared" si="289"/>
        <v>0.1</v>
      </c>
      <c r="V944" s="3"/>
      <c r="W944" s="1">
        <v>280</v>
      </c>
      <c r="X944" s="9">
        <v>2</v>
      </c>
      <c r="Y944" s="1">
        <v>6</v>
      </c>
      <c r="Z944" s="3">
        <f>X944*VLOOKUP(Y944,[4]Datos!$A$2:$D$14,2)</f>
        <v>5.68</v>
      </c>
      <c r="AA944" s="8">
        <v>4.972E-2</v>
      </c>
      <c r="AB944" s="7">
        <f t="shared" ref="AB944:AB1007" si="313">IF(D944=0,0.9,0.5)*0.9*0.53*SQRT(W944)*G944*MAX(0.72*G944,0.9*((G944/2)+((G944-0.11)/PI())))*10</f>
        <v>260.7542389499979</v>
      </c>
      <c r="AC944" s="7">
        <f t="shared" si="290"/>
        <v>944.96320797669352</v>
      </c>
      <c r="AD944" s="6" t="str">
        <f t="shared" ref="AD944:AD1007" si="314">+IF(AC944&gt;K944-AB944,"Cumple","No Cumple")</f>
        <v>Cumple</v>
      </c>
      <c r="AE944" s="6"/>
      <c r="AG944" s="7">
        <f t="shared" si="301"/>
        <v>9</v>
      </c>
      <c r="AH944" s="3">
        <f t="shared" si="302"/>
        <v>6.3793965821957741</v>
      </c>
      <c r="AI944" s="7">
        <f>G944-0.15-VLOOKUP(Y944,[4]Datos!$A$2:$D$14,3)/100</f>
        <v>2.8309000000000002</v>
      </c>
      <c r="AJ944" s="7">
        <f t="shared" si="303"/>
        <v>8.8936736237329566</v>
      </c>
      <c r="AK944" s="1">
        <v>0.12</v>
      </c>
      <c r="AL944" s="16">
        <f t="shared" si="304"/>
        <v>7.9620853080568724E-3</v>
      </c>
      <c r="AM944" s="7">
        <f t="shared" si="305"/>
        <v>1609.8765610136084</v>
      </c>
      <c r="AN944" s="17">
        <f t="shared" si="306"/>
        <v>0.45720494332786477</v>
      </c>
      <c r="AO944" s="17">
        <f t="shared" si="307"/>
        <v>57.414569239761967</v>
      </c>
      <c r="AP944" s="16">
        <f t="shared" si="308"/>
        <v>7.9632216941067178E-3</v>
      </c>
      <c r="AQ944" s="6" t="str">
        <f t="shared" si="309"/>
        <v>Cumple</v>
      </c>
    </row>
    <row r="945" spans="1:43" ht="15" customHeight="1" x14ac:dyDescent="0.3">
      <c r="A945" s="13"/>
      <c r="B945" s="1">
        <v>5</v>
      </c>
      <c r="C945" s="1">
        <v>612</v>
      </c>
      <c r="D945" s="1">
        <v>1</v>
      </c>
      <c r="E945" s="5">
        <v>1</v>
      </c>
      <c r="F945" s="3">
        <f t="shared" si="310"/>
        <v>5</v>
      </c>
      <c r="G945" s="5">
        <v>3</v>
      </c>
      <c r="H945" s="3">
        <f t="shared" si="287"/>
        <v>7.0685834705770345</v>
      </c>
      <c r="I945" s="4">
        <v>7.0685999999999999E-2</v>
      </c>
      <c r="K945" s="3">
        <v>496.06489161101695</v>
      </c>
      <c r="L945" s="3">
        <v>967.06524999999999</v>
      </c>
      <c r="M945" s="3">
        <v>3509.4853199999998</v>
      </c>
      <c r="N945" s="12">
        <f t="shared" si="311"/>
        <v>1.0000023384349969E-2</v>
      </c>
      <c r="O945" s="11">
        <f t="shared" si="312"/>
        <v>706.86</v>
      </c>
      <c r="P945" s="1">
        <v>10</v>
      </c>
      <c r="Q945" s="15">
        <v>1</v>
      </c>
      <c r="R945" s="3">
        <f>Q945*VLOOKUP(P945,[4]Datos!$A$2:$D$14,2)</f>
        <v>8.19</v>
      </c>
      <c r="S945" s="10">
        <f t="shared" si="288"/>
        <v>87</v>
      </c>
      <c r="T945" s="14">
        <v>87</v>
      </c>
      <c r="U945" s="3">
        <f t="shared" si="289"/>
        <v>0.1</v>
      </c>
      <c r="V945" s="3"/>
      <c r="W945" s="1">
        <v>280</v>
      </c>
      <c r="X945" s="9">
        <v>2</v>
      </c>
      <c r="Y945" s="1">
        <v>6</v>
      </c>
      <c r="Z945" s="3">
        <f>X945*VLOOKUP(Y945,[4]Datos!$A$2:$D$14,2)</f>
        <v>5.68</v>
      </c>
      <c r="AA945" s="8">
        <v>4.972E-2</v>
      </c>
      <c r="AB945" s="7">
        <f t="shared" si="313"/>
        <v>260.7542389499979</v>
      </c>
      <c r="AC945" s="7">
        <f t="shared" si="290"/>
        <v>944.96320797669352</v>
      </c>
      <c r="AD945" s="6" t="str">
        <f t="shared" si="314"/>
        <v>Cumple</v>
      </c>
      <c r="AE945" s="6"/>
      <c r="AG945" s="7">
        <f t="shared" si="301"/>
        <v>9</v>
      </c>
      <c r="AH945" s="3">
        <f t="shared" si="302"/>
        <v>6.3793965821957741</v>
      </c>
      <c r="AI945" s="7">
        <f>G945-0.15-VLOOKUP(Y945,[4]Datos!$A$2:$D$14,3)/100</f>
        <v>2.8309000000000002</v>
      </c>
      <c r="AJ945" s="7">
        <f t="shared" si="303"/>
        <v>8.8936736237329566</v>
      </c>
      <c r="AK945" s="1">
        <v>0.12</v>
      </c>
      <c r="AL945" s="16">
        <f t="shared" si="304"/>
        <v>7.9620853080568724E-3</v>
      </c>
      <c r="AM945" s="7">
        <f t="shared" si="305"/>
        <v>1609.8765610136084</v>
      </c>
      <c r="AN945" s="17">
        <f t="shared" si="306"/>
        <v>0.45720494332786477</v>
      </c>
      <c r="AO945" s="17">
        <f t="shared" si="307"/>
        <v>57.414569239761967</v>
      </c>
      <c r="AP945" s="16">
        <f t="shared" si="308"/>
        <v>7.9632216941067178E-3</v>
      </c>
      <c r="AQ945" s="6" t="str">
        <f t="shared" si="309"/>
        <v>Cumple</v>
      </c>
    </row>
    <row r="946" spans="1:43" x14ac:dyDescent="0.3">
      <c r="A946" s="13"/>
      <c r="B946" s="1">
        <v>6</v>
      </c>
      <c r="C946" s="1">
        <v>613</v>
      </c>
      <c r="D946" s="1">
        <v>1</v>
      </c>
      <c r="E946" s="5">
        <v>1</v>
      </c>
      <c r="F946" s="3">
        <f t="shared" si="310"/>
        <v>6</v>
      </c>
      <c r="G946" s="5">
        <v>3</v>
      </c>
      <c r="H946" s="3">
        <f t="shared" si="287"/>
        <v>7.0685834705770345</v>
      </c>
      <c r="I946" s="4">
        <v>7.0685999999999999E-2</v>
      </c>
      <c r="K946" s="3">
        <v>434.24183446145537</v>
      </c>
      <c r="L946" s="3">
        <v>647.71425999999997</v>
      </c>
      <c r="M946" s="3">
        <v>3392.1442499999998</v>
      </c>
      <c r="N946" s="12">
        <f t="shared" si="311"/>
        <v>1.0000023384349969E-2</v>
      </c>
      <c r="O946" s="11">
        <f t="shared" si="312"/>
        <v>706.86</v>
      </c>
      <c r="P946" s="1">
        <v>10</v>
      </c>
      <c r="Q946" s="15">
        <v>1</v>
      </c>
      <c r="R946" s="3">
        <f>Q946*VLOOKUP(P946,[4]Datos!$A$2:$D$14,2)</f>
        <v>8.19</v>
      </c>
      <c r="S946" s="10">
        <f t="shared" si="288"/>
        <v>87</v>
      </c>
      <c r="T946" s="14">
        <v>87</v>
      </c>
      <c r="U946" s="3">
        <f t="shared" si="289"/>
        <v>0.1</v>
      </c>
      <c r="V946" s="3"/>
      <c r="W946" s="1">
        <v>280</v>
      </c>
      <c r="X946" s="9">
        <v>2</v>
      </c>
      <c r="Y946" s="1">
        <v>6</v>
      </c>
      <c r="Z946" s="3">
        <f>X946*VLOOKUP(Y946,[4]Datos!$A$2:$D$14,2)</f>
        <v>5.68</v>
      </c>
      <c r="AA946" s="8">
        <v>4.972E-2</v>
      </c>
      <c r="AB946" s="7">
        <f t="shared" si="313"/>
        <v>260.7542389499979</v>
      </c>
      <c r="AC946" s="7">
        <f t="shared" si="290"/>
        <v>944.96320797669352</v>
      </c>
      <c r="AD946" s="6" t="str">
        <f t="shared" si="314"/>
        <v>Cumple</v>
      </c>
      <c r="AE946" s="6"/>
      <c r="AG946" s="7">
        <f t="shared" si="301"/>
        <v>9</v>
      </c>
      <c r="AH946" s="3">
        <f t="shared" si="302"/>
        <v>6.3793965821957741</v>
      </c>
      <c r="AI946" s="7">
        <f>G946-0.15-VLOOKUP(Y946,[4]Datos!$A$2:$D$14,3)/100</f>
        <v>2.8309000000000002</v>
      </c>
      <c r="AJ946" s="7">
        <f t="shared" si="303"/>
        <v>8.8936736237329566</v>
      </c>
      <c r="AK946" s="1">
        <v>0.12</v>
      </c>
      <c r="AL946" s="16">
        <f t="shared" si="304"/>
        <v>7.9620853080568724E-3</v>
      </c>
      <c r="AM946" s="7">
        <f t="shared" si="305"/>
        <v>1609.8765610136084</v>
      </c>
      <c r="AN946" s="17">
        <f t="shared" si="306"/>
        <v>0.45720494332786477</v>
      </c>
      <c r="AO946" s="17">
        <f t="shared" si="307"/>
        <v>57.414569239761967</v>
      </c>
      <c r="AP946" s="16">
        <f t="shared" si="308"/>
        <v>7.9632216941067178E-3</v>
      </c>
      <c r="AQ946" s="6" t="str">
        <f t="shared" si="309"/>
        <v>Cumple</v>
      </c>
    </row>
    <row r="947" spans="1:43" x14ac:dyDescent="0.3">
      <c r="A947" s="13"/>
      <c r="B947" s="1">
        <v>7</v>
      </c>
      <c r="C947" s="1">
        <v>614</v>
      </c>
      <c r="D947" s="1">
        <v>1</v>
      </c>
      <c r="E947" s="5">
        <v>1</v>
      </c>
      <c r="F947" s="3">
        <f t="shared" si="310"/>
        <v>7</v>
      </c>
      <c r="G947" s="5">
        <v>3</v>
      </c>
      <c r="H947" s="3">
        <f t="shared" si="287"/>
        <v>7.0685834705770345</v>
      </c>
      <c r="I947" s="4">
        <v>7.0685999999999999E-2</v>
      </c>
      <c r="K947" s="3">
        <v>373.23292771256132</v>
      </c>
      <c r="L947" s="3">
        <v>656.61656000000005</v>
      </c>
      <c r="M947" s="3">
        <v>3222.1333599999998</v>
      </c>
      <c r="N947" s="12">
        <f t="shared" si="311"/>
        <v>1.0000023384349969E-2</v>
      </c>
      <c r="O947" s="11">
        <f t="shared" si="312"/>
        <v>706.86</v>
      </c>
      <c r="P947" s="1">
        <v>10</v>
      </c>
      <c r="Q947" s="15">
        <v>1</v>
      </c>
      <c r="R947" s="3">
        <f>Q947*VLOOKUP(P947,[4]Datos!$A$2:$D$14,2)</f>
        <v>8.19</v>
      </c>
      <c r="S947" s="10">
        <f t="shared" si="288"/>
        <v>87</v>
      </c>
      <c r="T947" s="14">
        <v>87</v>
      </c>
      <c r="U947" s="3">
        <f t="shared" si="289"/>
        <v>0.1</v>
      </c>
      <c r="V947" s="3"/>
      <c r="W947" s="1">
        <v>280</v>
      </c>
      <c r="X947" s="9">
        <v>2</v>
      </c>
      <c r="Y947" s="1">
        <v>6</v>
      </c>
      <c r="Z947" s="3">
        <f>X947*VLOOKUP(Y947,[4]Datos!$A$2:$D$14,2)</f>
        <v>5.68</v>
      </c>
      <c r="AA947" s="8">
        <v>4.972E-2</v>
      </c>
      <c r="AB947" s="7">
        <f t="shared" si="313"/>
        <v>260.7542389499979</v>
      </c>
      <c r="AC947" s="7">
        <f t="shared" si="290"/>
        <v>944.96320797669352</v>
      </c>
      <c r="AD947" s="6" t="str">
        <f t="shared" si="314"/>
        <v>Cumple</v>
      </c>
      <c r="AE947" s="6"/>
      <c r="AG947" s="7">
        <f t="shared" si="301"/>
        <v>9</v>
      </c>
      <c r="AH947" s="3">
        <f t="shared" si="302"/>
        <v>6.3793965821957741</v>
      </c>
      <c r="AI947" s="7">
        <f>G947-0.15-VLOOKUP(Y947,[4]Datos!$A$2:$D$14,3)/100</f>
        <v>2.8309000000000002</v>
      </c>
      <c r="AJ947" s="7">
        <f t="shared" si="303"/>
        <v>8.8936736237329566</v>
      </c>
      <c r="AK947" s="1">
        <v>0.12</v>
      </c>
      <c r="AL947" s="16">
        <f t="shared" si="304"/>
        <v>7.9620853080568724E-3</v>
      </c>
      <c r="AM947" s="7">
        <f t="shared" si="305"/>
        <v>1609.8765610136084</v>
      </c>
      <c r="AN947" s="17">
        <f t="shared" si="306"/>
        <v>0.45720494332786477</v>
      </c>
      <c r="AO947" s="17">
        <f t="shared" si="307"/>
        <v>57.414569239761967</v>
      </c>
      <c r="AP947" s="16">
        <f t="shared" si="308"/>
        <v>7.9632216941067178E-3</v>
      </c>
      <c r="AQ947" s="6" t="str">
        <f t="shared" si="309"/>
        <v>Cumple</v>
      </c>
    </row>
    <row r="948" spans="1:43" x14ac:dyDescent="0.3">
      <c r="A948" s="13"/>
      <c r="B948" s="1">
        <v>8</v>
      </c>
      <c r="C948" s="1">
        <v>615</v>
      </c>
      <c r="D948" s="1">
        <v>1</v>
      </c>
      <c r="E948" s="5">
        <v>1</v>
      </c>
      <c r="F948" s="3">
        <f t="shared" si="310"/>
        <v>8</v>
      </c>
      <c r="G948" s="5">
        <v>3</v>
      </c>
      <c r="H948" s="3">
        <f t="shared" si="287"/>
        <v>7.0685834705770345</v>
      </c>
      <c r="I948" s="4">
        <v>7.0685999999999999E-2</v>
      </c>
      <c r="K948" s="3">
        <v>326.91578524298882</v>
      </c>
      <c r="L948" s="3">
        <v>703.52427</v>
      </c>
      <c r="M948" s="3">
        <v>3016.8651300000001</v>
      </c>
      <c r="N948" s="12">
        <f t="shared" si="311"/>
        <v>1.0000023384349969E-2</v>
      </c>
      <c r="O948" s="11">
        <f t="shared" si="312"/>
        <v>706.86</v>
      </c>
      <c r="P948" s="1">
        <v>10</v>
      </c>
      <c r="Q948" s="1">
        <v>1</v>
      </c>
      <c r="R948" s="3">
        <f>Q948*VLOOKUP(P948,[4]Datos!$A$2:$D$14,2)</f>
        <v>8.19</v>
      </c>
      <c r="S948" s="10">
        <f t="shared" si="288"/>
        <v>87</v>
      </c>
      <c r="T948" s="2">
        <v>87</v>
      </c>
      <c r="U948" s="3">
        <f t="shared" si="289"/>
        <v>0.1</v>
      </c>
      <c r="V948" s="3"/>
      <c r="W948" s="1">
        <v>280</v>
      </c>
      <c r="X948" s="9">
        <v>2</v>
      </c>
      <c r="Y948" s="1">
        <v>6</v>
      </c>
      <c r="Z948" s="3">
        <f>X948*VLOOKUP(Y948,[4]Datos!$A$2:$D$14,2)</f>
        <v>5.68</v>
      </c>
      <c r="AA948" s="8">
        <v>4.972E-2</v>
      </c>
      <c r="AB948" s="7">
        <f t="shared" si="313"/>
        <v>260.7542389499979</v>
      </c>
      <c r="AC948" s="7">
        <f t="shared" si="290"/>
        <v>944.96320797669352</v>
      </c>
      <c r="AD948" s="6" t="str">
        <f t="shared" si="314"/>
        <v>Cumple</v>
      </c>
      <c r="AE948" s="6"/>
      <c r="AG948" s="7">
        <f t="shared" si="301"/>
        <v>9</v>
      </c>
      <c r="AH948" s="3">
        <f t="shared" si="302"/>
        <v>6.3793965821957741</v>
      </c>
      <c r="AI948" s="7">
        <f>G948-0.15-VLOOKUP(Y948,[4]Datos!$A$2:$D$14,3)/100</f>
        <v>2.8309000000000002</v>
      </c>
      <c r="AJ948" s="7">
        <f t="shared" si="303"/>
        <v>8.8936736237329566</v>
      </c>
      <c r="AK948" s="1">
        <v>0.12</v>
      </c>
      <c r="AL948" s="16">
        <f t="shared" si="304"/>
        <v>7.9620853080568724E-3</v>
      </c>
      <c r="AM948" s="7">
        <f t="shared" si="305"/>
        <v>1609.8765610136084</v>
      </c>
      <c r="AN948" s="17">
        <f t="shared" si="306"/>
        <v>0.45720494332786477</v>
      </c>
      <c r="AO948" s="17">
        <f t="shared" si="307"/>
        <v>57.414569239761967</v>
      </c>
      <c r="AP948" s="16">
        <f t="shared" si="308"/>
        <v>7.9632216941067178E-3</v>
      </c>
      <c r="AQ948" s="6" t="str">
        <f t="shared" si="309"/>
        <v>Cumple</v>
      </c>
    </row>
    <row r="949" spans="1:43" x14ac:dyDescent="0.3">
      <c r="A949" s="13"/>
      <c r="B949" s="1">
        <v>9</v>
      </c>
      <c r="C949" s="1">
        <v>616</v>
      </c>
      <c r="D949" s="1">
        <v>1</v>
      </c>
      <c r="E949" s="5">
        <v>1</v>
      </c>
      <c r="F949" s="3">
        <f t="shared" si="310"/>
        <v>9</v>
      </c>
      <c r="G949" s="5">
        <v>3</v>
      </c>
      <c r="H949" s="3">
        <f t="shared" si="287"/>
        <v>7.0685834705770345</v>
      </c>
      <c r="I949" s="4">
        <v>7.0685999999999999E-2</v>
      </c>
      <c r="K949" s="3">
        <v>333.73034094022677</v>
      </c>
      <c r="L949" s="3">
        <v>726.46540000000005</v>
      </c>
      <c r="M949" s="3">
        <v>2772.7638299999999</v>
      </c>
      <c r="N949" s="12">
        <f t="shared" si="311"/>
        <v>1.0000023384349969E-2</v>
      </c>
      <c r="O949" s="11">
        <f t="shared" si="312"/>
        <v>706.86</v>
      </c>
      <c r="P949" s="1">
        <v>10</v>
      </c>
      <c r="Q949" s="1">
        <v>1</v>
      </c>
      <c r="R949" s="3">
        <f>Q949*VLOOKUP(P949,[4]Datos!$A$2:$D$14,2)</f>
        <v>8.19</v>
      </c>
      <c r="S949" s="10">
        <f t="shared" si="288"/>
        <v>87</v>
      </c>
      <c r="T949" s="2">
        <v>87</v>
      </c>
      <c r="U949" s="3">
        <f t="shared" si="289"/>
        <v>0.1</v>
      </c>
      <c r="V949" s="3"/>
      <c r="W949" s="1">
        <v>280</v>
      </c>
      <c r="X949" s="9">
        <v>2</v>
      </c>
      <c r="Y949" s="1">
        <v>6</v>
      </c>
      <c r="Z949" s="3">
        <f>X949*VLOOKUP(Y949,[4]Datos!$A$2:$D$14,2)</f>
        <v>5.68</v>
      </c>
      <c r="AA949" s="8">
        <v>4.972E-2</v>
      </c>
      <c r="AB949" s="7">
        <f t="shared" si="313"/>
        <v>260.7542389499979</v>
      </c>
      <c r="AC949" s="7">
        <f t="shared" si="290"/>
        <v>944.96320797669352</v>
      </c>
      <c r="AD949" s="6" t="str">
        <f t="shared" si="314"/>
        <v>Cumple</v>
      </c>
      <c r="AE949" s="6"/>
      <c r="AG949" s="7">
        <f t="shared" si="301"/>
        <v>9</v>
      </c>
      <c r="AH949" s="3">
        <f t="shared" si="302"/>
        <v>6.3793965821957741</v>
      </c>
      <c r="AI949" s="7">
        <f>G949-0.15-VLOOKUP(Y949,[4]Datos!$A$2:$D$14,3)/100</f>
        <v>2.8309000000000002</v>
      </c>
      <c r="AJ949" s="7">
        <f t="shared" si="303"/>
        <v>8.8936736237329566</v>
      </c>
      <c r="AK949" s="1">
        <v>0.12</v>
      </c>
      <c r="AL949" s="16">
        <f t="shared" si="304"/>
        <v>7.9620853080568724E-3</v>
      </c>
      <c r="AM949" s="7">
        <f t="shared" si="305"/>
        <v>1609.8765610136084</v>
      </c>
      <c r="AN949" s="17">
        <f t="shared" si="306"/>
        <v>0.45720494332786477</v>
      </c>
      <c r="AO949" s="17">
        <f t="shared" si="307"/>
        <v>57.414569239761967</v>
      </c>
      <c r="AP949" s="16">
        <f t="shared" si="308"/>
        <v>7.9632216941067178E-3</v>
      </c>
      <c r="AQ949" s="6" t="str">
        <f t="shared" si="309"/>
        <v>Cumple</v>
      </c>
    </row>
    <row r="950" spans="1:43" x14ac:dyDescent="0.3">
      <c r="A950" s="13"/>
      <c r="B950" s="1">
        <v>10</v>
      </c>
      <c r="C950" s="1">
        <v>617</v>
      </c>
      <c r="D950" s="1">
        <v>1</v>
      </c>
      <c r="E950" s="5">
        <v>1</v>
      </c>
      <c r="F950" s="3">
        <f t="shared" si="310"/>
        <v>10</v>
      </c>
      <c r="G950" s="5">
        <v>3</v>
      </c>
      <c r="H950" s="3">
        <f t="shared" si="287"/>
        <v>7.0685834705770345</v>
      </c>
      <c r="I950" s="4">
        <v>7.0685999999999999E-2</v>
      </c>
      <c r="K950" s="3">
        <v>334.31282905987916</v>
      </c>
      <c r="L950" s="3">
        <v>775.78611000000001</v>
      </c>
      <c r="M950" s="3">
        <v>2501.2063199999998</v>
      </c>
      <c r="N950" s="12">
        <f t="shared" si="311"/>
        <v>1.0000023384349969E-2</v>
      </c>
      <c r="O950" s="11">
        <f t="shared" si="312"/>
        <v>706.86</v>
      </c>
      <c r="P950" s="1">
        <v>10</v>
      </c>
      <c r="Q950" s="1">
        <v>1</v>
      </c>
      <c r="R950" s="3">
        <f>Q950*VLOOKUP(P950,[4]Datos!$A$2:$D$14,2)</f>
        <v>8.19</v>
      </c>
      <c r="S950" s="10">
        <f t="shared" si="288"/>
        <v>87</v>
      </c>
      <c r="T950" s="2">
        <v>87</v>
      </c>
      <c r="U950" s="3">
        <f t="shared" si="289"/>
        <v>0.1</v>
      </c>
      <c r="V950" s="3"/>
      <c r="W950" s="1">
        <v>280</v>
      </c>
      <c r="X950" s="9">
        <v>2</v>
      </c>
      <c r="Y950" s="1">
        <v>4</v>
      </c>
      <c r="Z950" s="3">
        <f>X950*VLOOKUP(Y950,[4]Datos!$A$2:$D$14,2)</f>
        <v>2.58</v>
      </c>
      <c r="AA950" s="8">
        <v>0.15</v>
      </c>
      <c r="AB950" s="7">
        <f t="shared" si="313"/>
        <v>260.7542389499979</v>
      </c>
      <c r="AC950" s="7">
        <f t="shared" si="290"/>
        <v>142.27419296660926</v>
      </c>
      <c r="AD950" s="6" t="str">
        <f t="shared" si="314"/>
        <v>Cumple</v>
      </c>
      <c r="AE950" s="6"/>
      <c r="AH950" s="3"/>
    </row>
    <row r="951" spans="1:43" x14ac:dyDescent="0.3">
      <c r="A951" s="13"/>
      <c r="B951" s="1">
        <v>11</v>
      </c>
      <c r="C951" s="1">
        <v>618</v>
      </c>
      <c r="D951" s="1">
        <v>1</v>
      </c>
      <c r="E951" s="5">
        <v>1</v>
      </c>
      <c r="F951" s="3">
        <f t="shared" si="310"/>
        <v>11</v>
      </c>
      <c r="G951" s="5">
        <v>3</v>
      </c>
      <c r="H951" s="3">
        <f t="shared" si="287"/>
        <v>7.0685834705770345</v>
      </c>
      <c r="I951" s="4">
        <v>7.0685999999999999E-2</v>
      </c>
      <c r="K951" s="3">
        <v>327.52211156769249</v>
      </c>
      <c r="L951" s="3">
        <v>822.48101999999994</v>
      </c>
      <c r="M951" s="3">
        <v>2212.4037499999999</v>
      </c>
      <c r="N951" s="12">
        <f t="shared" si="311"/>
        <v>1.0000023384349969E-2</v>
      </c>
      <c r="O951" s="11">
        <f t="shared" si="312"/>
        <v>706.86</v>
      </c>
      <c r="P951" s="1">
        <v>10</v>
      </c>
      <c r="Q951" s="1">
        <v>1</v>
      </c>
      <c r="R951" s="3">
        <f>Q951*VLOOKUP(P951,[4]Datos!$A$2:$D$14,2)</f>
        <v>8.19</v>
      </c>
      <c r="S951" s="10">
        <f t="shared" si="288"/>
        <v>87</v>
      </c>
      <c r="T951" s="2">
        <v>87</v>
      </c>
      <c r="U951" s="3">
        <f t="shared" si="289"/>
        <v>0.1</v>
      </c>
      <c r="V951" s="3"/>
      <c r="W951" s="1">
        <v>280</v>
      </c>
      <c r="X951" s="9">
        <v>2</v>
      </c>
      <c r="Y951" s="1">
        <v>4</v>
      </c>
      <c r="Z951" s="3">
        <f>X951*VLOOKUP(Y951,[4]Datos!$A$2:$D$14,2)</f>
        <v>2.58</v>
      </c>
      <c r="AA951" s="8">
        <v>0.15</v>
      </c>
      <c r="AB951" s="7">
        <f t="shared" si="313"/>
        <v>260.7542389499979</v>
      </c>
      <c r="AC951" s="7">
        <f t="shared" si="290"/>
        <v>142.27419296660926</v>
      </c>
      <c r="AD951" s="6" t="str">
        <f t="shared" si="314"/>
        <v>Cumple</v>
      </c>
      <c r="AE951" s="6"/>
      <c r="AH951" s="3"/>
    </row>
    <row r="952" spans="1:43" x14ac:dyDescent="0.3">
      <c r="A952" s="13"/>
      <c r="B952" s="1">
        <v>12</v>
      </c>
      <c r="C952" s="1">
        <v>619</v>
      </c>
      <c r="D952" s="1">
        <v>1</v>
      </c>
      <c r="E952" s="5">
        <v>1</v>
      </c>
      <c r="F952" s="3">
        <f t="shared" si="310"/>
        <v>12</v>
      </c>
      <c r="G952" s="5">
        <v>3</v>
      </c>
      <c r="H952" s="3">
        <f t="shared" si="287"/>
        <v>7.0685834705770345</v>
      </c>
      <c r="I952" s="4">
        <v>7.0685999999999999E-2</v>
      </c>
      <c r="K952" s="3">
        <v>314.23545211151782</v>
      </c>
      <c r="L952" s="3">
        <v>826.62003000000004</v>
      </c>
      <c r="M952" s="3">
        <v>1916.2553800000001</v>
      </c>
      <c r="N952" s="12">
        <f t="shared" si="311"/>
        <v>1.0000023384349969E-2</v>
      </c>
      <c r="O952" s="11">
        <f t="shared" si="312"/>
        <v>706.86</v>
      </c>
      <c r="P952" s="1">
        <v>10</v>
      </c>
      <c r="Q952" s="1">
        <v>1</v>
      </c>
      <c r="R952" s="3">
        <f>Q952*VLOOKUP(P952,[4]Datos!$A$2:$D$14,2)</f>
        <v>8.19</v>
      </c>
      <c r="S952" s="10">
        <f t="shared" si="288"/>
        <v>87</v>
      </c>
      <c r="T952" s="2">
        <v>87</v>
      </c>
      <c r="U952" s="3">
        <f t="shared" si="289"/>
        <v>0.1</v>
      </c>
      <c r="V952" s="3"/>
      <c r="W952" s="1">
        <v>280</v>
      </c>
      <c r="X952" s="9">
        <v>2</v>
      </c>
      <c r="Y952" s="1">
        <v>4</v>
      </c>
      <c r="Z952" s="3">
        <f>X952*VLOOKUP(Y952,[4]Datos!$A$2:$D$14,2)</f>
        <v>2.58</v>
      </c>
      <c r="AA952" s="8">
        <v>0.3</v>
      </c>
      <c r="AB952" s="7">
        <f t="shared" si="313"/>
        <v>260.7542389499979</v>
      </c>
      <c r="AC952" s="7">
        <f t="shared" si="290"/>
        <v>71.137096483304632</v>
      </c>
      <c r="AD952" s="6" t="str">
        <f t="shared" si="314"/>
        <v>Cumple</v>
      </c>
      <c r="AE952" s="6"/>
      <c r="AH952" s="3"/>
    </row>
    <row r="953" spans="1:43" x14ac:dyDescent="0.3">
      <c r="A953" s="13"/>
      <c r="B953" s="1">
        <v>13</v>
      </c>
      <c r="C953" s="1">
        <v>620</v>
      </c>
      <c r="D953" s="1">
        <v>1</v>
      </c>
      <c r="E953" s="5">
        <v>1</v>
      </c>
      <c r="F953" s="3">
        <f t="shared" si="310"/>
        <v>13</v>
      </c>
      <c r="G953" s="5">
        <v>3</v>
      </c>
      <c r="H953" s="3">
        <f t="shared" si="287"/>
        <v>7.0685834705770345</v>
      </c>
      <c r="I953" s="4">
        <v>7.0685999999999999E-2</v>
      </c>
      <c r="K953" s="3">
        <v>294.47448866864505</v>
      </c>
      <c r="L953" s="3">
        <v>826.62001999999995</v>
      </c>
      <c r="M953" s="3">
        <v>1622.6483000000001</v>
      </c>
      <c r="N953" s="12">
        <f t="shared" si="311"/>
        <v>1.0000023384349969E-2</v>
      </c>
      <c r="O953" s="11">
        <f t="shared" si="312"/>
        <v>706.86</v>
      </c>
      <c r="P953" s="1">
        <v>10</v>
      </c>
      <c r="Q953" s="1">
        <v>1</v>
      </c>
      <c r="R953" s="3">
        <f>Q953*VLOOKUP(P953,[4]Datos!$A$2:$D$14,2)</f>
        <v>8.19</v>
      </c>
      <c r="S953" s="10">
        <f t="shared" si="288"/>
        <v>87</v>
      </c>
      <c r="T953" s="2">
        <v>87</v>
      </c>
      <c r="U953" s="3">
        <f t="shared" si="289"/>
        <v>0.1</v>
      </c>
      <c r="V953" s="3"/>
      <c r="W953" s="1">
        <v>280</v>
      </c>
      <c r="X953" s="9">
        <v>2</v>
      </c>
      <c r="Y953" s="1">
        <v>4</v>
      </c>
      <c r="Z953" s="3">
        <f>X953*VLOOKUP(Y953,[4]Datos!$A$2:$D$14,2)</f>
        <v>2.58</v>
      </c>
      <c r="AA953" s="8">
        <v>0.3</v>
      </c>
      <c r="AB953" s="7">
        <f t="shared" si="313"/>
        <v>260.7542389499979</v>
      </c>
      <c r="AC953" s="7">
        <f t="shared" si="290"/>
        <v>71.137096483304632</v>
      </c>
      <c r="AD953" s="6" t="str">
        <f t="shared" si="314"/>
        <v>Cumple</v>
      </c>
      <c r="AE953" s="6"/>
      <c r="AH953" s="3"/>
    </row>
    <row r="954" spans="1:43" x14ac:dyDescent="0.3">
      <c r="A954" s="13"/>
      <c r="B954" s="1">
        <v>14</v>
      </c>
      <c r="C954" s="1">
        <v>621</v>
      </c>
      <c r="D954" s="1">
        <v>1</v>
      </c>
      <c r="E954" s="5">
        <v>1</v>
      </c>
      <c r="F954" s="3">
        <f t="shared" si="310"/>
        <v>14</v>
      </c>
      <c r="G954" s="5">
        <v>3</v>
      </c>
      <c r="H954" s="3">
        <f t="shared" si="287"/>
        <v>7.0685834705770345</v>
      </c>
      <c r="I954" s="4">
        <v>7.0685999999999999E-2</v>
      </c>
      <c r="K954" s="3">
        <v>270.72333163999735</v>
      </c>
      <c r="L954" s="3">
        <v>796.25620000000004</v>
      </c>
      <c r="M954" s="3">
        <v>1340.8275000000001</v>
      </c>
      <c r="N954" s="12">
        <f t="shared" si="311"/>
        <v>1.0000023384349969E-2</v>
      </c>
      <c r="O954" s="11">
        <f t="shared" si="312"/>
        <v>706.86</v>
      </c>
      <c r="P954" s="1">
        <v>10</v>
      </c>
      <c r="Q954" s="15">
        <v>1</v>
      </c>
      <c r="R954" s="3">
        <f>Q954*VLOOKUP(P954,[4]Datos!$A$2:$D$14,2)</f>
        <v>8.19</v>
      </c>
      <c r="S954" s="10">
        <f t="shared" si="288"/>
        <v>87</v>
      </c>
      <c r="T954" s="14">
        <v>87</v>
      </c>
      <c r="U954" s="3">
        <f t="shared" si="289"/>
        <v>0.1</v>
      </c>
      <c r="V954" s="3"/>
      <c r="W954" s="1">
        <v>280</v>
      </c>
      <c r="X954" s="9">
        <v>2</v>
      </c>
      <c r="Y954" s="1">
        <v>4</v>
      </c>
      <c r="Z954" s="3">
        <f>X954*VLOOKUP(Y954,[4]Datos!$A$2:$D$14,2)</f>
        <v>2.58</v>
      </c>
      <c r="AA954" s="8">
        <v>0.3</v>
      </c>
      <c r="AB954" s="7">
        <f t="shared" si="313"/>
        <v>260.7542389499979</v>
      </c>
      <c r="AC954" s="7">
        <f t="shared" si="290"/>
        <v>71.137096483304632</v>
      </c>
      <c r="AD954" s="6" t="str">
        <f t="shared" si="314"/>
        <v>Cumple</v>
      </c>
      <c r="AE954" s="6"/>
      <c r="AH954" s="3"/>
    </row>
    <row r="955" spans="1:43" x14ac:dyDescent="0.3">
      <c r="A955" s="13"/>
      <c r="B955" s="1">
        <v>15</v>
      </c>
      <c r="C955" s="1">
        <v>622</v>
      </c>
      <c r="D955" s="1">
        <v>1</v>
      </c>
      <c r="E955" s="5">
        <v>1</v>
      </c>
      <c r="F955" s="3">
        <f t="shared" si="310"/>
        <v>15</v>
      </c>
      <c r="G955" s="5">
        <v>3</v>
      </c>
      <c r="H955" s="3">
        <f t="shared" si="287"/>
        <v>7.0685834705770345</v>
      </c>
      <c r="I955" s="4">
        <v>7.0685999999999999E-2</v>
      </c>
      <c r="K955" s="3">
        <v>243.94307603031081</v>
      </c>
      <c r="L955" s="3">
        <v>739.54758000000004</v>
      </c>
      <c r="M955" s="3">
        <v>1078.7580700000001</v>
      </c>
      <c r="N955" s="12">
        <f t="shared" si="311"/>
        <v>1.0000023384349969E-2</v>
      </c>
      <c r="O955" s="11">
        <f t="shared" si="312"/>
        <v>706.86</v>
      </c>
      <c r="P955" s="1">
        <v>10</v>
      </c>
      <c r="Q955" s="15">
        <v>1</v>
      </c>
      <c r="R955" s="3">
        <f>Q955*VLOOKUP(P955,[4]Datos!$A$2:$D$14,2)</f>
        <v>8.19</v>
      </c>
      <c r="S955" s="10">
        <f t="shared" si="288"/>
        <v>87</v>
      </c>
      <c r="T955" s="14">
        <v>87</v>
      </c>
      <c r="U955" s="3">
        <f t="shared" si="289"/>
        <v>0.1</v>
      </c>
      <c r="V955" s="3"/>
      <c r="W955" s="1">
        <v>280</v>
      </c>
      <c r="X955" s="9">
        <v>2</v>
      </c>
      <c r="Y955" s="1">
        <v>4</v>
      </c>
      <c r="Z955" s="3">
        <f>X955*VLOOKUP(Y955,[4]Datos!$A$2:$D$14,2)</f>
        <v>2.58</v>
      </c>
      <c r="AA955" s="8">
        <v>0.3</v>
      </c>
      <c r="AB955" s="7">
        <f t="shared" si="313"/>
        <v>260.7542389499979</v>
      </c>
      <c r="AC955" s="7">
        <f t="shared" si="290"/>
        <v>71.137096483304632</v>
      </c>
      <c r="AD955" s="6" t="str">
        <f t="shared" si="314"/>
        <v>Cumple</v>
      </c>
      <c r="AE955" s="6"/>
      <c r="AH955" s="3"/>
    </row>
    <row r="956" spans="1:43" x14ac:dyDescent="0.3">
      <c r="A956" s="13"/>
      <c r="B956" s="1">
        <v>16</v>
      </c>
      <c r="C956" s="1">
        <v>623</v>
      </c>
      <c r="D956" s="1">
        <v>1</v>
      </c>
      <c r="E956" s="5">
        <v>1</v>
      </c>
      <c r="F956" s="3">
        <f t="shared" si="310"/>
        <v>16</v>
      </c>
      <c r="G956" s="5">
        <v>3</v>
      </c>
      <c r="H956" s="3">
        <f t="shared" si="287"/>
        <v>7.0685834705770345</v>
      </c>
      <c r="I956" s="4">
        <v>7.0685999999999999E-2</v>
      </c>
      <c r="K956" s="3">
        <v>214.25391786014089</v>
      </c>
      <c r="L956" s="3">
        <v>664.28770999999995</v>
      </c>
      <c r="M956" s="3">
        <v>843.31196</v>
      </c>
      <c r="N956" s="12">
        <f t="shared" si="311"/>
        <v>1.0000023384349969E-2</v>
      </c>
      <c r="O956" s="11">
        <f t="shared" si="312"/>
        <v>706.86</v>
      </c>
      <c r="P956" s="1">
        <v>10</v>
      </c>
      <c r="Q956" s="15">
        <v>1</v>
      </c>
      <c r="R956" s="3">
        <f>Q956*VLOOKUP(P956,[4]Datos!$A$2:$D$14,2)</f>
        <v>8.19</v>
      </c>
      <c r="S956" s="10">
        <f t="shared" si="288"/>
        <v>87</v>
      </c>
      <c r="T956" s="14">
        <v>87</v>
      </c>
      <c r="U956" s="3">
        <f t="shared" si="289"/>
        <v>0.1</v>
      </c>
      <c r="V956" s="3"/>
      <c r="W956" s="1">
        <v>280</v>
      </c>
      <c r="X956" s="9">
        <v>2</v>
      </c>
      <c r="Y956" s="1">
        <v>4</v>
      </c>
      <c r="Z956" s="3">
        <f>X956*VLOOKUP(Y956,[4]Datos!$A$2:$D$14,2)</f>
        <v>2.58</v>
      </c>
      <c r="AA956" s="8">
        <v>0.3</v>
      </c>
      <c r="AB956" s="7">
        <f t="shared" si="313"/>
        <v>260.7542389499979</v>
      </c>
      <c r="AC956" s="7">
        <f t="shared" si="290"/>
        <v>71.137096483304632</v>
      </c>
      <c r="AD956" s="6" t="str">
        <f t="shared" si="314"/>
        <v>Cumple</v>
      </c>
      <c r="AE956" s="6"/>
      <c r="AH956" s="3"/>
    </row>
    <row r="957" spans="1:43" x14ac:dyDescent="0.3">
      <c r="A957" s="13"/>
      <c r="B957" s="1">
        <v>17</v>
      </c>
      <c r="C957" s="1">
        <v>624</v>
      </c>
      <c r="D957" s="1">
        <v>1</v>
      </c>
      <c r="E957" s="5">
        <v>1</v>
      </c>
      <c r="F957" s="3">
        <f t="shared" si="310"/>
        <v>17</v>
      </c>
      <c r="G957" s="5">
        <v>3</v>
      </c>
      <c r="H957" s="3">
        <f t="shared" si="287"/>
        <v>7.0685834705770345</v>
      </c>
      <c r="I957" s="4">
        <v>7.0685999999999999E-2</v>
      </c>
      <c r="K957" s="3">
        <v>183.02346615090102</v>
      </c>
      <c r="L957" s="3">
        <v>577.57651999999996</v>
      </c>
      <c r="M957" s="3">
        <v>640.40939000000003</v>
      </c>
      <c r="N957" s="12">
        <f t="shared" si="311"/>
        <v>1.0000023384349969E-2</v>
      </c>
      <c r="O957" s="11">
        <f t="shared" si="312"/>
        <v>706.86</v>
      </c>
      <c r="P957" s="1">
        <v>10</v>
      </c>
      <c r="Q957" s="1">
        <v>1</v>
      </c>
      <c r="R957" s="3">
        <f>Q957*VLOOKUP(P957,[4]Datos!$A$2:$D$14,2)</f>
        <v>8.19</v>
      </c>
      <c r="S957" s="10">
        <f t="shared" si="288"/>
        <v>87</v>
      </c>
      <c r="T957" s="2">
        <v>87</v>
      </c>
      <c r="U957" s="3">
        <f t="shared" si="289"/>
        <v>0.1</v>
      </c>
      <c r="V957" s="3"/>
      <c r="W957" s="1">
        <v>280</v>
      </c>
      <c r="X957" s="9">
        <v>2</v>
      </c>
      <c r="Y957" s="1">
        <v>4</v>
      </c>
      <c r="Z957" s="3">
        <f>X957*VLOOKUP(Y957,[4]Datos!$A$2:$D$14,2)</f>
        <v>2.58</v>
      </c>
      <c r="AA957" s="8">
        <v>0.3</v>
      </c>
      <c r="AB957" s="7">
        <f t="shared" si="313"/>
        <v>260.7542389499979</v>
      </c>
      <c r="AC957" s="7">
        <f t="shared" si="290"/>
        <v>71.137096483304632</v>
      </c>
      <c r="AD957" s="6" t="str">
        <f t="shared" si="314"/>
        <v>Cumple</v>
      </c>
      <c r="AE957" s="6"/>
      <c r="AH957" s="3"/>
    </row>
    <row r="958" spans="1:43" x14ac:dyDescent="0.3">
      <c r="A958" s="13"/>
      <c r="B958" s="1">
        <v>18</v>
      </c>
      <c r="C958" s="1">
        <v>625</v>
      </c>
      <c r="D958" s="1">
        <v>1</v>
      </c>
      <c r="E958" s="5">
        <v>1</v>
      </c>
      <c r="F958" s="3">
        <f t="shared" si="310"/>
        <v>18</v>
      </c>
      <c r="G958" s="5">
        <v>3</v>
      </c>
      <c r="H958" s="3">
        <f t="shared" si="287"/>
        <v>7.0685834705770345</v>
      </c>
      <c r="I958" s="4">
        <v>7.0685999999999999E-2</v>
      </c>
      <c r="K958" s="3">
        <v>151.67544305245988</v>
      </c>
      <c r="L958" s="3">
        <v>485.61392999999998</v>
      </c>
      <c r="M958" s="3">
        <v>468.50763000000001</v>
      </c>
      <c r="N958" s="12">
        <f t="shared" si="311"/>
        <v>1.0000023384349969E-2</v>
      </c>
      <c r="O958" s="11">
        <f t="shared" si="312"/>
        <v>706.86</v>
      </c>
      <c r="P958" s="1">
        <v>10</v>
      </c>
      <c r="Q958" s="1">
        <v>1</v>
      </c>
      <c r="R958" s="3">
        <f>Q958*VLOOKUP(P958,[4]Datos!$A$2:$D$14,2)</f>
        <v>8.19</v>
      </c>
      <c r="S958" s="10">
        <f t="shared" si="288"/>
        <v>87</v>
      </c>
      <c r="T958" s="2">
        <v>87</v>
      </c>
      <c r="U958" s="3">
        <f t="shared" si="289"/>
        <v>0.1</v>
      </c>
      <c r="V958" s="3"/>
      <c r="W958" s="1">
        <v>280</v>
      </c>
      <c r="X958" s="9">
        <v>2</v>
      </c>
      <c r="Y958" s="1">
        <v>4</v>
      </c>
      <c r="Z958" s="3">
        <f>X958*VLOOKUP(Y958,[4]Datos!$A$2:$D$14,2)</f>
        <v>2.58</v>
      </c>
      <c r="AA958" s="8">
        <v>0.3</v>
      </c>
      <c r="AB958" s="7">
        <f t="shared" si="313"/>
        <v>260.7542389499979</v>
      </c>
      <c r="AC958" s="7">
        <f t="shared" si="290"/>
        <v>71.137096483304632</v>
      </c>
      <c r="AD958" s="6" t="str">
        <f t="shared" si="314"/>
        <v>Cumple</v>
      </c>
      <c r="AE958" s="6"/>
      <c r="AH958" s="3"/>
    </row>
    <row r="959" spans="1:43" x14ac:dyDescent="0.3">
      <c r="A959" s="13"/>
      <c r="B959" s="1">
        <v>19</v>
      </c>
      <c r="C959" s="1">
        <v>626</v>
      </c>
      <c r="D959" s="1">
        <v>1</v>
      </c>
      <c r="E959" s="5">
        <v>1</v>
      </c>
      <c r="F959" s="3">
        <f t="shared" si="310"/>
        <v>19</v>
      </c>
      <c r="G959" s="5">
        <v>3</v>
      </c>
      <c r="H959" s="3">
        <f t="shared" si="287"/>
        <v>7.0685834705770345</v>
      </c>
      <c r="I959" s="4">
        <v>7.0685999999999999E-2</v>
      </c>
      <c r="K959" s="3">
        <v>121.67554439594672</v>
      </c>
      <c r="L959" s="3">
        <v>393.60217999999998</v>
      </c>
      <c r="M959" s="3">
        <v>328.29701</v>
      </c>
      <c r="N959" s="12">
        <f t="shared" si="311"/>
        <v>1.0000023384349969E-2</v>
      </c>
      <c r="O959" s="11">
        <f t="shared" si="312"/>
        <v>706.86</v>
      </c>
      <c r="P959" s="1">
        <v>10</v>
      </c>
      <c r="Q959" s="1">
        <v>1</v>
      </c>
      <c r="R959" s="3">
        <f>Q959*VLOOKUP(P959,[4]Datos!$A$2:$D$14,2)</f>
        <v>8.19</v>
      </c>
      <c r="S959" s="10">
        <f t="shared" si="288"/>
        <v>87</v>
      </c>
      <c r="T959" s="2">
        <v>87</v>
      </c>
      <c r="U959" s="3">
        <f t="shared" si="289"/>
        <v>0.1</v>
      </c>
      <c r="V959" s="3"/>
      <c r="W959" s="1">
        <v>280</v>
      </c>
      <c r="X959" s="9">
        <v>2</v>
      </c>
      <c r="Y959" s="1">
        <v>4</v>
      </c>
      <c r="Z959" s="3">
        <f>X959*VLOOKUP(Y959,[4]Datos!$A$2:$D$14,2)</f>
        <v>2.58</v>
      </c>
      <c r="AA959" s="8">
        <v>0.3</v>
      </c>
      <c r="AB959" s="7">
        <f t="shared" si="313"/>
        <v>260.7542389499979</v>
      </c>
      <c r="AC959" s="7">
        <f t="shared" si="290"/>
        <v>71.137096483304632</v>
      </c>
      <c r="AD959" s="6" t="str">
        <f t="shared" si="314"/>
        <v>Cumple</v>
      </c>
      <c r="AE959" s="6"/>
      <c r="AH959" s="3"/>
    </row>
    <row r="960" spans="1:43" x14ac:dyDescent="0.3">
      <c r="A960" s="13"/>
      <c r="B960" s="1">
        <v>20</v>
      </c>
      <c r="C960" s="1">
        <v>627</v>
      </c>
      <c r="D960" s="1">
        <v>1</v>
      </c>
      <c r="E960" s="5">
        <v>1</v>
      </c>
      <c r="F960" s="3">
        <f t="shared" si="310"/>
        <v>20</v>
      </c>
      <c r="G960" s="5">
        <v>3</v>
      </c>
      <c r="H960" s="3">
        <f t="shared" si="287"/>
        <v>7.0685834705770345</v>
      </c>
      <c r="I960" s="4">
        <v>7.0685999999999999E-2</v>
      </c>
      <c r="K960" s="3">
        <v>98.43650039070873</v>
      </c>
      <c r="L960" s="3">
        <v>305.74182000000002</v>
      </c>
      <c r="M960" s="3">
        <v>218.9804</v>
      </c>
      <c r="N960" s="12">
        <f t="shared" si="311"/>
        <v>1.0000023384349969E-2</v>
      </c>
      <c r="O960" s="11">
        <f t="shared" si="312"/>
        <v>706.86</v>
      </c>
      <c r="P960" s="1">
        <v>10</v>
      </c>
      <c r="Q960" s="1">
        <v>1</v>
      </c>
      <c r="R960" s="3">
        <f>Q960*VLOOKUP(P960,[4]Datos!$A$2:$D$14,2)</f>
        <v>8.19</v>
      </c>
      <c r="S960" s="10">
        <f t="shared" si="288"/>
        <v>87</v>
      </c>
      <c r="T960" s="2">
        <v>87</v>
      </c>
      <c r="U960" s="3">
        <f t="shared" si="289"/>
        <v>0.1</v>
      </c>
      <c r="V960" s="3"/>
      <c r="W960" s="1">
        <v>280</v>
      </c>
      <c r="X960" s="9">
        <v>2</v>
      </c>
      <c r="Y960" s="1">
        <v>4</v>
      </c>
      <c r="Z960" s="3">
        <f>X960*VLOOKUP(Y960,[4]Datos!$A$2:$D$14,2)</f>
        <v>2.58</v>
      </c>
      <c r="AA960" s="8">
        <v>0.3</v>
      </c>
      <c r="AB960" s="7">
        <f t="shared" si="313"/>
        <v>260.7542389499979</v>
      </c>
      <c r="AC960" s="7">
        <f t="shared" si="290"/>
        <v>71.137096483304632</v>
      </c>
      <c r="AD960" s="6" t="str">
        <f t="shared" si="314"/>
        <v>Cumple</v>
      </c>
      <c r="AE960" s="6"/>
      <c r="AH960" s="3"/>
    </row>
    <row r="961" spans="1:43" x14ac:dyDescent="0.3">
      <c r="A961" s="13"/>
      <c r="B961" s="1">
        <v>21</v>
      </c>
      <c r="C961" s="1">
        <v>668</v>
      </c>
      <c r="D961" s="1">
        <v>1</v>
      </c>
      <c r="E961" s="5">
        <v>1</v>
      </c>
      <c r="F961" s="3">
        <f t="shared" si="310"/>
        <v>21</v>
      </c>
      <c r="G961" s="5">
        <v>3</v>
      </c>
      <c r="H961" s="3">
        <f t="shared" si="287"/>
        <v>7.0685834705770345</v>
      </c>
      <c r="I961" s="4">
        <v>7.0685999999999999E-2</v>
      </c>
      <c r="K961" s="3">
        <v>84.264894320529478</v>
      </c>
      <c r="L961" s="3">
        <v>225.3039</v>
      </c>
      <c r="M961" s="3">
        <v>138.52121</v>
      </c>
      <c r="N961" s="12">
        <f t="shared" si="311"/>
        <v>1.0000023384349969E-2</v>
      </c>
      <c r="O961" s="11">
        <f t="shared" si="312"/>
        <v>706.86</v>
      </c>
      <c r="P961" s="1">
        <v>10</v>
      </c>
      <c r="Q961" s="1">
        <v>1</v>
      </c>
      <c r="R961" s="3">
        <f>Q961*VLOOKUP(P961,[4]Datos!$A$2:$D$14,2)</f>
        <v>8.19</v>
      </c>
      <c r="S961" s="10">
        <f t="shared" si="288"/>
        <v>87</v>
      </c>
      <c r="T961" s="2">
        <v>87</v>
      </c>
      <c r="U961" s="3">
        <f t="shared" si="289"/>
        <v>0.1</v>
      </c>
      <c r="V961" s="3"/>
      <c r="W961" s="1">
        <v>280</v>
      </c>
      <c r="X961" s="9">
        <v>2</v>
      </c>
      <c r="Y961" s="1">
        <v>4</v>
      </c>
      <c r="Z961" s="3">
        <f>X961*VLOOKUP(Y961,[4]Datos!$A$2:$D$14,2)</f>
        <v>2.58</v>
      </c>
      <c r="AA961" s="8">
        <v>0.3</v>
      </c>
      <c r="AB961" s="7">
        <f t="shared" si="313"/>
        <v>260.7542389499979</v>
      </c>
      <c r="AC961" s="7">
        <f t="shared" si="290"/>
        <v>71.137096483304632</v>
      </c>
      <c r="AD961" s="6" t="str">
        <f t="shared" si="314"/>
        <v>Cumple</v>
      </c>
      <c r="AE961" s="6"/>
      <c r="AH961" s="3"/>
    </row>
    <row r="962" spans="1:43" x14ac:dyDescent="0.3">
      <c r="A962" s="13"/>
      <c r="B962" s="1">
        <v>22</v>
      </c>
      <c r="C962" s="1">
        <v>669</v>
      </c>
      <c r="D962" s="1">
        <v>1</v>
      </c>
      <c r="E962" s="5">
        <v>1</v>
      </c>
      <c r="F962" s="3">
        <f t="shared" si="310"/>
        <v>22</v>
      </c>
      <c r="G962" s="5">
        <v>3</v>
      </c>
      <c r="H962" s="3">
        <f t="shared" si="287"/>
        <v>7.0685834705770345</v>
      </c>
      <c r="I962" s="4">
        <v>7.0685999999999999E-2</v>
      </c>
      <c r="K962" s="3">
        <v>68.994744876113572</v>
      </c>
      <c r="L962" s="3">
        <v>154.85855000000001</v>
      </c>
      <c r="M962" s="3">
        <v>88.478639999999999</v>
      </c>
      <c r="N962" s="12">
        <f t="shared" si="311"/>
        <v>1.0000023384349969E-2</v>
      </c>
      <c r="O962" s="11">
        <f t="shared" si="312"/>
        <v>706.86</v>
      </c>
      <c r="P962" s="1">
        <v>10</v>
      </c>
      <c r="Q962" s="1">
        <v>1</v>
      </c>
      <c r="R962" s="3">
        <f>Q962*VLOOKUP(P962,[4]Datos!$A$2:$D$14,2)</f>
        <v>8.19</v>
      </c>
      <c r="S962" s="10">
        <f t="shared" si="288"/>
        <v>87</v>
      </c>
      <c r="T962" s="2">
        <v>87</v>
      </c>
      <c r="U962" s="3">
        <f t="shared" si="289"/>
        <v>0.1</v>
      </c>
      <c r="V962" s="3"/>
      <c r="W962" s="1">
        <v>280</v>
      </c>
      <c r="X962" s="9">
        <v>2</v>
      </c>
      <c r="Y962" s="1">
        <v>4</v>
      </c>
      <c r="Z962" s="3">
        <f>X962*VLOOKUP(Y962,[4]Datos!$A$2:$D$14,2)</f>
        <v>2.58</v>
      </c>
      <c r="AA962" s="8">
        <v>0.3</v>
      </c>
      <c r="AB962" s="7">
        <f t="shared" si="313"/>
        <v>260.7542389499979</v>
      </c>
      <c r="AC962" s="7">
        <f t="shared" si="290"/>
        <v>71.137096483304632</v>
      </c>
      <c r="AD962" s="6" t="str">
        <f t="shared" si="314"/>
        <v>Cumple</v>
      </c>
      <c r="AE962" s="6"/>
      <c r="AH962" s="3"/>
    </row>
    <row r="963" spans="1:43" x14ac:dyDescent="0.3">
      <c r="A963" s="13"/>
      <c r="B963" s="1">
        <v>23</v>
      </c>
      <c r="C963" s="1">
        <v>670</v>
      </c>
      <c r="D963" s="1">
        <v>1</v>
      </c>
      <c r="E963" s="5">
        <v>1</v>
      </c>
      <c r="F963" s="3">
        <f t="shared" si="310"/>
        <v>23</v>
      </c>
      <c r="G963" s="5">
        <v>3</v>
      </c>
      <c r="H963" s="3">
        <f t="shared" si="287"/>
        <v>7.0685834705770345</v>
      </c>
      <c r="I963" s="4">
        <v>7.0685999999999999E-2</v>
      </c>
      <c r="K963" s="3">
        <v>53.191092814680914</v>
      </c>
      <c r="L963" s="3">
        <v>96.063329999999993</v>
      </c>
      <c r="M963" s="3">
        <v>54.66827</v>
      </c>
      <c r="N963" s="12">
        <f t="shared" si="311"/>
        <v>1.0000023384349969E-2</v>
      </c>
      <c r="O963" s="11">
        <f t="shared" si="312"/>
        <v>706.86</v>
      </c>
      <c r="P963" s="1">
        <v>10</v>
      </c>
      <c r="Q963" s="1">
        <v>1</v>
      </c>
      <c r="R963" s="3">
        <f>Q963*VLOOKUP(P963,[4]Datos!$A$2:$D$14,2)</f>
        <v>8.19</v>
      </c>
      <c r="S963" s="10">
        <f t="shared" si="288"/>
        <v>87</v>
      </c>
      <c r="T963" s="2">
        <v>87</v>
      </c>
      <c r="U963" s="3">
        <f t="shared" si="289"/>
        <v>0.1</v>
      </c>
      <c r="V963" s="3"/>
      <c r="W963" s="1">
        <v>280</v>
      </c>
      <c r="X963" s="9">
        <v>2</v>
      </c>
      <c r="Y963" s="1">
        <v>4</v>
      </c>
      <c r="Z963" s="3">
        <f>X963*VLOOKUP(Y963,[4]Datos!$A$2:$D$14,2)</f>
        <v>2.58</v>
      </c>
      <c r="AA963" s="8">
        <v>0.3</v>
      </c>
      <c r="AB963" s="7">
        <f t="shared" si="313"/>
        <v>260.7542389499979</v>
      </c>
      <c r="AC963" s="7">
        <f t="shared" si="290"/>
        <v>71.137096483304632</v>
      </c>
      <c r="AD963" s="6" t="str">
        <f t="shared" si="314"/>
        <v>Cumple</v>
      </c>
      <c r="AE963" s="6"/>
      <c r="AH963" s="3"/>
    </row>
    <row r="964" spans="1:43" x14ac:dyDescent="0.3">
      <c r="A964" s="13"/>
      <c r="B964" s="1">
        <v>24</v>
      </c>
      <c r="C964" s="1">
        <v>671</v>
      </c>
      <c r="D964" s="1">
        <v>1</v>
      </c>
      <c r="E964" s="5">
        <v>1</v>
      </c>
      <c r="F964" s="3">
        <f t="shared" si="310"/>
        <v>24</v>
      </c>
      <c r="G964" s="5">
        <v>3</v>
      </c>
      <c r="H964" s="3">
        <f t="shared" si="287"/>
        <v>7.0685834705770345</v>
      </c>
      <c r="I964" s="4">
        <v>7.0685999999999999E-2</v>
      </c>
      <c r="K964" s="3">
        <v>37.272576734242556</v>
      </c>
      <c r="L964" s="3">
        <v>50.261020000000002</v>
      </c>
      <c r="M964" s="3">
        <v>29.367519999999999</v>
      </c>
      <c r="N964" s="12">
        <f t="shared" si="311"/>
        <v>1.0000023384349969E-2</v>
      </c>
      <c r="O964" s="11">
        <f t="shared" si="312"/>
        <v>706.86</v>
      </c>
      <c r="P964" s="1">
        <v>10</v>
      </c>
      <c r="Q964" s="1">
        <v>1</v>
      </c>
      <c r="R964" s="3">
        <f>Q964*VLOOKUP(P964,[4]Datos!$A$2:$D$14,2)</f>
        <v>8.19</v>
      </c>
      <c r="S964" s="10">
        <f t="shared" si="288"/>
        <v>87</v>
      </c>
      <c r="T964" s="2">
        <v>87</v>
      </c>
      <c r="U964" s="3">
        <f t="shared" si="289"/>
        <v>0.1</v>
      </c>
      <c r="V964" s="3"/>
      <c r="W964" s="1">
        <v>280</v>
      </c>
      <c r="X964" s="9">
        <v>2</v>
      </c>
      <c r="Y964" s="1">
        <v>4</v>
      </c>
      <c r="Z964" s="3">
        <f>X964*VLOOKUP(Y964,[4]Datos!$A$2:$D$14,2)</f>
        <v>2.58</v>
      </c>
      <c r="AA964" s="8">
        <v>0.3</v>
      </c>
      <c r="AB964" s="7">
        <f t="shared" si="313"/>
        <v>260.7542389499979</v>
      </c>
      <c r="AC964" s="7">
        <f t="shared" si="290"/>
        <v>71.137096483304632</v>
      </c>
      <c r="AD964" s="6" t="str">
        <f t="shared" si="314"/>
        <v>Cumple</v>
      </c>
      <c r="AE964" s="6"/>
      <c r="AH964" s="3"/>
    </row>
    <row r="965" spans="1:43" x14ac:dyDescent="0.3">
      <c r="A965" s="13"/>
      <c r="B965" s="1">
        <v>25</v>
      </c>
      <c r="C965" s="1">
        <v>672</v>
      </c>
      <c r="D965" s="1">
        <v>1</v>
      </c>
      <c r="E965" s="5">
        <v>1</v>
      </c>
      <c r="F965" s="3">
        <f t="shared" si="310"/>
        <v>25</v>
      </c>
      <c r="G965" s="5">
        <v>3</v>
      </c>
      <c r="H965" s="3">
        <f t="shared" si="287"/>
        <v>7.0685834705770345</v>
      </c>
      <c r="I965" s="4">
        <v>7.0685999999999999E-2</v>
      </c>
      <c r="K965" s="3">
        <v>21.514684937037771</v>
      </c>
      <c r="L965" s="3">
        <v>18.337440000000001</v>
      </c>
      <c r="M965" s="3">
        <v>12.47932</v>
      </c>
      <c r="N965" s="12">
        <f t="shared" si="311"/>
        <v>1.0000023384349969E-2</v>
      </c>
      <c r="O965" s="11">
        <f t="shared" si="312"/>
        <v>706.86</v>
      </c>
      <c r="P965" s="1">
        <v>10</v>
      </c>
      <c r="Q965" s="1">
        <v>1</v>
      </c>
      <c r="R965" s="3">
        <f>Q965*VLOOKUP(P965,[4]Datos!$A$2:$D$14,2)</f>
        <v>8.19</v>
      </c>
      <c r="S965" s="10">
        <f t="shared" si="288"/>
        <v>87</v>
      </c>
      <c r="T965" s="2">
        <v>87</v>
      </c>
      <c r="U965" s="3">
        <f t="shared" si="289"/>
        <v>0.1</v>
      </c>
      <c r="V965" s="3"/>
      <c r="W965" s="1">
        <v>280</v>
      </c>
      <c r="X965" s="9">
        <v>2</v>
      </c>
      <c r="Y965" s="1">
        <v>4</v>
      </c>
      <c r="Z965" s="3">
        <f>X965*VLOOKUP(Y965,[4]Datos!$A$2:$D$14,2)</f>
        <v>2.58</v>
      </c>
      <c r="AA965" s="8">
        <v>0.3</v>
      </c>
      <c r="AB965" s="7">
        <f t="shared" si="313"/>
        <v>260.7542389499979</v>
      </c>
      <c r="AC965" s="7">
        <f t="shared" si="290"/>
        <v>71.137096483304632</v>
      </c>
      <c r="AD965" s="6" t="str">
        <f t="shared" si="314"/>
        <v>Cumple</v>
      </c>
      <c r="AE965" s="6"/>
      <c r="AH965" s="3"/>
    </row>
    <row r="966" spans="1:43" ht="15" customHeight="1" x14ac:dyDescent="0.3">
      <c r="A966" s="13" t="s">
        <v>1</v>
      </c>
      <c r="B966" s="1">
        <v>1</v>
      </c>
      <c r="C966" s="1">
        <v>548</v>
      </c>
      <c r="D966" s="1">
        <v>1</v>
      </c>
      <c r="E966" s="5">
        <v>1</v>
      </c>
      <c r="F966" s="3">
        <f>E966</f>
        <v>1</v>
      </c>
      <c r="G966" s="5">
        <v>2.5</v>
      </c>
      <c r="H966" s="3">
        <f t="shared" si="287"/>
        <v>4.908738521234052</v>
      </c>
      <c r="I966" s="4">
        <v>8.0409999999999995E-2</v>
      </c>
      <c r="K966" s="3">
        <v>356.7634121620938</v>
      </c>
      <c r="L966" s="3">
        <v>1678.5486100000001</v>
      </c>
      <c r="M966" s="3">
        <v>2407.81034</v>
      </c>
      <c r="N966" s="12">
        <f t="shared" si="311"/>
        <v>1.6380990686744708E-2</v>
      </c>
      <c r="O966" s="11">
        <f t="shared" si="312"/>
        <v>804.09999999999991</v>
      </c>
      <c r="P966" s="1">
        <v>10</v>
      </c>
      <c r="Q966" s="1">
        <v>2</v>
      </c>
      <c r="R966" s="3">
        <f>Q966*VLOOKUP(P966,[4]Datos!$A$2:$D$14,2)</f>
        <v>16.38</v>
      </c>
      <c r="S966" s="10">
        <f t="shared" si="288"/>
        <v>50</v>
      </c>
      <c r="T966" s="2">
        <v>52</v>
      </c>
      <c r="U966" s="3">
        <f t="shared" si="289"/>
        <v>0.13</v>
      </c>
      <c r="V966" s="3"/>
      <c r="W966" s="1">
        <v>280</v>
      </c>
      <c r="X966" s="9">
        <v>2</v>
      </c>
      <c r="Y966" s="1">
        <v>6</v>
      </c>
      <c r="Z966" s="3">
        <f>X966*VLOOKUP(Y966,[4]Datos!$A$2:$D$14,2)</f>
        <v>5.68</v>
      </c>
      <c r="AA966" s="8">
        <v>0.06</v>
      </c>
      <c r="AB966" s="7">
        <f t="shared" si="313"/>
        <v>180.55532030650846</v>
      </c>
      <c r="AC966" s="7">
        <f t="shared" si="290"/>
        <v>650.66122730355755</v>
      </c>
      <c r="AD966" s="6" t="str">
        <f t="shared" si="314"/>
        <v>Cumple</v>
      </c>
      <c r="AE966" s="6"/>
      <c r="AG966" s="7">
        <f t="shared" ref="AG966:AG973" si="315">ROUNDUP(MAX(0.45,3*G966,),0)</f>
        <v>8</v>
      </c>
      <c r="AH966" s="3">
        <f t="shared" ref="AH966:AH973" si="316">PI()*(G966-0.15)^2/4</f>
        <v>4.3373613573624086</v>
      </c>
      <c r="AI966" s="7">
        <f>G966-0.15-VLOOKUP(Y966,[4]Datos!$A$2:$D$14,3)/100</f>
        <v>2.3309000000000002</v>
      </c>
      <c r="AJ966" s="7">
        <f t="shared" ref="AJ966:AJ973" si="317">SQRT((PI()*AI966)^2+AA966^2)</f>
        <v>7.3229841218120741</v>
      </c>
      <c r="AK966" s="1">
        <v>0.12</v>
      </c>
      <c r="AL966" s="16">
        <f t="shared" ref="AL966:AL973" si="318">MAX(0.45*(H966/AH966-1),AK966)*(W966/4220)</f>
        <v>7.9620853080568724E-3</v>
      </c>
      <c r="AM966" s="7">
        <f t="shared" ref="AM966:AM973" si="319">AG966*(AJ966/AA966)</f>
        <v>976.39788290827664</v>
      </c>
      <c r="AN966" s="17">
        <f t="shared" ref="AN966:AN973" si="320">AM966*Z966/X966/10000</f>
        <v>0.27729699874595054</v>
      </c>
      <c r="AO966" s="17">
        <f t="shared" ref="AO966:AO973" si="321">AH966*AG966</f>
        <v>34.698890858899269</v>
      </c>
      <c r="AP966" s="16">
        <f t="shared" ref="AP966:AP973" si="322">AN966/AO966</f>
        <v>7.9915234142082618E-3</v>
      </c>
      <c r="AQ966" s="6" t="str">
        <f t="shared" ref="AQ966:AQ973" si="323">+IF(AP966&gt;AL966,"Cumple","No Cumple")</f>
        <v>Cumple</v>
      </c>
    </row>
    <row r="967" spans="1:43" ht="15" customHeight="1" x14ac:dyDescent="0.3">
      <c r="A967" s="13"/>
      <c r="B967" s="1">
        <v>2</v>
      </c>
      <c r="C967" s="1">
        <v>549</v>
      </c>
      <c r="D967" s="1">
        <v>1</v>
      </c>
      <c r="E967" s="5">
        <v>1</v>
      </c>
      <c r="F967" s="3">
        <f>F966+E967</f>
        <v>2</v>
      </c>
      <c r="G967" s="5">
        <v>2.5</v>
      </c>
      <c r="H967" s="3">
        <f t="shared" si="287"/>
        <v>4.908738521234052</v>
      </c>
      <c r="I967" s="4">
        <v>8.3048999999999998E-2</v>
      </c>
      <c r="K967" s="3">
        <v>326.44990990112098</v>
      </c>
      <c r="L967" s="3">
        <v>1608.36859</v>
      </c>
      <c r="M967" s="3">
        <v>2547.9482499999999</v>
      </c>
      <c r="N967" s="12">
        <f t="shared" si="311"/>
        <v>1.6918603352113683E-2</v>
      </c>
      <c r="O967" s="11">
        <f t="shared" si="312"/>
        <v>830.49</v>
      </c>
      <c r="P967" s="1">
        <v>10</v>
      </c>
      <c r="Q967" s="1">
        <v>2</v>
      </c>
      <c r="R967" s="3">
        <f>Q967*VLOOKUP(P967,[4]Datos!$A$2:$D$14,2)</f>
        <v>16.38</v>
      </c>
      <c r="S967" s="10">
        <f t="shared" si="288"/>
        <v>51</v>
      </c>
      <c r="T967" s="2">
        <v>52</v>
      </c>
      <c r="U967" s="3">
        <f t="shared" si="289"/>
        <v>0.13</v>
      </c>
      <c r="V967" s="3"/>
      <c r="W967" s="1">
        <v>280</v>
      </c>
      <c r="X967" s="9">
        <v>2</v>
      </c>
      <c r="Y967" s="1">
        <v>6</v>
      </c>
      <c r="Z967" s="3">
        <f>X967*VLOOKUP(Y967,[4]Datos!$A$2:$D$14,2)</f>
        <v>5.68</v>
      </c>
      <c r="AA967" s="8">
        <v>0.06</v>
      </c>
      <c r="AB967" s="7">
        <f t="shared" si="313"/>
        <v>180.55532030650846</v>
      </c>
      <c r="AC967" s="7">
        <f t="shared" si="290"/>
        <v>650.66122730355755</v>
      </c>
      <c r="AD967" s="6" t="str">
        <f t="shared" si="314"/>
        <v>Cumple</v>
      </c>
      <c r="AE967" s="6"/>
      <c r="AG967" s="7">
        <f t="shared" si="315"/>
        <v>8</v>
      </c>
      <c r="AH967" s="3">
        <f t="shared" si="316"/>
        <v>4.3373613573624086</v>
      </c>
      <c r="AI967" s="7">
        <f>G967-0.15-VLOOKUP(Y967,[4]Datos!$A$2:$D$14,3)/100</f>
        <v>2.3309000000000002</v>
      </c>
      <c r="AJ967" s="7">
        <f t="shared" si="317"/>
        <v>7.3229841218120741</v>
      </c>
      <c r="AK967" s="1">
        <v>0.12</v>
      </c>
      <c r="AL967" s="16">
        <f t="shared" si="318"/>
        <v>7.9620853080568724E-3</v>
      </c>
      <c r="AM967" s="7">
        <f t="shared" si="319"/>
        <v>976.39788290827664</v>
      </c>
      <c r="AN967" s="17">
        <f t="shared" si="320"/>
        <v>0.27729699874595054</v>
      </c>
      <c r="AO967" s="17">
        <f t="shared" si="321"/>
        <v>34.698890858899269</v>
      </c>
      <c r="AP967" s="16">
        <f t="shared" si="322"/>
        <v>7.9915234142082618E-3</v>
      </c>
      <c r="AQ967" s="6" t="str">
        <f t="shared" si="323"/>
        <v>Cumple</v>
      </c>
    </row>
    <row r="968" spans="1:43" ht="15" customHeight="1" x14ac:dyDescent="0.3">
      <c r="A968" s="13"/>
      <c r="B968" s="1">
        <v>3</v>
      </c>
      <c r="C968" s="1">
        <v>550</v>
      </c>
      <c r="D968" s="1">
        <v>1</v>
      </c>
      <c r="E968" s="5">
        <v>1</v>
      </c>
      <c r="F968" s="3">
        <f t="shared" ref="F968:F988" si="324">F967+E968</f>
        <v>3</v>
      </c>
      <c r="G968" s="5">
        <v>2.5</v>
      </c>
      <c r="H968" s="3">
        <f t="shared" si="287"/>
        <v>4.908738521234052</v>
      </c>
      <c r="I968" s="4">
        <v>8.4647E-2</v>
      </c>
      <c r="K968" s="3">
        <v>275.12182401687073</v>
      </c>
      <c r="L968" s="3">
        <v>1537.43912</v>
      </c>
      <c r="M968" s="3">
        <v>2640.4404599999998</v>
      </c>
      <c r="N968" s="12">
        <f t="shared" si="311"/>
        <v>1.724414523891157E-2</v>
      </c>
      <c r="O968" s="11">
        <f t="shared" si="312"/>
        <v>846.47</v>
      </c>
      <c r="P968" s="1">
        <v>10</v>
      </c>
      <c r="Q968" s="1">
        <v>2</v>
      </c>
      <c r="R968" s="3">
        <f>Q968*VLOOKUP(P968,[4]Datos!$A$2:$D$14,2)</f>
        <v>16.38</v>
      </c>
      <c r="S968" s="10">
        <f t="shared" si="288"/>
        <v>52</v>
      </c>
      <c r="T968" s="2">
        <v>52</v>
      </c>
      <c r="U968" s="3">
        <f t="shared" si="289"/>
        <v>0.13</v>
      </c>
      <c r="V968" s="3"/>
      <c r="W968" s="1">
        <v>280</v>
      </c>
      <c r="X968" s="9">
        <v>2</v>
      </c>
      <c r="Y968" s="1">
        <v>6</v>
      </c>
      <c r="Z968" s="3">
        <f>X968*VLOOKUP(Y968,[4]Datos!$A$2:$D$14,2)</f>
        <v>5.68</v>
      </c>
      <c r="AA968" s="8">
        <v>0.06</v>
      </c>
      <c r="AB968" s="7">
        <f t="shared" si="313"/>
        <v>180.55532030650846</v>
      </c>
      <c r="AC968" s="7">
        <f t="shared" si="290"/>
        <v>650.66122730355755</v>
      </c>
      <c r="AD968" s="6" t="str">
        <f t="shared" si="314"/>
        <v>Cumple</v>
      </c>
      <c r="AE968" s="6"/>
      <c r="AG968" s="7">
        <f t="shared" si="315"/>
        <v>8</v>
      </c>
      <c r="AH968" s="3">
        <f t="shared" si="316"/>
        <v>4.3373613573624086</v>
      </c>
      <c r="AI968" s="7">
        <f>G968-0.15-VLOOKUP(Y968,[4]Datos!$A$2:$D$14,3)/100</f>
        <v>2.3309000000000002</v>
      </c>
      <c r="AJ968" s="7">
        <f t="shared" si="317"/>
        <v>7.3229841218120741</v>
      </c>
      <c r="AK968" s="1">
        <v>0.12</v>
      </c>
      <c r="AL968" s="16">
        <f t="shared" si="318"/>
        <v>7.9620853080568724E-3</v>
      </c>
      <c r="AM968" s="7">
        <f t="shared" si="319"/>
        <v>976.39788290827664</v>
      </c>
      <c r="AN968" s="17">
        <f t="shared" si="320"/>
        <v>0.27729699874595054</v>
      </c>
      <c r="AO968" s="17">
        <f t="shared" si="321"/>
        <v>34.698890858899269</v>
      </c>
      <c r="AP968" s="16">
        <f t="shared" si="322"/>
        <v>7.9915234142082618E-3</v>
      </c>
      <c r="AQ968" s="6" t="str">
        <f t="shared" si="323"/>
        <v>Cumple</v>
      </c>
    </row>
    <row r="969" spans="1:43" ht="15" customHeight="1" x14ac:dyDescent="0.3">
      <c r="A969" s="13"/>
      <c r="B969" s="1">
        <v>4</v>
      </c>
      <c r="C969" s="1">
        <v>551</v>
      </c>
      <c r="D969" s="1">
        <v>1</v>
      </c>
      <c r="E969" s="5">
        <v>1</v>
      </c>
      <c r="F969" s="3">
        <f t="shared" si="324"/>
        <v>4</v>
      </c>
      <c r="G969" s="5">
        <v>2.5</v>
      </c>
      <c r="H969" s="3">
        <f t="shared" ref="H969:H1011" si="325">PI()*(G969^2)/4</f>
        <v>4.908738521234052</v>
      </c>
      <c r="I969" s="4">
        <v>8.5064000000000001E-2</v>
      </c>
      <c r="K969" s="3">
        <v>240.84310272208336</v>
      </c>
      <c r="L969" s="3">
        <v>1463.7616599999999</v>
      </c>
      <c r="M969" s="3">
        <v>2673.7157099999999</v>
      </c>
      <c r="N969" s="12">
        <f t="shared" si="311"/>
        <v>1.73290957813363E-2</v>
      </c>
      <c r="O969" s="11">
        <f t="shared" si="312"/>
        <v>850.64</v>
      </c>
      <c r="P969" s="1">
        <v>10</v>
      </c>
      <c r="Q969" s="1">
        <v>2</v>
      </c>
      <c r="R969" s="3">
        <f>Q969*VLOOKUP(P969,[4]Datos!$A$2:$D$14,2)</f>
        <v>16.38</v>
      </c>
      <c r="S969" s="10">
        <f t="shared" ref="S969:S1011" si="326">ROUNDUP(O969/R969,0)</f>
        <v>52</v>
      </c>
      <c r="T969" s="2">
        <v>52</v>
      </c>
      <c r="U969" s="3">
        <f t="shared" ref="U969:U1011" si="327">ROUNDDOWN(PI()*(G969-0.185)/T969,2)</f>
        <v>0.13</v>
      </c>
      <c r="V969" s="3"/>
      <c r="W969" s="1">
        <v>280</v>
      </c>
      <c r="X969" s="9">
        <v>2</v>
      </c>
      <c r="Y969" s="1">
        <v>6</v>
      </c>
      <c r="Z969" s="3">
        <f>X969*VLOOKUP(Y969,[4]Datos!$A$2:$D$14,2)</f>
        <v>5.68</v>
      </c>
      <c r="AA969" s="8">
        <v>0.06</v>
      </c>
      <c r="AB969" s="7">
        <f t="shared" si="313"/>
        <v>180.55532030650846</v>
      </c>
      <c r="AC969" s="7">
        <f t="shared" ref="AC969:AC1011" si="328">0.9*Z969*4220*MAX(0.72*G969,0.9*((G969/2)+((G969-0.11)/PI())))/AA969/1000</f>
        <v>650.66122730355755</v>
      </c>
      <c r="AD969" s="6" t="str">
        <f t="shared" si="314"/>
        <v>Cumple</v>
      </c>
      <c r="AE969" s="6"/>
      <c r="AG969" s="7">
        <f t="shared" si="315"/>
        <v>8</v>
      </c>
      <c r="AH969" s="3">
        <f t="shared" si="316"/>
        <v>4.3373613573624086</v>
      </c>
      <c r="AI969" s="7">
        <f>G969-0.15-VLOOKUP(Y969,[4]Datos!$A$2:$D$14,3)/100</f>
        <v>2.3309000000000002</v>
      </c>
      <c r="AJ969" s="7">
        <f t="shared" si="317"/>
        <v>7.3229841218120741</v>
      </c>
      <c r="AK969" s="1">
        <v>0.12</v>
      </c>
      <c r="AL969" s="16">
        <f t="shared" si="318"/>
        <v>7.9620853080568724E-3</v>
      </c>
      <c r="AM969" s="7">
        <f t="shared" si="319"/>
        <v>976.39788290827664</v>
      </c>
      <c r="AN969" s="17">
        <f t="shared" si="320"/>
        <v>0.27729699874595054</v>
      </c>
      <c r="AO969" s="17">
        <f t="shared" si="321"/>
        <v>34.698890858899269</v>
      </c>
      <c r="AP969" s="16">
        <f t="shared" si="322"/>
        <v>7.9915234142082618E-3</v>
      </c>
      <c r="AQ969" s="6" t="str">
        <f t="shared" si="323"/>
        <v>Cumple</v>
      </c>
    </row>
    <row r="970" spans="1:43" ht="15" customHeight="1" x14ac:dyDescent="0.3">
      <c r="A970" s="13"/>
      <c r="B970" s="1">
        <v>5</v>
      </c>
      <c r="C970" s="1">
        <v>552</v>
      </c>
      <c r="D970" s="1">
        <v>1</v>
      </c>
      <c r="E970" s="5">
        <v>1</v>
      </c>
      <c r="F970" s="3">
        <f t="shared" si="324"/>
        <v>5</v>
      </c>
      <c r="G970" s="5">
        <v>2.5</v>
      </c>
      <c r="H970" s="3">
        <f t="shared" si="325"/>
        <v>4.908738521234052</v>
      </c>
      <c r="I970" s="4">
        <v>8.5065000000000002E-2</v>
      </c>
      <c r="K970" s="3">
        <v>213.04408143051052</v>
      </c>
      <c r="L970" s="3">
        <v>1387.4911300000001</v>
      </c>
      <c r="M970" s="3">
        <v>2673.7157099999999</v>
      </c>
      <c r="N970" s="12">
        <f t="shared" si="311"/>
        <v>1.7329299499663459E-2</v>
      </c>
      <c r="O970" s="11">
        <f t="shared" si="312"/>
        <v>850.65</v>
      </c>
      <c r="P970" s="1">
        <v>10</v>
      </c>
      <c r="Q970" s="1">
        <v>2</v>
      </c>
      <c r="R970" s="3">
        <f>Q970*VLOOKUP(P970,[4]Datos!$A$2:$D$14,2)</f>
        <v>16.38</v>
      </c>
      <c r="S970" s="10">
        <f t="shared" si="326"/>
        <v>52</v>
      </c>
      <c r="T970" s="2">
        <v>52</v>
      </c>
      <c r="U970" s="3">
        <f t="shared" si="327"/>
        <v>0.13</v>
      </c>
      <c r="V970" s="3"/>
      <c r="W970" s="1">
        <v>280</v>
      </c>
      <c r="X970" s="9">
        <v>2</v>
      </c>
      <c r="Y970" s="1">
        <v>6</v>
      </c>
      <c r="Z970" s="3">
        <f>X970*VLOOKUP(Y970,[4]Datos!$A$2:$D$14,2)</f>
        <v>5.68</v>
      </c>
      <c r="AA970" s="8">
        <v>0.06</v>
      </c>
      <c r="AB970" s="7">
        <f t="shared" si="313"/>
        <v>180.55532030650846</v>
      </c>
      <c r="AC970" s="7">
        <f t="shared" si="328"/>
        <v>650.66122730355755</v>
      </c>
      <c r="AD970" s="6" t="str">
        <f t="shared" si="314"/>
        <v>Cumple</v>
      </c>
      <c r="AE970" s="6"/>
      <c r="AG970" s="7">
        <f t="shared" si="315"/>
        <v>8</v>
      </c>
      <c r="AH970" s="3">
        <f t="shared" si="316"/>
        <v>4.3373613573624086</v>
      </c>
      <c r="AI970" s="7">
        <f>G970-0.15-VLOOKUP(Y970,[4]Datos!$A$2:$D$14,3)/100</f>
        <v>2.3309000000000002</v>
      </c>
      <c r="AJ970" s="7">
        <f t="shared" si="317"/>
        <v>7.3229841218120741</v>
      </c>
      <c r="AK970" s="1">
        <v>0.12</v>
      </c>
      <c r="AL970" s="16">
        <f t="shared" si="318"/>
        <v>7.9620853080568724E-3</v>
      </c>
      <c r="AM970" s="7">
        <f t="shared" si="319"/>
        <v>976.39788290827664</v>
      </c>
      <c r="AN970" s="17">
        <f t="shared" si="320"/>
        <v>0.27729699874595054</v>
      </c>
      <c r="AO970" s="17">
        <f t="shared" si="321"/>
        <v>34.698890858899269</v>
      </c>
      <c r="AP970" s="16">
        <f t="shared" si="322"/>
        <v>7.9915234142082618E-3</v>
      </c>
      <c r="AQ970" s="6" t="str">
        <f t="shared" si="323"/>
        <v>Cumple</v>
      </c>
    </row>
    <row r="971" spans="1:43" ht="15" customHeight="1" x14ac:dyDescent="0.3">
      <c r="A971" s="13"/>
      <c r="B971" s="1">
        <v>6</v>
      </c>
      <c r="C971" s="1">
        <v>553</v>
      </c>
      <c r="D971" s="1">
        <v>1</v>
      </c>
      <c r="E971" s="5">
        <v>1</v>
      </c>
      <c r="F971" s="3">
        <f t="shared" si="324"/>
        <v>6</v>
      </c>
      <c r="G971" s="5">
        <v>2.5</v>
      </c>
      <c r="H971" s="3">
        <f t="shared" si="325"/>
        <v>4.908738521234052</v>
      </c>
      <c r="I971" s="4">
        <v>8.4250000000000005E-2</v>
      </c>
      <c r="K971" s="3">
        <v>190.89281716966198</v>
      </c>
      <c r="L971" s="3">
        <v>1306.20776</v>
      </c>
      <c r="M971" s="3">
        <v>2644.1864399999999</v>
      </c>
      <c r="N971" s="12">
        <f t="shared" si="311"/>
        <v>1.7163269063029993E-2</v>
      </c>
      <c r="O971" s="11">
        <f t="shared" si="312"/>
        <v>842.5</v>
      </c>
      <c r="P971" s="1">
        <v>10</v>
      </c>
      <c r="Q971" s="15">
        <v>2</v>
      </c>
      <c r="R971" s="3">
        <f>Q971*VLOOKUP(P971,[4]Datos!$A$2:$D$14,2)</f>
        <v>16.38</v>
      </c>
      <c r="S971" s="10">
        <f t="shared" si="326"/>
        <v>52</v>
      </c>
      <c r="T971" s="14">
        <v>52</v>
      </c>
      <c r="U971" s="3">
        <f t="shared" si="327"/>
        <v>0.13</v>
      </c>
      <c r="V971" s="3"/>
      <c r="W971" s="1">
        <v>280</v>
      </c>
      <c r="X971" s="9">
        <v>2</v>
      </c>
      <c r="Y971" s="1">
        <v>6</v>
      </c>
      <c r="Z971" s="3">
        <f>X971*VLOOKUP(Y971,[4]Datos!$A$2:$D$14,2)</f>
        <v>5.68</v>
      </c>
      <c r="AA971" s="8">
        <v>0.06</v>
      </c>
      <c r="AB971" s="7">
        <f t="shared" si="313"/>
        <v>180.55532030650846</v>
      </c>
      <c r="AC971" s="7">
        <f t="shared" si="328"/>
        <v>650.66122730355755</v>
      </c>
      <c r="AD971" s="6" t="str">
        <f t="shared" si="314"/>
        <v>Cumple</v>
      </c>
      <c r="AE971" s="6"/>
      <c r="AG971" s="7">
        <f t="shared" si="315"/>
        <v>8</v>
      </c>
      <c r="AH971" s="3">
        <f t="shared" si="316"/>
        <v>4.3373613573624086</v>
      </c>
      <c r="AI971" s="7">
        <f>G971-0.15-VLOOKUP(Y971,[4]Datos!$A$2:$D$14,3)/100</f>
        <v>2.3309000000000002</v>
      </c>
      <c r="AJ971" s="7">
        <f t="shared" si="317"/>
        <v>7.3229841218120741</v>
      </c>
      <c r="AK971" s="1">
        <v>0.12</v>
      </c>
      <c r="AL971" s="16">
        <f t="shared" si="318"/>
        <v>7.9620853080568724E-3</v>
      </c>
      <c r="AM971" s="7">
        <f t="shared" si="319"/>
        <v>976.39788290827664</v>
      </c>
      <c r="AN971" s="17">
        <f t="shared" si="320"/>
        <v>0.27729699874595054</v>
      </c>
      <c r="AO971" s="17">
        <f t="shared" si="321"/>
        <v>34.698890858899269</v>
      </c>
      <c r="AP971" s="16">
        <f t="shared" si="322"/>
        <v>7.9915234142082618E-3</v>
      </c>
      <c r="AQ971" s="6" t="str">
        <f t="shared" si="323"/>
        <v>Cumple</v>
      </c>
    </row>
    <row r="972" spans="1:43" ht="15" customHeight="1" x14ac:dyDescent="0.3">
      <c r="A972" s="13"/>
      <c r="B972" s="1">
        <v>7</v>
      </c>
      <c r="C972" s="1">
        <v>554</v>
      </c>
      <c r="D972" s="1">
        <v>1</v>
      </c>
      <c r="E972" s="5">
        <v>1</v>
      </c>
      <c r="F972" s="3">
        <f t="shared" si="324"/>
        <v>7</v>
      </c>
      <c r="G972" s="5">
        <v>2.5</v>
      </c>
      <c r="H972" s="3">
        <f t="shared" si="325"/>
        <v>4.908738521234052</v>
      </c>
      <c r="I972" s="4">
        <v>8.2083000000000003E-2</v>
      </c>
      <c r="K972" s="3">
        <v>180.62680260794633</v>
      </c>
      <c r="L972" s="3">
        <v>1215.3462300000001</v>
      </c>
      <c r="M972" s="3">
        <v>2554.45676</v>
      </c>
      <c r="N972" s="12">
        <f t="shared" si="311"/>
        <v>1.6721811448079417E-2</v>
      </c>
      <c r="O972" s="11">
        <f t="shared" si="312"/>
        <v>820.83</v>
      </c>
      <c r="P972" s="1">
        <v>10</v>
      </c>
      <c r="Q972" s="15">
        <v>2</v>
      </c>
      <c r="R972" s="3">
        <f>Q972*VLOOKUP(P972,[4]Datos!$A$2:$D$14,2)</f>
        <v>16.38</v>
      </c>
      <c r="S972" s="10">
        <f t="shared" si="326"/>
        <v>51</v>
      </c>
      <c r="T972" s="14">
        <v>52</v>
      </c>
      <c r="U972" s="3">
        <f t="shared" si="327"/>
        <v>0.13</v>
      </c>
      <c r="V972" s="3"/>
      <c r="W972" s="1">
        <v>280</v>
      </c>
      <c r="X972" s="9">
        <v>2</v>
      </c>
      <c r="Y972" s="1">
        <v>6</v>
      </c>
      <c r="Z972" s="3">
        <f>X972*VLOOKUP(Y972,[4]Datos!$A$2:$D$14,2)</f>
        <v>5.68</v>
      </c>
      <c r="AA972" s="8">
        <v>0.06</v>
      </c>
      <c r="AB972" s="7">
        <f t="shared" si="313"/>
        <v>180.55532030650846</v>
      </c>
      <c r="AC972" s="7">
        <f t="shared" si="328"/>
        <v>650.66122730355755</v>
      </c>
      <c r="AD972" s="6" t="str">
        <f t="shared" si="314"/>
        <v>Cumple</v>
      </c>
      <c r="AE972" s="6"/>
      <c r="AG972" s="7">
        <f t="shared" si="315"/>
        <v>8</v>
      </c>
      <c r="AH972" s="3">
        <f t="shared" si="316"/>
        <v>4.3373613573624086</v>
      </c>
      <c r="AI972" s="7">
        <f>G972-0.15-VLOOKUP(Y972,[4]Datos!$A$2:$D$14,3)/100</f>
        <v>2.3309000000000002</v>
      </c>
      <c r="AJ972" s="7">
        <f t="shared" si="317"/>
        <v>7.3229841218120741</v>
      </c>
      <c r="AK972" s="1">
        <v>0.12</v>
      </c>
      <c r="AL972" s="16">
        <f t="shared" si="318"/>
        <v>7.9620853080568724E-3</v>
      </c>
      <c r="AM972" s="7">
        <f t="shared" si="319"/>
        <v>976.39788290827664</v>
      </c>
      <c r="AN972" s="17">
        <f t="shared" si="320"/>
        <v>0.27729699874595054</v>
      </c>
      <c r="AO972" s="17">
        <f t="shared" si="321"/>
        <v>34.698890858899269</v>
      </c>
      <c r="AP972" s="16">
        <f t="shared" si="322"/>
        <v>7.9915234142082618E-3</v>
      </c>
      <c r="AQ972" s="6" t="str">
        <f t="shared" si="323"/>
        <v>Cumple</v>
      </c>
    </row>
    <row r="973" spans="1:43" ht="15" customHeight="1" x14ac:dyDescent="0.3">
      <c r="A973" s="13"/>
      <c r="B973" s="1">
        <v>8</v>
      </c>
      <c r="C973" s="1">
        <v>555</v>
      </c>
      <c r="D973" s="1">
        <v>1</v>
      </c>
      <c r="E973" s="5">
        <v>1</v>
      </c>
      <c r="F973" s="3">
        <f t="shared" si="324"/>
        <v>8</v>
      </c>
      <c r="G973" s="5">
        <v>2.5</v>
      </c>
      <c r="H973" s="3">
        <f t="shared" si="325"/>
        <v>4.908738521234052</v>
      </c>
      <c r="I973" s="4">
        <v>7.8357999999999997E-2</v>
      </c>
      <c r="K973" s="3">
        <v>209.69109479100442</v>
      </c>
      <c r="L973" s="3">
        <v>1112.93038</v>
      </c>
      <c r="M973" s="3">
        <v>2411.6305900000002</v>
      </c>
      <c r="N973" s="12">
        <f t="shared" si="311"/>
        <v>1.596296067941726E-2</v>
      </c>
      <c r="O973" s="11">
        <f t="shared" si="312"/>
        <v>783.57999999999993</v>
      </c>
      <c r="P973" s="1">
        <v>10</v>
      </c>
      <c r="Q973" s="15">
        <v>2</v>
      </c>
      <c r="R973" s="3">
        <f>Q973*VLOOKUP(P973,[4]Datos!$A$2:$D$14,2)</f>
        <v>16.38</v>
      </c>
      <c r="S973" s="10">
        <f t="shared" si="326"/>
        <v>48</v>
      </c>
      <c r="T973" s="14">
        <v>52</v>
      </c>
      <c r="U973" s="3">
        <f t="shared" si="327"/>
        <v>0.13</v>
      </c>
      <c r="V973" s="3"/>
      <c r="W973" s="1">
        <v>280</v>
      </c>
      <c r="X973" s="9">
        <v>2</v>
      </c>
      <c r="Y973" s="1">
        <v>6</v>
      </c>
      <c r="Z973" s="3">
        <f>X973*VLOOKUP(Y973,[4]Datos!$A$2:$D$14,2)</f>
        <v>5.68</v>
      </c>
      <c r="AA973" s="8">
        <v>0.06</v>
      </c>
      <c r="AB973" s="7">
        <f t="shared" si="313"/>
        <v>180.55532030650846</v>
      </c>
      <c r="AC973" s="7">
        <f t="shared" si="328"/>
        <v>650.66122730355755</v>
      </c>
      <c r="AD973" s="6" t="str">
        <f t="shared" si="314"/>
        <v>Cumple</v>
      </c>
      <c r="AE973" s="6"/>
      <c r="AG973" s="7">
        <f t="shared" si="315"/>
        <v>8</v>
      </c>
      <c r="AH973" s="3">
        <f t="shared" si="316"/>
        <v>4.3373613573624086</v>
      </c>
      <c r="AI973" s="7">
        <f>G973-0.15-VLOOKUP(Y973,[4]Datos!$A$2:$D$14,3)/100</f>
        <v>2.3309000000000002</v>
      </c>
      <c r="AJ973" s="7">
        <f t="shared" si="317"/>
        <v>7.3229841218120741</v>
      </c>
      <c r="AK973" s="1">
        <v>0.12</v>
      </c>
      <c r="AL973" s="16">
        <f t="shared" si="318"/>
        <v>7.9620853080568724E-3</v>
      </c>
      <c r="AM973" s="7">
        <f t="shared" si="319"/>
        <v>976.39788290827664</v>
      </c>
      <c r="AN973" s="17">
        <f t="shared" si="320"/>
        <v>0.27729699874595054</v>
      </c>
      <c r="AO973" s="17">
        <f t="shared" si="321"/>
        <v>34.698890858899269</v>
      </c>
      <c r="AP973" s="16">
        <f t="shared" si="322"/>
        <v>7.9915234142082618E-3</v>
      </c>
      <c r="AQ973" s="6" t="str">
        <f t="shared" si="323"/>
        <v>Cumple</v>
      </c>
    </row>
    <row r="974" spans="1:43" ht="15" customHeight="1" x14ac:dyDescent="0.3">
      <c r="A974" s="13"/>
      <c r="B974" s="1">
        <v>9</v>
      </c>
      <c r="C974" s="1">
        <v>556</v>
      </c>
      <c r="D974" s="1">
        <v>1</v>
      </c>
      <c r="E974" s="5">
        <v>1</v>
      </c>
      <c r="F974" s="3">
        <f t="shared" si="324"/>
        <v>9</v>
      </c>
      <c r="G974" s="5">
        <v>2.5</v>
      </c>
      <c r="H974" s="3">
        <f t="shared" si="325"/>
        <v>4.908738521234052</v>
      </c>
      <c r="I974" s="4">
        <v>7.2733000000000006E-2</v>
      </c>
      <c r="K974" s="3">
        <v>239.80457003234946</v>
      </c>
      <c r="L974" s="3">
        <v>1000.41786</v>
      </c>
      <c r="M974" s="3">
        <v>2225.76613</v>
      </c>
      <c r="N974" s="12">
        <f t="shared" si="311"/>
        <v>1.4817045089155614E-2</v>
      </c>
      <c r="O974" s="11">
        <f t="shared" si="312"/>
        <v>727.33</v>
      </c>
      <c r="P974" s="1">
        <v>10</v>
      </c>
      <c r="Q974" s="1">
        <v>1</v>
      </c>
      <c r="R974" s="3">
        <f>Q974*VLOOKUP(P974,[4]Datos!$A$2:$D$14,2)</f>
        <v>8.19</v>
      </c>
      <c r="S974" s="10">
        <f t="shared" si="326"/>
        <v>89</v>
      </c>
      <c r="T974" s="2">
        <v>89</v>
      </c>
      <c r="U974" s="3">
        <f t="shared" si="327"/>
        <v>0.08</v>
      </c>
      <c r="V974" s="3"/>
      <c r="W974" s="1">
        <v>280</v>
      </c>
      <c r="X974" s="9">
        <v>2</v>
      </c>
      <c r="Y974" s="1">
        <v>4</v>
      </c>
      <c r="Z974" s="3">
        <f>X974*VLOOKUP(Y974,[4]Datos!$A$2:$D$14,2)</f>
        <v>2.58</v>
      </c>
      <c r="AA974" s="8">
        <v>0.15</v>
      </c>
      <c r="AB974" s="7">
        <f t="shared" si="313"/>
        <v>180.55532030650846</v>
      </c>
      <c r="AC974" s="7">
        <f t="shared" si="328"/>
        <v>118.21873003120976</v>
      </c>
      <c r="AD974" s="6" t="str">
        <f t="shared" si="314"/>
        <v>Cumple</v>
      </c>
      <c r="AE974" s="6"/>
      <c r="AH974" s="3"/>
    </row>
    <row r="975" spans="1:43" ht="15" customHeight="1" x14ac:dyDescent="0.3">
      <c r="A975" s="13"/>
      <c r="B975" s="1">
        <v>10</v>
      </c>
      <c r="C975" s="1">
        <v>557</v>
      </c>
      <c r="D975" s="1">
        <v>1</v>
      </c>
      <c r="E975" s="5">
        <v>1</v>
      </c>
      <c r="F975" s="3">
        <f t="shared" si="324"/>
        <v>10</v>
      </c>
      <c r="G975" s="5">
        <v>2.5</v>
      </c>
      <c r="H975" s="3">
        <f t="shared" si="325"/>
        <v>4.908738521234052</v>
      </c>
      <c r="I975" s="4">
        <v>6.4808000000000004E-2</v>
      </c>
      <c r="K975" s="3">
        <v>258.74185348930314</v>
      </c>
      <c r="L975" s="3">
        <v>881.25202999999999</v>
      </c>
      <c r="M975" s="3">
        <v>2008.51241</v>
      </c>
      <c r="N975" s="12">
        <f t="shared" si="311"/>
        <v>1.3202577346431429E-2</v>
      </c>
      <c r="O975" s="11">
        <f t="shared" si="312"/>
        <v>648.08000000000004</v>
      </c>
      <c r="P975" s="1">
        <v>10</v>
      </c>
      <c r="Q975" s="1">
        <v>1</v>
      </c>
      <c r="R975" s="3">
        <f>Q975*VLOOKUP(P975,[4]Datos!$A$2:$D$14,2)</f>
        <v>8.19</v>
      </c>
      <c r="S975" s="10">
        <f t="shared" si="326"/>
        <v>80</v>
      </c>
      <c r="T975" s="2">
        <v>89</v>
      </c>
      <c r="U975" s="3">
        <f t="shared" si="327"/>
        <v>0.08</v>
      </c>
      <c r="V975" s="3"/>
      <c r="W975" s="1">
        <v>280</v>
      </c>
      <c r="X975" s="9">
        <v>2</v>
      </c>
      <c r="Y975" s="1">
        <v>4</v>
      </c>
      <c r="Z975" s="3">
        <f>X975*VLOOKUP(Y975,[4]Datos!$A$2:$D$14,2)</f>
        <v>2.58</v>
      </c>
      <c r="AA975" s="8">
        <v>0.15</v>
      </c>
      <c r="AB975" s="7">
        <f t="shared" si="313"/>
        <v>180.55532030650846</v>
      </c>
      <c r="AC975" s="7">
        <f t="shared" si="328"/>
        <v>118.21873003120976</v>
      </c>
      <c r="AD975" s="6" t="str">
        <f t="shared" si="314"/>
        <v>Cumple</v>
      </c>
      <c r="AE975" s="6"/>
      <c r="AH975" s="3"/>
    </row>
    <row r="976" spans="1:43" ht="15" customHeight="1" x14ac:dyDescent="0.3">
      <c r="A976" s="13"/>
      <c r="B976" s="1">
        <v>11</v>
      </c>
      <c r="C976" s="1">
        <v>558</v>
      </c>
      <c r="D976" s="1">
        <v>1</v>
      </c>
      <c r="E976" s="5">
        <v>1</v>
      </c>
      <c r="F976" s="3">
        <f t="shared" si="324"/>
        <v>11</v>
      </c>
      <c r="G976" s="5">
        <v>2.5</v>
      </c>
      <c r="H976" s="3">
        <f t="shared" si="325"/>
        <v>4.908738521234052</v>
      </c>
      <c r="I976" s="4">
        <v>5.3866999999999998E-2</v>
      </c>
      <c r="K976" s="3">
        <v>266.60445615679419</v>
      </c>
      <c r="L976" s="3">
        <v>759.63315</v>
      </c>
      <c r="M976" s="3">
        <v>1788.3685399999999</v>
      </c>
      <c r="N976" s="12">
        <f t="shared" si="311"/>
        <v>1.0973695128999841E-2</v>
      </c>
      <c r="O976" s="11">
        <f t="shared" si="312"/>
        <v>538.66999999999996</v>
      </c>
      <c r="P976" s="1">
        <v>10</v>
      </c>
      <c r="Q976" s="1">
        <v>1</v>
      </c>
      <c r="R976" s="3">
        <f>Q976*VLOOKUP(P976,[4]Datos!$A$2:$D$14,2)</f>
        <v>8.19</v>
      </c>
      <c r="S976" s="10">
        <f t="shared" si="326"/>
        <v>66</v>
      </c>
      <c r="T976" s="2">
        <v>89</v>
      </c>
      <c r="U976" s="3">
        <f t="shared" si="327"/>
        <v>0.08</v>
      </c>
      <c r="V976" s="3"/>
      <c r="W976" s="1">
        <v>280</v>
      </c>
      <c r="X976" s="9">
        <v>2</v>
      </c>
      <c r="Y976" s="1">
        <v>4</v>
      </c>
      <c r="Z976" s="3">
        <f>X976*VLOOKUP(Y976,[4]Datos!$A$2:$D$14,2)</f>
        <v>2.58</v>
      </c>
      <c r="AA976" s="8">
        <v>0.15</v>
      </c>
      <c r="AB976" s="7">
        <f t="shared" si="313"/>
        <v>180.55532030650846</v>
      </c>
      <c r="AC976" s="7">
        <f t="shared" si="328"/>
        <v>118.21873003120976</v>
      </c>
      <c r="AD976" s="6" t="str">
        <f t="shared" si="314"/>
        <v>Cumple</v>
      </c>
      <c r="AE976" s="6"/>
      <c r="AH976" s="3"/>
    </row>
    <row r="977" spans="1:43" ht="15" customHeight="1" x14ac:dyDescent="0.3">
      <c r="A977" s="13"/>
      <c r="B977" s="1">
        <v>12</v>
      </c>
      <c r="C977" s="1">
        <v>559</v>
      </c>
      <c r="D977" s="1">
        <v>1</v>
      </c>
      <c r="E977" s="5">
        <v>1</v>
      </c>
      <c r="F977" s="3">
        <f t="shared" si="324"/>
        <v>12</v>
      </c>
      <c r="G977" s="5">
        <v>2.5</v>
      </c>
      <c r="H977" s="3">
        <f t="shared" si="325"/>
        <v>4.908738521234052</v>
      </c>
      <c r="I977" s="4">
        <v>4.9086999999999999E-2</v>
      </c>
      <c r="K977" s="3">
        <v>264.11127479259568</v>
      </c>
      <c r="L977" s="3">
        <v>661.85352999999998</v>
      </c>
      <c r="M977" s="3">
        <v>1566.7760800000001</v>
      </c>
      <c r="N977" s="12">
        <f t="shared" si="311"/>
        <v>9.9999215251863893E-3</v>
      </c>
      <c r="O977" s="11">
        <f t="shared" si="312"/>
        <v>490.87</v>
      </c>
      <c r="P977" s="1">
        <v>10</v>
      </c>
      <c r="Q977" s="15">
        <v>1</v>
      </c>
      <c r="R977" s="3">
        <f>Q977*VLOOKUP(P977,[4]Datos!$A$2:$D$14,2)</f>
        <v>8.19</v>
      </c>
      <c r="S977" s="10">
        <f t="shared" si="326"/>
        <v>60</v>
      </c>
      <c r="T977" s="14">
        <v>89</v>
      </c>
      <c r="U977" s="3">
        <f t="shared" si="327"/>
        <v>0.08</v>
      </c>
      <c r="V977" s="3"/>
      <c r="W977" s="1">
        <v>280</v>
      </c>
      <c r="X977" s="9">
        <v>2</v>
      </c>
      <c r="Y977" s="1">
        <v>4</v>
      </c>
      <c r="Z977" s="3">
        <f>X977*VLOOKUP(Y977,[4]Datos!$A$2:$D$14,2)</f>
        <v>2.58</v>
      </c>
      <c r="AA977" s="8">
        <v>0.15</v>
      </c>
      <c r="AB977" s="7">
        <f t="shared" si="313"/>
        <v>180.55532030650846</v>
      </c>
      <c r="AC977" s="7">
        <f t="shared" si="328"/>
        <v>118.21873003120976</v>
      </c>
      <c r="AD977" s="6" t="str">
        <f t="shared" si="314"/>
        <v>Cumple</v>
      </c>
      <c r="AE977" s="6"/>
      <c r="AH977" s="3"/>
    </row>
    <row r="978" spans="1:43" ht="15" customHeight="1" x14ac:dyDescent="0.3">
      <c r="A978" s="13"/>
      <c r="B978" s="1">
        <v>13</v>
      </c>
      <c r="C978" s="1">
        <v>560</v>
      </c>
      <c r="D978" s="1">
        <v>1</v>
      </c>
      <c r="E978" s="5">
        <v>1</v>
      </c>
      <c r="F978" s="3">
        <f t="shared" si="324"/>
        <v>13</v>
      </c>
      <c r="G978" s="5">
        <v>2.5</v>
      </c>
      <c r="H978" s="3">
        <f t="shared" si="325"/>
        <v>4.908738521234052</v>
      </c>
      <c r="I978" s="4">
        <v>4.9086999999999999E-2</v>
      </c>
      <c r="K978" s="3">
        <v>253.21118805740002</v>
      </c>
      <c r="L978" s="3">
        <v>573.69267000000002</v>
      </c>
      <c r="M978" s="3">
        <v>1340.84512</v>
      </c>
      <c r="N978" s="12">
        <f t="shared" si="311"/>
        <v>9.9999215251863893E-3</v>
      </c>
      <c r="O978" s="11">
        <f t="shared" si="312"/>
        <v>490.87</v>
      </c>
      <c r="P978" s="1">
        <v>10</v>
      </c>
      <c r="Q978" s="15">
        <v>1</v>
      </c>
      <c r="R978" s="3">
        <f>Q978*VLOOKUP(P978,[4]Datos!$A$2:$D$14,2)</f>
        <v>8.19</v>
      </c>
      <c r="S978" s="10">
        <f t="shared" si="326"/>
        <v>60</v>
      </c>
      <c r="T978" s="14">
        <v>89</v>
      </c>
      <c r="U978" s="3">
        <f t="shared" si="327"/>
        <v>0.08</v>
      </c>
      <c r="V978" s="3"/>
      <c r="W978" s="1">
        <v>280</v>
      </c>
      <c r="X978" s="9">
        <v>2</v>
      </c>
      <c r="Y978" s="1">
        <v>4</v>
      </c>
      <c r="Z978" s="3">
        <f>X978*VLOOKUP(Y978,[4]Datos!$A$2:$D$14,2)</f>
        <v>2.58</v>
      </c>
      <c r="AA978" s="8">
        <v>0.15</v>
      </c>
      <c r="AB978" s="7">
        <f t="shared" si="313"/>
        <v>180.55532030650846</v>
      </c>
      <c r="AC978" s="7">
        <f t="shared" si="328"/>
        <v>118.21873003120976</v>
      </c>
      <c r="AD978" s="6" t="str">
        <f t="shared" si="314"/>
        <v>Cumple</v>
      </c>
      <c r="AE978" s="6"/>
      <c r="AH978" s="3"/>
    </row>
    <row r="979" spans="1:43" ht="15" customHeight="1" x14ac:dyDescent="0.3">
      <c r="A979" s="13"/>
      <c r="B979" s="1">
        <v>14</v>
      </c>
      <c r="C979" s="1">
        <v>561</v>
      </c>
      <c r="D979" s="1">
        <v>1</v>
      </c>
      <c r="E979" s="5">
        <v>1</v>
      </c>
      <c r="F979" s="3">
        <f t="shared" si="324"/>
        <v>14</v>
      </c>
      <c r="G979" s="5">
        <v>2.5</v>
      </c>
      <c r="H979" s="3">
        <f t="shared" si="325"/>
        <v>4.908738521234052</v>
      </c>
      <c r="I979" s="4">
        <v>4.9086999999999999E-2</v>
      </c>
      <c r="K979" s="3">
        <v>236.07942769233409</v>
      </c>
      <c r="L979" s="3">
        <v>484.64461999999997</v>
      </c>
      <c r="M979" s="3">
        <v>1119.49666</v>
      </c>
      <c r="N979" s="12">
        <f t="shared" si="311"/>
        <v>9.9999215251863893E-3</v>
      </c>
      <c r="O979" s="11">
        <f t="shared" si="312"/>
        <v>490.87</v>
      </c>
      <c r="P979" s="1">
        <v>10</v>
      </c>
      <c r="Q979" s="15">
        <v>1</v>
      </c>
      <c r="R979" s="3">
        <f>Q979*VLOOKUP(P979,[4]Datos!$A$2:$D$14,2)</f>
        <v>8.19</v>
      </c>
      <c r="S979" s="10">
        <f t="shared" si="326"/>
        <v>60</v>
      </c>
      <c r="T979" s="14">
        <v>89</v>
      </c>
      <c r="U979" s="3">
        <f t="shared" si="327"/>
        <v>0.08</v>
      </c>
      <c r="V979" s="3"/>
      <c r="W979" s="1">
        <v>280</v>
      </c>
      <c r="X979" s="9">
        <v>2</v>
      </c>
      <c r="Y979" s="1">
        <v>4</v>
      </c>
      <c r="Z979" s="3">
        <f>X979*VLOOKUP(Y979,[4]Datos!$A$2:$D$14,2)</f>
        <v>2.58</v>
      </c>
      <c r="AA979" s="8">
        <v>0.3</v>
      </c>
      <c r="AB979" s="7">
        <f t="shared" si="313"/>
        <v>180.55532030650846</v>
      </c>
      <c r="AC979" s="7">
        <f t="shared" si="328"/>
        <v>59.10936501560488</v>
      </c>
      <c r="AD979" s="6" t="str">
        <f t="shared" si="314"/>
        <v>Cumple</v>
      </c>
      <c r="AE979" s="6"/>
      <c r="AH979" s="3"/>
    </row>
    <row r="980" spans="1:43" ht="15" customHeight="1" x14ac:dyDescent="0.3">
      <c r="A980" s="13"/>
      <c r="B980" s="1">
        <v>15</v>
      </c>
      <c r="C980" s="1">
        <v>562</v>
      </c>
      <c r="D980" s="1">
        <v>1</v>
      </c>
      <c r="E980" s="5">
        <v>1</v>
      </c>
      <c r="F980" s="3">
        <f t="shared" si="324"/>
        <v>15</v>
      </c>
      <c r="G980" s="5">
        <v>2.5</v>
      </c>
      <c r="H980" s="3">
        <f t="shared" si="325"/>
        <v>4.908738521234052</v>
      </c>
      <c r="I980" s="4">
        <v>4.9086999999999999E-2</v>
      </c>
      <c r="K980" s="3">
        <v>213.45740073021597</v>
      </c>
      <c r="L980" s="3">
        <v>398.30489</v>
      </c>
      <c r="M980" s="3">
        <v>910.05772999999999</v>
      </c>
      <c r="N980" s="12">
        <f t="shared" si="311"/>
        <v>9.9999215251863893E-3</v>
      </c>
      <c r="O980" s="11">
        <f t="shared" si="312"/>
        <v>490.87</v>
      </c>
      <c r="P980" s="1">
        <v>10</v>
      </c>
      <c r="Q980" s="1">
        <v>1</v>
      </c>
      <c r="R980" s="3">
        <f>Q980*VLOOKUP(P980,[4]Datos!$A$2:$D$14,2)</f>
        <v>8.19</v>
      </c>
      <c r="S980" s="10">
        <f t="shared" si="326"/>
        <v>60</v>
      </c>
      <c r="T980" s="2">
        <v>60</v>
      </c>
      <c r="U980" s="3">
        <f t="shared" si="327"/>
        <v>0.12</v>
      </c>
      <c r="V980" s="3"/>
      <c r="W980" s="1">
        <v>280</v>
      </c>
      <c r="X980" s="9">
        <v>2</v>
      </c>
      <c r="Y980" s="1">
        <v>4</v>
      </c>
      <c r="Z980" s="3">
        <f>X980*VLOOKUP(Y980,[4]Datos!$A$2:$D$14,2)</f>
        <v>2.58</v>
      </c>
      <c r="AA980" s="8">
        <v>0.3</v>
      </c>
      <c r="AB980" s="7">
        <f t="shared" si="313"/>
        <v>180.55532030650846</v>
      </c>
      <c r="AC980" s="7">
        <f t="shared" si="328"/>
        <v>59.10936501560488</v>
      </c>
      <c r="AD980" s="6" t="str">
        <f t="shared" si="314"/>
        <v>Cumple</v>
      </c>
      <c r="AE980" s="6"/>
      <c r="AH980" s="3"/>
    </row>
    <row r="981" spans="1:43" ht="15" customHeight="1" x14ac:dyDescent="0.3">
      <c r="A981" s="13"/>
      <c r="B981" s="1">
        <v>16</v>
      </c>
      <c r="C981" s="1">
        <v>563</v>
      </c>
      <c r="D981" s="1">
        <v>1</v>
      </c>
      <c r="E981" s="5">
        <v>1</v>
      </c>
      <c r="F981" s="3">
        <f t="shared" si="324"/>
        <v>16</v>
      </c>
      <c r="G981" s="5">
        <v>2.5</v>
      </c>
      <c r="H981" s="3">
        <f t="shared" si="325"/>
        <v>4.908738521234052</v>
      </c>
      <c r="I981" s="4">
        <v>4.9086999999999999E-2</v>
      </c>
      <c r="K981" s="3">
        <v>187.8456617394184</v>
      </c>
      <c r="L981" s="3">
        <v>319.41791000000001</v>
      </c>
      <c r="M981" s="3">
        <v>717.69416999999999</v>
      </c>
      <c r="N981" s="12">
        <f t="shared" si="311"/>
        <v>9.9999215251863893E-3</v>
      </c>
      <c r="O981" s="11">
        <f t="shared" si="312"/>
        <v>490.87</v>
      </c>
      <c r="P981" s="1">
        <v>10</v>
      </c>
      <c r="Q981" s="1">
        <v>1</v>
      </c>
      <c r="R981" s="3">
        <f>Q981*VLOOKUP(P981,[4]Datos!$A$2:$D$14,2)</f>
        <v>8.19</v>
      </c>
      <c r="S981" s="10">
        <f t="shared" si="326"/>
        <v>60</v>
      </c>
      <c r="T981" s="2">
        <v>60</v>
      </c>
      <c r="U981" s="3">
        <f t="shared" si="327"/>
        <v>0.12</v>
      </c>
      <c r="V981" s="3"/>
      <c r="W981" s="1">
        <v>280</v>
      </c>
      <c r="X981" s="9">
        <v>2</v>
      </c>
      <c r="Y981" s="1">
        <v>4</v>
      </c>
      <c r="Z981" s="3">
        <f>X981*VLOOKUP(Y981,[4]Datos!$A$2:$D$14,2)</f>
        <v>2.58</v>
      </c>
      <c r="AA981" s="8">
        <v>0.3</v>
      </c>
      <c r="AB981" s="7">
        <f t="shared" si="313"/>
        <v>180.55532030650846</v>
      </c>
      <c r="AC981" s="7">
        <f t="shared" si="328"/>
        <v>59.10936501560488</v>
      </c>
      <c r="AD981" s="6" t="str">
        <f t="shared" si="314"/>
        <v>Cumple</v>
      </c>
      <c r="AE981" s="6"/>
      <c r="AH981" s="3"/>
    </row>
    <row r="982" spans="1:43" ht="15" customHeight="1" x14ac:dyDescent="0.3">
      <c r="A982" s="13"/>
      <c r="B982" s="1">
        <v>17</v>
      </c>
      <c r="C982" s="1">
        <v>564</v>
      </c>
      <c r="D982" s="1">
        <v>1</v>
      </c>
      <c r="E982" s="5">
        <v>1</v>
      </c>
      <c r="F982" s="3">
        <f t="shared" si="324"/>
        <v>17</v>
      </c>
      <c r="G982" s="5">
        <v>2.5</v>
      </c>
      <c r="H982" s="3">
        <f t="shared" si="325"/>
        <v>4.908738521234052</v>
      </c>
      <c r="I982" s="4">
        <v>4.9086999999999999E-2</v>
      </c>
      <c r="K982" s="3">
        <v>160.52003878949193</v>
      </c>
      <c r="L982" s="3">
        <v>260.01121999999998</v>
      </c>
      <c r="M982" s="3">
        <v>546.34536000000003</v>
      </c>
      <c r="N982" s="12">
        <f t="shared" si="311"/>
        <v>9.9999215251863893E-3</v>
      </c>
      <c r="O982" s="11">
        <f t="shared" si="312"/>
        <v>490.87</v>
      </c>
      <c r="P982" s="1">
        <v>10</v>
      </c>
      <c r="Q982" s="1">
        <v>1</v>
      </c>
      <c r="R982" s="3">
        <f>Q982*VLOOKUP(P982,[4]Datos!$A$2:$D$14,2)</f>
        <v>8.19</v>
      </c>
      <c r="S982" s="10">
        <f t="shared" si="326"/>
        <v>60</v>
      </c>
      <c r="T982" s="2">
        <v>60</v>
      </c>
      <c r="U982" s="3">
        <f t="shared" si="327"/>
        <v>0.12</v>
      </c>
      <c r="V982" s="3"/>
      <c r="W982" s="1">
        <v>280</v>
      </c>
      <c r="X982" s="9">
        <v>2</v>
      </c>
      <c r="Y982" s="1">
        <v>4</v>
      </c>
      <c r="Z982" s="3">
        <f>X982*VLOOKUP(Y982,[4]Datos!$A$2:$D$14,2)</f>
        <v>2.58</v>
      </c>
      <c r="AA982" s="8">
        <v>0.3</v>
      </c>
      <c r="AB982" s="7">
        <f t="shared" si="313"/>
        <v>180.55532030650846</v>
      </c>
      <c r="AC982" s="7">
        <f t="shared" si="328"/>
        <v>59.10936501560488</v>
      </c>
      <c r="AD982" s="6" t="str">
        <f t="shared" si="314"/>
        <v>Cumple</v>
      </c>
      <c r="AE982" s="6"/>
      <c r="AH982" s="3"/>
    </row>
    <row r="983" spans="1:43" ht="15" customHeight="1" x14ac:dyDescent="0.3">
      <c r="A983" s="13"/>
      <c r="B983" s="1">
        <v>18</v>
      </c>
      <c r="C983" s="1">
        <v>565</v>
      </c>
      <c r="D983" s="1">
        <v>1</v>
      </c>
      <c r="E983" s="5">
        <v>1</v>
      </c>
      <c r="F983" s="3">
        <f t="shared" si="324"/>
        <v>18</v>
      </c>
      <c r="G983" s="5">
        <v>2.5</v>
      </c>
      <c r="H983" s="3">
        <f t="shared" si="325"/>
        <v>4.908738521234052</v>
      </c>
      <c r="I983" s="4">
        <v>4.9086999999999999E-2</v>
      </c>
      <c r="K983" s="3">
        <v>132.62987796831453</v>
      </c>
      <c r="L983" s="3">
        <v>203.09867</v>
      </c>
      <c r="M983" s="3">
        <v>398.45884000000001</v>
      </c>
      <c r="N983" s="12">
        <f t="shared" si="311"/>
        <v>9.9999215251863893E-3</v>
      </c>
      <c r="O983" s="11">
        <f t="shared" si="312"/>
        <v>490.87</v>
      </c>
      <c r="P983" s="1">
        <v>10</v>
      </c>
      <c r="Q983" s="1">
        <v>1</v>
      </c>
      <c r="R983" s="3">
        <f>Q983*VLOOKUP(P983,[4]Datos!$A$2:$D$14,2)</f>
        <v>8.19</v>
      </c>
      <c r="S983" s="10">
        <f t="shared" si="326"/>
        <v>60</v>
      </c>
      <c r="T983" s="2">
        <v>60</v>
      </c>
      <c r="U983" s="3">
        <f t="shared" si="327"/>
        <v>0.12</v>
      </c>
      <c r="V983" s="3"/>
      <c r="W983" s="1">
        <v>280</v>
      </c>
      <c r="X983" s="9">
        <v>2</v>
      </c>
      <c r="Y983" s="1">
        <v>4</v>
      </c>
      <c r="Z983" s="3">
        <f>X983*VLOOKUP(Y983,[4]Datos!$A$2:$D$14,2)</f>
        <v>2.58</v>
      </c>
      <c r="AA983" s="8">
        <v>0.3</v>
      </c>
      <c r="AB983" s="7">
        <f t="shared" si="313"/>
        <v>180.55532030650846</v>
      </c>
      <c r="AC983" s="7">
        <f t="shared" si="328"/>
        <v>59.10936501560488</v>
      </c>
      <c r="AD983" s="6" t="str">
        <f t="shared" si="314"/>
        <v>Cumple</v>
      </c>
      <c r="AE983" s="6"/>
      <c r="AH983" s="3"/>
    </row>
    <row r="984" spans="1:43" ht="15" customHeight="1" x14ac:dyDescent="0.3">
      <c r="A984" s="13"/>
      <c r="B984" s="1">
        <v>19</v>
      </c>
      <c r="C984" s="1">
        <v>566</v>
      </c>
      <c r="D984" s="1">
        <v>1</v>
      </c>
      <c r="E984" s="5">
        <v>1</v>
      </c>
      <c r="F984" s="3">
        <f t="shared" si="324"/>
        <v>19</v>
      </c>
      <c r="G984" s="5">
        <v>2.5</v>
      </c>
      <c r="H984" s="3">
        <f t="shared" si="325"/>
        <v>4.908738521234052</v>
      </c>
      <c r="I984" s="4">
        <v>4.9086999999999999E-2</v>
      </c>
      <c r="K984" s="3">
        <v>105.27131923031078</v>
      </c>
      <c r="L984" s="3">
        <v>150.62306000000001</v>
      </c>
      <c r="M984" s="3">
        <v>275.18822</v>
      </c>
      <c r="N984" s="12">
        <f t="shared" si="311"/>
        <v>9.9999215251863893E-3</v>
      </c>
      <c r="O984" s="11">
        <f t="shared" si="312"/>
        <v>490.87</v>
      </c>
      <c r="P984" s="1">
        <v>10</v>
      </c>
      <c r="Q984" s="1">
        <v>1</v>
      </c>
      <c r="R984" s="3">
        <f>Q984*VLOOKUP(P984,[4]Datos!$A$2:$D$14,2)</f>
        <v>8.19</v>
      </c>
      <c r="S984" s="10">
        <f t="shared" si="326"/>
        <v>60</v>
      </c>
      <c r="T984" s="2">
        <v>60</v>
      </c>
      <c r="U984" s="3">
        <f t="shared" si="327"/>
        <v>0.12</v>
      </c>
      <c r="V984" s="3"/>
      <c r="W984" s="1">
        <v>280</v>
      </c>
      <c r="X984" s="9">
        <v>2</v>
      </c>
      <c r="Y984" s="1">
        <v>4</v>
      </c>
      <c r="Z984" s="3">
        <f>X984*VLOOKUP(Y984,[4]Datos!$A$2:$D$14,2)</f>
        <v>2.58</v>
      </c>
      <c r="AA984" s="8">
        <v>0.3</v>
      </c>
      <c r="AB984" s="7">
        <f t="shared" si="313"/>
        <v>180.55532030650846</v>
      </c>
      <c r="AC984" s="7">
        <f t="shared" si="328"/>
        <v>59.10936501560488</v>
      </c>
      <c r="AD984" s="6" t="str">
        <f t="shared" si="314"/>
        <v>Cumple</v>
      </c>
      <c r="AE984" s="6"/>
      <c r="AH984" s="3"/>
    </row>
    <row r="985" spans="1:43" ht="15" customHeight="1" x14ac:dyDescent="0.3">
      <c r="A985" s="13"/>
      <c r="B985" s="1">
        <v>20</v>
      </c>
      <c r="C985" s="1">
        <v>567</v>
      </c>
      <c r="D985" s="1">
        <v>1</v>
      </c>
      <c r="E985" s="5">
        <v>1</v>
      </c>
      <c r="F985" s="3">
        <f t="shared" si="324"/>
        <v>20</v>
      </c>
      <c r="G985" s="5">
        <v>2.5</v>
      </c>
      <c r="H985" s="3">
        <f t="shared" si="325"/>
        <v>4.908738521234052</v>
      </c>
      <c r="I985" s="4">
        <v>4.9086999999999999E-2</v>
      </c>
      <c r="K985" s="3">
        <v>79.349819807230816</v>
      </c>
      <c r="L985" s="3">
        <v>104.18584</v>
      </c>
      <c r="M985" s="3">
        <v>176.57210000000001</v>
      </c>
      <c r="N985" s="12">
        <f t="shared" si="311"/>
        <v>9.9999215251863893E-3</v>
      </c>
      <c r="O985" s="11">
        <f t="shared" si="312"/>
        <v>490.87</v>
      </c>
      <c r="P985" s="1">
        <v>10</v>
      </c>
      <c r="Q985" s="1">
        <v>1</v>
      </c>
      <c r="R985" s="3">
        <f>Q985*VLOOKUP(P985,[4]Datos!$A$2:$D$14,2)</f>
        <v>8.19</v>
      </c>
      <c r="S985" s="10">
        <f t="shared" si="326"/>
        <v>60</v>
      </c>
      <c r="T985" s="2">
        <v>60</v>
      </c>
      <c r="U985" s="3">
        <f t="shared" si="327"/>
        <v>0.12</v>
      </c>
      <c r="V985" s="3"/>
      <c r="W985" s="1">
        <v>280</v>
      </c>
      <c r="X985" s="9">
        <v>2</v>
      </c>
      <c r="Y985" s="1">
        <v>4</v>
      </c>
      <c r="Z985" s="3">
        <f>X985*VLOOKUP(Y985,[4]Datos!$A$2:$D$14,2)</f>
        <v>2.58</v>
      </c>
      <c r="AA985" s="8">
        <v>0.3</v>
      </c>
      <c r="AB985" s="7">
        <f t="shared" si="313"/>
        <v>180.55532030650846</v>
      </c>
      <c r="AC985" s="7">
        <f t="shared" si="328"/>
        <v>59.10936501560488</v>
      </c>
      <c r="AD985" s="6" t="str">
        <f t="shared" si="314"/>
        <v>Cumple</v>
      </c>
      <c r="AE985" s="6"/>
      <c r="AH985" s="3"/>
    </row>
    <row r="986" spans="1:43" ht="15" customHeight="1" x14ac:dyDescent="0.3">
      <c r="A986" s="13"/>
      <c r="B986" s="1">
        <v>21</v>
      </c>
      <c r="C986" s="1">
        <v>689</v>
      </c>
      <c r="D986" s="1">
        <v>1</v>
      </c>
      <c r="E986" s="5">
        <v>1</v>
      </c>
      <c r="F986" s="3">
        <f t="shared" si="324"/>
        <v>21</v>
      </c>
      <c r="G986" s="5">
        <v>2.5</v>
      </c>
      <c r="H986" s="3">
        <f t="shared" si="325"/>
        <v>4.908738521234052</v>
      </c>
      <c r="I986" s="4">
        <v>4.9086999999999999E-2</v>
      </c>
      <c r="K986" s="3">
        <v>55.562240410552199</v>
      </c>
      <c r="L986" s="3">
        <v>65.038830000000004</v>
      </c>
      <c r="M986" s="3">
        <v>101.72024999999999</v>
      </c>
      <c r="N986" s="12">
        <f t="shared" si="311"/>
        <v>9.9999215251863893E-3</v>
      </c>
      <c r="O986" s="11">
        <f t="shared" si="312"/>
        <v>490.87</v>
      </c>
      <c r="P986" s="1">
        <v>10</v>
      </c>
      <c r="Q986" s="1">
        <v>1</v>
      </c>
      <c r="R986" s="3">
        <f>Q986*VLOOKUP(P986,[4]Datos!$A$2:$D$14,2)</f>
        <v>8.19</v>
      </c>
      <c r="S986" s="10">
        <f t="shared" si="326"/>
        <v>60</v>
      </c>
      <c r="T986" s="2">
        <v>60</v>
      </c>
      <c r="U986" s="3">
        <f t="shared" si="327"/>
        <v>0.12</v>
      </c>
      <c r="V986" s="3"/>
      <c r="W986" s="1">
        <v>280</v>
      </c>
      <c r="X986" s="9">
        <v>2</v>
      </c>
      <c r="Y986" s="1">
        <v>4</v>
      </c>
      <c r="Z986" s="3">
        <f>X986*VLOOKUP(Y986,[4]Datos!$A$2:$D$14,2)</f>
        <v>2.58</v>
      </c>
      <c r="AA986" s="8">
        <v>0.3</v>
      </c>
      <c r="AB986" s="7">
        <f t="shared" si="313"/>
        <v>180.55532030650846</v>
      </c>
      <c r="AC986" s="7">
        <f t="shared" si="328"/>
        <v>59.10936501560488</v>
      </c>
      <c r="AD986" s="6" t="str">
        <f t="shared" si="314"/>
        <v>Cumple</v>
      </c>
      <c r="AE986" s="6"/>
      <c r="AH986" s="3"/>
    </row>
    <row r="987" spans="1:43" ht="15" customHeight="1" x14ac:dyDescent="0.3">
      <c r="A987" s="13"/>
      <c r="B987" s="1">
        <v>22</v>
      </c>
      <c r="C987" s="1">
        <v>691</v>
      </c>
      <c r="D987" s="1">
        <v>1</v>
      </c>
      <c r="E987" s="5">
        <v>1</v>
      </c>
      <c r="F987" s="3">
        <f t="shared" si="324"/>
        <v>22</v>
      </c>
      <c r="G987" s="5">
        <v>2.5</v>
      </c>
      <c r="H987" s="3">
        <f t="shared" si="325"/>
        <v>4.908738521234052</v>
      </c>
      <c r="I987" s="4">
        <v>4.9086999999999999E-2</v>
      </c>
      <c r="K987" s="3">
        <v>34.469441781525852</v>
      </c>
      <c r="L987" s="3">
        <v>34.176549999999999</v>
      </c>
      <c r="M987" s="3">
        <v>49.213619999999999</v>
      </c>
      <c r="N987" s="12">
        <f t="shared" si="311"/>
        <v>9.9999215251863893E-3</v>
      </c>
      <c r="O987" s="11">
        <f t="shared" si="312"/>
        <v>490.87</v>
      </c>
      <c r="P987" s="1">
        <v>10</v>
      </c>
      <c r="Q987" s="1">
        <v>1</v>
      </c>
      <c r="R987" s="3">
        <f>Q987*VLOOKUP(P987,[4]Datos!$A$2:$D$14,2)</f>
        <v>8.19</v>
      </c>
      <c r="S987" s="10">
        <f t="shared" si="326"/>
        <v>60</v>
      </c>
      <c r="T987" s="2">
        <v>60</v>
      </c>
      <c r="U987" s="3">
        <f t="shared" si="327"/>
        <v>0.12</v>
      </c>
      <c r="V987" s="3"/>
      <c r="W987" s="1">
        <v>280</v>
      </c>
      <c r="X987" s="9">
        <v>2</v>
      </c>
      <c r="Y987" s="1">
        <v>4</v>
      </c>
      <c r="Z987" s="3">
        <f>X987*VLOOKUP(Y987,[4]Datos!$A$2:$D$14,2)</f>
        <v>2.58</v>
      </c>
      <c r="AA987" s="8">
        <v>0.3</v>
      </c>
      <c r="AB987" s="7">
        <f t="shared" si="313"/>
        <v>180.55532030650846</v>
      </c>
      <c r="AC987" s="7">
        <f t="shared" si="328"/>
        <v>59.10936501560488</v>
      </c>
      <c r="AD987" s="6" t="str">
        <f t="shared" si="314"/>
        <v>Cumple</v>
      </c>
      <c r="AE987" s="6"/>
      <c r="AH987" s="3"/>
    </row>
    <row r="988" spans="1:43" ht="15" customHeight="1" x14ac:dyDescent="0.3">
      <c r="A988" s="13"/>
      <c r="B988" s="1">
        <v>23</v>
      </c>
      <c r="C988" s="1">
        <v>693</v>
      </c>
      <c r="D988" s="1">
        <v>1</v>
      </c>
      <c r="E988" s="5">
        <v>1</v>
      </c>
      <c r="F988" s="3">
        <f t="shared" si="324"/>
        <v>23</v>
      </c>
      <c r="G988" s="5">
        <v>2.5</v>
      </c>
      <c r="H988" s="3">
        <f t="shared" si="325"/>
        <v>4.908738521234052</v>
      </c>
      <c r="I988" s="4">
        <v>4.9086999999999999E-2</v>
      </c>
      <c r="K988" s="3">
        <v>16.959944483989325</v>
      </c>
      <c r="L988" s="3">
        <v>12.39236</v>
      </c>
      <c r="M988" s="3">
        <v>16.379159999999999</v>
      </c>
      <c r="N988" s="12">
        <f t="shared" si="311"/>
        <v>9.9999215251863893E-3</v>
      </c>
      <c r="O988" s="11">
        <f t="shared" si="312"/>
        <v>490.87</v>
      </c>
      <c r="P988" s="1">
        <v>10</v>
      </c>
      <c r="Q988" s="1">
        <v>1</v>
      </c>
      <c r="R988" s="3">
        <f>Q988*VLOOKUP(P988,[4]Datos!$A$2:$D$14,2)</f>
        <v>8.19</v>
      </c>
      <c r="S988" s="10">
        <f t="shared" si="326"/>
        <v>60</v>
      </c>
      <c r="T988" s="2">
        <v>60</v>
      </c>
      <c r="U988" s="3">
        <f t="shared" si="327"/>
        <v>0.12</v>
      </c>
      <c r="V988" s="3"/>
      <c r="W988" s="1">
        <v>280</v>
      </c>
      <c r="X988" s="9">
        <v>2</v>
      </c>
      <c r="Y988" s="1">
        <v>4</v>
      </c>
      <c r="Z988" s="3">
        <f>X988*VLOOKUP(Y988,[4]Datos!$A$2:$D$14,2)</f>
        <v>2.58</v>
      </c>
      <c r="AA988" s="8">
        <v>0.3</v>
      </c>
      <c r="AB988" s="7">
        <f t="shared" si="313"/>
        <v>180.55532030650846</v>
      </c>
      <c r="AC988" s="7">
        <f t="shared" si="328"/>
        <v>59.10936501560488</v>
      </c>
      <c r="AD988" s="6" t="str">
        <f t="shared" si="314"/>
        <v>Cumple</v>
      </c>
      <c r="AE988" s="6"/>
      <c r="AH988" s="3"/>
    </row>
    <row r="989" spans="1:43" ht="15" customHeight="1" x14ac:dyDescent="0.3">
      <c r="A989" s="13" t="s">
        <v>0</v>
      </c>
      <c r="B989" s="1">
        <v>1</v>
      </c>
      <c r="C989" s="1">
        <v>480</v>
      </c>
      <c r="D989" s="1">
        <v>1</v>
      </c>
      <c r="E989" s="5">
        <v>1</v>
      </c>
      <c r="F989" s="3">
        <f>E989</f>
        <v>1</v>
      </c>
      <c r="G989" s="5">
        <v>2.5</v>
      </c>
      <c r="H989" s="3">
        <f t="shared" si="325"/>
        <v>4.908738521234052</v>
      </c>
      <c r="I989" s="4">
        <v>8.1740999999999994E-2</v>
      </c>
      <c r="K989" s="3">
        <v>333.48142412905105</v>
      </c>
      <c r="L989" s="3">
        <v>1949.3815500000001</v>
      </c>
      <c r="M989" s="3">
        <v>2496.32996</v>
      </c>
      <c r="N989" s="12">
        <f t="shared" si="311"/>
        <v>1.6652139780191508E-2</v>
      </c>
      <c r="O989" s="11">
        <f t="shared" si="312"/>
        <v>817.41</v>
      </c>
      <c r="P989" s="1">
        <v>10</v>
      </c>
      <c r="Q989" s="1">
        <v>2</v>
      </c>
      <c r="R989" s="3">
        <f>Q989*VLOOKUP(P989,[4]Datos!$A$2:$D$14,2)</f>
        <v>16.38</v>
      </c>
      <c r="S989" s="10">
        <f t="shared" si="326"/>
        <v>50</v>
      </c>
      <c r="T989" s="2">
        <v>52</v>
      </c>
      <c r="U989" s="3">
        <f t="shared" si="327"/>
        <v>0.13</v>
      </c>
      <c r="V989" s="3"/>
      <c r="W989" s="1">
        <v>280</v>
      </c>
      <c r="X989" s="9">
        <v>2</v>
      </c>
      <c r="Y989" s="1">
        <v>6</v>
      </c>
      <c r="Z989" s="3">
        <f>X989*VLOOKUP(Y989,[4]Datos!$A$2:$D$14,2)</f>
        <v>5.68</v>
      </c>
      <c r="AA989" s="8">
        <v>0.06</v>
      </c>
      <c r="AB989" s="7">
        <f t="shared" si="313"/>
        <v>180.55532030650846</v>
      </c>
      <c r="AC989" s="7">
        <f t="shared" si="328"/>
        <v>650.66122730355755</v>
      </c>
      <c r="AD989" s="6" t="str">
        <f t="shared" si="314"/>
        <v>Cumple</v>
      </c>
      <c r="AE989" s="6"/>
      <c r="AG989" s="7">
        <f t="shared" ref="AG989:AG996" si="329">ROUNDUP(MAX(0.45,3*G989,),0)</f>
        <v>8</v>
      </c>
      <c r="AH989" s="3">
        <f t="shared" ref="AH989:AH996" si="330">PI()*(G989-0.15)^2/4</f>
        <v>4.3373613573624086</v>
      </c>
      <c r="AI989" s="7">
        <f>G989-0.15-VLOOKUP(Y989,[4]Datos!$A$2:$D$14,3)/100</f>
        <v>2.3309000000000002</v>
      </c>
      <c r="AJ989" s="7">
        <f t="shared" ref="AJ989:AJ996" si="331">SQRT((PI()*AI989)^2+AA989^2)</f>
        <v>7.3229841218120741</v>
      </c>
      <c r="AK989" s="1">
        <v>0.12</v>
      </c>
      <c r="AL989" s="16">
        <f t="shared" ref="AL989:AL996" si="332">MAX(0.45*(H989/AH989-1),AK989)*(W989/4220)</f>
        <v>7.9620853080568724E-3</v>
      </c>
      <c r="AM989" s="7">
        <f t="shared" ref="AM989:AM996" si="333">AG989*(AJ989/AA989)</f>
        <v>976.39788290827664</v>
      </c>
      <c r="AN989" s="17">
        <f t="shared" ref="AN989:AN996" si="334">AM989*Z989/X989/10000</f>
        <v>0.27729699874595054</v>
      </c>
      <c r="AO989" s="17">
        <f t="shared" ref="AO989:AO996" si="335">AH989*AG989</f>
        <v>34.698890858899269</v>
      </c>
      <c r="AP989" s="16">
        <f t="shared" ref="AP989:AP996" si="336">AN989/AO989</f>
        <v>7.9915234142082618E-3</v>
      </c>
      <c r="AQ989" s="6" t="str">
        <f t="shared" ref="AQ989:AQ996" si="337">+IF(AP989&gt;AL989,"Cumple","No Cumple")</f>
        <v>Cumple</v>
      </c>
    </row>
    <row r="990" spans="1:43" ht="15" customHeight="1" x14ac:dyDescent="0.3">
      <c r="A990" s="13"/>
      <c r="B990" s="1">
        <v>2</v>
      </c>
      <c r="C990" s="1">
        <v>481</v>
      </c>
      <c r="D990" s="1">
        <v>1</v>
      </c>
      <c r="E990" s="5">
        <v>1</v>
      </c>
      <c r="F990" s="3">
        <f>F989+E990</f>
        <v>2</v>
      </c>
      <c r="G990" s="5">
        <v>2.5</v>
      </c>
      <c r="H990" s="3">
        <f t="shared" si="325"/>
        <v>4.908738521234052</v>
      </c>
      <c r="I990" s="4">
        <v>8.2003999999999994E-2</v>
      </c>
      <c r="K990" s="3">
        <v>317.70002145017241</v>
      </c>
      <c r="L990" s="3">
        <v>1810.57341</v>
      </c>
      <c r="M990" s="3">
        <v>2580.4757399999999</v>
      </c>
      <c r="N990" s="12">
        <f t="shared" si="311"/>
        <v>1.6705717700233963E-2</v>
      </c>
      <c r="O990" s="11">
        <f t="shared" si="312"/>
        <v>820.04</v>
      </c>
      <c r="P990" s="1">
        <v>10</v>
      </c>
      <c r="Q990" s="1">
        <v>2</v>
      </c>
      <c r="R990" s="3">
        <f>Q990*VLOOKUP(P990,[4]Datos!$A$2:$D$14,2)</f>
        <v>16.38</v>
      </c>
      <c r="S990" s="10">
        <f t="shared" si="326"/>
        <v>51</v>
      </c>
      <c r="T990" s="2">
        <v>52</v>
      </c>
      <c r="U990" s="3">
        <f t="shared" si="327"/>
        <v>0.13</v>
      </c>
      <c r="V990" s="3"/>
      <c r="W990" s="1">
        <v>280</v>
      </c>
      <c r="X990" s="9">
        <v>2</v>
      </c>
      <c r="Y990" s="1">
        <v>6</v>
      </c>
      <c r="Z990" s="3">
        <f>X990*VLOOKUP(Y990,[4]Datos!$A$2:$D$14,2)</f>
        <v>5.68</v>
      </c>
      <c r="AA990" s="8">
        <v>0.06</v>
      </c>
      <c r="AB990" s="7">
        <f t="shared" si="313"/>
        <v>180.55532030650846</v>
      </c>
      <c r="AC990" s="7">
        <f t="shared" si="328"/>
        <v>650.66122730355755</v>
      </c>
      <c r="AD990" s="6" t="str">
        <f t="shared" si="314"/>
        <v>Cumple</v>
      </c>
      <c r="AE990" s="6"/>
      <c r="AG990" s="7">
        <f t="shared" si="329"/>
        <v>8</v>
      </c>
      <c r="AH990" s="3">
        <f t="shared" si="330"/>
        <v>4.3373613573624086</v>
      </c>
      <c r="AI990" s="7">
        <f>G990-0.15-VLOOKUP(Y990,[4]Datos!$A$2:$D$14,3)/100</f>
        <v>2.3309000000000002</v>
      </c>
      <c r="AJ990" s="7">
        <f t="shared" si="331"/>
        <v>7.3229841218120741</v>
      </c>
      <c r="AK990" s="1">
        <v>0.12</v>
      </c>
      <c r="AL990" s="16">
        <f t="shared" si="332"/>
        <v>7.9620853080568724E-3</v>
      </c>
      <c r="AM990" s="7">
        <f t="shared" si="333"/>
        <v>976.39788290827664</v>
      </c>
      <c r="AN990" s="17">
        <f t="shared" si="334"/>
        <v>0.27729699874595054</v>
      </c>
      <c r="AO990" s="17">
        <f t="shared" si="335"/>
        <v>34.698890858899269</v>
      </c>
      <c r="AP990" s="16">
        <f t="shared" si="336"/>
        <v>7.9915234142082618E-3</v>
      </c>
      <c r="AQ990" s="6" t="str">
        <f t="shared" si="337"/>
        <v>Cumple</v>
      </c>
    </row>
    <row r="991" spans="1:43" x14ac:dyDescent="0.3">
      <c r="A991" s="13"/>
      <c r="B991" s="1">
        <v>3</v>
      </c>
      <c r="C991" s="1">
        <v>530</v>
      </c>
      <c r="D991" s="1">
        <v>1</v>
      </c>
      <c r="E991" s="5">
        <v>1</v>
      </c>
      <c r="F991" s="3">
        <f t="shared" ref="F991:F1011" si="338">F990+E991</f>
        <v>3</v>
      </c>
      <c r="G991" s="5">
        <v>2.5</v>
      </c>
      <c r="H991" s="3">
        <f t="shared" si="325"/>
        <v>4.908738521234052</v>
      </c>
      <c r="I991" s="4">
        <v>8.2088999999999995E-2</v>
      </c>
      <c r="K991" s="3">
        <v>289.83130592406684</v>
      </c>
      <c r="L991" s="3">
        <v>1671.48919</v>
      </c>
      <c r="M991" s="3">
        <v>2629.7784799999999</v>
      </c>
      <c r="N991" s="12">
        <f t="shared" si="311"/>
        <v>1.6723033758042363E-2</v>
      </c>
      <c r="O991" s="11">
        <f t="shared" si="312"/>
        <v>820.89</v>
      </c>
      <c r="P991" s="1">
        <v>10</v>
      </c>
      <c r="Q991" s="1">
        <v>2</v>
      </c>
      <c r="R991" s="3">
        <f>Q991*VLOOKUP(P991,[4]Datos!$A$2:$D$14,2)</f>
        <v>16.38</v>
      </c>
      <c r="S991" s="10">
        <f t="shared" si="326"/>
        <v>51</v>
      </c>
      <c r="T991" s="2">
        <v>52</v>
      </c>
      <c r="U991" s="3">
        <f t="shared" si="327"/>
        <v>0.13</v>
      </c>
      <c r="V991" s="3"/>
      <c r="W991" s="1">
        <v>280</v>
      </c>
      <c r="X991" s="9">
        <v>2</v>
      </c>
      <c r="Y991" s="1">
        <v>6</v>
      </c>
      <c r="Z991" s="3">
        <f>X991*VLOOKUP(Y991,[4]Datos!$A$2:$D$14,2)</f>
        <v>5.68</v>
      </c>
      <c r="AA991" s="8">
        <v>0.06</v>
      </c>
      <c r="AB991" s="7">
        <f t="shared" si="313"/>
        <v>180.55532030650846</v>
      </c>
      <c r="AC991" s="7">
        <f t="shared" si="328"/>
        <v>650.66122730355755</v>
      </c>
      <c r="AD991" s="6" t="str">
        <f t="shared" si="314"/>
        <v>Cumple</v>
      </c>
      <c r="AE991" s="6"/>
      <c r="AG991" s="7">
        <f t="shared" si="329"/>
        <v>8</v>
      </c>
      <c r="AH991" s="3">
        <f t="shared" si="330"/>
        <v>4.3373613573624086</v>
      </c>
      <c r="AI991" s="7">
        <f>G991-0.15-VLOOKUP(Y991,[4]Datos!$A$2:$D$14,3)/100</f>
        <v>2.3309000000000002</v>
      </c>
      <c r="AJ991" s="7">
        <f t="shared" si="331"/>
        <v>7.3229841218120741</v>
      </c>
      <c r="AK991" s="1">
        <v>0.12</v>
      </c>
      <c r="AL991" s="16">
        <f t="shared" si="332"/>
        <v>7.9620853080568724E-3</v>
      </c>
      <c r="AM991" s="7">
        <f t="shared" si="333"/>
        <v>976.39788290827664</v>
      </c>
      <c r="AN991" s="17">
        <f t="shared" si="334"/>
        <v>0.27729699874595054</v>
      </c>
      <c r="AO991" s="17">
        <f t="shared" si="335"/>
        <v>34.698890858899269</v>
      </c>
      <c r="AP991" s="16">
        <f t="shared" si="336"/>
        <v>7.9915234142082618E-3</v>
      </c>
      <c r="AQ991" s="6" t="str">
        <f t="shared" si="337"/>
        <v>Cumple</v>
      </c>
    </row>
    <row r="992" spans="1:43" x14ac:dyDescent="0.3">
      <c r="A992" s="13"/>
      <c r="B992" s="1">
        <v>4</v>
      </c>
      <c r="C992" s="1">
        <v>531</v>
      </c>
      <c r="D992" s="1">
        <v>1</v>
      </c>
      <c r="E992" s="5">
        <v>1</v>
      </c>
      <c r="F992" s="3">
        <f t="shared" si="338"/>
        <v>4</v>
      </c>
      <c r="G992" s="5">
        <v>2.5</v>
      </c>
      <c r="H992" s="3">
        <f t="shared" si="325"/>
        <v>4.908738521234052</v>
      </c>
      <c r="I992" s="4">
        <v>8.2089999999999996E-2</v>
      </c>
      <c r="K992" s="3">
        <v>257.20746157236573</v>
      </c>
      <c r="L992" s="3">
        <v>1537.4455800000001</v>
      </c>
      <c r="M992" s="3">
        <v>2630.9969999999998</v>
      </c>
      <c r="N992" s="12">
        <f t="shared" si="311"/>
        <v>1.6723237476369519E-2</v>
      </c>
      <c r="O992" s="11">
        <f t="shared" si="312"/>
        <v>820.9</v>
      </c>
      <c r="P992" s="1">
        <v>10</v>
      </c>
      <c r="Q992" s="1">
        <v>2</v>
      </c>
      <c r="R992" s="3">
        <f>Q992*VLOOKUP(P992,[4]Datos!$A$2:$D$14,2)</f>
        <v>16.38</v>
      </c>
      <c r="S992" s="10">
        <f t="shared" si="326"/>
        <v>51</v>
      </c>
      <c r="T992" s="2">
        <v>52</v>
      </c>
      <c r="U992" s="3">
        <f t="shared" si="327"/>
        <v>0.13</v>
      </c>
      <c r="V992" s="3"/>
      <c r="W992" s="1">
        <v>280</v>
      </c>
      <c r="X992" s="9">
        <v>2</v>
      </c>
      <c r="Y992" s="1">
        <v>6</v>
      </c>
      <c r="Z992" s="3">
        <f>X992*VLOOKUP(Y992,[4]Datos!$A$2:$D$14,2)</f>
        <v>5.68</v>
      </c>
      <c r="AA992" s="8">
        <v>0.06</v>
      </c>
      <c r="AB992" s="7">
        <f t="shared" si="313"/>
        <v>180.55532030650846</v>
      </c>
      <c r="AC992" s="7">
        <f t="shared" si="328"/>
        <v>650.66122730355755</v>
      </c>
      <c r="AD992" s="6" t="str">
        <f t="shared" si="314"/>
        <v>Cumple</v>
      </c>
      <c r="AE992" s="6"/>
      <c r="AG992" s="7">
        <f t="shared" si="329"/>
        <v>8</v>
      </c>
      <c r="AH992" s="3">
        <f t="shared" si="330"/>
        <v>4.3373613573624086</v>
      </c>
      <c r="AI992" s="7">
        <f>G992-0.15-VLOOKUP(Y992,[4]Datos!$A$2:$D$14,3)/100</f>
        <v>2.3309000000000002</v>
      </c>
      <c r="AJ992" s="7">
        <f t="shared" si="331"/>
        <v>7.3229841218120741</v>
      </c>
      <c r="AK992" s="1">
        <v>0.12</v>
      </c>
      <c r="AL992" s="16">
        <f t="shared" si="332"/>
        <v>7.9620853080568724E-3</v>
      </c>
      <c r="AM992" s="7">
        <f t="shared" si="333"/>
        <v>976.39788290827664</v>
      </c>
      <c r="AN992" s="17">
        <f t="shared" si="334"/>
        <v>0.27729699874595054</v>
      </c>
      <c r="AO992" s="17">
        <f t="shared" si="335"/>
        <v>34.698890858899269</v>
      </c>
      <c r="AP992" s="16">
        <f t="shared" si="336"/>
        <v>7.9915234142082618E-3</v>
      </c>
      <c r="AQ992" s="6" t="str">
        <f t="shared" si="337"/>
        <v>Cumple</v>
      </c>
    </row>
    <row r="993" spans="1:43" x14ac:dyDescent="0.3">
      <c r="A993" s="13"/>
      <c r="B993" s="1">
        <v>5</v>
      </c>
      <c r="C993" s="1">
        <v>532</v>
      </c>
      <c r="D993" s="1">
        <v>1</v>
      </c>
      <c r="E993" s="5">
        <v>1</v>
      </c>
      <c r="F993" s="3">
        <f t="shared" si="338"/>
        <v>5</v>
      </c>
      <c r="G993" s="5">
        <v>2.5</v>
      </c>
      <c r="H993" s="3">
        <f t="shared" si="325"/>
        <v>4.908738521234052</v>
      </c>
      <c r="I993" s="4">
        <v>8.1701999999999997E-2</v>
      </c>
      <c r="K993" s="3">
        <v>226.86613073627805</v>
      </c>
      <c r="L993" s="3">
        <v>1420.5058100000001</v>
      </c>
      <c r="M993" s="3">
        <v>2630.9969999999998</v>
      </c>
      <c r="N993" s="12">
        <f t="shared" si="311"/>
        <v>1.6644194765432361E-2</v>
      </c>
      <c r="O993" s="11">
        <f t="shared" si="312"/>
        <v>817.02</v>
      </c>
      <c r="P993" s="1">
        <v>10</v>
      </c>
      <c r="Q993" s="1">
        <v>2</v>
      </c>
      <c r="R993" s="3">
        <f>Q993*VLOOKUP(P993,[4]Datos!$A$2:$D$14,2)</f>
        <v>16.38</v>
      </c>
      <c r="S993" s="10">
        <f t="shared" si="326"/>
        <v>50</v>
      </c>
      <c r="T993" s="2">
        <v>52</v>
      </c>
      <c r="U993" s="3">
        <f t="shared" si="327"/>
        <v>0.13</v>
      </c>
      <c r="V993" s="3"/>
      <c r="W993" s="1">
        <v>280</v>
      </c>
      <c r="X993" s="9">
        <v>2</v>
      </c>
      <c r="Y993" s="1">
        <v>6</v>
      </c>
      <c r="Z993" s="3">
        <f>X993*VLOOKUP(Y993,[4]Datos!$A$2:$D$14,2)</f>
        <v>5.68</v>
      </c>
      <c r="AA993" s="8">
        <v>0.06</v>
      </c>
      <c r="AB993" s="7">
        <f t="shared" si="313"/>
        <v>180.55532030650846</v>
      </c>
      <c r="AC993" s="7">
        <f t="shared" si="328"/>
        <v>650.66122730355755</v>
      </c>
      <c r="AD993" s="6" t="str">
        <f t="shared" si="314"/>
        <v>Cumple</v>
      </c>
      <c r="AE993" s="6"/>
      <c r="AG993" s="7">
        <f t="shared" si="329"/>
        <v>8</v>
      </c>
      <c r="AH993" s="3">
        <f t="shared" si="330"/>
        <v>4.3373613573624086</v>
      </c>
      <c r="AI993" s="7">
        <f>G993-0.15-VLOOKUP(Y993,[4]Datos!$A$2:$D$14,3)/100</f>
        <v>2.3309000000000002</v>
      </c>
      <c r="AJ993" s="7">
        <f t="shared" si="331"/>
        <v>7.3229841218120741</v>
      </c>
      <c r="AK993" s="1">
        <v>0.12</v>
      </c>
      <c r="AL993" s="16">
        <f t="shared" si="332"/>
        <v>7.9620853080568724E-3</v>
      </c>
      <c r="AM993" s="7">
        <f t="shared" si="333"/>
        <v>976.39788290827664</v>
      </c>
      <c r="AN993" s="17">
        <f t="shared" si="334"/>
        <v>0.27729699874595054</v>
      </c>
      <c r="AO993" s="17">
        <f t="shared" si="335"/>
        <v>34.698890858899269</v>
      </c>
      <c r="AP993" s="16">
        <f t="shared" si="336"/>
        <v>7.9915234142082618E-3</v>
      </c>
      <c r="AQ993" s="6" t="str">
        <f t="shared" si="337"/>
        <v>Cumple</v>
      </c>
    </row>
    <row r="994" spans="1:43" x14ac:dyDescent="0.3">
      <c r="A994" s="13"/>
      <c r="B994" s="1">
        <v>6</v>
      </c>
      <c r="C994" s="1">
        <v>533</v>
      </c>
      <c r="D994" s="1">
        <v>1</v>
      </c>
      <c r="E994" s="5">
        <v>1</v>
      </c>
      <c r="F994" s="3">
        <f t="shared" si="338"/>
        <v>6</v>
      </c>
      <c r="G994" s="5">
        <v>2.5</v>
      </c>
      <c r="H994" s="3">
        <f t="shared" si="325"/>
        <v>4.908738521234052</v>
      </c>
      <c r="I994" s="4">
        <v>8.0258999999999997E-2</v>
      </c>
      <c r="K994" s="3">
        <v>201.60746672454869</v>
      </c>
      <c r="L994" s="3">
        <v>1313.79802</v>
      </c>
      <c r="M994" s="3">
        <v>2578.3363300000001</v>
      </c>
      <c r="N994" s="12">
        <f t="shared" si="311"/>
        <v>1.6350229219343908E-2</v>
      </c>
      <c r="O994" s="11">
        <f t="shared" si="312"/>
        <v>802.58999999999992</v>
      </c>
      <c r="P994" s="1">
        <v>10</v>
      </c>
      <c r="Q994" s="15">
        <v>2</v>
      </c>
      <c r="R994" s="3">
        <f>Q994*VLOOKUP(P994,[4]Datos!$A$2:$D$14,2)</f>
        <v>16.38</v>
      </c>
      <c r="S994" s="10">
        <f t="shared" si="326"/>
        <v>49</v>
      </c>
      <c r="T994" s="14">
        <v>52</v>
      </c>
      <c r="U994" s="3">
        <f t="shared" si="327"/>
        <v>0.13</v>
      </c>
      <c r="V994" s="3"/>
      <c r="W994" s="1">
        <v>280</v>
      </c>
      <c r="X994" s="9">
        <v>2</v>
      </c>
      <c r="Y994" s="1">
        <v>6</v>
      </c>
      <c r="Z994" s="3">
        <f>X994*VLOOKUP(Y994,[4]Datos!$A$2:$D$14,2)</f>
        <v>5.68</v>
      </c>
      <c r="AA994" s="8">
        <v>0.06</v>
      </c>
      <c r="AB994" s="7">
        <f t="shared" si="313"/>
        <v>180.55532030650846</v>
      </c>
      <c r="AC994" s="7">
        <f t="shared" si="328"/>
        <v>650.66122730355755</v>
      </c>
      <c r="AD994" s="6" t="str">
        <f t="shared" si="314"/>
        <v>Cumple</v>
      </c>
      <c r="AE994" s="6"/>
      <c r="AG994" s="7">
        <f t="shared" si="329"/>
        <v>8</v>
      </c>
      <c r="AH994" s="3">
        <f t="shared" si="330"/>
        <v>4.3373613573624086</v>
      </c>
      <c r="AI994" s="7">
        <f>G994-0.15-VLOOKUP(Y994,[4]Datos!$A$2:$D$14,3)/100</f>
        <v>2.3309000000000002</v>
      </c>
      <c r="AJ994" s="7">
        <f t="shared" si="331"/>
        <v>7.3229841218120741</v>
      </c>
      <c r="AK994" s="1">
        <v>0.12</v>
      </c>
      <c r="AL994" s="16">
        <f t="shared" si="332"/>
        <v>7.9620853080568724E-3</v>
      </c>
      <c r="AM994" s="7">
        <f t="shared" si="333"/>
        <v>976.39788290827664</v>
      </c>
      <c r="AN994" s="17">
        <f t="shared" si="334"/>
        <v>0.27729699874595054</v>
      </c>
      <c r="AO994" s="17">
        <f t="shared" si="335"/>
        <v>34.698890858899269</v>
      </c>
      <c r="AP994" s="16">
        <f t="shared" si="336"/>
        <v>7.9915234142082618E-3</v>
      </c>
      <c r="AQ994" s="6" t="str">
        <f t="shared" si="337"/>
        <v>Cumple</v>
      </c>
    </row>
    <row r="995" spans="1:43" x14ac:dyDescent="0.3">
      <c r="A995" s="13"/>
      <c r="B995" s="1">
        <v>7</v>
      </c>
      <c r="C995" s="1">
        <v>534</v>
      </c>
      <c r="D995" s="1">
        <v>1</v>
      </c>
      <c r="E995" s="5">
        <v>1</v>
      </c>
      <c r="F995" s="3">
        <f t="shared" si="338"/>
        <v>7</v>
      </c>
      <c r="G995" s="5">
        <v>2.5</v>
      </c>
      <c r="H995" s="3">
        <f t="shared" si="325"/>
        <v>4.908738521234052</v>
      </c>
      <c r="I995" s="4">
        <v>7.7285000000000006E-2</v>
      </c>
      <c r="K995" s="3">
        <v>220.8961911300419</v>
      </c>
      <c r="L995" s="3">
        <v>1201.95892</v>
      </c>
      <c r="M995" s="3">
        <v>2472.6108800000002</v>
      </c>
      <c r="N995" s="12">
        <f t="shared" si="311"/>
        <v>1.574437091437713E-2</v>
      </c>
      <c r="O995" s="11">
        <f t="shared" si="312"/>
        <v>772.85</v>
      </c>
      <c r="P995" s="1">
        <v>10</v>
      </c>
      <c r="Q995" s="15">
        <v>2</v>
      </c>
      <c r="R995" s="3">
        <f>Q995*VLOOKUP(P995,[4]Datos!$A$2:$D$14,2)</f>
        <v>16.38</v>
      </c>
      <c r="S995" s="10">
        <f t="shared" si="326"/>
        <v>48</v>
      </c>
      <c r="T995" s="14">
        <v>52</v>
      </c>
      <c r="U995" s="3">
        <f t="shared" si="327"/>
        <v>0.13</v>
      </c>
      <c r="V995" s="3"/>
      <c r="W995" s="1">
        <v>280</v>
      </c>
      <c r="X995" s="9">
        <v>2</v>
      </c>
      <c r="Y995" s="1">
        <v>6</v>
      </c>
      <c r="Z995" s="3">
        <f>X995*VLOOKUP(Y995,[4]Datos!$A$2:$D$14,2)</f>
        <v>5.68</v>
      </c>
      <c r="AA995" s="8">
        <v>0.06</v>
      </c>
      <c r="AB995" s="7">
        <f t="shared" si="313"/>
        <v>180.55532030650846</v>
      </c>
      <c r="AC995" s="7">
        <f t="shared" si="328"/>
        <v>650.66122730355755</v>
      </c>
      <c r="AD995" s="6" t="str">
        <f t="shared" si="314"/>
        <v>Cumple</v>
      </c>
      <c r="AE995" s="6"/>
      <c r="AG995" s="7">
        <f t="shared" si="329"/>
        <v>8</v>
      </c>
      <c r="AH995" s="3">
        <f t="shared" si="330"/>
        <v>4.3373613573624086</v>
      </c>
      <c r="AI995" s="7">
        <f>G995-0.15-VLOOKUP(Y995,[4]Datos!$A$2:$D$14,3)/100</f>
        <v>2.3309000000000002</v>
      </c>
      <c r="AJ995" s="7">
        <f t="shared" si="331"/>
        <v>7.3229841218120741</v>
      </c>
      <c r="AK995" s="1">
        <v>0.12</v>
      </c>
      <c r="AL995" s="16">
        <f t="shared" si="332"/>
        <v>7.9620853080568724E-3</v>
      </c>
      <c r="AM995" s="7">
        <f t="shared" si="333"/>
        <v>976.39788290827664</v>
      </c>
      <c r="AN995" s="17">
        <f t="shared" si="334"/>
        <v>0.27729699874595054</v>
      </c>
      <c r="AO995" s="17">
        <f t="shared" si="335"/>
        <v>34.698890858899269</v>
      </c>
      <c r="AP995" s="16">
        <f t="shared" si="336"/>
        <v>7.9915234142082618E-3</v>
      </c>
      <c r="AQ995" s="6" t="str">
        <f t="shared" si="337"/>
        <v>Cumple</v>
      </c>
    </row>
    <row r="996" spans="1:43" x14ac:dyDescent="0.3">
      <c r="A996" s="13"/>
      <c r="B996" s="1">
        <v>8</v>
      </c>
      <c r="C996" s="1">
        <v>535</v>
      </c>
      <c r="D996" s="1">
        <v>1</v>
      </c>
      <c r="E996" s="5">
        <v>1</v>
      </c>
      <c r="F996" s="3">
        <f t="shared" si="338"/>
        <v>8</v>
      </c>
      <c r="G996" s="5">
        <v>2.5</v>
      </c>
      <c r="H996" s="3">
        <f t="shared" si="325"/>
        <v>4.908738521234052</v>
      </c>
      <c r="I996" s="4">
        <v>7.2399000000000005E-2</v>
      </c>
      <c r="K996" s="3">
        <v>240.28820638441664</v>
      </c>
      <c r="L996" s="3">
        <v>1081.50001</v>
      </c>
      <c r="M996" s="3">
        <v>2320.3314999999998</v>
      </c>
      <c r="N996" s="12">
        <f t="shared" si="311"/>
        <v>1.4749003167884968E-2</v>
      </c>
      <c r="O996" s="11">
        <f t="shared" si="312"/>
        <v>723.99</v>
      </c>
      <c r="P996" s="1">
        <v>10</v>
      </c>
      <c r="Q996" s="15">
        <v>2</v>
      </c>
      <c r="R996" s="3">
        <f>Q996*VLOOKUP(P996,[4]Datos!$A$2:$D$14,2)</f>
        <v>16.38</v>
      </c>
      <c r="S996" s="10">
        <f t="shared" si="326"/>
        <v>45</v>
      </c>
      <c r="T996" s="14">
        <v>52</v>
      </c>
      <c r="U996" s="3">
        <f t="shared" si="327"/>
        <v>0.13</v>
      </c>
      <c r="V996" s="3"/>
      <c r="W996" s="1">
        <v>280</v>
      </c>
      <c r="X996" s="9">
        <v>2</v>
      </c>
      <c r="Y996" s="1">
        <v>6</v>
      </c>
      <c r="Z996" s="3">
        <f>X996*VLOOKUP(Y996,[4]Datos!$A$2:$D$14,2)</f>
        <v>5.68</v>
      </c>
      <c r="AA996" s="8">
        <v>0.06</v>
      </c>
      <c r="AB996" s="7">
        <f t="shared" si="313"/>
        <v>180.55532030650846</v>
      </c>
      <c r="AC996" s="7">
        <f t="shared" si="328"/>
        <v>650.66122730355755</v>
      </c>
      <c r="AD996" s="6" t="str">
        <f t="shared" si="314"/>
        <v>Cumple</v>
      </c>
      <c r="AE996" s="6"/>
      <c r="AG996" s="7">
        <f t="shared" si="329"/>
        <v>8</v>
      </c>
      <c r="AH996" s="3">
        <f t="shared" si="330"/>
        <v>4.3373613573624086</v>
      </c>
      <c r="AI996" s="7">
        <f>G996-0.15-VLOOKUP(Y996,[4]Datos!$A$2:$D$14,3)/100</f>
        <v>2.3309000000000002</v>
      </c>
      <c r="AJ996" s="7">
        <f t="shared" si="331"/>
        <v>7.3229841218120741</v>
      </c>
      <c r="AK996" s="1">
        <v>0.12</v>
      </c>
      <c r="AL996" s="16">
        <f t="shared" si="332"/>
        <v>7.9620853080568724E-3</v>
      </c>
      <c r="AM996" s="7">
        <f t="shared" si="333"/>
        <v>976.39788290827664</v>
      </c>
      <c r="AN996" s="17">
        <f t="shared" si="334"/>
        <v>0.27729699874595054</v>
      </c>
      <c r="AO996" s="17">
        <f t="shared" si="335"/>
        <v>34.698890858899269</v>
      </c>
      <c r="AP996" s="16">
        <f t="shared" si="336"/>
        <v>7.9915234142082618E-3</v>
      </c>
      <c r="AQ996" s="6" t="str">
        <f t="shared" si="337"/>
        <v>Cumple</v>
      </c>
    </row>
    <row r="997" spans="1:43" x14ac:dyDescent="0.3">
      <c r="A997" s="13"/>
      <c r="B997" s="1">
        <v>9</v>
      </c>
      <c r="C997" s="1">
        <v>536</v>
      </c>
      <c r="D997" s="1">
        <v>1</v>
      </c>
      <c r="E997" s="5">
        <v>1</v>
      </c>
      <c r="F997" s="3">
        <f t="shared" si="338"/>
        <v>9</v>
      </c>
      <c r="G997" s="5">
        <v>2.5</v>
      </c>
      <c r="H997" s="3">
        <f t="shared" si="325"/>
        <v>4.908738521234052</v>
      </c>
      <c r="I997" s="4">
        <v>6.5032000000000006E-2</v>
      </c>
      <c r="K997" s="3">
        <v>255.66349010357345</v>
      </c>
      <c r="L997" s="3">
        <v>954.64188000000001</v>
      </c>
      <c r="M997" s="3">
        <v>2129.9891200000002</v>
      </c>
      <c r="N997" s="12">
        <f t="shared" si="311"/>
        <v>1.3248210251714737E-2</v>
      </c>
      <c r="O997" s="11">
        <f t="shared" si="312"/>
        <v>650.32000000000005</v>
      </c>
      <c r="P997" s="1">
        <v>10</v>
      </c>
      <c r="Q997" s="1">
        <v>1</v>
      </c>
      <c r="R997" s="3">
        <f>Q997*VLOOKUP(P997,[4]Datos!$A$2:$D$14,2)</f>
        <v>8.19</v>
      </c>
      <c r="S997" s="10">
        <f t="shared" si="326"/>
        <v>80</v>
      </c>
      <c r="T997" s="2">
        <v>89</v>
      </c>
      <c r="U997" s="3">
        <f t="shared" si="327"/>
        <v>0.08</v>
      </c>
      <c r="V997" s="3"/>
      <c r="W997" s="1">
        <v>280</v>
      </c>
      <c r="X997" s="9">
        <v>2</v>
      </c>
      <c r="Y997" s="1">
        <v>4</v>
      </c>
      <c r="Z997" s="3">
        <f>X997*VLOOKUP(Y997,[4]Datos!$A$2:$D$14,2)</f>
        <v>2.58</v>
      </c>
      <c r="AA997" s="8">
        <v>0.15</v>
      </c>
      <c r="AB997" s="7">
        <f t="shared" si="313"/>
        <v>180.55532030650846</v>
      </c>
      <c r="AC997" s="7">
        <f t="shared" si="328"/>
        <v>118.21873003120976</v>
      </c>
      <c r="AD997" s="6" t="str">
        <f t="shared" si="314"/>
        <v>Cumple</v>
      </c>
      <c r="AE997" s="6"/>
      <c r="AH997" s="3"/>
    </row>
    <row r="998" spans="1:43" x14ac:dyDescent="0.3">
      <c r="A998" s="13"/>
      <c r="B998" s="1">
        <v>10</v>
      </c>
      <c r="C998" s="1">
        <v>537</v>
      </c>
      <c r="D998" s="1">
        <v>1</v>
      </c>
      <c r="E998" s="5">
        <v>1</v>
      </c>
      <c r="F998" s="3">
        <f t="shared" si="338"/>
        <v>10</v>
      </c>
      <c r="G998" s="5">
        <v>2.5</v>
      </c>
      <c r="H998" s="3">
        <f t="shared" si="325"/>
        <v>4.908738521234052</v>
      </c>
      <c r="I998" s="4">
        <v>5.4228999999999999E-2</v>
      </c>
      <c r="K998" s="3">
        <v>265.15139040414255</v>
      </c>
      <c r="L998" s="3">
        <v>825.27553999999998</v>
      </c>
      <c r="M998" s="3">
        <v>1923.2645500000001</v>
      </c>
      <c r="N998" s="12">
        <f t="shared" si="311"/>
        <v>1.1047441163430902E-2</v>
      </c>
      <c r="O998" s="11">
        <f t="shared" si="312"/>
        <v>542.29</v>
      </c>
      <c r="P998" s="1">
        <v>10</v>
      </c>
      <c r="Q998" s="1">
        <v>1</v>
      </c>
      <c r="R998" s="3">
        <f>Q998*VLOOKUP(P998,[4]Datos!$A$2:$D$14,2)</f>
        <v>8.19</v>
      </c>
      <c r="S998" s="10">
        <f t="shared" si="326"/>
        <v>67</v>
      </c>
      <c r="T998" s="2">
        <v>89</v>
      </c>
      <c r="U998" s="3">
        <f t="shared" si="327"/>
        <v>0.08</v>
      </c>
      <c r="V998" s="3"/>
      <c r="W998" s="1">
        <v>280</v>
      </c>
      <c r="X998" s="9">
        <v>2</v>
      </c>
      <c r="Y998" s="1">
        <v>4</v>
      </c>
      <c r="Z998" s="3">
        <f>X998*VLOOKUP(Y998,[4]Datos!$A$2:$D$14,2)</f>
        <v>2.58</v>
      </c>
      <c r="AA998" s="8">
        <v>0.15</v>
      </c>
      <c r="AB998" s="7">
        <f t="shared" si="313"/>
        <v>180.55532030650846</v>
      </c>
      <c r="AC998" s="7">
        <f t="shared" si="328"/>
        <v>118.21873003120976</v>
      </c>
      <c r="AD998" s="6" t="str">
        <f t="shared" si="314"/>
        <v>Cumple</v>
      </c>
      <c r="AE998" s="6"/>
      <c r="AH998" s="3"/>
    </row>
    <row r="999" spans="1:43" x14ac:dyDescent="0.3">
      <c r="A999" s="13"/>
      <c r="B999" s="1">
        <v>11</v>
      </c>
      <c r="C999" s="1">
        <v>538</v>
      </c>
      <c r="D999" s="1">
        <v>1</v>
      </c>
      <c r="E999" s="5">
        <v>1</v>
      </c>
      <c r="F999" s="3">
        <f t="shared" si="338"/>
        <v>11</v>
      </c>
      <c r="G999" s="5">
        <v>2.5</v>
      </c>
      <c r="H999" s="3">
        <f t="shared" si="325"/>
        <v>4.908738521234052</v>
      </c>
      <c r="I999" s="4">
        <v>4.9086999999999999E-2</v>
      </c>
      <c r="K999" s="3">
        <v>267.69847452090568</v>
      </c>
      <c r="L999" s="3">
        <v>710.38576</v>
      </c>
      <c r="M999" s="3">
        <v>1700.4264800000001</v>
      </c>
      <c r="N999" s="12">
        <f t="shared" si="311"/>
        <v>9.9999215251863893E-3</v>
      </c>
      <c r="O999" s="11">
        <f t="shared" si="312"/>
        <v>490.87</v>
      </c>
      <c r="P999" s="1">
        <v>10</v>
      </c>
      <c r="Q999" s="1">
        <v>1</v>
      </c>
      <c r="R999" s="3">
        <f>Q999*VLOOKUP(P999,[4]Datos!$A$2:$D$14,2)</f>
        <v>8.19</v>
      </c>
      <c r="S999" s="10">
        <f t="shared" si="326"/>
        <v>60</v>
      </c>
      <c r="T999" s="2">
        <v>89</v>
      </c>
      <c r="U999" s="3">
        <f t="shared" si="327"/>
        <v>0.08</v>
      </c>
      <c r="V999" s="3"/>
      <c r="W999" s="1">
        <v>280</v>
      </c>
      <c r="X999" s="9">
        <v>2</v>
      </c>
      <c r="Y999" s="1">
        <v>4</v>
      </c>
      <c r="Z999" s="3">
        <f>X999*VLOOKUP(Y999,[4]Datos!$A$2:$D$14,2)</f>
        <v>2.58</v>
      </c>
      <c r="AA999" s="8">
        <v>0.15</v>
      </c>
      <c r="AB999" s="7">
        <f t="shared" si="313"/>
        <v>180.55532030650846</v>
      </c>
      <c r="AC999" s="7">
        <f t="shared" si="328"/>
        <v>118.21873003120976</v>
      </c>
      <c r="AD999" s="6" t="str">
        <f t="shared" si="314"/>
        <v>Cumple</v>
      </c>
      <c r="AE999" s="6"/>
      <c r="AH999" s="3"/>
    </row>
    <row r="1000" spans="1:43" x14ac:dyDescent="0.3">
      <c r="A1000" s="13"/>
      <c r="B1000" s="1">
        <v>12</v>
      </c>
      <c r="C1000" s="1">
        <v>539</v>
      </c>
      <c r="D1000" s="1">
        <v>1</v>
      </c>
      <c r="E1000" s="5">
        <v>1</v>
      </c>
      <c r="F1000" s="3">
        <f t="shared" si="338"/>
        <v>12</v>
      </c>
      <c r="G1000" s="5">
        <v>2.5</v>
      </c>
      <c r="H1000" s="3">
        <f t="shared" si="325"/>
        <v>4.908738521234052</v>
      </c>
      <c r="I1000" s="4">
        <v>4.9086999999999999E-2</v>
      </c>
      <c r="K1000" s="3">
        <v>261.78139359263105</v>
      </c>
      <c r="L1000" s="3">
        <v>624.89270999999997</v>
      </c>
      <c r="M1000" s="3">
        <v>1467.7926299999999</v>
      </c>
      <c r="N1000" s="12">
        <f t="shared" si="311"/>
        <v>9.9999215251863893E-3</v>
      </c>
      <c r="O1000" s="11">
        <f t="shared" si="312"/>
        <v>490.87</v>
      </c>
      <c r="P1000" s="1">
        <v>10</v>
      </c>
      <c r="Q1000" s="15">
        <v>1</v>
      </c>
      <c r="R1000" s="3">
        <f>Q1000*VLOOKUP(P1000,[4]Datos!$A$2:$D$14,2)</f>
        <v>8.19</v>
      </c>
      <c r="S1000" s="10">
        <f t="shared" si="326"/>
        <v>60</v>
      </c>
      <c r="T1000" s="14">
        <v>89</v>
      </c>
      <c r="U1000" s="3">
        <f t="shared" si="327"/>
        <v>0.08</v>
      </c>
      <c r="V1000" s="3"/>
      <c r="W1000" s="1">
        <v>280</v>
      </c>
      <c r="X1000" s="9">
        <v>2</v>
      </c>
      <c r="Y1000" s="1">
        <v>4</v>
      </c>
      <c r="Z1000" s="3">
        <f>X1000*VLOOKUP(Y1000,[4]Datos!$A$2:$D$14,2)</f>
        <v>2.58</v>
      </c>
      <c r="AA1000" s="8">
        <v>0.15</v>
      </c>
      <c r="AB1000" s="7">
        <f t="shared" si="313"/>
        <v>180.55532030650846</v>
      </c>
      <c r="AC1000" s="7">
        <f t="shared" si="328"/>
        <v>118.21873003120976</v>
      </c>
      <c r="AD1000" s="6" t="str">
        <f t="shared" si="314"/>
        <v>Cumple</v>
      </c>
      <c r="AE1000" s="6"/>
      <c r="AH1000" s="3"/>
    </row>
    <row r="1001" spans="1:43" x14ac:dyDescent="0.3">
      <c r="A1001" s="13"/>
      <c r="B1001" s="1">
        <v>13</v>
      </c>
      <c r="C1001" s="1">
        <v>540</v>
      </c>
      <c r="D1001" s="1">
        <v>1</v>
      </c>
      <c r="E1001" s="5">
        <v>1</v>
      </c>
      <c r="F1001" s="3">
        <f t="shared" si="338"/>
        <v>13</v>
      </c>
      <c r="G1001" s="5">
        <v>2.5</v>
      </c>
      <c r="H1001" s="3">
        <f t="shared" si="325"/>
        <v>4.908738521234052</v>
      </c>
      <c r="I1001" s="4">
        <v>4.9086999999999999E-2</v>
      </c>
      <c r="K1001" s="3">
        <v>247.72841505588332</v>
      </c>
      <c r="L1001" s="3">
        <v>567.49399000000005</v>
      </c>
      <c r="M1001" s="3">
        <v>1235.5656300000001</v>
      </c>
      <c r="N1001" s="12">
        <f t="shared" si="311"/>
        <v>9.9999215251863893E-3</v>
      </c>
      <c r="O1001" s="11">
        <f t="shared" si="312"/>
        <v>490.87</v>
      </c>
      <c r="P1001" s="1">
        <v>10</v>
      </c>
      <c r="Q1001" s="15">
        <v>1</v>
      </c>
      <c r="R1001" s="3">
        <f>Q1001*VLOOKUP(P1001,[4]Datos!$A$2:$D$14,2)</f>
        <v>8.19</v>
      </c>
      <c r="S1001" s="10">
        <f t="shared" si="326"/>
        <v>60</v>
      </c>
      <c r="T1001" s="14">
        <v>89</v>
      </c>
      <c r="U1001" s="3">
        <f t="shared" si="327"/>
        <v>0.08</v>
      </c>
      <c r="V1001" s="3"/>
      <c r="W1001" s="1">
        <v>280</v>
      </c>
      <c r="X1001" s="9">
        <v>2</v>
      </c>
      <c r="Y1001" s="1">
        <v>4</v>
      </c>
      <c r="Z1001" s="3">
        <f>X1001*VLOOKUP(Y1001,[4]Datos!$A$2:$D$14,2)</f>
        <v>2.58</v>
      </c>
      <c r="AA1001" s="8">
        <v>0.15</v>
      </c>
      <c r="AB1001" s="7">
        <f t="shared" si="313"/>
        <v>180.55532030650846</v>
      </c>
      <c r="AC1001" s="7">
        <f t="shared" si="328"/>
        <v>118.21873003120976</v>
      </c>
      <c r="AD1001" s="6" t="str">
        <f t="shared" si="314"/>
        <v>Cumple</v>
      </c>
      <c r="AE1001" s="6"/>
      <c r="AH1001" s="3"/>
    </row>
    <row r="1002" spans="1:43" x14ac:dyDescent="0.3">
      <c r="A1002" s="13"/>
      <c r="B1002" s="1">
        <v>14</v>
      </c>
      <c r="C1002" s="1">
        <v>541</v>
      </c>
      <c r="D1002" s="1">
        <v>1</v>
      </c>
      <c r="E1002" s="5">
        <v>1</v>
      </c>
      <c r="F1002" s="3">
        <f t="shared" si="338"/>
        <v>14</v>
      </c>
      <c r="G1002" s="5">
        <v>2.5</v>
      </c>
      <c r="H1002" s="3">
        <f t="shared" si="325"/>
        <v>4.908738521234052</v>
      </c>
      <c r="I1002" s="4">
        <v>4.9086999999999999E-2</v>
      </c>
      <c r="K1002" s="3">
        <v>227.04634852901734</v>
      </c>
      <c r="L1002" s="3">
        <v>506.30284999999998</v>
      </c>
      <c r="M1002" s="3">
        <v>1012.4866</v>
      </c>
      <c r="N1002" s="12">
        <f t="shared" si="311"/>
        <v>9.9999215251863893E-3</v>
      </c>
      <c r="O1002" s="11">
        <f t="shared" si="312"/>
        <v>490.87</v>
      </c>
      <c r="P1002" s="1">
        <v>10</v>
      </c>
      <c r="Q1002" s="15">
        <v>1</v>
      </c>
      <c r="R1002" s="3">
        <f>Q1002*VLOOKUP(P1002,[4]Datos!$A$2:$D$14,2)</f>
        <v>8.19</v>
      </c>
      <c r="S1002" s="10">
        <f t="shared" si="326"/>
        <v>60</v>
      </c>
      <c r="T1002" s="14">
        <v>89</v>
      </c>
      <c r="U1002" s="3">
        <f t="shared" si="327"/>
        <v>0.08</v>
      </c>
      <c r="V1002" s="3"/>
      <c r="W1002" s="1">
        <v>280</v>
      </c>
      <c r="X1002" s="9">
        <v>2</v>
      </c>
      <c r="Y1002" s="1">
        <v>4</v>
      </c>
      <c r="Z1002" s="3">
        <f>X1002*VLOOKUP(Y1002,[4]Datos!$A$2:$D$14,2)</f>
        <v>2.58</v>
      </c>
      <c r="AA1002" s="8">
        <v>0.3</v>
      </c>
      <c r="AB1002" s="7">
        <f t="shared" si="313"/>
        <v>180.55532030650846</v>
      </c>
      <c r="AC1002" s="7">
        <f t="shared" si="328"/>
        <v>59.10936501560488</v>
      </c>
      <c r="AD1002" s="6" t="str">
        <f t="shared" si="314"/>
        <v>Cumple</v>
      </c>
      <c r="AE1002" s="6"/>
      <c r="AH1002" s="3"/>
    </row>
    <row r="1003" spans="1:43" x14ac:dyDescent="0.3">
      <c r="A1003" s="13"/>
      <c r="B1003" s="1">
        <v>15</v>
      </c>
      <c r="C1003" s="1">
        <v>542</v>
      </c>
      <c r="D1003" s="1">
        <v>1</v>
      </c>
      <c r="E1003" s="5">
        <v>1</v>
      </c>
      <c r="F1003" s="3">
        <f t="shared" si="338"/>
        <v>15</v>
      </c>
      <c r="G1003" s="5">
        <v>2.5</v>
      </c>
      <c r="H1003" s="3">
        <f t="shared" si="325"/>
        <v>4.908738521234052</v>
      </c>
      <c r="I1003" s="4">
        <v>4.9086999999999999E-2</v>
      </c>
      <c r="K1003" s="3">
        <v>201.57323325823793</v>
      </c>
      <c r="L1003" s="3">
        <v>438.25871000000001</v>
      </c>
      <c r="M1003" s="3">
        <v>805.55538000000001</v>
      </c>
      <c r="N1003" s="12">
        <f t="shared" si="311"/>
        <v>9.9999215251863893E-3</v>
      </c>
      <c r="O1003" s="11">
        <f t="shared" si="312"/>
        <v>490.87</v>
      </c>
      <c r="P1003" s="1">
        <v>10</v>
      </c>
      <c r="Q1003" s="1">
        <v>1</v>
      </c>
      <c r="R1003" s="3">
        <f>Q1003*VLOOKUP(P1003,[4]Datos!$A$2:$D$14,2)</f>
        <v>8.19</v>
      </c>
      <c r="S1003" s="10">
        <f t="shared" si="326"/>
        <v>60</v>
      </c>
      <c r="T1003" s="2">
        <v>60</v>
      </c>
      <c r="U1003" s="3">
        <f t="shared" si="327"/>
        <v>0.12</v>
      </c>
      <c r="V1003" s="3"/>
      <c r="W1003" s="1">
        <v>280</v>
      </c>
      <c r="X1003" s="9">
        <v>2</v>
      </c>
      <c r="Y1003" s="1">
        <v>4</v>
      </c>
      <c r="Z1003" s="3">
        <f>X1003*VLOOKUP(Y1003,[4]Datos!$A$2:$D$14,2)</f>
        <v>2.58</v>
      </c>
      <c r="AA1003" s="8">
        <v>0.3</v>
      </c>
      <c r="AB1003" s="7">
        <f t="shared" si="313"/>
        <v>180.55532030650846</v>
      </c>
      <c r="AC1003" s="7">
        <f t="shared" si="328"/>
        <v>59.10936501560488</v>
      </c>
      <c r="AD1003" s="6" t="str">
        <f t="shared" si="314"/>
        <v>Cumple</v>
      </c>
      <c r="AE1003" s="6"/>
      <c r="AH1003" s="3"/>
    </row>
    <row r="1004" spans="1:43" x14ac:dyDescent="0.3">
      <c r="A1004" s="13"/>
      <c r="B1004" s="1">
        <v>16</v>
      </c>
      <c r="C1004" s="1">
        <v>543</v>
      </c>
      <c r="D1004" s="1">
        <v>1</v>
      </c>
      <c r="E1004" s="5">
        <v>1</v>
      </c>
      <c r="F1004" s="3">
        <f t="shared" si="338"/>
        <v>16</v>
      </c>
      <c r="G1004" s="5">
        <v>2.5</v>
      </c>
      <c r="H1004" s="3">
        <f t="shared" si="325"/>
        <v>4.908738521234052</v>
      </c>
      <c r="I1004" s="4">
        <v>4.9086999999999999E-2</v>
      </c>
      <c r="K1004" s="3">
        <v>173.17580663432753</v>
      </c>
      <c r="L1004" s="3">
        <v>367.46744000000001</v>
      </c>
      <c r="M1004" s="3">
        <v>619.92361000000005</v>
      </c>
      <c r="N1004" s="12">
        <f t="shared" si="311"/>
        <v>9.9999215251863893E-3</v>
      </c>
      <c r="O1004" s="11">
        <f t="shared" si="312"/>
        <v>490.87</v>
      </c>
      <c r="P1004" s="1">
        <v>10</v>
      </c>
      <c r="Q1004" s="1">
        <v>1</v>
      </c>
      <c r="R1004" s="3">
        <f>Q1004*VLOOKUP(P1004,[4]Datos!$A$2:$D$14,2)</f>
        <v>8.19</v>
      </c>
      <c r="S1004" s="10">
        <f t="shared" si="326"/>
        <v>60</v>
      </c>
      <c r="T1004" s="2">
        <v>60</v>
      </c>
      <c r="U1004" s="3">
        <f t="shared" si="327"/>
        <v>0.12</v>
      </c>
      <c r="V1004" s="3"/>
      <c r="W1004" s="1">
        <v>280</v>
      </c>
      <c r="X1004" s="9">
        <v>2</v>
      </c>
      <c r="Y1004" s="1">
        <v>4</v>
      </c>
      <c r="Z1004" s="3">
        <f>X1004*VLOOKUP(Y1004,[4]Datos!$A$2:$D$14,2)</f>
        <v>2.58</v>
      </c>
      <c r="AA1004" s="8">
        <v>0.3</v>
      </c>
      <c r="AB1004" s="7">
        <f t="shared" si="313"/>
        <v>180.55532030650846</v>
      </c>
      <c r="AC1004" s="7">
        <f t="shared" si="328"/>
        <v>59.10936501560488</v>
      </c>
      <c r="AD1004" s="6" t="str">
        <f t="shared" si="314"/>
        <v>Cumple</v>
      </c>
      <c r="AE1004" s="6"/>
      <c r="AH1004" s="3"/>
    </row>
    <row r="1005" spans="1:43" x14ac:dyDescent="0.3">
      <c r="A1005" s="13"/>
      <c r="B1005" s="1">
        <v>17</v>
      </c>
      <c r="C1005" s="1">
        <v>544</v>
      </c>
      <c r="D1005" s="1">
        <v>1</v>
      </c>
      <c r="E1005" s="5">
        <v>1</v>
      </c>
      <c r="F1005" s="3">
        <f t="shared" si="338"/>
        <v>17</v>
      </c>
      <c r="G1005" s="5">
        <v>2.5</v>
      </c>
      <c r="H1005" s="3">
        <f t="shared" si="325"/>
        <v>4.908738521234052</v>
      </c>
      <c r="I1005" s="4">
        <v>4.9086999999999999E-2</v>
      </c>
      <c r="K1005" s="3">
        <v>144.56876521783676</v>
      </c>
      <c r="L1005" s="3">
        <v>297.43452000000002</v>
      </c>
      <c r="M1005" s="3">
        <v>458.92568</v>
      </c>
      <c r="N1005" s="12">
        <f t="shared" si="311"/>
        <v>9.9999215251863893E-3</v>
      </c>
      <c r="O1005" s="11">
        <f t="shared" si="312"/>
        <v>490.87</v>
      </c>
      <c r="P1005" s="1">
        <v>10</v>
      </c>
      <c r="Q1005" s="1">
        <v>1</v>
      </c>
      <c r="R1005" s="3">
        <f>Q1005*VLOOKUP(P1005,[4]Datos!$A$2:$D$14,2)</f>
        <v>8.19</v>
      </c>
      <c r="S1005" s="10">
        <f t="shared" si="326"/>
        <v>60</v>
      </c>
      <c r="T1005" s="2">
        <v>60</v>
      </c>
      <c r="U1005" s="3">
        <f t="shared" si="327"/>
        <v>0.12</v>
      </c>
      <c r="V1005" s="3"/>
      <c r="W1005" s="1">
        <v>280</v>
      </c>
      <c r="X1005" s="9">
        <v>2</v>
      </c>
      <c r="Y1005" s="1">
        <v>4</v>
      </c>
      <c r="Z1005" s="3">
        <f>X1005*VLOOKUP(Y1005,[4]Datos!$A$2:$D$14,2)</f>
        <v>2.58</v>
      </c>
      <c r="AA1005" s="8">
        <v>0.3</v>
      </c>
      <c r="AB1005" s="7">
        <f t="shared" si="313"/>
        <v>180.55532030650846</v>
      </c>
      <c r="AC1005" s="7">
        <f t="shared" si="328"/>
        <v>59.10936501560488</v>
      </c>
      <c r="AD1005" s="6" t="str">
        <f t="shared" si="314"/>
        <v>Cumple</v>
      </c>
      <c r="AE1005" s="6"/>
      <c r="AH1005" s="3"/>
    </row>
    <row r="1006" spans="1:43" x14ac:dyDescent="0.3">
      <c r="A1006" s="13"/>
      <c r="B1006" s="1">
        <v>18</v>
      </c>
      <c r="C1006" s="1">
        <v>545</v>
      </c>
      <c r="D1006" s="1">
        <v>1</v>
      </c>
      <c r="E1006" s="5">
        <v>1</v>
      </c>
      <c r="F1006" s="3">
        <f t="shared" si="338"/>
        <v>18</v>
      </c>
      <c r="G1006" s="5">
        <v>2.5</v>
      </c>
      <c r="H1006" s="3">
        <f t="shared" si="325"/>
        <v>4.908738521234052</v>
      </c>
      <c r="I1006" s="4">
        <v>4.9086999999999999E-2</v>
      </c>
      <c r="K1006" s="3">
        <v>116.13883252870247</v>
      </c>
      <c r="L1006" s="3">
        <v>231.02544</v>
      </c>
      <c r="M1006" s="3">
        <v>324.21123999999998</v>
      </c>
      <c r="N1006" s="12">
        <f t="shared" si="311"/>
        <v>9.9999215251863893E-3</v>
      </c>
      <c r="O1006" s="11">
        <f t="shared" si="312"/>
        <v>490.87</v>
      </c>
      <c r="P1006" s="1">
        <v>10</v>
      </c>
      <c r="Q1006" s="1">
        <v>1</v>
      </c>
      <c r="R1006" s="3">
        <f>Q1006*VLOOKUP(P1006,[4]Datos!$A$2:$D$14,2)</f>
        <v>8.19</v>
      </c>
      <c r="S1006" s="10">
        <f t="shared" si="326"/>
        <v>60</v>
      </c>
      <c r="T1006" s="2">
        <v>60</v>
      </c>
      <c r="U1006" s="3">
        <f t="shared" si="327"/>
        <v>0.12</v>
      </c>
      <c r="V1006" s="3"/>
      <c r="W1006" s="1">
        <v>280</v>
      </c>
      <c r="X1006" s="9">
        <v>2</v>
      </c>
      <c r="Y1006" s="1">
        <v>4</v>
      </c>
      <c r="Z1006" s="3">
        <f>X1006*VLOOKUP(Y1006,[4]Datos!$A$2:$D$14,2)</f>
        <v>2.58</v>
      </c>
      <c r="AA1006" s="8">
        <v>0.3</v>
      </c>
      <c r="AB1006" s="7">
        <f t="shared" si="313"/>
        <v>180.55532030650846</v>
      </c>
      <c r="AC1006" s="7">
        <f t="shared" si="328"/>
        <v>59.10936501560488</v>
      </c>
      <c r="AD1006" s="6" t="str">
        <f t="shared" si="314"/>
        <v>Cumple</v>
      </c>
      <c r="AE1006" s="6"/>
      <c r="AH1006" s="3"/>
    </row>
    <row r="1007" spans="1:43" x14ac:dyDescent="0.3">
      <c r="A1007" s="13"/>
      <c r="B1007" s="1">
        <v>19</v>
      </c>
      <c r="C1007" s="1">
        <v>546</v>
      </c>
      <c r="D1007" s="1">
        <v>1</v>
      </c>
      <c r="E1007" s="5">
        <v>1</v>
      </c>
      <c r="F1007" s="3">
        <f t="shared" si="338"/>
        <v>19</v>
      </c>
      <c r="G1007" s="5">
        <v>2.5</v>
      </c>
      <c r="H1007" s="3">
        <f t="shared" si="325"/>
        <v>4.908738521234052</v>
      </c>
      <c r="I1007" s="4">
        <v>4.9086999999999999E-2</v>
      </c>
      <c r="K1007" s="3">
        <v>89.07751761409834</v>
      </c>
      <c r="L1007" s="3">
        <v>170.48175000000001</v>
      </c>
      <c r="M1007" s="3">
        <v>215.94380000000001</v>
      </c>
      <c r="N1007" s="12">
        <f t="shared" si="311"/>
        <v>9.9999215251863893E-3</v>
      </c>
      <c r="O1007" s="11">
        <f t="shared" si="312"/>
        <v>490.87</v>
      </c>
      <c r="P1007" s="1">
        <v>10</v>
      </c>
      <c r="Q1007" s="1">
        <v>1</v>
      </c>
      <c r="R1007" s="3">
        <f>Q1007*VLOOKUP(P1007,[4]Datos!$A$2:$D$14,2)</f>
        <v>8.19</v>
      </c>
      <c r="S1007" s="10">
        <f t="shared" si="326"/>
        <v>60</v>
      </c>
      <c r="T1007" s="2">
        <v>60</v>
      </c>
      <c r="U1007" s="3">
        <f t="shared" si="327"/>
        <v>0.12</v>
      </c>
      <c r="V1007" s="3"/>
      <c r="W1007" s="1">
        <v>280</v>
      </c>
      <c r="X1007" s="9">
        <v>2</v>
      </c>
      <c r="Y1007" s="1">
        <v>4</v>
      </c>
      <c r="Z1007" s="3">
        <f>X1007*VLOOKUP(Y1007,[4]Datos!$A$2:$D$14,2)</f>
        <v>2.58</v>
      </c>
      <c r="AA1007" s="8">
        <v>0.3</v>
      </c>
      <c r="AB1007" s="7">
        <f t="shared" si="313"/>
        <v>180.55532030650846</v>
      </c>
      <c r="AC1007" s="7">
        <f t="shared" si="328"/>
        <v>59.10936501560488</v>
      </c>
      <c r="AD1007" s="6" t="str">
        <f t="shared" si="314"/>
        <v>Cumple</v>
      </c>
      <c r="AE1007" s="6"/>
      <c r="AH1007" s="3"/>
    </row>
    <row r="1008" spans="1:43" x14ac:dyDescent="0.3">
      <c r="A1008" s="13"/>
      <c r="B1008" s="1">
        <v>20</v>
      </c>
      <c r="C1008" s="1">
        <v>547</v>
      </c>
      <c r="D1008" s="1">
        <v>1</v>
      </c>
      <c r="E1008" s="5">
        <v>1</v>
      </c>
      <c r="F1008" s="3">
        <f t="shared" si="338"/>
        <v>20</v>
      </c>
      <c r="G1008" s="5">
        <v>2.5</v>
      </c>
      <c r="H1008" s="3">
        <f t="shared" si="325"/>
        <v>4.908738521234052</v>
      </c>
      <c r="I1008" s="4">
        <v>4.9086999999999999E-2</v>
      </c>
      <c r="K1008" s="3">
        <v>64.493370474956563</v>
      </c>
      <c r="L1008" s="3">
        <v>117.47427</v>
      </c>
      <c r="M1008" s="3">
        <v>133.03220999999999</v>
      </c>
      <c r="N1008" s="12">
        <f t="shared" ref="N1008:N1060" si="339">I1008/H1008</f>
        <v>9.9999215251863893E-3</v>
      </c>
      <c r="O1008" s="11">
        <f t="shared" ref="O1008:O1060" si="340">I1008*10000</f>
        <v>490.87</v>
      </c>
      <c r="P1008" s="1">
        <v>10</v>
      </c>
      <c r="Q1008" s="1">
        <v>1</v>
      </c>
      <c r="R1008" s="3">
        <f>Q1008*VLOOKUP(P1008,[4]Datos!$A$2:$D$14,2)</f>
        <v>8.19</v>
      </c>
      <c r="S1008" s="10">
        <f t="shared" si="326"/>
        <v>60</v>
      </c>
      <c r="T1008" s="2">
        <v>60</v>
      </c>
      <c r="U1008" s="3">
        <f t="shared" si="327"/>
        <v>0.12</v>
      </c>
      <c r="V1008" s="3"/>
      <c r="W1008" s="1">
        <v>280</v>
      </c>
      <c r="X1008" s="9">
        <v>2</v>
      </c>
      <c r="Y1008" s="1">
        <v>4</v>
      </c>
      <c r="Z1008" s="3">
        <f>X1008*VLOOKUP(Y1008,[4]Datos!$A$2:$D$14,2)</f>
        <v>2.58</v>
      </c>
      <c r="AA1008" s="8">
        <v>0.3</v>
      </c>
      <c r="AB1008" s="7">
        <f t="shared" ref="AB1008:AB1050" si="341">IF(D1008=0,0.9,0.5)*0.9*0.53*SQRT(W1008)*G1008*MAX(0.72*G1008,0.9*((G1008/2)+((G1008-0.11)/PI())))*10</f>
        <v>180.55532030650846</v>
      </c>
      <c r="AC1008" s="7">
        <f t="shared" si="328"/>
        <v>59.10936501560488</v>
      </c>
      <c r="AD1008" s="6" t="str">
        <f t="shared" ref="AD1008:AD1051" si="342">+IF(AC1008&gt;K1008-AB1008,"Cumple","No Cumple")</f>
        <v>Cumple</v>
      </c>
      <c r="AE1008" s="6"/>
      <c r="AH1008" s="3"/>
    </row>
    <row r="1009" spans="1:34" x14ac:dyDescent="0.3">
      <c r="A1009" s="13"/>
      <c r="B1009" s="1">
        <v>21</v>
      </c>
      <c r="C1009" s="1">
        <v>688</v>
      </c>
      <c r="D1009" s="1">
        <v>1</v>
      </c>
      <c r="E1009" s="5">
        <v>1</v>
      </c>
      <c r="F1009" s="3">
        <f t="shared" si="338"/>
        <v>21</v>
      </c>
      <c r="G1009" s="5">
        <v>2.5</v>
      </c>
      <c r="H1009" s="3">
        <f t="shared" si="325"/>
        <v>4.908738521234052</v>
      </c>
      <c r="I1009" s="4">
        <v>4.9086999999999999E-2</v>
      </c>
      <c r="K1009" s="3">
        <v>45.412475893965528</v>
      </c>
      <c r="L1009" s="3">
        <v>73.180070000000001</v>
      </c>
      <c r="M1009" s="3">
        <v>73.739570000000001</v>
      </c>
      <c r="N1009" s="12">
        <f t="shared" si="339"/>
        <v>9.9999215251863893E-3</v>
      </c>
      <c r="O1009" s="11">
        <f t="shared" si="340"/>
        <v>490.87</v>
      </c>
      <c r="P1009" s="1">
        <v>10</v>
      </c>
      <c r="Q1009" s="1">
        <v>1</v>
      </c>
      <c r="R1009" s="3">
        <f>Q1009*VLOOKUP(P1009,[4]Datos!$A$2:$D$14,2)</f>
        <v>8.19</v>
      </c>
      <c r="S1009" s="10">
        <f t="shared" si="326"/>
        <v>60</v>
      </c>
      <c r="T1009" s="2">
        <v>60</v>
      </c>
      <c r="U1009" s="3">
        <f t="shared" si="327"/>
        <v>0.12</v>
      </c>
      <c r="V1009" s="3"/>
      <c r="W1009" s="1">
        <v>280</v>
      </c>
      <c r="X1009" s="9">
        <v>2</v>
      </c>
      <c r="Y1009" s="1">
        <v>4</v>
      </c>
      <c r="Z1009" s="3">
        <f>X1009*VLOOKUP(Y1009,[4]Datos!$A$2:$D$14,2)</f>
        <v>2.58</v>
      </c>
      <c r="AA1009" s="8">
        <v>0.3</v>
      </c>
      <c r="AB1009" s="7">
        <f t="shared" si="341"/>
        <v>180.55532030650846</v>
      </c>
      <c r="AC1009" s="7">
        <f t="shared" si="328"/>
        <v>59.10936501560488</v>
      </c>
      <c r="AD1009" s="6" t="str">
        <f t="shared" si="342"/>
        <v>Cumple</v>
      </c>
      <c r="AE1009" s="6"/>
      <c r="AH1009" s="3"/>
    </row>
    <row r="1010" spans="1:34" x14ac:dyDescent="0.3">
      <c r="A1010" s="13"/>
      <c r="B1010" s="1">
        <v>22</v>
      </c>
      <c r="C1010" s="1">
        <v>690</v>
      </c>
      <c r="D1010" s="1">
        <v>1</v>
      </c>
      <c r="E1010" s="5">
        <v>1</v>
      </c>
      <c r="F1010" s="3">
        <f t="shared" si="338"/>
        <v>22</v>
      </c>
      <c r="G1010" s="5">
        <v>2.5</v>
      </c>
      <c r="H1010" s="3">
        <f t="shared" si="325"/>
        <v>4.908738521234052</v>
      </c>
      <c r="I1010" s="4">
        <v>4.9086999999999999E-2</v>
      </c>
      <c r="K1010" s="3">
        <v>30.597236584371469</v>
      </c>
      <c r="L1010" s="3">
        <v>38.409140000000001</v>
      </c>
      <c r="M1010" s="3">
        <v>34.481270000000002</v>
      </c>
      <c r="N1010" s="12">
        <f t="shared" si="339"/>
        <v>9.9999215251863893E-3</v>
      </c>
      <c r="O1010" s="11">
        <f t="shared" si="340"/>
        <v>490.87</v>
      </c>
      <c r="P1010" s="1">
        <v>10</v>
      </c>
      <c r="Q1010" s="1">
        <v>1</v>
      </c>
      <c r="R1010" s="3">
        <f>Q1010*VLOOKUP(P1010,[4]Datos!$A$2:$D$14,2)</f>
        <v>8.19</v>
      </c>
      <c r="S1010" s="10">
        <f t="shared" si="326"/>
        <v>60</v>
      </c>
      <c r="T1010" s="2">
        <v>60</v>
      </c>
      <c r="U1010" s="3">
        <f t="shared" si="327"/>
        <v>0.12</v>
      </c>
      <c r="V1010" s="3"/>
      <c r="W1010" s="1">
        <v>280</v>
      </c>
      <c r="X1010" s="9">
        <v>2</v>
      </c>
      <c r="Y1010" s="1">
        <v>4</v>
      </c>
      <c r="Z1010" s="3">
        <f>X1010*VLOOKUP(Y1010,[4]Datos!$A$2:$D$14,2)</f>
        <v>2.58</v>
      </c>
      <c r="AA1010" s="8">
        <v>0.3</v>
      </c>
      <c r="AB1010" s="7">
        <f t="shared" si="341"/>
        <v>180.55532030650846</v>
      </c>
      <c r="AC1010" s="7">
        <f t="shared" si="328"/>
        <v>59.10936501560488</v>
      </c>
      <c r="AD1010" s="6" t="str">
        <f t="shared" si="342"/>
        <v>Cumple</v>
      </c>
      <c r="AE1010" s="6"/>
      <c r="AH1010" s="3"/>
    </row>
    <row r="1011" spans="1:34" x14ac:dyDescent="0.3">
      <c r="A1011" s="13"/>
      <c r="B1011" s="1">
        <v>23</v>
      </c>
      <c r="C1011" s="1">
        <v>692</v>
      </c>
      <c r="D1011" s="1">
        <v>1</v>
      </c>
      <c r="E1011" s="5">
        <v>1</v>
      </c>
      <c r="F1011" s="3">
        <f t="shared" si="338"/>
        <v>23</v>
      </c>
      <c r="G1011" s="5">
        <v>2.5</v>
      </c>
      <c r="H1011" s="3">
        <f t="shared" si="325"/>
        <v>4.908738521234052</v>
      </c>
      <c r="I1011" s="4">
        <v>4.9086999999999999E-2</v>
      </c>
      <c r="K1011" s="3">
        <v>16.413416485607133</v>
      </c>
      <c r="L1011" s="3">
        <v>13.83586</v>
      </c>
      <c r="M1011" s="3">
        <v>11.447279999999999</v>
      </c>
      <c r="N1011" s="12">
        <f t="shared" si="339"/>
        <v>9.9999215251863893E-3</v>
      </c>
      <c r="O1011" s="11">
        <f t="shared" si="340"/>
        <v>490.87</v>
      </c>
      <c r="P1011" s="1">
        <v>10</v>
      </c>
      <c r="Q1011" s="1">
        <v>1</v>
      </c>
      <c r="R1011" s="3">
        <f>Q1011*VLOOKUP(P1011,[4]Datos!$A$2:$D$14,2)</f>
        <v>8.19</v>
      </c>
      <c r="S1011" s="10">
        <f t="shared" si="326"/>
        <v>60</v>
      </c>
      <c r="T1011" s="2">
        <v>60</v>
      </c>
      <c r="U1011" s="3">
        <f t="shared" si="327"/>
        <v>0.12</v>
      </c>
      <c r="V1011" s="3"/>
      <c r="W1011" s="1">
        <v>280</v>
      </c>
      <c r="X1011" s="9">
        <v>2</v>
      </c>
      <c r="Y1011" s="1">
        <v>4</v>
      </c>
      <c r="Z1011" s="3">
        <f>X1011*VLOOKUP(Y1011,[4]Datos!$A$2:$D$14,2)</f>
        <v>2.58</v>
      </c>
      <c r="AA1011" s="8">
        <v>0.3</v>
      </c>
      <c r="AB1011" s="7">
        <f t="shared" si="341"/>
        <v>180.55532030650846</v>
      </c>
      <c r="AC1011" s="7">
        <f t="shared" si="328"/>
        <v>59.10936501560488</v>
      </c>
      <c r="AD1011" s="6" t="str">
        <f t="shared" si="342"/>
        <v>Cumple</v>
      </c>
      <c r="AE1011" s="6"/>
      <c r="AH1011" s="3"/>
    </row>
  </sheetData>
  <mergeCells count="25">
    <mergeCell ref="A989:A1011"/>
    <mergeCell ref="A834:A855"/>
    <mergeCell ref="A856:A885"/>
    <mergeCell ref="A886:A915"/>
    <mergeCell ref="A916:A940"/>
    <mergeCell ref="A941:A965"/>
    <mergeCell ref="A966:A988"/>
    <mergeCell ref="A622:A669"/>
    <mergeCell ref="A670:A710"/>
    <mergeCell ref="A711:A751"/>
    <mergeCell ref="A752:A781"/>
    <mergeCell ref="A782:A811"/>
    <mergeCell ref="A812:A833"/>
    <mergeCell ref="A4:A20"/>
    <mergeCell ref="A21:A37"/>
    <mergeCell ref="A496:A535"/>
    <mergeCell ref="A536:A554"/>
    <mergeCell ref="A555:A573"/>
    <mergeCell ref="A574:A621"/>
    <mergeCell ref="B1:C1"/>
    <mergeCell ref="E1:H2"/>
    <mergeCell ref="N1:V2"/>
    <mergeCell ref="W1:AD2"/>
    <mergeCell ref="AF1:AQ2"/>
    <mergeCell ref="B2:C2"/>
  </mergeCells>
  <conditionalFormatting sqref="AQ31:AQ495 AD38:AE1011 AD4:AE9 AD12:AE20">
    <cfRule type="containsText" dxfId="333" priority="281" operator="containsText" text="No Cumple">
      <formula>NOT(ISERROR(SEARCH("No Cumple",AD4)))</formula>
    </cfRule>
    <cfRule type="containsText" dxfId="332" priority="282" operator="containsText" text="Cumple">
      <formula>NOT(ISERROR(SEARCH("Cumple",AD4)))</formula>
    </cfRule>
  </conditionalFormatting>
  <conditionalFormatting sqref="AQ9:AQ20 AQ500:AQ503">
    <cfRule type="containsText" dxfId="331" priority="279" operator="containsText" text="No Cumple">
      <formula>NOT(ISERROR(SEARCH("No Cumple",AQ9)))</formula>
    </cfRule>
    <cfRule type="containsText" dxfId="330" priority="280" operator="containsText" text="Cumple">
      <formula>NOT(ISERROR(SEARCH("Cumple",AQ9)))</formula>
    </cfRule>
  </conditionalFormatting>
  <conditionalFormatting sqref="AQ504">
    <cfRule type="containsText" dxfId="329" priority="277" operator="containsText" text="No Cumple">
      <formula>NOT(ISERROR(SEARCH("No Cumple",AQ504)))</formula>
    </cfRule>
    <cfRule type="containsText" dxfId="328" priority="278" operator="containsText" text="Cumple">
      <formula>NOT(ISERROR(SEARCH("Cumple",AQ504)))</formula>
    </cfRule>
  </conditionalFormatting>
  <conditionalFormatting sqref="AQ510">
    <cfRule type="containsText" dxfId="327" priority="275" operator="containsText" text="No Cumple">
      <formula>NOT(ISERROR(SEARCH("No Cumple",AQ510)))</formula>
    </cfRule>
    <cfRule type="containsText" dxfId="326" priority="276" operator="containsText" text="Cumple">
      <formula>NOT(ISERROR(SEARCH("Cumple",AQ510)))</formula>
    </cfRule>
  </conditionalFormatting>
  <conditionalFormatting sqref="AQ496:AQ498">
    <cfRule type="containsText" dxfId="325" priority="273" operator="containsText" text="No Cumple">
      <formula>NOT(ISERROR(SEARCH("No Cumple",AQ496)))</formula>
    </cfRule>
    <cfRule type="containsText" dxfId="324" priority="274" operator="containsText" text="Cumple">
      <formula>NOT(ISERROR(SEARCH("Cumple",AQ496)))</formula>
    </cfRule>
  </conditionalFormatting>
  <conditionalFormatting sqref="AQ499">
    <cfRule type="containsText" dxfId="323" priority="271" operator="containsText" text="No Cumple">
      <formula>NOT(ISERROR(SEARCH("No Cumple",AQ499)))</formula>
    </cfRule>
    <cfRule type="containsText" dxfId="322" priority="272" operator="containsText" text="Cumple">
      <formula>NOT(ISERROR(SEARCH("Cumple",AQ499)))</formula>
    </cfRule>
  </conditionalFormatting>
  <conditionalFormatting sqref="AQ514:AQ516">
    <cfRule type="containsText" dxfId="321" priority="269" operator="containsText" text="No Cumple">
      <formula>NOT(ISERROR(SEARCH("No Cumple",AQ514)))</formula>
    </cfRule>
    <cfRule type="containsText" dxfId="320" priority="270" operator="containsText" text="Cumple">
      <formula>NOT(ISERROR(SEARCH("Cumple",AQ514)))</formula>
    </cfRule>
  </conditionalFormatting>
  <conditionalFormatting sqref="AQ517">
    <cfRule type="containsText" dxfId="319" priority="267" operator="containsText" text="No Cumple">
      <formula>NOT(ISERROR(SEARCH("No Cumple",AQ517)))</formula>
    </cfRule>
    <cfRule type="containsText" dxfId="318" priority="268" operator="containsText" text="Cumple">
      <formula>NOT(ISERROR(SEARCH("Cumple",AQ517)))</formula>
    </cfRule>
  </conditionalFormatting>
  <conditionalFormatting sqref="AQ574:AQ576">
    <cfRule type="containsText" dxfId="317" priority="265" operator="containsText" text="No Cumple">
      <formula>NOT(ISERROR(SEARCH("No Cumple",AQ574)))</formula>
    </cfRule>
    <cfRule type="containsText" dxfId="316" priority="266" operator="containsText" text="Cumple">
      <formula>NOT(ISERROR(SEARCH("Cumple",AQ574)))</formula>
    </cfRule>
  </conditionalFormatting>
  <conditionalFormatting sqref="AQ577">
    <cfRule type="containsText" dxfId="315" priority="263" operator="containsText" text="No Cumple">
      <formula>NOT(ISERROR(SEARCH("No Cumple",AQ577)))</formula>
    </cfRule>
    <cfRule type="containsText" dxfId="314" priority="264" operator="containsText" text="Cumple">
      <formula>NOT(ISERROR(SEARCH("Cumple",AQ577)))</formula>
    </cfRule>
  </conditionalFormatting>
  <conditionalFormatting sqref="AQ595:AQ597">
    <cfRule type="containsText" dxfId="313" priority="261" operator="containsText" text="No Cumple">
      <formula>NOT(ISERROR(SEARCH("No Cumple",AQ595)))</formula>
    </cfRule>
    <cfRule type="containsText" dxfId="312" priority="262" operator="containsText" text="Cumple">
      <formula>NOT(ISERROR(SEARCH("Cumple",AQ595)))</formula>
    </cfRule>
  </conditionalFormatting>
  <conditionalFormatting sqref="AQ598">
    <cfRule type="containsText" dxfId="311" priority="259" operator="containsText" text="No Cumple">
      <formula>NOT(ISERROR(SEARCH("No Cumple",AQ598)))</formula>
    </cfRule>
    <cfRule type="containsText" dxfId="310" priority="260" operator="containsText" text="Cumple">
      <formula>NOT(ISERROR(SEARCH("Cumple",AQ598)))</formula>
    </cfRule>
  </conditionalFormatting>
  <conditionalFormatting sqref="AQ621:AQ623">
    <cfRule type="containsText" dxfId="309" priority="257" operator="containsText" text="No Cumple">
      <formula>NOT(ISERROR(SEARCH("No Cumple",AQ621)))</formula>
    </cfRule>
    <cfRule type="containsText" dxfId="308" priority="258" operator="containsText" text="Cumple">
      <formula>NOT(ISERROR(SEARCH("Cumple",AQ621)))</formula>
    </cfRule>
  </conditionalFormatting>
  <conditionalFormatting sqref="AQ624">
    <cfRule type="containsText" dxfId="307" priority="255" operator="containsText" text="No Cumple">
      <formula>NOT(ISERROR(SEARCH("No Cumple",AQ624)))</formula>
    </cfRule>
    <cfRule type="containsText" dxfId="306" priority="256" operator="containsText" text="Cumple">
      <formula>NOT(ISERROR(SEARCH("Cumple",AQ624)))</formula>
    </cfRule>
  </conditionalFormatting>
  <conditionalFormatting sqref="AQ625">
    <cfRule type="containsText" dxfId="305" priority="253" operator="containsText" text="No Cumple">
      <formula>NOT(ISERROR(SEARCH("No Cumple",AQ625)))</formula>
    </cfRule>
    <cfRule type="containsText" dxfId="304" priority="254" operator="containsText" text="Cumple">
      <formula>NOT(ISERROR(SEARCH("Cumple",AQ625)))</formula>
    </cfRule>
  </conditionalFormatting>
  <conditionalFormatting sqref="AQ638:AQ639">
    <cfRule type="containsText" dxfId="303" priority="251" operator="containsText" text="No Cumple">
      <formula>NOT(ISERROR(SEARCH("No Cumple",AQ638)))</formula>
    </cfRule>
    <cfRule type="containsText" dxfId="302" priority="252" operator="containsText" text="Cumple">
      <formula>NOT(ISERROR(SEARCH("Cumple",AQ638)))</formula>
    </cfRule>
  </conditionalFormatting>
  <conditionalFormatting sqref="AQ640">
    <cfRule type="containsText" dxfId="301" priority="249" operator="containsText" text="No Cumple">
      <formula>NOT(ISERROR(SEARCH("No Cumple",AQ640)))</formula>
    </cfRule>
    <cfRule type="containsText" dxfId="300" priority="250" operator="containsText" text="Cumple">
      <formula>NOT(ISERROR(SEARCH("Cumple",AQ640)))</formula>
    </cfRule>
  </conditionalFormatting>
  <conditionalFormatting sqref="AQ641">
    <cfRule type="containsText" dxfId="299" priority="247" operator="containsText" text="No Cumple">
      <formula>NOT(ISERROR(SEARCH("No Cumple",AQ641)))</formula>
    </cfRule>
    <cfRule type="containsText" dxfId="298" priority="248" operator="containsText" text="Cumple">
      <formula>NOT(ISERROR(SEARCH("Cumple",AQ641)))</formula>
    </cfRule>
  </conditionalFormatting>
  <conditionalFormatting sqref="AQ670:AQ671">
    <cfRule type="containsText" dxfId="297" priority="245" operator="containsText" text="No Cumple">
      <formula>NOT(ISERROR(SEARCH("No Cumple",AQ670)))</formula>
    </cfRule>
    <cfRule type="containsText" dxfId="296" priority="246" operator="containsText" text="Cumple">
      <formula>NOT(ISERROR(SEARCH("Cumple",AQ670)))</formula>
    </cfRule>
  </conditionalFormatting>
  <conditionalFormatting sqref="AQ672">
    <cfRule type="containsText" dxfId="295" priority="243" operator="containsText" text="No Cumple">
      <formula>NOT(ISERROR(SEARCH("No Cumple",AQ672)))</formula>
    </cfRule>
    <cfRule type="containsText" dxfId="294" priority="244" operator="containsText" text="Cumple">
      <formula>NOT(ISERROR(SEARCH("Cumple",AQ672)))</formula>
    </cfRule>
  </conditionalFormatting>
  <conditionalFormatting sqref="AQ673">
    <cfRule type="containsText" dxfId="293" priority="241" operator="containsText" text="No Cumple">
      <formula>NOT(ISERROR(SEARCH("No Cumple",AQ673)))</formula>
    </cfRule>
    <cfRule type="containsText" dxfId="292" priority="242" operator="containsText" text="Cumple">
      <formula>NOT(ISERROR(SEARCH("Cumple",AQ673)))</formula>
    </cfRule>
  </conditionalFormatting>
  <conditionalFormatting sqref="AQ688:AQ689">
    <cfRule type="containsText" dxfId="291" priority="239" operator="containsText" text="No Cumple">
      <formula>NOT(ISERROR(SEARCH("No Cumple",AQ688)))</formula>
    </cfRule>
    <cfRule type="containsText" dxfId="290" priority="240" operator="containsText" text="Cumple">
      <formula>NOT(ISERROR(SEARCH("Cumple",AQ688)))</formula>
    </cfRule>
  </conditionalFormatting>
  <conditionalFormatting sqref="AQ690">
    <cfRule type="containsText" dxfId="289" priority="237" operator="containsText" text="No Cumple">
      <formula>NOT(ISERROR(SEARCH("No Cumple",AQ690)))</formula>
    </cfRule>
    <cfRule type="containsText" dxfId="288" priority="238" operator="containsText" text="Cumple">
      <formula>NOT(ISERROR(SEARCH("Cumple",AQ690)))</formula>
    </cfRule>
  </conditionalFormatting>
  <conditionalFormatting sqref="AQ691">
    <cfRule type="containsText" dxfId="287" priority="235" operator="containsText" text="No Cumple">
      <formula>NOT(ISERROR(SEARCH("No Cumple",AQ691)))</formula>
    </cfRule>
    <cfRule type="containsText" dxfId="286" priority="236" operator="containsText" text="Cumple">
      <formula>NOT(ISERROR(SEARCH("Cumple",AQ691)))</formula>
    </cfRule>
  </conditionalFormatting>
  <conditionalFormatting sqref="AQ711:AQ712">
    <cfRule type="containsText" dxfId="285" priority="233" operator="containsText" text="No Cumple">
      <formula>NOT(ISERROR(SEARCH("No Cumple",AQ711)))</formula>
    </cfRule>
    <cfRule type="containsText" dxfId="284" priority="234" operator="containsText" text="Cumple">
      <formula>NOT(ISERROR(SEARCH("Cumple",AQ711)))</formula>
    </cfRule>
  </conditionalFormatting>
  <conditionalFormatting sqref="AQ713">
    <cfRule type="containsText" dxfId="283" priority="231" operator="containsText" text="No Cumple">
      <formula>NOT(ISERROR(SEARCH("No Cumple",AQ713)))</formula>
    </cfRule>
    <cfRule type="containsText" dxfId="282" priority="232" operator="containsText" text="Cumple">
      <formula>NOT(ISERROR(SEARCH("Cumple",AQ713)))</formula>
    </cfRule>
  </conditionalFormatting>
  <conditionalFormatting sqref="AQ714">
    <cfRule type="containsText" dxfId="281" priority="229" operator="containsText" text="No Cumple">
      <formula>NOT(ISERROR(SEARCH("No Cumple",AQ714)))</formula>
    </cfRule>
    <cfRule type="containsText" dxfId="280" priority="230" operator="containsText" text="Cumple">
      <formula>NOT(ISERROR(SEARCH("Cumple",AQ714)))</formula>
    </cfRule>
  </conditionalFormatting>
  <conditionalFormatting sqref="AQ728:AQ729">
    <cfRule type="containsText" dxfId="279" priority="227" operator="containsText" text="No Cumple">
      <formula>NOT(ISERROR(SEARCH("No Cumple",AQ728)))</formula>
    </cfRule>
    <cfRule type="containsText" dxfId="278" priority="228" operator="containsText" text="Cumple">
      <formula>NOT(ISERROR(SEARCH("Cumple",AQ728)))</formula>
    </cfRule>
  </conditionalFormatting>
  <conditionalFormatting sqref="AQ730">
    <cfRule type="containsText" dxfId="277" priority="225" operator="containsText" text="No Cumple">
      <formula>NOT(ISERROR(SEARCH("No Cumple",AQ730)))</formula>
    </cfRule>
    <cfRule type="containsText" dxfId="276" priority="226" operator="containsText" text="Cumple">
      <formula>NOT(ISERROR(SEARCH("Cumple",AQ730)))</formula>
    </cfRule>
  </conditionalFormatting>
  <conditionalFormatting sqref="AQ731">
    <cfRule type="containsText" dxfId="275" priority="223" operator="containsText" text="No Cumple">
      <formula>NOT(ISERROR(SEARCH("No Cumple",AQ731)))</formula>
    </cfRule>
    <cfRule type="containsText" dxfId="274" priority="224" operator="containsText" text="Cumple">
      <formula>NOT(ISERROR(SEARCH("Cumple",AQ731)))</formula>
    </cfRule>
  </conditionalFormatting>
  <conditionalFormatting sqref="AQ752:AQ753">
    <cfRule type="containsText" dxfId="273" priority="221" operator="containsText" text="No Cumple">
      <formula>NOT(ISERROR(SEARCH("No Cumple",AQ752)))</formula>
    </cfRule>
    <cfRule type="containsText" dxfId="272" priority="222" operator="containsText" text="Cumple">
      <formula>NOT(ISERROR(SEARCH("Cumple",AQ752)))</formula>
    </cfRule>
  </conditionalFormatting>
  <conditionalFormatting sqref="AQ762:AQ763">
    <cfRule type="containsText" dxfId="271" priority="219" operator="containsText" text="No Cumple">
      <formula>NOT(ISERROR(SEARCH("No Cumple",AQ762)))</formula>
    </cfRule>
    <cfRule type="containsText" dxfId="270" priority="220" operator="containsText" text="Cumple">
      <formula>NOT(ISERROR(SEARCH("Cumple",AQ762)))</formula>
    </cfRule>
  </conditionalFormatting>
  <conditionalFormatting sqref="AQ782:AQ783">
    <cfRule type="containsText" dxfId="269" priority="217" operator="containsText" text="No Cumple">
      <formula>NOT(ISERROR(SEARCH("No Cumple",AQ782)))</formula>
    </cfRule>
    <cfRule type="containsText" dxfId="268" priority="218" operator="containsText" text="Cumple">
      <formula>NOT(ISERROR(SEARCH("Cumple",AQ782)))</formula>
    </cfRule>
  </conditionalFormatting>
  <conditionalFormatting sqref="AQ792:AQ793">
    <cfRule type="containsText" dxfId="267" priority="215" operator="containsText" text="No Cumple">
      <formula>NOT(ISERROR(SEARCH("No Cumple",AQ792)))</formula>
    </cfRule>
    <cfRule type="containsText" dxfId="266" priority="216" operator="containsText" text="Cumple">
      <formula>NOT(ISERROR(SEARCH("Cumple",AQ792)))</formula>
    </cfRule>
  </conditionalFormatting>
  <conditionalFormatting sqref="AQ518:AQ523">
    <cfRule type="containsText" dxfId="265" priority="213" operator="containsText" text="No Cumple">
      <formula>NOT(ISERROR(SEARCH("No Cumple",AQ518)))</formula>
    </cfRule>
    <cfRule type="containsText" dxfId="264" priority="214" operator="containsText" text="Cumple">
      <formula>NOT(ISERROR(SEARCH("Cumple",AQ518)))</formula>
    </cfRule>
  </conditionalFormatting>
  <conditionalFormatting sqref="AQ524">
    <cfRule type="containsText" dxfId="263" priority="211" operator="containsText" text="No Cumple">
      <formula>NOT(ISERROR(SEARCH("No Cumple",AQ524)))</formula>
    </cfRule>
    <cfRule type="containsText" dxfId="262" priority="212" operator="containsText" text="Cumple">
      <formula>NOT(ISERROR(SEARCH("Cumple",AQ524)))</formula>
    </cfRule>
  </conditionalFormatting>
  <conditionalFormatting sqref="AQ536:AQ541">
    <cfRule type="containsText" dxfId="261" priority="209" operator="containsText" text="No Cumple">
      <formula>NOT(ISERROR(SEARCH("No Cumple",AQ536)))</formula>
    </cfRule>
    <cfRule type="containsText" dxfId="260" priority="210" operator="containsText" text="Cumple">
      <formula>NOT(ISERROR(SEARCH("Cumple",AQ536)))</formula>
    </cfRule>
  </conditionalFormatting>
  <conditionalFormatting sqref="AQ555:AQ560">
    <cfRule type="containsText" dxfId="259" priority="207" operator="containsText" text="No Cumple">
      <formula>NOT(ISERROR(SEARCH("No Cumple",AQ555)))</formula>
    </cfRule>
    <cfRule type="containsText" dxfId="258" priority="208" operator="containsText" text="Cumple">
      <formula>NOT(ISERROR(SEARCH("Cumple",AQ555)))</formula>
    </cfRule>
  </conditionalFormatting>
  <conditionalFormatting sqref="AQ599:AQ604">
    <cfRule type="containsText" dxfId="257" priority="205" operator="containsText" text="No Cumple">
      <formula>NOT(ISERROR(SEARCH("No Cumple",AQ599)))</formula>
    </cfRule>
    <cfRule type="containsText" dxfId="256" priority="206" operator="containsText" text="Cumple">
      <formula>NOT(ISERROR(SEARCH("Cumple",AQ599)))</formula>
    </cfRule>
  </conditionalFormatting>
  <conditionalFormatting sqref="AQ605:AQ606">
    <cfRule type="containsText" dxfId="255" priority="203" operator="containsText" text="No Cumple">
      <formula>NOT(ISERROR(SEARCH("No Cumple",AQ605)))</formula>
    </cfRule>
    <cfRule type="containsText" dxfId="254" priority="204" operator="containsText" text="Cumple">
      <formula>NOT(ISERROR(SEARCH("Cumple",AQ605)))</formula>
    </cfRule>
  </conditionalFormatting>
  <conditionalFormatting sqref="AQ642:AQ647">
    <cfRule type="containsText" dxfId="253" priority="201" operator="containsText" text="No Cumple">
      <formula>NOT(ISERROR(SEARCH("No Cumple",AQ642)))</formula>
    </cfRule>
    <cfRule type="containsText" dxfId="252" priority="202" operator="containsText" text="Cumple">
      <formula>NOT(ISERROR(SEARCH("Cumple",AQ642)))</formula>
    </cfRule>
  </conditionalFormatting>
  <conditionalFormatting sqref="AQ648:AQ649">
    <cfRule type="containsText" dxfId="251" priority="199" operator="containsText" text="No Cumple">
      <formula>NOT(ISERROR(SEARCH("No Cumple",AQ648)))</formula>
    </cfRule>
    <cfRule type="containsText" dxfId="250" priority="200" operator="containsText" text="Cumple">
      <formula>NOT(ISERROR(SEARCH("Cumple",AQ648)))</formula>
    </cfRule>
  </conditionalFormatting>
  <conditionalFormatting sqref="AQ674:AQ679">
    <cfRule type="containsText" dxfId="249" priority="197" operator="containsText" text="No Cumple">
      <formula>NOT(ISERROR(SEARCH("No Cumple",AQ674)))</formula>
    </cfRule>
    <cfRule type="containsText" dxfId="248" priority="198" operator="containsText" text="Cumple">
      <formula>NOT(ISERROR(SEARCH("Cumple",AQ674)))</formula>
    </cfRule>
  </conditionalFormatting>
  <conditionalFormatting sqref="AQ692:AQ697">
    <cfRule type="containsText" dxfId="247" priority="195" operator="containsText" text="No Cumple">
      <formula>NOT(ISERROR(SEARCH("No Cumple",AQ692)))</formula>
    </cfRule>
    <cfRule type="containsText" dxfId="246" priority="196" operator="containsText" text="Cumple">
      <formula>NOT(ISERROR(SEARCH("Cumple",AQ692)))</formula>
    </cfRule>
  </conditionalFormatting>
  <conditionalFormatting sqref="AQ698">
    <cfRule type="containsText" dxfId="245" priority="193" operator="containsText" text="No Cumple">
      <formula>NOT(ISERROR(SEARCH("No Cumple",AQ698)))</formula>
    </cfRule>
    <cfRule type="containsText" dxfId="244" priority="194" operator="containsText" text="Cumple">
      <formula>NOT(ISERROR(SEARCH("Cumple",AQ698)))</formula>
    </cfRule>
  </conditionalFormatting>
  <conditionalFormatting sqref="AQ732:AQ737">
    <cfRule type="containsText" dxfId="243" priority="191" operator="containsText" text="No Cumple">
      <formula>NOT(ISERROR(SEARCH("No Cumple",AQ732)))</formula>
    </cfRule>
    <cfRule type="containsText" dxfId="242" priority="192" operator="containsText" text="Cumple">
      <formula>NOT(ISERROR(SEARCH("Cumple",AQ732)))</formula>
    </cfRule>
  </conditionalFormatting>
  <conditionalFormatting sqref="AQ738">
    <cfRule type="containsText" dxfId="241" priority="189" operator="containsText" text="No Cumple">
      <formula>NOT(ISERROR(SEARCH("No Cumple",AQ738)))</formula>
    </cfRule>
    <cfRule type="containsText" dxfId="240" priority="190" operator="containsText" text="Cumple">
      <formula>NOT(ISERROR(SEARCH("Cumple",AQ738)))</formula>
    </cfRule>
  </conditionalFormatting>
  <conditionalFormatting sqref="AQ764">
    <cfRule type="containsText" dxfId="239" priority="187" operator="containsText" text="No Cumple">
      <formula>NOT(ISERROR(SEARCH("No Cumple",AQ764)))</formula>
    </cfRule>
    <cfRule type="containsText" dxfId="238" priority="188" operator="containsText" text="Cumple">
      <formula>NOT(ISERROR(SEARCH("Cumple",AQ764)))</formula>
    </cfRule>
  </conditionalFormatting>
  <conditionalFormatting sqref="AQ765">
    <cfRule type="containsText" dxfId="237" priority="185" operator="containsText" text="No Cumple">
      <formula>NOT(ISERROR(SEARCH("No Cumple",AQ765)))</formula>
    </cfRule>
    <cfRule type="containsText" dxfId="236" priority="186" operator="containsText" text="Cumple">
      <formula>NOT(ISERROR(SEARCH("Cumple",AQ765)))</formula>
    </cfRule>
  </conditionalFormatting>
  <conditionalFormatting sqref="AQ766">
    <cfRule type="containsText" dxfId="235" priority="183" operator="containsText" text="No Cumple">
      <formula>NOT(ISERROR(SEARCH("No Cumple",AQ766)))</formula>
    </cfRule>
    <cfRule type="containsText" dxfId="234" priority="184" operator="containsText" text="Cumple">
      <formula>NOT(ISERROR(SEARCH("Cumple",AQ766)))</formula>
    </cfRule>
  </conditionalFormatting>
  <conditionalFormatting sqref="AQ767">
    <cfRule type="containsText" dxfId="233" priority="181" operator="containsText" text="No Cumple">
      <formula>NOT(ISERROR(SEARCH("No Cumple",AQ767)))</formula>
    </cfRule>
    <cfRule type="containsText" dxfId="232" priority="182" operator="containsText" text="Cumple">
      <formula>NOT(ISERROR(SEARCH("Cumple",AQ767)))</formula>
    </cfRule>
  </conditionalFormatting>
  <conditionalFormatting sqref="AQ768">
    <cfRule type="containsText" dxfId="231" priority="179" operator="containsText" text="No Cumple">
      <formula>NOT(ISERROR(SEARCH("No Cumple",AQ768)))</formula>
    </cfRule>
    <cfRule type="containsText" dxfId="230" priority="180" operator="containsText" text="Cumple">
      <formula>NOT(ISERROR(SEARCH("Cumple",AQ768)))</formula>
    </cfRule>
  </conditionalFormatting>
  <conditionalFormatting sqref="AQ769">
    <cfRule type="containsText" dxfId="229" priority="177" operator="containsText" text="No Cumple">
      <formula>NOT(ISERROR(SEARCH("No Cumple",AQ769)))</formula>
    </cfRule>
    <cfRule type="containsText" dxfId="228" priority="178" operator="containsText" text="Cumple">
      <formula>NOT(ISERROR(SEARCH("Cumple",AQ769)))</formula>
    </cfRule>
  </conditionalFormatting>
  <conditionalFormatting sqref="AQ794">
    <cfRule type="containsText" dxfId="227" priority="175" operator="containsText" text="No Cumple">
      <formula>NOT(ISERROR(SEARCH("No Cumple",AQ794)))</formula>
    </cfRule>
    <cfRule type="containsText" dxfId="226" priority="176" operator="containsText" text="Cumple">
      <formula>NOT(ISERROR(SEARCH("Cumple",AQ794)))</formula>
    </cfRule>
  </conditionalFormatting>
  <conditionalFormatting sqref="AQ795">
    <cfRule type="containsText" dxfId="225" priority="173" operator="containsText" text="No Cumple">
      <formula>NOT(ISERROR(SEARCH("No Cumple",AQ795)))</formula>
    </cfRule>
    <cfRule type="containsText" dxfId="224" priority="174" operator="containsText" text="Cumple">
      <formula>NOT(ISERROR(SEARCH("Cumple",AQ795)))</formula>
    </cfRule>
  </conditionalFormatting>
  <conditionalFormatting sqref="AQ796">
    <cfRule type="containsText" dxfId="223" priority="171" operator="containsText" text="No Cumple">
      <formula>NOT(ISERROR(SEARCH("No Cumple",AQ796)))</formula>
    </cfRule>
    <cfRule type="containsText" dxfId="222" priority="172" operator="containsText" text="Cumple">
      <formula>NOT(ISERROR(SEARCH("Cumple",AQ796)))</formula>
    </cfRule>
  </conditionalFormatting>
  <conditionalFormatting sqref="AQ797">
    <cfRule type="containsText" dxfId="221" priority="169" operator="containsText" text="No Cumple">
      <formula>NOT(ISERROR(SEARCH("No Cumple",AQ797)))</formula>
    </cfRule>
    <cfRule type="containsText" dxfId="220" priority="170" operator="containsText" text="Cumple">
      <formula>NOT(ISERROR(SEARCH("Cumple",AQ797)))</formula>
    </cfRule>
  </conditionalFormatting>
  <conditionalFormatting sqref="AQ798">
    <cfRule type="containsText" dxfId="219" priority="167" operator="containsText" text="No Cumple">
      <formula>NOT(ISERROR(SEARCH("No Cumple",AQ798)))</formula>
    </cfRule>
    <cfRule type="containsText" dxfId="218" priority="168" operator="containsText" text="Cumple">
      <formula>NOT(ISERROR(SEARCH("Cumple",AQ798)))</formula>
    </cfRule>
  </conditionalFormatting>
  <conditionalFormatting sqref="AQ799">
    <cfRule type="containsText" dxfId="217" priority="165" operator="containsText" text="No Cumple">
      <formula>NOT(ISERROR(SEARCH("No Cumple",AQ799)))</formula>
    </cfRule>
    <cfRule type="containsText" dxfId="216" priority="166" operator="containsText" text="Cumple">
      <formula>NOT(ISERROR(SEARCH("Cumple",AQ799)))</formula>
    </cfRule>
  </conditionalFormatting>
  <conditionalFormatting sqref="AQ812">
    <cfRule type="containsText" dxfId="215" priority="163" operator="containsText" text="No Cumple">
      <formula>NOT(ISERROR(SEARCH("No Cumple",AQ812)))</formula>
    </cfRule>
    <cfRule type="containsText" dxfId="214" priority="164" operator="containsText" text="Cumple">
      <formula>NOT(ISERROR(SEARCH("Cumple",AQ812)))</formula>
    </cfRule>
  </conditionalFormatting>
  <conditionalFormatting sqref="AQ813">
    <cfRule type="containsText" dxfId="213" priority="161" operator="containsText" text="No Cumple">
      <formula>NOT(ISERROR(SEARCH("No Cumple",AQ813)))</formula>
    </cfRule>
    <cfRule type="containsText" dxfId="212" priority="162" operator="containsText" text="Cumple">
      <formula>NOT(ISERROR(SEARCH("Cumple",AQ813)))</formula>
    </cfRule>
  </conditionalFormatting>
  <conditionalFormatting sqref="AQ814">
    <cfRule type="containsText" dxfId="211" priority="159" operator="containsText" text="No Cumple">
      <formula>NOT(ISERROR(SEARCH("No Cumple",AQ814)))</formula>
    </cfRule>
    <cfRule type="containsText" dxfId="210" priority="160" operator="containsText" text="Cumple">
      <formula>NOT(ISERROR(SEARCH("Cumple",AQ814)))</formula>
    </cfRule>
  </conditionalFormatting>
  <conditionalFormatting sqref="AQ815">
    <cfRule type="containsText" dxfId="209" priority="157" operator="containsText" text="No Cumple">
      <formula>NOT(ISERROR(SEARCH("No Cumple",AQ815)))</formula>
    </cfRule>
    <cfRule type="containsText" dxfId="208" priority="158" operator="containsText" text="Cumple">
      <formula>NOT(ISERROR(SEARCH("Cumple",AQ815)))</formula>
    </cfRule>
  </conditionalFormatting>
  <conditionalFormatting sqref="AQ816">
    <cfRule type="containsText" dxfId="207" priority="155" operator="containsText" text="No Cumple">
      <formula>NOT(ISERROR(SEARCH("No Cumple",AQ816)))</formula>
    </cfRule>
    <cfRule type="containsText" dxfId="206" priority="156" operator="containsText" text="Cumple">
      <formula>NOT(ISERROR(SEARCH("Cumple",AQ816)))</formula>
    </cfRule>
  </conditionalFormatting>
  <conditionalFormatting sqref="AQ817">
    <cfRule type="containsText" dxfId="205" priority="153" operator="containsText" text="No Cumple">
      <formula>NOT(ISERROR(SEARCH("No Cumple",AQ817)))</formula>
    </cfRule>
    <cfRule type="containsText" dxfId="204" priority="154" operator="containsText" text="Cumple">
      <formula>NOT(ISERROR(SEARCH("Cumple",AQ817)))</formula>
    </cfRule>
  </conditionalFormatting>
  <conditionalFormatting sqref="AQ818">
    <cfRule type="containsText" dxfId="203" priority="151" operator="containsText" text="No Cumple">
      <formula>NOT(ISERROR(SEARCH("No Cumple",AQ818)))</formula>
    </cfRule>
    <cfRule type="containsText" dxfId="202" priority="152" operator="containsText" text="Cumple">
      <formula>NOT(ISERROR(SEARCH("Cumple",AQ818)))</formula>
    </cfRule>
  </conditionalFormatting>
  <conditionalFormatting sqref="AQ819">
    <cfRule type="containsText" dxfId="201" priority="149" operator="containsText" text="No Cumple">
      <formula>NOT(ISERROR(SEARCH("No Cumple",AQ819)))</formula>
    </cfRule>
    <cfRule type="containsText" dxfId="200" priority="150" operator="containsText" text="Cumple">
      <formula>NOT(ISERROR(SEARCH("Cumple",AQ819)))</formula>
    </cfRule>
  </conditionalFormatting>
  <conditionalFormatting sqref="AQ834">
    <cfRule type="containsText" dxfId="199" priority="147" operator="containsText" text="No Cumple">
      <formula>NOT(ISERROR(SEARCH("No Cumple",AQ834)))</formula>
    </cfRule>
    <cfRule type="containsText" dxfId="198" priority="148" operator="containsText" text="Cumple">
      <formula>NOT(ISERROR(SEARCH("Cumple",AQ834)))</formula>
    </cfRule>
  </conditionalFormatting>
  <conditionalFormatting sqref="AQ835">
    <cfRule type="containsText" dxfId="197" priority="145" operator="containsText" text="No Cumple">
      <formula>NOT(ISERROR(SEARCH("No Cumple",AQ835)))</formula>
    </cfRule>
    <cfRule type="containsText" dxfId="196" priority="146" operator="containsText" text="Cumple">
      <formula>NOT(ISERROR(SEARCH("Cumple",AQ835)))</formula>
    </cfRule>
  </conditionalFormatting>
  <conditionalFormatting sqref="AQ836">
    <cfRule type="containsText" dxfId="195" priority="143" operator="containsText" text="No Cumple">
      <formula>NOT(ISERROR(SEARCH("No Cumple",AQ836)))</formula>
    </cfRule>
    <cfRule type="containsText" dxfId="194" priority="144" operator="containsText" text="Cumple">
      <formula>NOT(ISERROR(SEARCH("Cumple",AQ836)))</formula>
    </cfRule>
  </conditionalFormatting>
  <conditionalFormatting sqref="AQ837">
    <cfRule type="containsText" dxfId="193" priority="141" operator="containsText" text="No Cumple">
      <formula>NOT(ISERROR(SEARCH("No Cumple",AQ837)))</formula>
    </cfRule>
    <cfRule type="containsText" dxfId="192" priority="142" operator="containsText" text="Cumple">
      <formula>NOT(ISERROR(SEARCH("Cumple",AQ837)))</formula>
    </cfRule>
  </conditionalFormatting>
  <conditionalFormatting sqref="AQ838">
    <cfRule type="containsText" dxfId="191" priority="139" operator="containsText" text="No Cumple">
      <formula>NOT(ISERROR(SEARCH("No Cumple",AQ838)))</formula>
    </cfRule>
    <cfRule type="containsText" dxfId="190" priority="140" operator="containsText" text="Cumple">
      <formula>NOT(ISERROR(SEARCH("Cumple",AQ838)))</formula>
    </cfRule>
  </conditionalFormatting>
  <conditionalFormatting sqref="AQ839">
    <cfRule type="containsText" dxfId="189" priority="137" operator="containsText" text="No Cumple">
      <formula>NOT(ISERROR(SEARCH("No Cumple",AQ839)))</formula>
    </cfRule>
    <cfRule type="containsText" dxfId="188" priority="138" operator="containsText" text="Cumple">
      <formula>NOT(ISERROR(SEARCH("Cumple",AQ839)))</formula>
    </cfRule>
  </conditionalFormatting>
  <conditionalFormatting sqref="AQ840">
    <cfRule type="containsText" dxfId="187" priority="135" operator="containsText" text="No Cumple">
      <formula>NOT(ISERROR(SEARCH("No Cumple",AQ840)))</formula>
    </cfRule>
    <cfRule type="containsText" dxfId="186" priority="136" operator="containsText" text="Cumple">
      <formula>NOT(ISERROR(SEARCH("Cumple",AQ840)))</formula>
    </cfRule>
  </conditionalFormatting>
  <conditionalFormatting sqref="AQ841">
    <cfRule type="containsText" dxfId="185" priority="133" operator="containsText" text="No Cumple">
      <formula>NOT(ISERROR(SEARCH("No Cumple",AQ841)))</formula>
    </cfRule>
    <cfRule type="containsText" dxfId="184" priority="134" operator="containsText" text="Cumple">
      <formula>NOT(ISERROR(SEARCH("Cumple",AQ841)))</formula>
    </cfRule>
  </conditionalFormatting>
  <conditionalFormatting sqref="AQ856">
    <cfRule type="containsText" dxfId="183" priority="131" operator="containsText" text="No Cumple">
      <formula>NOT(ISERROR(SEARCH("No Cumple",AQ856)))</formula>
    </cfRule>
    <cfRule type="containsText" dxfId="182" priority="132" operator="containsText" text="Cumple">
      <formula>NOT(ISERROR(SEARCH("Cumple",AQ856)))</formula>
    </cfRule>
  </conditionalFormatting>
  <conditionalFormatting sqref="AQ857">
    <cfRule type="containsText" dxfId="181" priority="129" operator="containsText" text="No Cumple">
      <formula>NOT(ISERROR(SEARCH("No Cumple",AQ857)))</formula>
    </cfRule>
    <cfRule type="containsText" dxfId="180" priority="130" operator="containsText" text="Cumple">
      <formula>NOT(ISERROR(SEARCH("Cumple",AQ857)))</formula>
    </cfRule>
  </conditionalFormatting>
  <conditionalFormatting sqref="AQ858">
    <cfRule type="containsText" dxfId="179" priority="127" operator="containsText" text="No Cumple">
      <formula>NOT(ISERROR(SEARCH("No Cumple",AQ858)))</formula>
    </cfRule>
    <cfRule type="containsText" dxfId="178" priority="128" operator="containsText" text="Cumple">
      <formula>NOT(ISERROR(SEARCH("Cumple",AQ858)))</formula>
    </cfRule>
  </conditionalFormatting>
  <conditionalFormatting sqref="AQ859">
    <cfRule type="containsText" dxfId="177" priority="125" operator="containsText" text="No Cumple">
      <formula>NOT(ISERROR(SEARCH("No Cumple",AQ859)))</formula>
    </cfRule>
    <cfRule type="containsText" dxfId="176" priority="126" operator="containsText" text="Cumple">
      <formula>NOT(ISERROR(SEARCH("Cumple",AQ859)))</formula>
    </cfRule>
  </conditionalFormatting>
  <conditionalFormatting sqref="AQ860">
    <cfRule type="containsText" dxfId="175" priority="123" operator="containsText" text="No Cumple">
      <formula>NOT(ISERROR(SEARCH("No Cumple",AQ860)))</formula>
    </cfRule>
    <cfRule type="containsText" dxfId="174" priority="124" operator="containsText" text="Cumple">
      <formula>NOT(ISERROR(SEARCH("Cumple",AQ860)))</formula>
    </cfRule>
  </conditionalFormatting>
  <conditionalFormatting sqref="AQ861">
    <cfRule type="containsText" dxfId="173" priority="121" operator="containsText" text="No Cumple">
      <formula>NOT(ISERROR(SEARCH("No Cumple",AQ861)))</formula>
    </cfRule>
    <cfRule type="containsText" dxfId="172" priority="122" operator="containsText" text="Cumple">
      <formula>NOT(ISERROR(SEARCH("Cumple",AQ861)))</formula>
    </cfRule>
  </conditionalFormatting>
  <conditionalFormatting sqref="AQ862">
    <cfRule type="containsText" dxfId="171" priority="119" operator="containsText" text="No Cumple">
      <formula>NOT(ISERROR(SEARCH("No Cumple",AQ862)))</formula>
    </cfRule>
    <cfRule type="containsText" dxfId="170" priority="120" operator="containsText" text="Cumple">
      <formula>NOT(ISERROR(SEARCH("Cumple",AQ862)))</formula>
    </cfRule>
  </conditionalFormatting>
  <conditionalFormatting sqref="AQ863">
    <cfRule type="containsText" dxfId="169" priority="117" operator="containsText" text="No Cumple">
      <formula>NOT(ISERROR(SEARCH("No Cumple",AQ863)))</formula>
    </cfRule>
    <cfRule type="containsText" dxfId="168" priority="118" operator="containsText" text="Cumple">
      <formula>NOT(ISERROR(SEARCH("Cumple",AQ863)))</formula>
    </cfRule>
  </conditionalFormatting>
  <conditionalFormatting sqref="AQ864">
    <cfRule type="containsText" dxfId="167" priority="115" operator="containsText" text="No Cumple">
      <formula>NOT(ISERROR(SEARCH("No Cumple",AQ864)))</formula>
    </cfRule>
    <cfRule type="containsText" dxfId="166" priority="116" operator="containsText" text="Cumple">
      <formula>NOT(ISERROR(SEARCH("Cumple",AQ864)))</formula>
    </cfRule>
  </conditionalFormatting>
  <conditionalFormatting sqref="AQ886">
    <cfRule type="containsText" dxfId="165" priority="113" operator="containsText" text="No Cumple">
      <formula>NOT(ISERROR(SEARCH("No Cumple",AQ886)))</formula>
    </cfRule>
    <cfRule type="containsText" dxfId="164" priority="114" operator="containsText" text="Cumple">
      <formula>NOT(ISERROR(SEARCH("Cumple",AQ886)))</formula>
    </cfRule>
  </conditionalFormatting>
  <conditionalFormatting sqref="AQ887">
    <cfRule type="containsText" dxfId="163" priority="111" operator="containsText" text="No Cumple">
      <formula>NOT(ISERROR(SEARCH("No Cumple",AQ887)))</formula>
    </cfRule>
    <cfRule type="containsText" dxfId="162" priority="112" operator="containsText" text="Cumple">
      <formula>NOT(ISERROR(SEARCH("Cumple",AQ887)))</formula>
    </cfRule>
  </conditionalFormatting>
  <conditionalFormatting sqref="AQ888">
    <cfRule type="containsText" dxfId="161" priority="109" operator="containsText" text="No Cumple">
      <formula>NOT(ISERROR(SEARCH("No Cumple",AQ888)))</formula>
    </cfRule>
    <cfRule type="containsText" dxfId="160" priority="110" operator="containsText" text="Cumple">
      <formula>NOT(ISERROR(SEARCH("Cumple",AQ888)))</formula>
    </cfRule>
  </conditionalFormatting>
  <conditionalFormatting sqref="AQ889">
    <cfRule type="containsText" dxfId="159" priority="107" operator="containsText" text="No Cumple">
      <formula>NOT(ISERROR(SEARCH("No Cumple",AQ889)))</formula>
    </cfRule>
    <cfRule type="containsText" dxfId="158" priority="108" operator="containsText" text="Cumple">
      <formula>NOT(ISERROR(SEARCH("Cumple",AQ889)))</formula>
    </cfRule>
  </conditionalFormatting>
  <conditionalFormatting sqref="AQ890">
    <cfRule type="containsText" dxfId="157" priority="105" operator="containsText" text="No Cumple">
      <formula>NOT(ISERROR(SEARCH("No Cumple",AQ890)))</formula>
    </cfRule>
    <cfRule type="containsText" dxfId="156" priority="106" operator="containsText" text="Cumple">
      <formula>NOT(ISERROR(SEARCH("Cumple",AQ890)))</formula>
    </cfRule>
  </conditionalFormatting>
  <conditionalFormatting sqref="AQ891">
    <cfRule type="containsText" dxfId="155" priority="103" operator="containsText" text="No Cumple">
      <formula>NOT(ISERROR(SEARCH("No Cumple",AQ891)))</formula>
    </cfRule>
    <cfRule type="containsText" dxfId="154" priority="104" operator="containsText" text="Cumple">
      <formula>NOT(ISERROR(SEARCH("Cumple",AQ891)))</formula>
    </cfRule>
  </conditionalFormatting>
  <conditionalFormatting sqref="AQ892">
    <cfRule type="containsText" dxfId="153" priority="101" operator="containsText" text="No Cumple">
      <formula>NOT(ISERROR(SEARCH("No Cumple",AQ892)))</formula>
    </cfRule>
    <cfRule type="containsText" dxfId="152" priority="102" operator="containsText" text="Cumple">
      <formula>NOT(ISERROR(SEARCH("Cumple",AQ892)))</formula>
    </cfRule>
  </conditionalFormatting>
  <conditionalFormatting sqref="AQ893">
    <cfRule type="containsText" dxfId="151" priority="99" operator="containsText" text="No Cumple">
      <formula>NOT(ISERROR(SEARCH("No Cumple",AQ893)))</formula>
    </cfRule>
    <cfRule type="containsText" dxfId="150" priority="100" operator="containsText" text="Cumple">
      <formula>NOT(ISERROR(SEARCH("Cumple",AQ893)))</formula>
    </cfRule>
  </conditionalFormatting>
  <conditionalFormatting sqref="AQ894">
    <cfRule type="containsText" dxfId="149" priority="97" operator="containsText" text="No Cumple">
      <formula>NOT(ISERROR(SEARCH("No Cumple",AQ894)))</formula>
    </cfRule>
    <cfRule type="containsText" dxfId="148" priority="98" operator="containsText" text="Cumple">
      <formula>NOT(ISERROR(SEARCH("Cumple",AQ894)))</formula>
    </cfRule>
  </conditionalFormatting>
  <conditionalFormatting sqref="AQ916">
    <cfRule type="containsText" dxfId="147" priority="95" operator="containsText" text="No Cumple">
      <formula>NOT(ISERROR(SEARCH("No Cumple",AQ916)))</formula>
    </cfRule>
    <cfRule type="containsText" dxfId="146" priority="96" operator="containsText" text="Cumple">
      <formula>NOT(ISERROR(SEARCH("Cumple",AQ916)))</formula>
    </cfRule>
  </conditionalFormatting>
  <conditionalFormatting sqref="AQ917">
    <cfRule type="containsText" dxfId="145" priority="93" operator="containsText" text="No Cumple">
      <formula>NOT(ISERROR(SEARCH("No Cumple",AQ917)))</formula>
    </cfRule>
    <cfRule type="containsText" dxfId="144" priority="94" operator="containsText" text="Cumple">
      <formula>NOT(ISERROR(SEARCH("Cumple",AQ917)))</formula>
    </cfRule>
  </conditionalFormatting>
  <conditionalFormatting sqref="AQ918">
    <cfRule type="containsText" dxfId="143" priority="91" operator="containsText" text="No Cumple">
      <formula>NOT(ISERROR(SEARCH("No Cumple",AQ918)))</formula>
    </cfRule>
    <cfRule type="containsText" dxfId="142" priority="92" operator="containsText" text="Cumple">
      <formula>NOT(ISERROR(SEARCH("Cumple",AQ918)))</formula>
    </cfRule>
  </conditionalFormatting>
  <conditionalFormatting sqref="AQ919">
    <cfRule type="containsText" dxfId="141" priority="89" operator="containsText" text="No Cumple">
      <formula>NOT(ISERROR(SEARCH("No Cumple",AQ919)))</formula>
    </cfRule>
    <cfRule type="containsText" dxfId="140" priority="90" operator="containsText" text="Cumple">
      <formula>NOT(ISERROR(SEARCH("Cumple",AQ919)))</formula>
    </cfRule>
  </conditionalFormatting>
  <conditionalFormatting sqref="AQ920">
    <cfRule type="containsText" dxfId="139" priority="87" operator="containsText" text="No Cumple">
      <formula>NOT(ISERROR(SEARCH("No Cumple",AQ920)))</formula>
    </cfRule>
    <cfRule type="containsText" dxfId="138" priority="88" operator="containsText" text="Cumple">
      <formula>NOT(ISERROR(SEARCH("Cumple",AQ920)))</formula>
    </cfRule>
  </conditionalFormatting>
  <conditionalFormatting sqref="AQ921">
    <cfRule type="containsText" dxfId="137" priority="85" operator="containsText" text="No Cumple">
      <formula>NOT(ISERROR(SEARCH("No Cumple",AQ921)))</formula>
    </cfRule>
    <cfRule type="containsText" dxfId="136" priority="86" operator="containsText" text="Cumple">
      <formula>NOT(ISERROR(SEARCH("Cumple",AQ921)))</formula>
    </cfRule>
  </conditionalFormatting>
  <conditionalFormatting sqref="AQ922">
    <cfRule type="containsText" dxfId="135" priority="83" operator="containsText" text="No Cumple">
      <formula>NOT(ISERROR(SEARCH("No Cumple",AQ922)))</formula>
    </cfRule>
    <cfRule type="containsText" dxfId="134" priority="84" operator="containsText" text="Cumple">
      <formula>NOT(ISERROR(SEARCH("Cumple",AQ922)))</formula>
    </cfRule>
  </conditionalFormatting>
  <conditionalFormatting sqref="AQ923">
    <cfRule type="containsText" dxfId="133" priority="81" operator="containsText" text="No Cumple">
      <formula>NOT(ISERROR(SEARCH("No Cumple",AQ923)))</formula>
    </cfRule>
    <cfRule type="containsText" dxfId="132" priority="82" operator="containsText" text="Cumple">
      <formula>NOT(ISERROR(SEARCH("Cumple",AQ923)))</formula>
    </cfRule>
  </conditionalFormatting>
  <conditionalFormatting sqref="AQ924">
    <cfRule type="containsText" dxfId="131" priority="79" operator="containsText" text="No Cumple">
      <formula>NOT(ISERROR(SEARCH("No Cumple",AQ924)))</formula>
    </cfRule>
    <cfRule type="containsText" dxfId="130" priority="80" operator="containsText" text="Cumple">
      <formula>NOT(ISERROR(SEARCH("Cumple",AQ924)))</formula>
    </cfRule>
  </conditionalFormatting>
  <conditionalFormatting sqref="AQ941">
    <cfRule type="containsText" dxfId="129" priority="77" operator="containsText" text="No Cumple">
      <formula>NOT(ISERROR(SEARCH("No Cumple",AQ941)))</formula>
    </cfRule>
    <cfRule type="containsText" dxfId="128" priority="78" operator="containsText" text="Cumple">
      <formula>NOT(ISERROR(SEARCH("Cumple",AQ941)))</formula>
    </cfRule>
  </conditionalFormatting>
  <conditionalFormatting sqref="AQ942">
    <cfRule type="containsText" dxfId="127" priority="75" operator="containsText" text="No Cumple">
      <formula>NOT(ISERROR(SEARCH("No Cumple",AQ942)))</formula>
    </cfRule>
    <cfRule type="containsText" dxfId="126" priority="76" operator="containsText" text="Cumple">
      <formula>NOT(ISERROR(SEARCH("Cumple",AQ942)))</formula>
    </cfRule>
  </conditionalFormatting>
  <conditionalFormatting sqref="AQ943">
    <cfRule type="containsText" dxfId="125" priority="73" operator="containsText" text="No Cumple">
      <formula>NOT(ISERROR(SEARCH("No Cumple",AQ943)))</formula>
    </cfRule>
    <cfRule type="containsText" dxfId="124" priority="74" operator="containsText" text="Cumple">
      <formula>NOT(ISERROR(SEARCH("Cumple",AQ943)))</formula>
    </cfRule>
  </conditionalFormatting>
  <conditionalFormatting sqref="AQ944">
    <cfRule type="containsText" dxfId="123" priority="71" operator="containsText" text="No Cumple">
      <formula>NOT(ISERROR(SEARCH("No Cumple",AQ944)))</formula>
    </cfRule>
    <cfRule type="containsText" dxfId="122" priority="72" operator="containsText" text="Cumple">
      <formula>NOT(ISERROR(SEARCH("Cumple",AQ944)))</formula>
    </cfRule>
  </conditionalFormatting>
  <conditionalFormatting sqref="AQ945">
    <cfRule type="containsText" dxfId="121" priority="69" operator="containsText" text="No Cumple">
      <formula>NOT(ISERROR(SEARCH("No Cumple",AQ945)))</formula>
    </cfRule>
    <cfRule type="containsText" dxfId="120" priority="70" operator="containsText" text="Cumple">
      <formula>NOT(ISERROR(SEARCH("Cumple",AQ945)))</formula>
    </cfRule>
  </conditionalFormatting>
  <conditionalFormatting sqref="AQ946">
    <cfRule type="containsText" dxfId="119" priority="67" operator="containsText" text="No Cumple">
      <formula>NOT(ISERROR(SEARCH("No Cumple",AQ946)))</formula>
    </cfRule>
    <cfRule type="containsText" dxfId="118" priority="68" operator="containsText" text="Cumple">
      <formula>NOT(ISERROR(SEARCH("Cumple",AQ946)))</formula>
    </cfRule>
  </conditionalFormatting>
  <conditionalFormatting sqref="AQ947">
    <cfRule type="containsText" dxfId="117" priority="65" operator="containsText" text="No Cumple">
      <formula>NOT(ISERROR(SEARCH("No Cumple",AQ947)))</formula>
    </cfRule>
    <cfRule type="containsText" dxfId="116" priority="66" operator="containsText" text="Cumple">
      <formula>NOT(ISERROR(SEARCH("Cumple",AQ947)))</formula>
    </cfRule>
  </conditionalFormatting>
  <conditionalFormatting sqref="AQ948">
    <cfRule type="containsText" dxfId="115" priority="63" operator="containsText" text="No Cumple">
      <formula>NOT(ISERROR(SEARCH("No Cumple",AQ948)))</formula>
    </cfRule>
    <cfRule type="containsText" dxfId="114" priority="64" operator="containsText" text="Cumple">
      <formula>NOT(ISERROR(SEARCH("Cumple",AQ948)))</formula>
    </cfRule>
  </conditionalFormatting>
  <conditionalFormatting sqref="AQ949">
    <cfRule type="containsText" dxfId="113" priority="61" operator="containsText" text="No Cumple">
      <formula>NOT(ISERROR(SEARCH("No Cumple",AQ949)))</formula>
    </cfRule>
    <cfRule type="containsText" dxfId="112" priority="62" operator="containsText" text="Cumple">
      <formula>NOT(ISERROR(SEARCH("Cumple",AQ949)))</formula>
    </cfRule>
  </conditionalFormatting>
  <conditionalFormatting sqref="AQ966">
    <cfRule type="containsText" dxfId="111" priority="59" operator="containsText" text="No Cumple">
      <formula>NOT(ISERROR(SEARCH("No Cumple",AQ966)))</formula>
    </cfRule>
    <cfRule type="containsText" dxfId="110" priority="60" operator="containsText" text="Cumple">
      <formula>NOT(ISERROR(SEARCH("Cumple",AQ966)))</formula>
    </cfRule>
  </conditionalFormatting>
  <conditionalFormatting sqref="AQ967">
    <cfRule type="containsText" dxfId="109" priority="57" operator="containsText" text="No Cumple">
      <formula>NOT(ISERROR(SEARCH("No Cumple",AQ967)))</formula>
    </cfRule>
    <cfRule type="containsText" dxfId="108" priority="58" operator="containsText" text="Cumple">
      <formula>NOT(ISERROR(SEARCH("Cumple",AQ967)))</formula>
    </cfRule>
  </conditionalFormatting>
  <conditionalFormatting sqref="AQ968">
    <cfRule type="containsText" dxfId="107" priority="55" operator="containsText" text="No Cumple">
      <formula>NOT(ISERROR(SEARCH("No Cumple",AQ968)))</formula>
    </cfRule>
    <cfRule type="containsText" dxfId="106" priority="56" operator="containsText" text="Cumple">
      <formula>NOT(ISERROR(SEARCH("Cumple",AQ968)))</formula>
    </cfRule>
  </conditionalFormatting>
  <conditionalFormatting sqref="AQ969">
    <cfRule type="containsText" dxfId="105" priority="53" operator="containsText" text="No Cumple">
      <formula>NOT(ISERROR(SEARCH("No Cumple",AQ969)))</formula>
    </cfRule>
    <cfRule type="containsText" dxfId="104" priority="54" operator="containsText" text="Cumple">
      <formula>NOT(ISERROR(SEARCH("Cumple",AQ969)))</formula>
    </cfRule>
  </conditionalFormatting>
  <conditionalFormatting sqref="AQ970">
    <cfRule type="containsText" dxfId="103" priority="51" operator="containsText" text="No Cumple">
      <formula>NOT(ISERROR(SEARCH("No Cumple",AQ970)))</formula>
    </cfRule>
    <cfRule type="containsText" dxfId="102" priority="52" operator="containsText" text="Cumple">
      <formula>NOT(ISERROR(SEARCH("Cumple",AQ970)))</formula>
    </cfRule>
  </conditionalFormatting>
  <conditionalFormatting sqref="AQ971">
    <cfRule type="containsText" dxfId="101" priority="49" operator="containsText" text="No Cumple">
      <formula>NOT(ISERROR(SEARCH("No Cumple",AQ971)))</formula>
    </cfRule>
    <cfRule type="containsText" dxfId="100" priority="50" operator="containsText" text="Cumple">
      <formula>NOT(ISERROR(SEARCH("Cumple",AQ971)))</formula>
    </cfRule>
  </conditionalFormatting>
  <conditionalFormatting sqref="AQ972">
    <cfRule type="containsText" dxfId="99" priority="47" operator="containsText" text="No Cumple">
      <formula>NOT(ISERROR(SEARCH("No Cumple",AQ972)))</formula>
    </cfRule>
    <cfRule type="containsText" dxfId="98" priority="48" operator="containsText" text="Cumple">
      <formula>NOT(ISERROR(SEARCH("Cumple",AQ972)))</formula>
    </cfRule>
  </conditionalFormatting>
  <conditionalFormatting sqref="AQ973">
    <cfRule type="containsText" dxfId="97" priority="45" operator="containsText" text="No Cumple">
      <formula>NOT(ISERROR(SEARCH("No Cumple",AQ973)))</formula>
    </cfRule>
    <cfRule type="containsText" dxfId="96" priority="46" operator="containsText" text="Cumple">
      <formula>NOT(ISERROR(SEARCH("Cumple",AQ973)))</formula>
    </cfRule>
  </conditionalFormatting>
  <conditionalFormatting sqref="AQ989">
    <cfRule type="containsText" dxfId="95" priority="43" operator="containsText" text="No Cumple">
      <formula>NOT(ISERROR(SEARCH("No Cumple",AQ989)))</formula>
    </cfRule>
    <cfRule type="containsText" dxfId="94" priority="44" operator="containsText" text="Cumple">
      <formula>NOT(ISERROR(SEARCH("Cumple",AQ989)))</formula>
    </cfRule>
  </conditionalFormatting>
  <conditionalFormatting sqref="AQ990">
    <cfRule type="containsText" dxfId="93" priority="41" operator="containsText" text="No Cumple">
      <formula>NOT(ISERROR(SEARCH("No Cumple",AQ990)))</formula>
    </cfRule>
    <cfRule type="containsText" dxfId="92" priority="42" operator="containsText" text="Cumple">
      <formula>NOT(ISERROR(SEARCH("Cumple",AQ990)))</formula>
    </cfRule>
  </conditionalFormatting>
  <conditionalFormatting sqref="AQ991">
    <cfRule type="containsText" dxfId="91" priority="39" operator="containsText" text="No Cumple">
      <formula>NOT(ISERROR(SEARCH("No Cumple",AQ991)))</formula>
    </cfRule>
    <cfRule type="containsText" dxfId="90" priority="40" operator="containsText" text="Cumple">
      <formula>NOT(ISERROR(SEARCH("Cumple",AQ991)))</formula>
    </cfRule>
  </conditionalFormatting>
  <conditionalFormatting sqref="AQ992">
    <cfRule type="containsText" dxfId="89" priority="37" operator="containsText" text="No Cumple">
      <formula>NOT(ISERROR(SEARCH("No Cumple",AQ992)))</formula>
    </cfRule>
    <cfRule type="containsText" dxfId="88" priority="38" operator="containsText" text="Cumple">
      <formula>NOT(ISERROR(SEARCH("Cumple",AQ992)))</formula>
    </cfRule>
  </conditionalFormatting>
  <conditionalFormatting sqref="AQ993">
    <cfRule type="containsText" dxfId="87" priority="35" operator="containsText" text="No Cumple">
      <formula>NOT(ISERROR(SEARCH("No Cumple",AQ993)))</formula>
    </cfRule>
    <cfRule type="containsText" dxfId="86" priority="36" operator="containsText" text="Cumple">
      <formula>NOT(ISERROR(SEARCH("Cumple",AQ993)))</formula>
    </cfRule>
  </conditionalFormatting>
  <conditionalFormatting sqref="AQ994">
    <cfRule type="containsText" dxfId="85" priority="33" operator="containsText" text="No Cumple">
      <formula>NOT(ISERROR(SEARCH("No Cumple",AQ994)))</formula>
    </cfRule>
    <cfRule type="containsText" dxfId="84" priority="34" operator="containsText" text="Cumple">
      <formula>NOT(ISERROR(SEARCH("Cumple",AQ994)))</formula>
    </cfRule>
  </conditionalFormatting>
  <conditionalFormatting sqref="AQ995">
    <cfRule type="containsText" dxfId="83" priority="31" operator="containsText" text="No Cumple">
      <formula>NOT(ISERROR(SEARCH("No Cumple",AQ995)))</formula>
    </cfRule>
    <cfRule type="containsText" dxfId="82" priority="32" operator="containsText" text="Cumple">
      <formula>NOT(ISERROR(SEARCH("Cumple",AQ995)))</formula>
    </cfRule>
  </conditionalFormatting>
  <conditionalFormatting sqref="AQ996">
    <cfRule type="containsText" dxfId="81" priority="29" operator="containsText" text="No Cumple">
      <formula>NOT(ISERROR(SEARCH("No Cumple",AQ996)))</formula>
    </cfRule>
    <cfRule type="containsText" dxfId="80" priority="30" operator="containsText" text="Cumple">
      <formula>NOT(ISERROR(SEARCH("Cumple",AQ996)))</formula>
    </cfRule>
  </conditionalFormatting>
  <conditionalFormatting sqref="AQ4">
    <cfRule type="containsText" dxfId="79" priority="27" operator="containsText" text="No Cumple">
      <formula>NOT(ISERROR(SEARCH("No Cumple",AQ4)))</formula>
    </cfRule>
    <cfRule type="containsText" dxfId="78" priority="28" operator="containsText" text="Cumple">
      <formula>NOT(ISERROR(SEARCH("Cumple",AQ4)))</formula>
    </cfRule>
  </conditionalFormatting>
  <conditionalFormatting sqref="AQ5">
    <cfRule type="containsText" dxfId="77" priority="25" operator="containsText" text="No Cumple">
      <formula>NOT(ISERROR(SEARCH("No Cumple",AQ5)))</formula>
    </cfRule>
    <cfRule type="containsText" dxfId="76" priority="26" operator="containsText" text="Cumple">
      <formula>NOT(ISERROR(SEARCH("Cumple",AQ5)))</formula>
    </cfRule>
  </conditionalFormatting>
  <conditionalFormatting sqref="AQ6">
    <cfRule type="containsText" dxfId="75" priority="23" operator="containsText" text="No Cumple">
      <formula>NOT(ISERROR(SEARCH("No Cumple",AQ6)))</formula>
    </cfRule>
    <cfRule type="containsText" dxfId="74" priority="24" operator="containsText" text="Cumple">
      <formula>NOT(ISERROR(SEARCH("Cumple",AQ6)))</formula>
    </cfRule>
  </conditionalFormatting>
  <conditionalFormatting sqref="AQ7">
    <cfRule type="containsText" dxfId="73" priority="21" operator="containsText" text="No Cumple">
      <formula>NOT(ISERROR(SEARCH("No Cumple",AQ7)))</formula>
    </cfRule>
    <cfRule type="containsText" dxfId="72" priority="22" operator="containsText" text="Cumple">
      <formula>NOT(ISERROR(SEARCH("Cumple",AQ7)))</formula>
    </cfRule>
  </conditionalFormatting>
  <conditionalFormatting sqref="AQ8">
    <cfRule type="containsText" dxfId="71" priority="19" operator="containsText" text="No Cumple">
      <formula>NOT(ISERROR(SEARCH("No Cumple",AQ8)))</formula>
    </cfRule>
    <cfRule type="containsText" dxfId="70" priority="20" operator="containsText" text="Cumple">
      <formula>NOT(ISERROR(SEARCH("Cumple",AQ8)))</formula>
    </cfRule>
  </conditionalFormatting>
  <conditionalFormatting sqref="AQ21 AQ24 AQ27 AQ30">
    <cfRule type="containsText" dxfId="69" priority="17" operator="containsText" text="No Cumple">
      <formula>NOT(ISERROR(SEARCH("No Cumple",AQ21)))</formula>
    </cfRule>
    <cfRule type="containsText" dxfId="68" priority="18" operator="containsText" text="Cumple">
      <formula>NOT(ISERROR(SEARCH("Cumple",AQ21)))</formula>
    </cfRule>
  </conditionalFormatting>
  <conditionalFormatting sqref="AQ22 AQ25 AQ28">
    <cfRule type="containsText" dxfId="67" priority="15" operator="containsText" text="No Cumple">
      <formula>NOT(ISERROR(SEARCH("No Cumple",AQ22)))</formula>
    </cfRule>
    <cfRule type="containsText" dxfId="66" priority="16" operator="containsText" text="Cumple">
      <formula>NOT(ISERROR(SEARCH("Cumple",AQ22)))</formula>
    </cfRule>
  </conditionalFormatting>
  <conditionalFormatting sqref="AQ23 AQ26 AQ29">
    <cfRule type="containsText" dxfId="65" priority="13" operator="containsText" text="No Cumple">
      <formula>NOT(ISERROR(SEARCH("No Cumple",AQ23)))</formula>
    </cfRule>
    <cfRule type="containsText" dxfId="64" priority="14" operator="containsText" text="Cumple">
      <formula>NOT(ISERROR(SEARCH("Cumple",AQ23)))</formula>
    </cfRule>
  </conditionalFormatting>
  <conditionalFormatting sqref="V4:V37">
    <cfRule type="containsText" dxfId="63" priority="11" operator="containsText" text="No Cumple">
      <formula>NOT(ISERROR(SEARCH("No Cumple",V4)))</formula>
    </cfRule>
    <cfRule type="containsText" dxfId="62" priority="12" operator="containsText" text="Cumple">
      <formula>NOT(ISERROR(SEARCH("Cumple",V4)))</formula>
    </cfRule>
  </conditionalFormatting>
  <conditionalFormatting sqref="AD29:AE29">
    <cfRule type="containsText" dxfId="61" priority="1" operator="containsText" text="No Cumple">
      <formula>NOT(ISERROR(SEARCH("No Cumple",AD29)))</formula>
    </cfRule>
    <cfRule type="containsText" dxfId="60" priority="2" operator="containsText" text="Cumple">
      <formula>NOT(ISERROR(SEARCH("Cumple",AD29)))</formula>
    </cfRule>
  </conditionalFormatting>
  <conditionalFormatting sqref="AD10:AE11">
    <cfRule type="containsText" dxfId="59" priority="9" operator="containsText" text="No Cumple">
      <formula>NOT(ISERROR(SEARCH("No Cumple",AD10)))</formula>
    </cfRule>
    <cfRule type="containsText" dxfId="58" priority="10" operator="containsText" text="Cumple">
      <formula>NOT(ISERROR(SEARCH("Cumple",AD10)))</formula>
    </cfRule>
  </conditionalFormatting>
  <conditionalFormatting sqref="AD21:AE26 AD29:AE37">
    <cfRule type="containsText" dxfId="57" priority="5" operator="containsText" text="No Cumple">
      <formula>NOT(ISERROR(SEARCH("No Cumple",AD21)))</formula>
    </cfRule>
    <cfRule type="containsText" dxfId="56" priority="6" operator="containsText" text="Cumple">
      <formula>NOT(ISERROR(SEARCH("Cumple",AD21)))</formula>
    </cfRule>
  </conditionalFormatting>
  <conditionalFormatting sqref="AD27:AE28">
    <cfRule type="containsText" dxfId="55" priority="3" operator="containsText" text="No Cumple">
      <formula>NOT(ISERROR(SEARCH("No Cumple",AD27)))</formula>
    </cfRule>
    <cfRule type="containsText" dxfId="54" priority="4" operator="containsText" text="Cumple">
      <formula>NOT(ISERROR(SEARCH("Cumple",AD27)))</formula>
    </cfRule>
  </conditionalFormatting>
  <conditionalFormatting sqref="AD12:AE12">
    <cfRule type="containsText" dxfId="53" priority="7" operator="containsText" text="No Cumple">
      <formula>NOT(ISERROR(SEARCH("No Cumple",AD12)))</formula>
    </cfRule>
    <cfRule type="containsText" dxfId="52" priority="8" operator="containsText" text="Cumple">
      <formula>NOT(ISERROR(SEARCH("Cumple",AD12)))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Datos1">
                <anchor moveWithCells="1" sizeWithCells="1">
                  <from>
                    <xdr:col>8</xdr:col>
                    <xdr:colOff>7620</xdr:colOff>
                    <xdr:row>0</xdr:row>
                    <xdr:rowOff>0</xdr:rowOff>
                  </from>
                  <to>
                    <xdr:col>13</xdr:col>
                    <xdr:colOff>0</xdr:colOff>
                    <xdr:row>1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BFE0-BCFA-4887-A83E-98EBCEE73422}">
  <dimension ref="B1:J186"/>
  <sheetViews>
    <sheetView workbookViewId="0">
      <selection activeCell="I10" sqref="I10"/>
    </sheetView>
  </sheetViews>
  <sheetFormatPr baseColWidth="10" defaultColWidth="11.44140625" defaultRowHeight="13.2" x14ac:dyDescent="0.3"/>
  <cols>
    <col min="1" max="1" width="11.44140625" style="346"/>
    <col min="2" max="2" width="5.6640625" style="346" customWidth="1"/>
    <col min="3" max="3" width="20" style="346" customWidth="1"/>
    <col min="4" max="4" width="8.109375" style="346" bestFit="1" customWidth="1"/>
    <col min="5" max="5" width="10.109375" style="346" customWidth="1"/>
    <col min="6" max="6" width="36" style="346" bestFit="1" customWidth="1"/>
    <col min="7" max="7" width="10.33203125" style="347" customWidth="1"/>
    <col min="8" max="8" width="8.5546875" style="346" customWidth="1"/>
    <col min="9" max="16384" width="11.44140625" style="346"/>
  </cols>
  <sheetData>
    <row r="1" spans="2:10" ht="13.8" thickBot="1" x14ac:dyDescent="0.35"/>
    <row r="2" spans="2:10" ht="15" customHeight="1" x14ac:dyDescent="0.3">
      <c r="B2" s="348" t="s">
        <v>317</v>
      </c>
      <c r="C2" s="349"/>
      <c r="D2" s="349"/>
      <c r="E2" s="349"/>
      <c r="F2" s="349"/>
      <c r="G2" s="350"/>
    </row>
    <row r="3" spans="2:10" ht="15" customHeight="1" x14ac:dyDescent="0.3">
      <c r="B3" s="351" t="s">
        <v>278</v>
      </c>
      <c r="C3" s="352"/>
      <c r="D3" s="352"/>
      <c r="E3" s="352"/>
      <c r="F3" s="352"/>
      <c r="G3" s="353"/>
    </row>
    <row r="4" spans="2:10" ht="15.6" x14ac:dyDescent="0.3">
      <c r="B4" s="354"/>
      <c r="C4" s="355" t="s">
        <v>279</v>
      </c>
      <c r="D4" s="355">
        <v>280</v>
      </c>
      <c r="E4" s="355" t="s">
        <v>280</v>
      </c>
      <c r="F4" s="355" t="s">
        <v>281</v>
      </c>
      <c r="G4" s="356"/>
    </row>
    <row r="5" spans="2:10" ht="15.6" x14ac:dyDescent="0.3">
      <c r="B5" s="354"/>
      <c r="C5" s="355" t="s">
        <v>282</v>
      </c>
      <c r="D5" s="355">
        <v>4220</v>
      </c>
      <c r="E5" s="355" t="s">
        <v>280</v>
      </c>
      <c r="F5" s="355" t="s">
        <v>283</v>
      </c>
      <c r="G5" s="356"/>
    </row>
    <row r="6" spans="2:10" x14ac:dyDescent="0.3">
      <c r="B6" s="354"/>
      <c r="C6" s="355"/>
      <c r="D6" s="355"/>
      <c r="E6" s="355"/>
      <c r="F6" s="355"/>
      <c r="G6" s="356"/>
    </row>
    <row r="7" spans="2:10" s="359" customFormat="1" x14ac:dyDescent="0.3">
      <c r="B7" s="357"/>
      <c r="C7" s="358" t="s">
        <v>284</v>
      </c>
      <c r="D7" s="359">
        <v>1</v>
      </c>
      <c r="E7" s="359" t="s">
        <v>164</v>
      </c>
      <c r="F7" s="358" t="s">
        <v>114</v>
      </c>
      <c r="G7" s="360"/>
    </row>
    <row r="8" spans="2:10" s="359" customFormat="1" x14ac:dyDescent="0.3">
      <c r="B8" s="357"/>
      <c r="C8" s="358" t="s">
        <v>285</v>
      </c>
      <c r="D8" s="359">
        <v>0.5</v>
      </c>
      <c r="E8" s="359" t="s">
        <v>164</v>
      </c>
      <c r="F8" s="358" t="s">
        <v>286</v>
      </c>
      <c r="G8" s="360"/>
    </row>
    <row r="9" spans="2:10" s="359" customFormat="1" x14ac:dyDescent="0.3">
      <c r="B9" s="361"/>
      <c r="C9" s="358" t="s">
        <v>287</v>
      </c>
      <c r="D9" s="358">
        <v>0.05</v>
      </c>
      <c r="E9" s="358" t="s">
        <v>164</v>
      </c>
      <c r="F9" s="358" t="s">
        <v>134</v>
      </c>
      <c r="G9" s="360"/>
    </row>
    <row r="10" spans="2:10" ht="15.6" x14ac:dyDescent="0.3">
      <c r="B10" s="354"/>
      <c r="C10" s="392" t="s">
        <v>318</v>
      </c>
      <c r="D10" s="393">
        <v>5.86</v>
      </c>
      <c r="E10" s="393" t="s">
        <v>289</v>
      </c>
      <c r="F10" s="392" t="s">
        <v>163</v>
      </c>
      <c r="G10" s="356"/>
    </row>
    <row r="11" spans="2:10" x14ac:dyDescent="0.3">
      <c r="B11" s="354"/>
      <c r="C11" s="364" t="s">
        <v>164</v>
      </c>
      <c r="D11" s="365">
        <f>+D5/(0.85*D4)</f>
        <v>17.731092436974791</v>
      </c>
      <c r="E11" s="365"/>
      <c r="F11" s="364"/>
      <c r="G11" s="356"/>
    </row>
    <row r="12" spans="2:10" x14ac:dyDescent="0.3">
      <c r="B12" s="354"/>
      <c r="C12" s="364" t="s">
        <v>165</v>
      </c>
      <c r="D12" s="365">
        <f>+D10*100000/(D7*100*(D8*100-D9*100)^2)</f>
        <v>2.893827160493827</v>
      </c>
      <c r="E12" s="365"/>
      <c r="F12" s="355"/>
      <c r="G12" s="356"/>
    </row>
    <row r="13" spans="2:10" ht="15.6" x14ac:dyDescent="0.3">
      <c r="B13" s="354"/>
      <c r="C13" s="364" t="s">
        <v>290</v>
      </c>
      <c r="D13" s="366">
        <v>1.8E-3</v>
      </c>
      <c r="E13" s="366"/>
      <c r="F13" s="364" t="s">
        <v>291</v>
      </c>
      <c r="G13" s="356"/>
    </row>
    <row r="14" spans="2:10" ht="15.6" x14ac:dyDescent="0.3">
      <c r="B14" s="354"/>
      <c r="C14" s="364" t="s">
        <v>292</v>
      </c>
      <c r="D14" s="366">
        <f>+IF(D13&gt;(1/D11)*(1-((1-2*D11*D12/(0.9*D5))^(1/2))),D13,(1/D11)*(1-((1-2*D11*D12/(0.9*D5))^(1/2))))</f>
        <v>1.8E-3</v>
      </c>
      <c r="E14" s="366"/>
      <c r="F14" s="364" t="s">
        <v>293</v>
      </c>
      <c r="G14" s="356"/>
    </row>
    <row r="15" spans="2:10" ht="15.6" x14ac:dyDescent="0.3">
      <c r="B15" s="354"/>
      <c r="C15" s="364" t="s">
        <v>294</v>
      </c>
      <c r="D15" s="365">
        <f>+MAX(I15,J15)</f>
        <v>9</v>
      </c>
      <c r="E15" s="365" t="s">
        <v>295</v>
      </c>
      <c r="F15" s="364" t="s">
        <v>296</v>
      </c>
      <c r="G15" s="356"/>
      <c r="I15" s="367">
        <f>+D14*(D8*100-D9*100)*100*D7</f>
        <v>8.1</v>
      </c>
      <c r="J15" s="367">
        <f>+D13*(D8*100)*100*D7</f>
        <v>9</v>
      </c>
    </row>
    <row r="16" spans="2:10" x14ac:dyDescent="0.3">
      <c r="B16" s="354"/>
      <c r="C16" s="364"/>
      <c r="D16" s="365"/>
      <c r="E16" s="365"/>
      <c r="F16" s="364"/>
      <c r="G16" s="356"/>
    </row>
    <row r="17" spans="2:7" x14ac:dyDescent="0.3">
      <c r="B17" s="354"/>
      <c r="C17" s="368" t="s">
        <v>297</v>
      </c>
      <c r="D17" s="369">
        <v>1.99</v>
      </c>
      <c r="E17" s="370" t="s">
        <v>298</v>
      </c>
      <c r="F17" s="368" t="s">
        <v>319</v>
      </c>
      <c r="G17" s="356"/>
    </row>
    <row r="18" spans="2:7" x14ac:dyDescent="0.3">
      <c r="B18" s="354"/>
      <c r="C18" s="371" t="s">
        <v>300</v>
      </c>
      <c r="D18" s="372">
        <f>ROUNDUP(D15/D17,0)</f>
        <v>5</v>
      </c>
      <c r="E18" s="373" t="s">
        <v>301</v>
      </c>
      <c r="F18" s="371" t="s">
        <v>302</v>
      </c>
      <c r="G18" s="356"/>
    </row>
    <row r="19" spans="2:7" x14ac:dyDescent="0.3">
      <c r="B19" s="354"/>
      <c r="C19" s="374" t="s">
        <v>303</v>
      </c>
      <c r="D19" s="375">
        <f>+D7/(D15/D17)*100</f>
        <v>22.111111111111111</v>
      </c>
      <c r="E19" s="376" t="s">
        <v>304</v>
      </c>
      <c r="F19" s="371" t="s">
        <v>305</v>
      </c>
      <c r="G19" s="356"/>
    </row>
    <row r="20" spans="2:7" x14ac:dyDescent="0.3">
      <c r="B20" s="354"/>
      <c r="C20" s="377" t="s">
        <v>306</v>
      </c>
      <c r="D20" s="369">
        <v>20</v>
      </c>
      <c r="E20" s="370" t="s">
        <v>304</v>
      </c>
      <c r="F20" s="368" t="s">
        <v>307</v>
      </c>
      <c r="G20" s="356"/>
    </row>
    <row r="21" spans="2:7" x14ac:dyDescent="0.3">
      <c r="B21" s="354"/>
      <c r="C21" s="378"/>
      <c r="D21" s="378"/>
      <c r="E21" s="378"/>
      <c r="F21" s="378"/>
      <c r="G21" s="356"/>
    </row>
    <row r="22" spans="2:7" x14ac:dyDescent="0.3">
      <c r="B22" s="354"/>
      <c r="C22" s="378"/>
      <c r="D22" s="378"/>
      <c r="E22" s="378"/>
      <c r="F22" s="378"/>
      <c r="G22" s="356"/>
    </row>
    <row r="23" spans="2:7" x14ac:dyDescent="0.3">
      <c r="B23" s="354"/>
      <c r="G23" s="356"/>
    </row>
    <row r="24" spans="2:7" x14ac:dyDescent="0.3">
      <c r="B24" s="379" t="s">
        <v>224</v>
      </c>
      <c r="C24" s="380" t="s">
        <v>310</v>
      </c>
      <c r="D24" s="380"/>
      <c r="E24" s="380"/>
      <c r="F24" s="380"/>
      <c r="G24" s="381"/>
    </row>
    <row r="25" spans="2:7" x14ac:dyDescent="0.3">
      <c r="B25" s="354"/>
      <c r="C25" s="382" t="s">
        <v>311</v>
      </c>
      <c r="D25" s="382">
        <f>D8-D9</f>
        <v>0.45</v>
      </c>
      <c r="E25" s="382" t="s">
        <v>164</v>
      </c>
      <c r="F25" s="382" t="s">
        <v>157</v>
      </c>
      <c r="G25" s="356"/>
    </row>
    <row r="26" spans="2:7" ht="13.8" x14ac:dyDescent="0.3">
      <c r="B26" s="354"/>
      <c r="C26" s="382" t="s">
        <v>312</v>
      </c>
      <c r="D26" s="382">
        <f>+D7*D25*10*0.53*0.9*SQRT(D4)</f>
        <v>35.917814939107863</v>
      </c>
      <c r="E26" s="382" t="s">
        <v>313</v>
      </c>
      <c r="F26" s="382" t="s">
        <v>314</v>
      </c>
      <c r="G26" s="356"/>
    </row>
    <row r="27" spans="2:7" ht="13.8" thickBot="1" x14ac:dyDescent="0.35">
      <c r="B27" s="383"/>
      <c r="C27" s="384" t="s">
        <v>315</v>
      </c>
      <c r="D27" s="384">
        <v>10.48</v>
      </c>
      <c r="E27" s="384" t="s">
        <v>313</v>
      </c>
      <c r="F27" s="384" t="s">
        <v>316</v>
      </c>
      <c r="G27" s="385" t="str">
        <f>+IF(D27&lt;=D26,"Cumple","No cumple")</f>
        <v>Cumple</v>
      </c>
    </row>
    <row r="44" spans="2:6" x14ac:dyDescent="0.3">
      <c r="F44" s="386"/>
    </row>
    <row r="46" spans="2:6" x14ac:dyDescent="0.3">
      <c r="F46" s="387"/>
    </row>
    <row r="48" spans="2:6" x14ac:dyDescent="0.3">
      <c r="B48" s="358"/>
      <c r="C48" s="359"/>
    </row>
    <row r="90" spans="3:3" x14ac:dyDescent="0.3">
      <c r="C90" s="346" t="e">
        <f>+IF(#REF!/100&lt;#REF!,"Diseño como viga rectangular","Diseño como viga L")</f>
        <v>#REF!</v>
      </c>
    </row>
    <row r="140" spans="3:3" x14ac:dyDescent="0.3">
      <c r="C140" s="346" t="e">
        <f>+IF(#REF!&gt;#REF!,"Cumple","No Cumple")</f>
        <v>#REF!</v>
      </c>
    </row>
    <row r="155" spans="6:7" x14ac:dyDescent="0.3">
      <c r="F155" s="388"/>
      <c r="G155" s="389"/>
    </row>
    <row r="162" spans="2:8" x14ac:dyDescent="0.3">
      <c r="C162" s="346" t="e">
        <f>+IF(#REF!&gt;#REF!,"Cumple","No Cumple")</f>
        <v>#REF!</v>
      </c>
    </row>
    <row r="168" spans="2:8" x14ac:dyDescent="0.3">
      <c r="B168" s="355"/>
      <c r="C168" s="355"/>
      <c r="D168" s="355"/>
      <c r="E168" s="355"/>
      <c r="F168" s="355"/>
      <c r="G168" s="390"/>
      <c r="H168" s="355"/>
    </row>
    <row r="169" spans="2:8" x14ac:dyDescent="0.3">
      <c r="B169" s="355"/>
      <c r="C169" s="355"/>
      <c r="D169" s="355"/>
      <c r="E169" s="355"/>
      <c r="F169" s="355"/>
      <c r="G169" s="390"/>
      <c r="H169" s="355"/>
    </row>
    <row r="170" spans="2:8" x14ac:dyDescent="0.3">
      <c r="B170" s="355"/>
      <c r="C170" s="355"/>
      <c r="D170" s="355"/>
      <c r="E170" s="355"/>
      <c r="F170" s="355"/>
      <c r="G170" s="390"/>
      <c r="H170" s="355"/>
    </row>
    <row r="171" spans="2:8" x14ac:dyDescent="0.3">
      <c r="B171" s="355"/>
      <c r="C171" s="355"/>
      <c r="D171" s="355"/>
      <c r="E171" s="355"/>
      <c r="F171" s="355"/>
      <c r="G171" s="390"/>
      <c r="H171" s="355"/>
    </row>
    <row r="172" spans="2:8" x14ac:dyDescent="0.3">
      <c r="B172" s="355"/>
      <c r="C172" s="355"/>
      <c r="D172" s="355"/>
      <c r="E172" s="355"/>
      <c r="F172" s="355"/>
      <c r="G172" s="390"/>
      <c r="H172" s="355"/>
    </row>
    <row r="173" spans="2:8" x14ac:dyDescent="0.3">
      <c r="B173" s="355"/>
      <c r="C173" s="355"/>
      <c r="D173" s="355"/>
      <c r="E173" s="355"/>
      <c r="F173" s="355"/>
      <c r="G173" s="390"/>
      <c r="H173" s="355"/>
    </row>
    <row r="174" spans="2:8" x14ac:dyDescent="0.3">
      <c r="B174" s="355"/>
      <c r="C174" s="355"/>
      <c r="D174" s="355"/>
      <c r="E174" s="355"/>
      <c r="F174" s="355"/>
      <c r="G174" s="390"/>
      <c r="H174" s="355"/>
    </row>
    <row r="184" spans="6:6" x14ac:dyDescent="0.3">
      <c r="F184" s="391"/>
    </row>
    <row r="185" spans="6:6" x14ac:dyDescent="0.3">
      <c r="F185" s="391"/>
    </row>
    <row r="186" spans="6:6" x14ac:dyDescent="0.3">
      <c r="F186" s="391"/>
    </row>
  </sheetData>
  <mergeCells count="5">
    <mergeCell ref="B2:G2"/>
    <mergeCell ref="B3:G3"/>
    <mergeCell ref="C21:F21"/>
    <mergeCell ref="C22:F22"/>
    <mergeCell ref="B24:G24"/>
  </mergeCells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80709-55CE-4647-91D8-310BA7489A19}">
  <dimension ref="B1:J186"/>
  <sheetViews>
    <sheetView topLeftCell="C4" workbookViewId="0">
      <selection activeCell="J27" sqref="J27"/>
    </sheetView>
  </sheetViews>
  <sheetFormatPr baseColWidth="10" defaultColWidth="11.44140625" defaultRowHeight="13.2" x14ac:dyDescent="0.3"/>
  <cols>
    <col min="1" max="1" width="11.44140625" style="346"/>
    <col min="2" max="2" width="5.6640625" style="346" customWidth="1"/>
    <col min="3" max="3" width="20" style="346" customWidth="1"/>
    <col min="4" max="4" width="8.109375" style="346" bestFit="1" customWidth="1"/>
    <col min="5" max="5" width="10.109375" style="346" customWidth="1"/>
    <col min="6" max="6" width="36" style="346" bestFit="1" customWidth="1"/>
    <col min="7" max="7" width="10.33203125" style="347" customWidth="1"/>
    <col min="8" max="8" width="8.5546875" style="346" customWidth="1"/>
    <col min="9" max="16384" width="11.44140625" style="346"/>
  </cols>
  <sheetData>
    <row r="1" spans="2:10" ht="13.8" thickBot="1" x14ac:dyDescent="0.35"/>
    <row r="2" spans="2:10" ht="15" customHeight="1" x14ac:dyDescent="0.3">
      <c r="B2" s="348" t="s">
        <v>277</v>
      </c>
      <c r="C2" s="349"/>
      <c r="D2" s="349"/>
      <c r="E2" s="349"/>
      <c r="F2" s="349"/>
      <c r="G2" s="350"/>
    </row>
    <row r="3" spans="2:10" ht="15" customHeight="1" x14ac:dyDescent="0.3">
      <c r="B3" s="351" t="s">
        <v>278</v>
      </c>
      <c r="C3" s="352"/>
      <c r="D3" s="352"/>
      <c r="E3" s="352"/>
      <c r="F3" s="352"/>
      <c r="G3" s="353"/>
    </row>
    <row r="4" spans="2:10" ht="15.6" x14ac:dyDescent="0.3">
      <c r="B4" s="354"/>
      <c r="C4" s="355" t="s">
        <v>279</v>
      </c>
      <c r="D4" s="355">
        <v>280</v>
      </c>
      <c r="E4" s="355" t="s">
        <v>280</v>
      </c>
      <c r="F4" s="355" t="s">
        <v>281</v>
      </c>
      <c r="G4" s="356"/>
    </row>
    <row r="5" spans="2:10" ht="15.6" x14ac:dyDescent="0.3">
      <c r="B5" s="354"/>
      <c r="C5" s="355" t="s">
        <v>282</v>
      </c>
      <c r="D5" s="355">
        <v>4220</v>
      </c>
      <c r="E5" s="355" t="s">
        <v>280</v>
      </c>
      <c r="F5" s="355" t="s">
        <v>283</v>
      </c>
      <c r="G5" s="356"/>
    </row>
    <row r="6" spans="2:10" x14ac:dyDescent="0.3">
      <c r="B6" s="354"/>
      <c r="C6" s="355"/>
      <c r="D6" s="355"/>
      <c r="E6" s="355"/>
      <c r="F6" s="355"/>
      <c r="G6" s="356"/>
    </row>
    <row r="7" spans="2:10" s="359" customFormat="1" x14ac:dyDescent="0.3">
      <c r="B7" s="357"/>
      <c r="C7" s="358" t="s">
        <v>284</v>
      </c>
      <c r="D7" s="359">
        <v>1</v>
      </c>
      <c r="E7" s="359" t="s">
        <v>164</v>
      </c>
      <c r="F7" s="358" t="s">
        <v>114</v>
      </c>
      <c r="G7" s="360"/>
    </row>
    <row r="8" spans="2:10" s="359" customFormat="1" x14ac:dyDescent="0.3">
      <c r="B8" s="357"/>
      <c r="C8" s="358" t="s">
        <v>285</v>
      </c>
      <c r="D8" s="359">
        <v>0.4</v>
      </c>
      <c r="E8" s="359" t="s">
        <v>164</v>
      </c>
      <c r="F8" s="358" t="s">
        <v>286</v>
      </c>
      <c r="G8" s="360"/>
    </row>
    <row r="9" spans="2:10" s="359" customFormat="1" x14ac:dyDescent="0.3">
      <c r="B9" s="361"/>
      <c r="C9" s="358" t="s">
        <v>287</v>
      </c>
      <c r="D9" s="358">
        <v>0.05</v>
      </c>
      <c r="E9" s="358" t="s">
        <v>164</v>
      </c>
      <c r="F9" s="358" t="s">
        <v>134</v>
      </c>
      <c r="G9" s="360"/>
    </row>
    <row r="10" spans="2:10" ht="15.6" x14ac:dyDescent="0.3">
      <c r="B10" s="354"/>
      <c r="C10" s="362" t="s">
        <v>288</v>
      </c>
      <c r="D10" s="363">
        <v>3</v>
      </c>
      <c r="E10" s="363" t="s">
        <v>289</v>
      </c>
      <c r="F10" s="362" t="s">
        <v>163</v>
      </c>
      <c r="G10" s="356"/>
    </row>
    <row r="11" spans="2:10" x14ac:dyDescent="0.3">
      <c r="B11" s="354"/>
      <c r="C11" s="364" t="s">
        <v>164</v>
      </c>
      <c r="D11" s="365">
        <f>+D5/(0.85*D4)</f>
        <v>17.731092436974791</v>
      </c>
      <c r="E11" s="365"/>
      <c r="F11" s="364"/>
      <c r="G11" s="356"/>
    </row>
    <row r="12" spans="2:10" x14ac:dyDescent="0.3">
      <c r="B12" s="354"/>
      <c r="C12" s="364" t="s">
        <v>165</v>
      </c>
      <c r="D12" s="365">
        <f>+D10*100000/(D7*100*(D8*100-D9*100)^2)</f>
        <v>2.4489795918367347</v>
      </c>
      <c r="E12" s="365"/>
      <c r="F12" s="355"/>
      <c r="G12" s="356"/>
    </row>
    <row r="13" spans="2:10" ht="15.6" x14ac:dyDescent="0.3">
      <c r="B13" s="354"/>
      <c r="C13" s="364" t="s">
        <v>290</v>
      </c>
      <c r="D13" s="366">
        <v>1.8E-3</v>
      </c>
      <c r="E13" s="366"/>
      <c r="F13" s="364" t="s">
        <v>291</v>
      </c>
      <c r="G13" s="356"/>
    </row>
    <row r="14" spans="2:10" ht="15.6" x14ac:dyDescent="0.3">
      <c r="B14" s="354"/>
      <c r="C14" s="364" t="s">
        <v>292</v>
      </c>
      <c r="D14" s="366">
        <f>+IF(D13&gt;(1/D11)*(1-((1-2*D11*D12/(0.9*D5))^(1/2))),D13,(1/D11)*(1-((1-2*D11*D12/(0.9*D5))^(1/2))))</f>
        <v>1.8E-3</v>
      </c>
      <c r="E14" s="366"/>
      <c r="F14" s="364" t="s">
        <v>293</v>
      </c>
      <c r="G14" s="356"/>
    </row>
    <row r="15" spans="2:10" ht="15.6" x14ac:dyDescent="0.3">
      <c r="B15" s="354"/>
      <c r="C15" s="364" t="s">
        <v>294</v>
      </c>
      <c r="D15" s="365">
        <f>+MAX(I15,J15)</f>
        <v>7.1999999999999993</v>
      </c>
      <c r="E15" s="365" t="s">
        <v>295</v>
      </c>
      <c r="F15" s="364" t="s">
        <v>296</v>
      </c>
      <c r="G15" s="356"/>
      <c r="I15" s="367">
        <f>+D14*(D8*100-D9*100)*100*D7</f>
        <v>6.3</v>
      </c>
      <c r="J15" s="367">
        <f>+D13*(D8*100)*100*D7</f>
        <v>7.1999999999999993</v>
      </c>
    </row>
    <row r="16" spans="2:10" x14ac:dyDescent="0.3">
      <c r="B16" s="354"/>
      <c r="C16" s="364"/>
      <c r="D16" s="365"/>
      <c r="E16" s="365"/>
      <c r="F16" s="364"/>
      <c r="G16" s="356"/>
    </row>
    <row r="17" spans="2:7" x14ac:dyDescent="0.3">
      <c r="B17" s="354"/>
      <c r="C17" s="368" t="s">
        <v>297</v>
      </c>
      <c r="D17" s="369">
        <v>1.29</v>
      </c>
      <c r="E17" s="370" t="s">
        <v>298</v>
      </c>
      <c r="F17" s="368" t="s">
        <v>299</v>
      </c>
      <c r="G17" s="356"/>
    </row>
    <row r="18" spans="2:7" x14ac:dyDescent="0.3">
      <c r="B18" s="354"/>
      <c r="C18" s="371" t="s">
        <v>300</v>
      </c>
      <c r="D18" s="372">
        <f>ROUNDUP(D15/D17,0)</f>
        <v>6</v>
      </c>
      <c r="E18" s="373" t="s">
        <v>301</v>
      </c>
      <c r="F18" s="371" t="s">
        <v>302</v>
      </c>
      <c r="G18" s="356"/>
    </row>
    <row r="19" spans="2:7" x14ac:dyDescent="0.3">
      <c r="B19" s="354"/>
      <c r="C19" s="374" t="s">
        <v>303</v>
      </c>
      <c r="D19" s="375">
        <f>+D7/(D15/D17)*100</f>
        <v>17.916666666666671</v>
      </c>
      <c r="E19" s="376" t="s">
        <v>304</v>
      </c>
      <c r="F19" s="371" t="s">
        <v>305</v>
      </c>
      <c r="G19" s="356"/>
    </row>
    <row r="20" spans="2:7" x14ac:dyDescent="0.3">
      <c r="B20" s="354"/>
      <c r="C20" s="377" t="s">
        <v>306</v>
      </c>
      <c r="D20" s="369">
        <v>20</v>
      </c>
      <c r="E20" s="370" t="s">
        <v>304</v>
      </c>
      <c r="F20" s="368" t="s">
        <v>307</v>
      </c>
      <c r="G20" s="356"/>
    </row>
    <row r="21" spans="2:7" ht="15.6" x14ac:dyDescent="0.3">
      <c r="B21" s="354"/>
      <c r="C21" s="378" t="s">
        <v>308</v>
      </c>
      <c r="D21" s="378"/>
      <c r="E21" s="378"/>
      <c r="F21" s="378"/>
      <c r="G21" s="356"/>
    </row>
    <row r="22" spans="2:7" x14ac:dyDescent="0.3">
      <c r="B22" s="354"/>
      <c r="C22" s="378" t="s">
        <v>309</v>
      </c>
      <c r="D22" s="378"/>
      <c r="E22" s="378"/>
      <c r="F22" s="378"/>
      <c r="G22" s="356"/>
    </row>
    <row r="23" spans="2:7" x14ac:dyDescent="0.3">
      <c r="B23" s="354"/>
      <c r="G23" s="356"/>
    </row>
    <row r="24" spans="2:7" x14ac:dyDescent="0.3">
      <c r="B24" s="379" t="s">
        <v>224</v>
      </c>
      <c r="C24" s="380" t="s">
        <v>310</v>
      </c>
      <c r="D24" s="380"/>
      <c r="E24" s="380"/>
      <c r="F24" s="380"/>
      <c r="G24" s="381"/>
    </row>
    <row r="25" spans="2:7" x14ac:dyDescent="0.3">
      <c r="B25" s="354"/>
      <c r="C25" s="382" t="s">
        <v>311</v>
      </c>
      <c r="D25" s="382">
        <f>D8-D9</f>
        <v>0.35000000000000003</v>
      </c>
      <c r="E25" s="382" t="s">
        <v>164</v>
      </c>
      <c r="F25" s="382" t="s">
        <v>157</v>
      </c>
      <c r="G25" s="356"/>
    </row>
    <row r="26" spans="2:7" ht="13.8" x14ac:dyDescent="0.3">
      <c r="B26" s="354"/>
      <c r="C26" s="382" t="s">
        <v>312</v>
      </c>
      <c r="D26" s="382">
        <f>+D7*D25*10*0.53*0.9*SQRT(D4)</f>
        <v>27.936078285972791</v>
      </c>
      <c r="E26" s="382" t="s">
        <v>313</v>
      </c>
      <c r="F26" s="382" t="s">
        <v>314</v>
      </c>
      <c r="G26" s="356"/>
    </row>
    <row r="27" spans="2:7" ht="13.8" thickBot="1" x14ac:dyDescent="0.35">
      <c r="B27" s="383"/>
      <c r="C27" s="384" t="s">
        <v>315</v>
      </c>
      <c r="D27" s="384">
        <v>10.48</v>
      </c>
      <c r="E27" s="384" t="s">
        <v>313</v>
      </c>
      <c r="F27" s="384" t="s">
        <v>316</v>
      </c>
      <c r="G27" s="385" t="str">
        <f>+IF(D27&lt;=D26,"Cumple","No cumple")</f>
        <v>Cumple</v>
      </c>
    </row>
    <row r="44" spans="2:6" x14ac:dyDescent="0.3">
      <c r="F44" s="386"/>
    </row>
    <row r="46" spans="2:6" x14ac:dyDescent="0.3">
      <c r="F46" s="387"/>
    </row>
    <row r="48" spans="2:6" x14ac:dyDescent="0.3">
      <c r="B48" s="358"/>
      <c r="C48" s="359"/>
    </row>
    <row r="90" spans="3:3" x14ac:dyDescent="0.3">
      <c r="C90" s="346" t="e">
        <f>+IF(#REF!/100&lt;#REF!,"Diseño como viga rectangular","Diseño como viga L")</f>
        <v>#REF!</v>
      </c>
    </row>
    <row r="140" spans="3:3" x14ac:dyDescent="0.3">
      <c r="C140" s="346" t="e">
        <f>+IF(#REF!&gt;#REF!,"Cumple","No Cumple")</f>
        <v>#REF!</v>
      </c>
    </row>
    <row r="155" spans="6:7" x14ac:dyDescent="0.3">
      <c r="F155" s="388"/>
      <c r="G155" s="389"/>
    </row>
    <row r="162" spans="2:8" x14ac:dyDescent="0.3">
      <c r="C162" s="346" t="e">
        <f>+IF(#REF!&gt;#REF!,"Cumple","No Cumple")</f>
        <v>#REF!</v>
      </c>
    </row>
    <row r="168" spans="2:8" x14ac:dyDescent="0.3">
      <c r="B168" s="355"/>
      <c r="C168" s="355"/>
      <c r="D168" s="355"/>
      <c r="E168" s="355"/>
      <c r="F168" s="355"/>
      <c r="G168" s="390"/>
      <c r="H168" s="355"/>
    </row>
    <row r="169" spans="2:8" x14ac:dyDescent="0.3">
      <c r="B169" s="355"/>
      <c r="C169" s="355"/>
      <c r="D169" s="355"/>
      <c r="E169" s="355"/>
      <c r="F169" s="355"/>
      <c r="G169" s="390"/>
      <c r="H169" s="355"/>
    </row>
    <row r="170" spans="2:8" x14ac:dyDescent="0.3">
      <c r="B170" s="355"/>
      <c r="C170" s="355"/>
      <c r="D170" s="355"/>
      <c r="E170" s="355"/>
      <c r="F170" s="355"/>
      <c r="G170" s="390"/>
      <c r="H170" s="355"/>
    </row>
    <row r="171" spans="2:8" x14ac:dyDescent="0.3">
      <c r="B171" s="355"/>
      <c r="C171" s="355"/>
      <c r="D171" s="355"/>
      <c r="E171" s="355"/>
      <c r="F171" s="355"/>
      <c r="G171" s="390"/>
      <c r="H171" s="355"/>
    </row>
    <row r="172" spans="2:8" x14ac:dyDescent="0.3">
      <c r="B172" s="355"/>
      <c r="C172" s="355"/>
      <c r="D172" s="355"/>
      <c r="E172" s="355"/>
      <c r="F172" s="355"/>
      <c r="G172" s="390"/>
      <c r="H172" s="355"/>
    </row>
    <row r="173" spans="2:8" x14ac:dyDescent="0.3">
      <c r="B173" s="355"/>
      <c r="C173" s="355"/>
      <c r="D173" s="355"/>
      <c r="E173" s="355"/>
      <c r="F173" s="355"/>
      <c r="G173" s="390"/>
      <c r="H173" s="355"/>
    </row>
    <row r="174" spans="2:8" x14ac:dyDescent="0.3">
      <c r="B174" s="355"/>
      <c r="C174" s="355"/>
      <c r="D174" s="355"/>
      <c r="E174" s="355"/>
      <c r="F174" s="355"/>
      <c r="G174" s="390"/>
      <c r="H174" s="355"/>
    </row>
    <row r="184" spans="6:6" x14ac:dyDescent="0.3">
      <c r="F184" s="391"/>
    </row>
    <row r="185" spans="6:6" x14ac:dyDescent="0.3">
      <c r="F185" s="391"/>
    </row>
    <row r="186" spans="6:6" x14ac:dyDescent="0.3">
      <c r="F186" s="391"/>
    </row>
  </sheetData>
  <mergeCells count="5">
    <mergeCell ref="B2:G2"/>
    <mergeCell ref="B3:G3"/>
    <mergeCell ref="C21:F21"/>
    <mergeCell ref="C22:F22"/>
    <mergeCell ref="B24:G24"/>
  </mergeCells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51F7E-587E-4457-8C97-51F453270BDE}">
  <sheetPr codeName="Hoja2"/>
  <dimension ref="A1:AN189"/>
  <sheetViews>
    <sheetView showGridLines="0" topLeftCell="A67" zoomScale="90" zoomScaleNormal="90" workbookViewId="0">
      <selection activeCell="H19" sqref="H19"/>
    </sheetView>
  </sheetViews>
  <sheetFormatPr baseColWidth="10" defaultColWidth="11.44140625" defaultRowHeight="14.4" x14ac:dyDescent="0.3"/>
  <cols>
    <col min="1" max="1" width="34.44140625" style="102" bestFit="1" customWidth="1"/>
    <col min="2" max="2" width="15.6640625" style="84" bestFit="1" customWidth="1"/>
    <col min="3" max="3" width="31.5546875" style="102" bestFit="1" customWidth="1"/>
    <col min="4" max="4" width="17.6640625" style="102" customWidth="1"/>
    <col min="5" max="5" width="10.6640625" style="102" bestFit="1" customWidth="1"/>
    <col min="6" max="6" width="14.33203125" style="102" customWidth="1"/>
    <col min="7" max="7" width="34.44140625" style="102" customWidth="1"/>
    <col min="8" max="8" width="15.6640625" style="102" customWidth="1"/>
    <col min="9" max="9" width="31.33203125" style="102" bestFit="1" customWidth="1"/>
    <col min="10" max="10" width="15.33203125" style="102" customWidth="1"/>
    <col min="11" max="14" width="14.33203125" style="102" customWidth="1"/>
    <col min="15" max="15" width="13" style="102" customWidth="1"/>
    <col min="16" max="21" width="17.44140625" style="102" customWidth="1"/>
    <col min="22" max="26" width="16.6640625" style="102" customWidth="1"/>
    <col min="27" max="27" width="15" style="102" customWidth="1"/>
    <col min="28" max="28" width="19" style="102" bestFit="1" customWidth="1"/>
    <col min="29" max="29" width="11.5546875" style="102" customWidth="1"/>
    <col min="30" max="30" width="9.109375" style="102" customWidth="1"/>
    <col min="31" max="31" width="8.88671875" style="102" customWidth="1"/>
    <col min="32" max="32" width="12.88671875" style="102" customWidth="1"/>
    <col min="33" max="33" width="9" style="102" bestFit="1" customWidth="1"/>
    <col min="34" max="34" width="18.44140625" style="102" bestFit="1" customWidth="1"/>
    <col min="35" max="35" width="19.109375" style="102" bestFit="1" customWidth="1"/>
    <col min="36" max="36" width="22.33203125" style="102" bestFit="1" customWidth="1"/>
    <col min="37" max="37" width="19.109375" style="102" bestFit="1" customWidth="1"/>
    <col min="38" max="16384" width="11.44140625" style="102"/>
  </cols>
  <sheetData>
    <row r="1" spans="1:40" s="93" customFormat="1" x14ac:dyDescent="0.3">
      <c r="B1" s="94"/>
      <c r="E1" s="93">
        <v>0</v>
      </c>
      <c r="P1" s="95" t="s">
        <v>99</v>
      </c>
      <c r="Q1" s="95" t="s">
        <v>100</v>
      </c>
      <c r="R1" s="95" t="s">
        <v>101</v>
      </c>
      <c r="S1" s="95" t="s">
        <v>102</v>
      </c>
      <c r="T1" s="95" t="s">
        <v>103</v>
      </c>
      <c r="U1" s="95" t="s">
        <v>104</v>
      </c>
    </row>
    <row r="2" spans="1:40" s="93" customFormat="1" x14ac:dyDescent="0.3">
      <c r="B2" s="94"/>
      <c r="P2" s="96" t="s">
        <v>105</v>
      </c>
      <c r="Q2" s="96" t="s">
        <v>105</v>
      </c>
      <c r="R2" s="96" t="s">
        <v>105</v>
      </c>
      <c r="S2" s="96" t="s">
        <v>106</v>
      </c>
      <c r="T2" s="96" t="s">
        <v>106</v>
      </c>
      <c r="U2" s="96" t="s">
        <v>106</v>
      </c>
    </row>
    <row r="3" spans="1:40" s="93" customFormat="1" ht="15" thickBot="1" x14ac:dyDescent="0.35">
      <c r="B3" s="94"/>
      <c r="P3" s="97" t="e">
        <f>+MAX([3]Dinámico!O4,#REF!)</f>
        <v>#REF!</v>
      </c>
      <c r="Q3" s="97" t="e">
        <f>+MAX([3]Dinámico!P4,#REF!)</f>
        <v>#REF!</v>
      </c>
      <c r="R3" s="97" t="e">
        <f>+MAX([3]Dinámico!Q4,#REF!)</f>
        <v>#REF!</v>
      </c>
      <c r="S3" s="97" t="e">
        <f>+MAX([3]Dinámico!R4,#REF!)</f>
        <v>#REF!</v>
      </c>
      <c r="T3" s="97" t="e">
        <f>+MAX([3]Dinámico!S4,#REF!)</f>
        <v>#REF!</v>
      </c>
      <c r="U3" s="97" t="e">
        <f>+MAX([3]Dinámico!T4,#REF!)</f>
        <v>#REF!</v>
      </c>
    </row>
    <row r="4" spans="1:40" ht="16.2" thickBot="1" x14ac:dyDescent="0.35">
      <c r="A4" s="98" t="s">
        <v>107</v>
      </c>
      <c r="B4" s="99"/>
      <c r="C4" s="99"/>
      <c r="D4" s="99"/>
      <c r="E4" s="99"/>
      <c r="F4" s="100"/>
      <c r="G4" s="101"/>
      <c r="H4" s="101"/>
      <c r="I4" s="101"/>
      <c r="J4" s="101"/>
      <c r="K4" s="101"/>
      <c r="L4" s="101"/>
      <c r="M4" s="101"/>
      <c r="N4" s="101"/>
      <c r="O4" s="93"/>
      <c r="P4" s="97" t="e">
        <f>+MIN([3]Dinámico!O5,#REF!)</f>
        <v>#REF!</v>
      </c>
      <c r="Q4" s="97" t="e">
        <f>+MIN([3]Dinámico!P5,#REF!)</f>
        <v>#REF!</v>
      </c>
      <c r="R4" s="97" t="e">
        <f>+MIN([3]Dinámico!Q5,#REF!)</f>
        <v>#REF!</v>
      </c>
      <c r="S4" s="97" t="e">
        <f>+MIN([3]Dinámico!R5,#REF!)</f>
        <v>#REF!</v>
      </c>
      <c r="T4" s="97" t="e">
        <f>+MIN([3]Dinámico!S5,#REF!)</f>
        <v>#REF!</v>
      </c>
      <c r="U4" s="97" t="e">
        <f>+MIN([3]Dinámico!T5,#REF!)</f>
        <v>#REF!</v>
      </c>
      <c r="V4" s="93"/>
      <c r="AC4" s="103" t="s">
        <v>108</v>
      </c>
      <c r="AD4" s="103" t="s">
        <v>109</v>
      </c>
      <c r="AE4" s="103" t="s">
        <v>110</v>
      </c>
      <c r="AF4" s="103" t="s">
        <v>111</v>
      </c>
      <c r="AG4" s="103" t="s">
        <v>112</v>
      </c>
    </row>
    <row r="5" spans="1:40" ht="17.25" customHeight="1" x14ac:dyDescent="0.3">
      <c r="A5" s="104" t="s">
        <v>113</v>
      </c>
      <c r="B5" s="105">
        <v>1.6</v>
      </c>
      <c r="C5" s="106" t="s">
        <v>114</v>
      </c>
      <c r="F5" s="107"/>
      <c r="O5" s="93"/>
      <c r="P5" s="93"/>
      <c r="Q5" s="93"/>
      <c r="R5" s="93"/>
      <c r="S5" s="93"/>
      <c r="T5" s="93"/>
      <c r="U5" s="93"/>
      <c r="V5" s="93"/>
      <c r="AC5" s="103"/>
      <c r="AD5" s="103"/>
      <c r="AE5" s="103"/>
      <c r="AF5" s="103"/>
      <c r="AG5" s="103"/>
    </row>
    <row r="6" spans="1:40" x14ac:dyDescent="0.3">
      <c r="A6" s="108" t="s">
        <v>115</v>
      </c>
      <c r="B6" s="109">
        <v>1.5</v>
      </c>
      <c r="C6" s="110" t="s">
        <v>116</v>
      </c>
      <c r="F6" s="107"/>
      <c r="O6" s="93"/>
      <c r="P6" s="93"/>
      <c r="Q6" s="93"/>
      <c r="R6" s="93"/>
      <c r="S6" s="93"/>
      <c r="T6" s="93"/>
      <c r="U6" s="93"/>
      <c r="V6" s="93"/>
      <c r="W6" s="111"/>
      <c r="X6" s="111"/>
      <c r="Y6" s="111"/>
      <c r="Z6" s="111"/>
      <c r="AA6" s="111"/>
      <c r="AB6" s="111"/>
      <c r="AC6" s="112"/>
      <c r="AD6" s="112">
        <v>0</v>
      </c>
      <c r="AE6" s="113">
        <v>0</v>
      </c>
      <c r="AF6" s="113">
        <v>0</v>
      </c>
      <c r="AG6" s="112">
        <v>0</v>
      </c>
      <c r="AI6" s="93"/>
      <c r="AJ6" s="93"/>
      <c r="AK6" s="93"/>
      <c r="AL6" s="93"/>
      <c r="AM6" s="93"/>
      <c r="AN6" s="93"/>
    </row>
    <row r="7" spans="1:40" ht="16.2" x14ac:dyDescent="0.3">
      <c r="A7" s="114" t="s">
        <v>117</v>
      </c>
      <c r="B7" s="115">
        <v>28</v>
      </c>
      <c r="C7" s="116" t="s">
        <v>118</v>
      </c>
      <c r="F7" s="107"/>
      <c r="O7" s="93"/>
      <c r="P7" s="93"/>
      <c r="Q7" s="93"/>
      <c r="R7" s="93"/>
      <c r="S7" s="93"/>
      <c r="T7" s="93"/>
      <c r="U7" s="93"/>
      <c r="V7" s="93"/>
      <c r="W7" s="111"/>
      <c r="X7" s="111"/>
      <c r="Y7" s="111"/>
      <c r="Z7" s="111"/>
      <c r="AA7" s="111"/>
      <c r="AB7" s="111"/>
      <c r="AC7" s="112" t="s">
        <v>119</v>
      </c>
      <c r="AD7" s="112">
        <v>2</v>
      </c>
      <c r="AE7" s="112">
        <v>32</v>
      </c>
      <c r="AF7" s="117">
        <v>6.4</v>
      </c>
      <c r="AG7" s="118">
        <v>0.25</v>
      </c>
      <c r="AI7" s="93"/>
      <c r="AJ7" s="93"/>
      <c r="AK7" s="93"/>
      <c r="AL7" s="93"/>
      <c r="AM7" s="93"/>
      <c r="AN7" s="93"/>
    </row>
    <row r="8" spans="1:40" x14ac:dyDescent="0.3">
      <c r="A8" s="119" t="s">
        <v>120</v>
      </c>
      <c r="B8" s="120" t="s">
        <v>121</v>
      </c>
      <c r="C8" s="121" t="s">
        <v>122</v>
      </c>
      <c r="F8" s="107"/>
      <c r="O8" s="93"/>
      <c r="P8" s="93"/>
      <c r="Q8" s="93"/>
      <c r="R8" s="93"/>
      <c r="S8" s="93"/>
      <c r="T8" s="93"/>
      <c r="U8" s="93"/>
      <c r="V8" s="93"/>
      <c r="W8" s="111"/>
      <c r="X8" s="111"/>
      <c r="Y8" s="111"/>
      <c r="Z8" s="111"/>
      <c r="AA8" s="111"/>
      <c r="AB8" s="111"/>
      <c r="AC8" s="112" t="s">
        <v>123</v>
      </c>
      <c r="AD8" s="112">
        <v>3</v>
      </c>
      <c r="AE8" s="112">
        <v>71</v>
      </c>
      <c r="AF8" s="117">
        <v>9.5</v>
      </c>
      <c r="AG8" s="118">
        <v>0.56000000000000005</v>
      </c>
      <c r="AI8" s="93"/>
      <c r="AJ8" s="93"/>
      <c r="AK8" s="93"/>
      <c r="AL8" s="93"/>
      <c r="AM8" s="93"/>
      <c r="AN8" s="93"/>
    </row>
    <row r="9" spans="1:40" x14ac:dyDescent="0.3">
      <c r="A9" s="122" t="s">
        <v>124</v>
      </c>
      <c r="B9" s="123">
        <f>IF(B8="Concreto normal",1,0.85)</f>
        <v>1</v>
      </c>
      <c r="C9" s="124"/>
      <c r="F9" s="107"/>
      <c r="O9" s="93"/>
      <c r="P9" s="93"/>
      <c r="Q9" s="93"/>
      <c r="R9" s="93"/>
      <c r="S9" s="93"/>
      <c r="T9" s="93"/>
      <c r="U9" s="93"/>
      <c r="V9" s="93"/>
      <c r="W9" s="111"/>
      <c r="X9" s="111"/>
      <c r="Y9" s="111"/>
      <c r="Z9" s="111"/>
      <c r="AA9" s="111"/>
      <c r="AB9" s="111"/>
      <c r="AC9" s="112" t="s">
        <v>125</v>
      </c>
      <c r="AD9" s="112">
        <v>4</v>
      </c>
      <c r="AE9" s="112">
        <v>129</v>
      </c>
      <c r="AF9" s="117">
        <v>12.7</v>
      </c>
      <c r="AG9" s="112">
        <v>0.99399999999999999</v>
      </c>
      <c r="AI9" s="93"/>
      <c r="AJ9" s="93"/>
      <c r="AK9" s="93"/>
      <c r="AL9" s="93"/>
      <c r="AM9" s="93"/>
      <c r="AN9" s="93"/>
    </row>
    <row r="10" spans="1:40" ht="16.2" x14ac:dyDescent="0.3">
      <c r="A10" s="125" t="s">
        <v>126</v>
      </c>
      <c r="B10" s="126">
        <v>420</v>
      </c>
      <c r="C10" s="127" t="s">
        <v>127</v>
      </c>
      <c r="F10" s="107"/>
      <c r="O10" s="93"/>
      <c r="P10" s="93"/>
      <c r="Q10" s="93"/>
      <c r="R10" s="93"/>
      <c r="S10" s="93"/>
      <c r="T10" s="93"/>
      <c r="U10" s="93"/>
      <c r="V10" s="93"/>
      <c r="W10" s="111"/>
      <c r="X10" s="111"/>
      <c r="Y10" s="111"/>
      <c r="Z10" s="111"/>
      <c r="AA10" s="111"/>
      <c r="AB10" s="111"/>
      <c r="AC10" s="112" t="s">
        <v>128</v>
      </c>
      <c r="AD10" s="112">
        <v>5</v>
      </c>
      <c r="AE10" s="112">
        <v>199</v>
      </c>
      <c r="AF10" s="117">
        <v>15.9</v>
      </c>
      <c r="AG10" s="112">
        <v>1.552</v>
      </c>
      <c r="AI10" s="93"/>
      <c r="AJ10" s="93"/>
      <c r="AK10" s="93"/>
      <c r="AL10" s="93"/>
      <c r="AM10" s="93"/>
      <c r="AN10" s="93"/>
    </row>
    <row r="11" spans="1:40" x14ac:dyDescent="0.3">
      <c r="A11" s="128"/>
      <c r="B11" s="102"/>
      <c r="F11" s="107"/>
      <c r="O11" s="93"/>
      <c r="P11" s="93"/>
      <c r="Q11" s="93"/>
      <c r="R11" s="93"/>
      <c r="S11" s="93"/>
      <c r="T11" s="93"/>
      <c r="U11" s="93"/>
      <c r="V11" s="93"/>
      <c r="W11" s="111"/>
      <c r="X11" s="111"/>
      <c r="Y11" s="111"/>
      <c r="Z11" s="111"/>
      <c r="AA11" s="111"/>
      <c r="AB11" s="111"/>
      <c r="AC11" s="112" t="s">
        <v>129</v>
      </c>
      <c r="AD11" s="112">
        <v>6</v>
      </c>
      <c r="AE11" s="112">
        <v>287</v>
      </c>
      <c r="AF11" s="117">
        <v>19.100000000000001</v>
      </c>
      <c r="AG11" s="112">
        <v>2.2349999999999999</v>
      </c>
      <c r="AI11" s="93"/>
      <c r="AJ11" s="93"/>
      <c r="AK11" s="93"/>
      <c r="AL11" s="93"/>
      <c r="AM11" s="93"/>
      <c r="AN11" s="93"/>
    </row>
    <row r="12" spans="1:40" x14ac:dyDescent="0.3">
      <c r="A12" s="125" t="s">
        <v>130</v>
      </c>
      <c r="B12" s="109">
        <v>0.9</v>
      </c>
      <c r="C12" s="127" t="s">
        <v>131</v>
      </c>
      <c r="F12" s="107"/>
      <c r="O12" s="93"/>
      <c r="P12" s="93"/>
      <c r="Q12" s="93"/>
      <c r="R12" s="93"/>
      <c r="S12" s="93"/>
      <c r="T12" s="93"/>
      <c r="U12" s="93"/>
      <c r="V12" s="93"/>
      <c r="W12" s="111"/>
      <c r="X12" s="111"/>
      <c r="Y12" s="111"/>
      <c r="Z12" s="111"/>
      <c r="AA12" s="111"/>
      <c r="AB12" s="111"/>
      <c r="AC12" s="112" t="s">
        <v>132</v>
      </c>
      <c r="AD12" s="112">
        <v>7</v>
      </c>
      <c r="AE12" s="112">
        <v>387</v>
      </c>
      <c r="AF12" s="117">
        <v>22.2</v>
      </c>
      <c r="AG12" s="112">
        <v>3.0419999999999998</v>
      </c>
      <c r="AI12" s="93"/>
      <c r="AJ12" s="93"/>
      <c r="AK12" s="93"/>
      <c r="AL12" s="93"/>
      <c r="AM12" s="93"/>
      <c r="AN12" s="93"/>
    </row>
    <row r="13" spans="1:40" x14ac:dyDescent="0.3">
      <c r="A13" s="108" t="s">
        <v>133</v>
      </c>
      <c r="B13" s="109">
        <v>0.05</v>
      </c>
      <c r="C13" s="110" t="s">
        <v>134</v>
      </c>
      <c r="F13" s="107"/>
      <c r="O13" s="93"/>
      <c r="P13" s="93"/>
      <c r="Q13" s="93"/>
      <c r="R13" s="93"/>
      <c r="S13" s="93"/>
      <c r="T13" s="93"/>
      <c r="U13" s="93"/>
      <c r="V13" s="93"/>
      <c r="W13" s="111"/>
      <c r="X13" s="111"/>
      <c r="Y13" s="111"/>
      <c r="Z13" s="111"/>
      <c r="AA13" s="111"/>
      <c r="AB13" s="111"/>
      <c r="AC13" s="112" t="s">
        <v>135</v>
      </c>
      <c r="AD13" s="112">
        <v>8</v>
      </c>
      <c r="AE13" s="112">
        <v>507</v>
      </c>
      <c r="AF13" s="117">
        <v>25.4</v>
      </c>
      <c r="AG13" s="112">
        <v>3.9729999999999999</v>
      </c>
      <c r="AI13" s="93"/>
      <c r="AJ13" s="93"/>
      <c r="AK13" s="93"/>
      <c r="AL13" s="93"/>
      <c r="AM13" s="93"/>
      <c r="AN13" s="93"/>
    </row>
    <row r="14" spans="1:40" x14ac:dyDescent="0.3">
      <c r="A14" s="129" t="s">
        <v>136</v>
      </c>
      <c r="B14" s="130">
        <f>0.62*SQRT(B7)*B9</f>
        <v>3.2807316257200925</v>
      </c>
      <c r="C14" s="131" t="s">
        <v>137</v>
      </c>
      <c r="F14" s="107"/>
      <c r="O14" s="93"/>
      <c r="P14" s="93"/>
      <c r="Q14" s="93"/>
      <c r="R14" s="93"/>
      <c r="S14" s="93"/>
      <c r="T14" s="93"/>
      <c r="U14" s="93"/>
      <c r="V14" s="93"/>
      <c r="W14" s="111"/>
      <c r="X14" s="111"/>
      <c r="Y14" s="111"/>
      <c r="Z14" s="111"/>
      <c r="AA14" s="111"/>
      <c r="AB14" s="111"/>
      <c r="AC14" s="112" t="s">
        <v>138</v>
      </c>
      <c r="AD14" s="112">
        <v>9</v>
      </c>
      <c r="AE14" s="112">
        <v>647</v>
      </c>
      <c r="AF14" s="117">
        <v>28.7</v>
      </c>
      <c r="AG14" s="112">
        <v>5.0599999999999996</v>
      </c>
      <c r="AI14" s="93"/>
      <c r="AJ14" s="93"/>
      <c r="AK14" s="93"/>
      <c r="AL14" s="93"/>
      <c r="AM14" s="93"/>
      <c r="AN14" s="93"/>
    </row>
    <row r="15" spans="1:40" ht="15" thickBot="1" x14ac:dyDescent="0.35">
      <c r="B15" s="102"/>
      <c r="F15" s="107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111"/>
      <c r="AB15" s="111"/>
      <c r="AC15" s="112" t="s">
        <v>139</v>
      </c>
      <c r="AD15" s="112">
        <v>10</v>
      </c>
      <c r="AE15" s="112">
        <v>819</v>
      </c>
      <c r="AF15" s="117">
        <v>32.299999999999997</v>
      </c>
      <c r="AG15" s="112">
        <v>6.4039999999999999</v>
      </c>
      <c r="AI15" s="93"/>
      <c r="AJ15" s="93"/>
      <c r="AK15" s="93"/>
      <c r="AL15" s="93"/>
      <c r="AM15" s="93"/>
      <c r="AN15" s="93"/>
    </row>
    <row r="16" spans="1:40" ht="16.2" thickBot="1" x14ac:dyDescent="0.35">
      <c r="A16" s="132" t="s">
        <v>140</v>
      </c>
      <c r="B16" s="133"/>
      <c r="C16" s="133"/>
      <c r="D16" s="133"/>
      <c r="E16" s="133"/>
      <c r="F16" s="134"/>
      <c r="G16" s="135"/>
      <c r="H16" s="135"/>
      <c r="I16" s="135"/>
      <c r="J16" s="135"/>
      <c r="K16" s="135"/>
      <c r="L16" s="135"/>
      <c r="M16" s="135"/>
      <c r="N16" s="135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111"/>
      <c r="AB16" s="111"/>
      <c r="AC16" s="112" t="s">
        <v>141</v>
      </c>
      <c r="AD16" s="112">
        <v>11</v>
      </c>
      <c r="AE16" s="112">
        <v>1007</v>
      </c>
      <c r="AF16" s="117">
        <v>35.799999999999997</v>
      </c>
      <c r="AG16" s="112">
        <v>7.907</v>
      </c>
      <c r="AI16" s="93"/>
      <c r="AJ16" s="93"/>
      <c r="AK16" s="93"/>
      <c r="AL16" s="93"/>
      <c r="AM16" s="93"/>
      <c r="AN16" s="93"/>
    </row>
    <row r="17" spans="1:40" x14ac:dyDescent="0.3">
      <c r="A17" s="108" t="s">
        <v>142</v>
      </c>
      <c r="B17" s="109">
        <v>65.959999999999994</v>
      </c>
      <c r="C17" s="110" t="s">
        <v>143</v>
      </c>
      <c r="F17" s="107"/>
      <c r="O17" s="93"/>
      <c r="P17" s="136" t="s">
        <v>144</v>
      </c>
      <c r="Q17" s="137"/>
      <c r="R17" s="137"/>
      <c r="S17" s="137"/>
      <c r="T17" s="138"/>
      <c r="U17" s="139"/>
      <c r="V17" s="136" t="s">
        <v>145</v>
      </c>
      <c r="W17" s="137"/>
      <c r="X17" s="137"/>
      <c r="Y17" s="140"/>
      <c r="Z17" s="141"/>
      <c r="AA17" s="111"/>
      <c r="AB17" s="111"/>
      <c r="AC17" s="112" t="s">
        <v>146</v>
      </c>
      <c r="AD17" s="112">
        <v>14</v>
      </c>
      <c r="AE17" s="112">
        <v>1452</v>
      </c>
      <c r="AF17" s="117">
        <v>43</v>
      </c>
      <c r="AG17" s="112">
        <v>11.38</v>
      </c>
      <c r="AH17" s="142"/>
      <c r="AI17" s="93"/>
      <c r="AJ17" s="93"/>
      <c r="AK17" s="93"/>
      <c r="AL17" s="93"/>
      <c r="AM17" s="93"/>
      <c r="AN17" s="93"/>
    </row>
    <row r="18" spans="1:40" x14ac:dyDescent="0.3">
      <c r="A18" s="108" t="s">
        <v>147</v>
      </c>
      <c r="B18" s="109">
        <v>149.62</v>
      </c>
      <c r="C18" s="110" t="s">
        <v>148</v>
      </c>
      <c r="F18" s="107"/>
      <c r="O18" s="93"/>
      <c r="P18" s="143"/>
      <c r="Q18" s="111"/>
      <c r="R18" s="111"/>
      <c r="S18" s="111"/>
      <c r="T18" s="144"/>
      <c r="U18" s="111"/>
      <c r="V18" s="143"/>
      <c r="W18" s="111"/>
      <c r="X18" s="111"/>
      <c r="Y18" s="111"/>
      <c r="Z18" s="144"/>
      <c r="AA18" s="111"/>
      <c r="AB18" s="111"/>
      <c r="AC18" s="112" t="s">
        <v>149</v>
      </c>
      <c r="AD18" s="112">
        <v>18</v>
      </c>
      <c r="AE18" s="112">
        <v>2581</v>
      </c>
      <c r="AF18" s="117">
        <v>57.3</v>
      </c>
      <c r="AG18" s="112">
        <v>20.239999999999998</v>
      </c>
      <c r="AH18" s="142"/>
    </row>
    <row r="19" spans="1:40" x14ac:dyDescent="0.3">
      <c r="A19" s="108" t="s">
        <v>150</v>
      </c>
      <c r="B19" s="109">
        <v>99.8</v>
      </c>
      <c r="C19" s="110" t="s">
        <v>151</v>
      </c>
      <c r="F19" s="107"/>
      <c r="O19" s="93"/>
      <c r="P19" s="143"/>
      <c r="Q19" s="111"/>
      <c r="R19" s="111"/>
      <c r="S19" s="111"/>
      <c r="T19" s="144"/>
      <c r="U19" s="111"/>
      <c r="V19" s="143"/>
      <c r="W19" s="111"/>
      <c r="X19" s="111"/>
      <c r="Y19" s="111"/>
      <c r="Z19" s="144"/>
      <c r="AA19" s="111"/>
    </row>
    <row r="20" spans="1:40" x14ac:dyDescent="0.3">
      <c r="A20" s="108" t="s">
        <v>152</v>
      </c>
      <c r="B20" s="109">
        <f>+[3]Dinámico!T4</f>
        <v>49.581119999999999</v>
      </c>
      <c r="C20" s="110" t="s">
        <v>153</v>
      </c>
      <c r="F20" s="107"/>
      <c r="O20" s="93"/>
      <c r="P20" s="143"/>
      <c r="Q20" s="111"/>
      <c r="R20" s="111"/>
      <c r="S20" s="111"/>
      <c r="T20" s="144"/>
      <c r="U20" s="111"/>
      <c r="V20" s="143"/>
      <c r="W20" s="111"/>
      <c r="X20" s="111"/>
      <c r="Y20" s="111"/>
      <c r="Z20" s="144"/>
      <c r="AA20" s="111"/>
    </row>
    <row r="21" spans="1:40" ht="15" thickBot="1" x14ac:dyDescent="0.35">
      <c r="B21" s="102"/>
      <c r="F21" s="107"/>
      <c r="O21" s="93"/>
      <c r="P21" s="143"/>
      <c r="Q21" s="111"/>
      <c r="R21" s="111"/>
      <c r="S21" s="111"/>
      <c r="T21" s="144"/>
      <c r="U21" s="111"/>
      <c r="V21" s="143"/>
      <c r="W21" s="111"/>
      <c r="X21" s="111"/>
      <c r="Y21" s="111"/>
      <c r="Z21" s="144"/>
      <c r="AA21" s="111"/>
    </row>
    <row r="22" spans="1:40" x14ac:dyDescent="0.3">
      <c r="A22" s="145" t="s">
        <v>154</v>
      </c>
      <c r="B22" s="146"/>
      <c r="C22" s="146"/>
      <c r="D22" s="146"/>
      <c r="E22" s="146"/>
      <c r="F22" s="147"/>
      <c r="G22" s="148" t="s">
        <v>155</v>
      </c>
      <c r="H22" s="149"/>
      <c r="I22" s="149"/>
      <c r="J22" s="149"/>
      <c r="K22" s="149"/>
      <c r="L22" s="150"/>
      <c r="M22" s="151"/>
      <c r="N22" s="151"/>
      <c r="P22" s="143"/>
      <c r="Q22" s="111"/>
      <c r="R22" s="111"/>
      <c r="S22" s="111"/>
      <c r="T22" s="144"/>
      <c r="U22" s="111"/>
      <c r="V22" s="143"/>
      <c r="W22" s="111"/>
      <c r="X22" s="111"/>
      <c r="Y22" s="111"/>
      <c r="Z22" s="144"/>
      <c r="AA22" s="111"/>
    </row>
    <row r="23" spans="1:40" x14ac:dyDescent="0.3">
      <c r="A23" s="129" t="s">
        <v>156</v>
      </c>
      <c r="B23" s="152">
        <f>ROUND(B6-(B13+(VLOOKUP(B67,AD6:AF18,3))/1000+(VLOOKUP(B32,AD6:AF18,3)/2/1000)),3)</f>
        <v>1.425</v>
      </c>
      <c r="C23" s="153" t="s">
        <v>157</v>
      </c>
      <c r="F23" s="107"/>
      <c r="G23" s="129" t="s">
        <v>156</v>
      </c>
      <c r="H23" s="152">
        <f>+B23</f>
        <v>1.425</v>
      </c>
      <c r="I23" s="153" t="s">
        <v>157</v>
      </c>
      <c r="L23" s="107"/>
      <c r="P23" s="143"/>
      <c r="Q23" s="111"/>
      <c r="R23" s="111"/>
      <c r="S23" s="111"/>
      <c r="T23" s="144"/>
      <c r="U23" s="111"/>
      <c r="V23" s="143"/>
      <c r="W23" s="111"/>
      <c r="X23" s="111"/>
      <c r="Y23" s="111"/>
      <c r="Z23" s="144"/>
      <c r="AA23" s="111"/>
    </row>
    <row r="24" spans="1:40" ht="15" customHeight="1" x14ac:dyDescent="0.3">
      <c r="A24" s="154" t="s">
        <v>158</v>
      </c>
      <c r="B24" s="155">
        <f>1.6*0.75*((B5*B6^2)*(100)*B14/6)</f>
        <v>236.2126770518467</v>
      </c>
      <c r="C24" s="156" t="s">
        <v>159</v>
      </c>
      <c r="D24" s="157" t="s">
        <v>160</v>
      </c>
      <c r="E24" s="158"/>
      <c r="F24" s="159"/>
      <c r="G24" s="154" t="s">
        <v>158</v>
      </c>
      <c r="H24" s="130">
        <f>1.6*0.75*((B5*B6^2)*(100)*B14/6)</f>
        <v>236.2126770518467</v>
      </c>
      <c r="I24" s="156" t="s">
        <v>159</v>
      </c>
      <c r="J24" s="160" t="s">
        <v>161</v>
      </c>
      <c r="K24" s="161"/>
      <c r="L24" s="107"/>
      <c r="M24" s="162"/>
      <c r="N24" s="162"/>
      <c r="P24" s="143"/>
      <c r="Q24" s="111"/>
      <c r="R24" s="111"/>
      <c r="S24" s="111"/>
      <c r="T24" s="144"/>
      <c r="U24" s="111"/>
      <c r="V24" s="143"/>
      <c r="W24" s="111"/>
      <c r="X24" s="111"/>
      <c r="Y24" s="111"/>
      <c r="Z24" s="144"/>
      <c r="AA24" s="111"/>
    </row>
    <row r="25" spans="1:40" x14ac:dyDescent="0.3">
      <c r="A25" s="129" t="s">
        <v>162</v>
      </c>
      <c r="B25" s="130">
        <f>1.33*B19</f>
        <v>132.73400000000001</v>
      </c>
      <c r="C25" s="131" t="s">
        <v>163</v>
      </c>
      <c r="D25" s="163"/>
      <c r="E25" s="164"/>
      <c r="F25" s="159"/>
      <c r="G25" s="129" t="s">
        <v>162</v>
      </c>
      <c r="H25" s="130">
        <f>1.33*B20</f>
        <v>65.942889600000001</v>
      </c>
      <c r="I25" s="131" t="s">
        <v>163</v>
      </c>
      <c r="J25" s="163"/>
      <c r="K25" s="164"/>
      <c r="L25" s="107"/>
      <c r="M25" s="162"/>
      <c r="N25" s="162"/>
      <c r="P25" s="143"/>
      <c r="Q25" s="111"/>
      <c r="R25" s="111"/>
      <c r="S25" s="111"/>
      <c r="T25" s="144"/>
      <c r="U25" s="111"/>
      <c r="V25" s="143"/>
      <c r="W25" s="111"/>
      <c r="X25" s="111"/>
      <c r="Y25" s="111"/>
      <c r="Z25" s="144"/>
      <c r="AA25" s="111"/>
    </row>
    <row r="26" spans="1:40" x14ac:dyDescent="0.3">
      <c r="A26" s="129" t="s">
        <v>164</v>
      </c>
      <c r="B26" s="130">
        <f>B10/(0.85*B7)</f>
        <v>17.647058823529409</v>
      </c>
      <c r="C26" s="131"/>
      <c r="D26" s="162"/>
      <c r="E26" s="165"/>
      <c r="F26" s="159"/>
      <c r="G26" s="129" t="s">
        <v>164</v>
      </c>
      <c r="H26" s="130">
        <f>B10/(0.85*B7)</f>
        <v>17.647058823529409</v>
      </c>
      <c r="I26" s="131"/>
      <c r="K26" s="166"/>
      <c r="L26" s="107"/>
      <c r="M26" s="162"/>
      <c r="N26" s="162"/>
      <c r="P26" s="143"/>
      <c r="Q26" s="111"/>
      <c r="R26" s="111"/>
      <c r="S26" s="111"/>
      <c r="T26" s="144"/>
      <c r="U26" s="111"/>
      <c r="V26" s="143"/>
      <c r="W26" s="111"/>
      <c r="X26" s="111"/>
      <c r="Y26" s="111"/>
      <c r="Z26" s="144"/>
      <c r="AA26" s="111"/>
      <c r="AB26" s="111"/>
      <c r="AG26" s="111"/>
      <c r="AH26" s="142"/>
    </row>
    <row r="27" spans="1:40" x14ac:dyDescent="0.3">
      <c r="A27" s="129" t="s">
        <v>165</v>
      </c>
      <c r="B27" s="130">
        <f>B19*100000/(B5*100*(B23*100)^2)</f>
        <v>3.0717143736534318</v>
      </c>
      <c r="C27" s="131"/>
      <c r="D27" s="162"/>
      <c r="E27" s="165"/>
      <c r="F27" s="159"/>
      <c r="G27" s="129" t="s">
        <v>165</v>
      </c>
      <c r="H27" s="130">
        <f>B20*100000/(B5*100*(B23*100)^2)</f>
        <v>1.5260424746075716</v>
      </c>
      <c r="I27" s="131"/>
      <c r="K27" s="166"/>
      <c r="L27" s="107"/>
      <c r="M27" s="162"/>
      <c r="N27" s="162"/>
      <c r="P27" s="143"/>
      <c r="Q27" s="111"/>
      <c r="R27" s="111"/>
      <c r="S27" s="111"/>
      <c r="T27" s="144"/>
      <c r="U27" s="111"/>
      <c r="V27" s="143"/>
      <c r="W27" s="111"/>
      <c r="X27" s="111"/>
      <c r="Y27" s="111"/>
      <c r="Z27" s="144"/>
      <c r="AA27" s="111"/>
      <c r="AB27" s="111"/>
      <c r="AG27" s="111"/>
      <c r="AH27" s="142"/>
    </row>
    <row r="28" spans="1:40" ht="15.6" x14ac:dyDescent="0.3">
      <c r="A28" s="167" t="s">
        <v>166</v>
      </c>
      <c r="B28" s="168">
        <f>(1/B26)*(1-((1-2*B26*(MIN(B24,B25)*100000/(B5*100*(B23*100)^2))/(B12*B10*10))^(1/2)))</f>
        <v>1.0912965809738351E-3</v>
      </c>
      <c r="C28" s="131" t="s">
        <v>167</v>
      </c>
      <c r="D28" s="162"/>
      <c r="E28" s="165"/>
      <c r="F28" s="159"/>
      <c r="G28" s="167" t="s">
        <v>166</v>
      </c>
      <c r="H28" s="169">
        <f>(1/H26)*(1-((1-2*H26*(MIN(H24,H25)*100000/(B5*100*(B23*100)^2))/(B12*B10*10))^(1/2)))</f>
        <v>5.3950913635594723E-4</v>
      </c>
      <c r="I28" s="131" t="s">
        <v>167</v>
      </c>
      <c r="K28" s="166"/>
      <c r="L28" s="107"/>
      <c r="M28" s="162"/>
      <c r="N28" s="162"/>
      <c r="P28" s="143"/>
      <c r="Q28" s="111"/>
      <c r="R28" s="111"/>
      <c r="S28" s="111"/>
      <c r="T28" s="144"/>
      <c r="U28" s="111"/>
      <c r="V28" s="143"/>
      <c r="W28" s="111"/>
      <c r="X28" s="111"/>
      <c r="Y28" s="111"/>
      <c r="Z28" s="144"/>
      <c r="AA28" s="111"/>
      <c r="AB28" s="111"/>
      <c r="AG28" s="111"/>
      <c r="AH28" s="142"/>
    </row>
    <row r="29" spans="1:40" x14ac:dyDescent="0.3">
      <c r="A29" s="170" t="s">
        <v>168</v>
      </c>
      <c r="B29" s="168">
        <f>(1/B26)*(1-((1-2*B26*B27/(B12*B10*10))^(1/2)))</f>
        <v>8.1853460517166212E-4</v>
      </c>
      <c r="C29" s="131" t="s">
        <v>169</v>
      </c>
      <c r="D29" s="162"/>
      <c r="E29" s="165"/>
      <c r="F29" s="159"/>
      <c r="G29" s="170" t="s">
        <v>168</v>
      </c>
      <c r="H29" s="169">
        <f>(1/H26)*(1-((1-2*H26*H27/(B12*B10*10))^(1/2)))</f>
        <v>4.0516338776163085E-4</v>
      </c>
      <c r="I29" s="131" t="s">
        <v>169</v>
      </c>
      <c r="K29" s="166"/>
      <c r="L29" s="107"/>
      <c r="M29" s="162"/>
      <c r="N29" s="162"/>
      <c r="P29" s="143"/>
      <c r="Q29" s="111"/>
      <c r="R29" s="111"/>
      <c r="S29" s="111"/>
      <c r="T29" s="144"/>
      <c r="U29" s="111"/>
      <c r="V29" s="143"/>
      <c r="W29" s="111"/>
      <c r="X29" s="111"/>
      <c r="Y29" s="111"/>
      <c r="Z29" s="144"/>
      <c r="AA29" s="111"/>
      <c r="AB29" s="111"/>
      <c r="AG29" s="111"/>
      <c r="AH29" s="142"/>
    </row>
    <row r="30" spans="1:40" ht="15.6" x14ac:dyDescent="0.3">
      <c r="A30" s="167" t="s">
        <v>170</v>
      </c>
      <c r="B30" s="168">
        <f>MAX(B28:B29)</f>
        <v>1.0912965809738351E-3</v>
      </c>
      <c r="C30" s="131" t="s">
        <v>171</v>
      </c>
      <c r="D30" s="162"/>
      <c r="E30" s="165"/>
      <c r="F30" s="159"/>
      <c r="G30" s="167" t="s">
        <v>170</v>
      </c>
      <c r="H30" s="169">
        <f>MAX(H28:H29)</f>
        <v>5.3950913635594723E-4</v>
      </c>
      <c r="I30" s="131" t="s">
        <v>171</v>
      </c>
      <c r="K30" s="166"/>
      <c r="L30" s="107"/>
      <c r="M30" s="162"/>
      <c r="N30" s="162"/>
      <c r="P30" s="143"/>
      <c r="Q30" s="111"/>
      <c r="R30" s="111"/>
      <c r="S30" s="111"/>
      <c r="T30" s="144"/>
      <c r="U30" s="111"/>
      <c r="V30" s="143"/>
      <c r="W30" s="111"/>
      <c r="X30" s="111"/>
      <c r="Y30" s="111"/>
      <c r="Z30" s="144"/>
      <c r="AA30" s="111"/>
      <c r="AB30" s="111"/>
      <c r="AG30" s="111"/>
      <c r="AH30" s="142"/>
    </row>
    <row r="31" spans="1:40" ht="17.25" customHeight="1" x14ac:dyDescent="0.3">
      <c r="A31" s="129" t="s">
        <v>172</v>
      </c>
      <c r="B31" s="130">
        <f>B30*B5*100*B23*100</f>
        <v>24.881562046203442</v>
      </c>
      <c r="C31" s="131" t="s">
        <v>173</v>
      </c>
      <c r="D31" s="162"/>
      <c r="E31" s="171"/>
      <c r="F31" s="172"/>
      <c r="G31" s="129" t="s">
        <v>172</v>
      </c>
      <c r="H31" s="130">
        <f>H30*B5*100*B23*100</f>
        <v>12.300808308915597</v>
      </c>
      <c r="I31" s="131" t="s">
        <v>173</v>
      </c>
      <c r="K31" s="173"/>
      <c r="L31" s="174"/>
      <c r="M31" s="171"/>
      <c r="N31" s="171"/>
      <c r="P31" s="143"/>
      <c r="Q31" s="111"/>
      <c r="R31" s="111"/>
      <c r="S31" s="111"/>
      <c r="T31" s="144"/>
      <c r="U31" s="111"/>
      <c r="V31" s="143"/>
      <c r="W31" s="111"/>
      <c r="X31" s="111"/>
      <c r="Y31" s="111"/>
      <c r="Z31" s="144"/>
      <c r="AA31" s="111"/>
      <c r="AB31" s="111"/>
      <c r="AH31" s="142"/>
    </row>
    <row r="32" spans="1:40" x14ac:dyDescent="0.3">
      <c r="A32" s="119" t="s">
        <v>174</v>
      </c>
      <c r="B32" s="175">
        <v>8</v>
      </c>
      <c r="C32" s="176" t="s">
        <v>175</v>
      </c>
      <c r="D32" s="162"/>
      <c r="E32" s="162"/>
      <c r="F32" s="159"/>
      <c r="G32" s="119" t="s">
        <v>174</v>
      </c>
      <c r="H32" s="175">
        <v>8</v>
      </c>
      <c r="I32" s="176" t="s">
        <v>175</v>
      </c>
      <c r="L32" s="107"/>
      <c r="M32" s="162"/>
      <c r="N32" s="162"/>
      <c r="P32" s="143"/>
      <c r="Q32" s="111"/>
      <c r="R32" s="111"/>
      <c r="S32" s="111"/>
      <c r="T32" s="144"/>
      <c r="U32" s="111"/>
      <c r="V32" s="143"/>
      <c r="W32" s="111"/>
      <c r="X32" s="111"/>
      <c r="Y32" s="111"/>
      <c r="Z32" s="144"/>
      <c r="AH32" s="142"/>
    </row>
    <row r="33" spans="1:39" ht="15.6" x14ac:dyDescent="0.3">
      <c r="A33" s="129" t="s">
        <v>176</v>
      </c>
      <c r="B33" s="177">
        <f>ROUNDUP(B31/(VLOOKUP($B$32,AD6:AE22,2)/100),0)</f>
        <v>5</v>
      </c>
      <c r="C33" s="124" t="s">
        <v>177</v>
      </c>
      <c r="D33" s="178" t="s">
        <v>178</v>
      </c>
      <c r="E33" s="162">
        <f>0.0018*B5*B6*100^2/(2*B5*100+2*B6*100)</f>
        <v>6.9677419354838718E-2</v>
      </c>
      <c r="F33" s="159"/>
      <c r="G33" s="129" t="s">
        <v>176</v>
      </c>
      <c r="H33" s="177">
        <v>5</v>
      </c>
      <c r="I33" s="124" t="s">
        <v>177</v>
      </c>
      <c r="L33" s="107"/>
      <c r="M33" s="162"/>
      <c r="N33" s="162"/>
      <c r="P33" s="143"/>
      <c r="Q33" s="111"/>
      <c r="R33" s="111"/>
      <c r="S33" s="111"/>
      <c r="T33" s="144"/>
      <c r="U33" s="111"/>
      <c r="V33" s="143"/>
      <c r="W33" s="111"/>
      <c r="X33" s="111"/>
      <c r="Y33" s="111"/>
      <c r="Z33" s="144"/>
      <c r="AH33" s="142"/>
    </row>
    <row r="34" spans="1:39" ht="15.6" x14ac:dyDescent="0.3">
      <c r="A34" s="119" t="s">
        <v>179</v>
      </c>
      <c r="B34" s="179">
        <v>5</v>
      </c>
      <c r="C34" s="176" t="s">
        <v>180</v>
      </c>
      <c r="D34" s="178" t="s">
        <v>181</v>
      </c>
      <c r="E34" s="162">
        <f>E33*B5*100</f>
        <v>11.148387096774195</v>
      </c>
      <c r="F34" s="159"/>
      <c r="G34" s="119" t="s">
        <v>179</v>
      </c>
      <c r="H34" s="179">
        <v>5</v>
      </c>
      <c r="I34" s="176" t="s">
        <v>180</v>
      </c>
      <c r="L34" s="107"/>
      <c r="M34" s="162"/>
      <c r="N34" s="162"/>
      <c r="P34" s="143"/>
      <c r="Q34" s="111"/>
      <c r="R34" s="111"/>
      <c r="S34" s="111"/>
      <c r="T34" s="144"/>
      <c r="U34" s="111"/>
      <c r="V34" s="143"/>
      <c r="W34" s="111"/>
      <c r="X34" s="111"/>
      <c r="Y34" s="111"/>
      <c r="Z34" s="144"/>
      <c r="AH34" s="162"/>
      <c r="AM34" s="111"/>
    </row>
    <row r="35" spans="1:39" ht="16.2" x14ac:dyDescent="0.3">
      <c r="A35" s="129" t="s">
        <v>182</v>
      </c>
      <c r="B35" s="130">
        <f>B34*VLOOKUP($B$32,AD6:AE22,2)/100</f>
        <v>25.35</v>
      </c>
      <c r="C35" s="131" t="s">
        <v>183</v>
      </c>
      <c r="D35" s="180" t="str">
        <f>IF(B35&gt;E34,"Cumple","Aumentar area de refuerzo")</f>
        <v>Cumple</v>
      </c>
      <c r="E35" s="181"/>
      <c r="F35" s="182"/>
      <c r="G35" s="129" t="s">
        <v>182</v>
      </c>
      <c r="H35" s="130">
        <f>H34*VLOOKUP($H$32,AD6:AE22,2)/100</f>
        <v>25.35</v>
      </c>
      <c r="I35" s="131" t="s">
        <v>183</v>
      </c>
      <c r="J35" s="183" t="str">
        <f>IF(H35&gt;E34,"Cumple","Aumentar area de refuerzo")</f>
        <v>Cumple</v>
      </c>
      <c r="K35" s="83"/>
      <c r="L35" s="107"/>
      <c r="M35" s="184"/>
      <c r="N35" s="184"/>
      <c r="P35" s="143"/>
      <c r="Q35" s="111"/>
      <c r="R35" s="111"/>
      <c r="S35" s="111"/>
      <c r="T35" s="144"/>
      <c r="U35" s="111"/>
      <c r="V35" s="143"/>
      <c r="W35" s="111"/>
      <c r="X35" s="111"/>
      <c r="Y35" s="111"/>
      <c r="Z35" s="144"/>
      <c r="AM35" s="111"/>
    </row>
    <row r="36" spans="1:39" ht="16.2" thickBot="1" x14ac:dyDescent="0.35">
      <c r="A36" s="167" t="s">
        <v>184</v>
      </c>
      <c r="B36" s="169">
        <f>B35/10000/(B5*B23)</f>
        <v>1.1118421052631578E-3</v>
      </c>
      <c r="C36" s="124" t="s">
        <v>185</v>
      </c>
      <c r="D36" s="185" t="str">
        <f>IF(AND(B36&gt;=B30,B36&lt;B28),"Cumple por momento de fisuración",IF(B36&gt;=B28,"Cumple","No Cumple"))</f>
        <v>Cumple</v>
      </c>
      <c r="E36" s="186"/>
      <c r="F36" s="187"/>
      <c r="G36" s="167" t="s">
        <v>184</v>
      </c>
      <c r="H36" s="169">
        <f>H35/10000/(B5*B23)</f>
        <v>1.1118421052631578E-3</v>
      </c>
      <c r="I36" s="124" t="s">
        <v>185</v>
      </c>
      <c r="J36" s="188" t="str">
        <f>IF(AND(H36&gt;=H30,H36&lt;H28),"Cumple por momento de fisuración",IF(H36&gt;=H28,"Cumple","No Cumple"))</f>
        <v>Cumple</v>
      </c>
      <c r="K36" s="86"/>
      <c r="L36" s="189"/>
      <c r="M36" s="190"/>
      <c r="N36" s="190"/>
      <c r="O36" s="111"/>
      <c r="P36" s="191"/>
      <c r="Q36" s="192"/>
      <c r="R36" s="192"/>
      <c r="S36" s="192"/>
      <c r="T36" s="193"/>
      <c r="U36" s="111"/>
      <c r="V36" s="191"/>
      <c r="W36" s="192"/>
      <c r="X36" s="192"/>
      <c r="Y36" s="192"/>
      <c r="Z36" s="193"/>
      <c r="AM36" s="111"/>
    </row>
    <row r="37" spans="1:39" ht="15.6" x14ac:dyDescent="0.3">
      <c r="A37" s="129" t="s">
        <v>186</v>
      </c>
      <c r="B37" s="130">
        <f>ROUNDUP(123*1/((1+B13/(0.7*($B$6-B13)))*$B$10*0.6)-2*B13,2)</f>
        <v>0.37</v>
      </c>
      <c r="C37" s="131" t="s">
        <v>187</v>
      </c>
      <c r="D37" s="190" t="str">
        <f>IF(B38&lt;=B37,"Cumple","No Cumple")</f>
        <v>Cumple</v>
      </c>
      <c r="E37" s="190"/>
      <c r="F37" s="194"/>
      <c r="G37" s="129" t="s">
        <v>186</v>
      </c>
      <c r="H37" s="130">
        <f>ROUNDUP(123*1/((1+B13/(0.7*($B$6-B13)))*$B$10*0.6)-2*B13,2)</f>
        <v>0.37</v>
      </c>
      <c r="I37" s="131" t="s">
        <v>187</v>
      </c>
      <c r="J37" s="101" t="str">
        <f>IF(H38&lt;=H37,"Cumple","No Cumple")</f>
        <v>Cumple</v>
      </c>
      <c r="K37" s="101"/>
      <c r="L37" s="195"/>
      <c r="M37" s="190"/>
      <c r="N37" s="190"/>
      <c r="O37" s="111"/>
      <c r="P37" s="111"/>
      <c r="Q37" s="139"/>
      <c r="R37" s="111"/>
      <c r="S37" s="111"/>
      <c r="T37" s="111"/>
      <c r="U37" s="111"/>
      <c r="V37" s="111"/>
      <c r="W37" s="111"/>
      <c r="X37" s="111"/>
      <c r="Y37" s="111"/>
      <c r="Z37" s="111"/>
      <c r="AM37" s="111"/>
    </row>
    <row r="38" spans="1:39" ht="15" thickBot="1" x14ac:dyDescent="0.35">
      <c r="A38" s="196" t="s">
        <v>188</v>
      </c>
      <c r="B38" s="197">
        <f>ROUND((B5-2*B13-VLOOKUP(B32,AD6:AF22,3)/1000-2*VLOOKUP(B67,AD6:AF22,3)/1000)/(B34-1),2)</f>
        <v>0.36</v>
      </c>
      <c r="C38" s="198" t="s">
        <v>189</v>
      </c>
      <c r="D38" s="190" t="str">
        <f>IF(B38&gt;=0.0254+VLOOKUP(B32,AD6:AG22,3)/1000,"Cumple","No Cumple")</f>
        <v>Cumple</v>
      </c>
      <c r="E38" s="199"/>
      <c r="F38" s="200"/>
      <c r="G38" s="196" t="s">
        <v>188</v>
      </c>
      <c r="H38" s="197">
        <f>ROUND((B5-2*B13-VLOOKUP(H32,AD6:AF22,3)/1000-2*VLOOKUP(B67,AD6:AF22,3)/1000)/(H34-1),2)</f>
        <v>0.36</v>
      </c>
      <c r="I38" s="198" t="s">
        <v>189</v>
      </c>
      <c r="J38" s="101" t="str">
        <f>IF(H38&gt;=0.0254+VLOOKUP(H32,AD6:AG22,3)/1000,"Cumple","No Cumple")</f>
        <v>Cumple</v>
      </c>
      <c r="L38" s="107"/>
      <c r="M38" s="199"/>
      <c r="N38" s="199"/>
      <c r="P38" s="111"/>
      <c r="Q38" s="139"/>
      <c r="R38" s="111"/>
      <c r="S38" s="111"/>
      <c r="T38" s="111"/>
      <c r="U38" s="111"/>
      <c r="V38" s="111"/>
      <c r="W38" s="111"/>
      <c r="X38" s="111"/>
      <c r="Y38" s="111"/>
      <c r="Z38" s="111"/>
      <c r="AM38" s="111"/>
    </row>
    <row r="39" spans="1:39" x14ac:dyDescent="0.3">
      <c r="A39" s="201" t="s">
        <v>190</v>
      </c>
      <c r="B39" s="202">
        <v>0.3</v>
      </c>
      <c r="C39" s="203" t="s">
        <v>191</v>
      </c>
      <c r="D39" s="101"/>
      <c r="F39" s="107"/>
      <c r="G39" s="201" t="s">
        <v>190</v>
      </c>
      <c r="H39" s="202">
        <v>0.3</v>
      </c>
      <c r="I39" s="203" t="s">
        <v>191</v>
      </c>
      <c r="J39" s="101"/>
      <c r="L39" s="107"/>
      <c r="P39" s="204" t="s">
        <v>192</v>
      </c>
      <c r="Q39" s="205"/>
      <c r="R39" s="205"/>
      <c r="S39" s="206"/>
      <c r="T39" s="207"/>
      <c r="U39" s="139"/>
      <c r="V39" s="204" t="s">
        <v>193</v>
      </c>
      <c r="W39" s="205"/>
      <c r="X39" s="205"/>
      <c r="Y39" s="206"/>
      <c r="Z39" s="207"/>
      <c r="AM39" s="111"/>
    </row>
    <row r="40" spans="1:39" x14ac:dyDescent="0.3">
      <c r="A40" s="208" t="s">
        <v>194</v>
      </c>
      <c r="B40" s="209"/>
      <c r="C40" s="209"/>
      <c r="D40" s="209"/>
      <c r="E40" s="209"/>
      <c r="F40" s="210"/>
      <c r="G40" s="208" t="s">
        <v>194</v>
      </c>
      <c r="H40" s="209"/>
      <c r="I40" s="209"/>
      <c r="J40" s="209"/>
      <c r="K40" s="209"/>
      <c r="L40" s="210"/>
      <c r="M40" s="139"/>
      <c r="N40" s="139"/>
      <c r="P40" s="211"/>
      <c r="Q40" s="111"/>
      <c r="R40" s="111"/>
      <c r="S40" s="139"/>
      <c r="T40" s="212"/>
      <c r="U40" s="111"/>
      <c r="V40" s="211"/>
      <c r="W40" s="111"/>
      <c r="X40" s="111"/>
      <c r="Y40" s="139"/>
      <c r="Z40" s="212"/>
      <c r="AM40" s="111"/>
    </row>
    <row r="41" spans="1:39" ht="15.6" x14ac:dyDescent="0.3">
      <c r="A41" s="213" t="s">
        <v>195</v>
      </c>
      <c r="B41" s="214">
        <f>(B35*B10*100)/(0.85*B7*B5*1000)/10</f>
        <v>2.7959558823529407</v>
      </c>
      <c r="C41" s="131" t="s">
        <v>196</v>
      </c>
      <c r="F41" s="107"/>
      <c r="G41" s="213" t="s">
        <v>195</v>
      </c>
      <c r="H41" s="214">
        <f>(H35*B10*100)/(0.85*B7*B5*1000)/10</f>
        <v>2.7959558823529407</v>
      </c>
      <c r="I41" s="131" t="s">
        <v>196</v>
      </c>
      <c r="L41" s="107"/>
      <c r="P41" s="211"/>
      <c r="Q41" s="111"/>
      <c r="R41" s="111"/>
      <c r="S41" s="111"/>
      <c r="T41" s="215"/>
      <c r="U41" s="111"/>
      <c r="V41" s="211"/>
      <c r="W41" s="111"/>
      <c r="X41" s="111"/>
      <c r="Y41" s="111"/>
      <c r="Z41" s="215"/>
      <c r="AM41" s="111"/>
    </row>
    <row r="42" spans="1:39" x14ac:dyDescent="0.3">
      <c r="A42" s="216" t="s">
        <v>197</v>
      </c>
      <c r="B42" s="217">
        <f>B41/B14</f>
        <v>0.85223547712143399</v>
      </c>
      <c r="C42" s="131" t="s">
        <v>198</v>
      </c>
      <c r="F42" s="107"/>
      <c r="G42" s="216" t="s">
        <v>197</v>
      </c>
      <c r="H42" s="217">
        <f>H41/B14</f>
        <v>0.85223547712143399</v>
      </c>
      <c r="I42" s="131" t="s">
        <v>198</v>
      </c>
      <c r="L42" s="107"/>
      <c r="P42" s="211"/>
      <c r="Q42" s="111"/>
      <c r="R42" s="111"/>
      <c r="S42" s="111"/>
      <c r="T42" s="215"/>
      <c r="U42" s="111"/>
      <c r="V42" s="211"/>
      <c r="W42" s="111"/>
      <c r="X42" s="111"/>
      <c r="Y42" s="111"/>
      <c r="Z42" s="215"/>
      <c r="AM42" s="111"/>
    </row>
    <row r="43" spans="1:39" x14ac:dyDescent="0.3">
      <c r="A43" s="216" t="s">
        <v>199</v>
      </c>
      <c r="B43" s="218">
        <f>B42/(B23*100)</f>
        <v>5.9805998394486595E-3</v>
      </c>
      <c r="C43" s="131"/>
      <c r="D43" s="101" t="str">
        <f>IF(B43&lt;=0.375,"Cumple","No Cumple")</f>
        <v>Cumple</v>
      </c>
      <c r="E43" s="219"/>
      <c r="F43" s="107"/>
      <c r="G43" s="216" t="s">
        <v>199</v>
      </c>
      <c r="H43" s="218">
        <f>H42/(B23*100)</f>
        <v>5.9805998394486595E-3</v>
      </c>
      <c r="I43" s="131"/>
      <c r="J43" s="101" t="str">
        <f>IF(H43&lt;=0.375,"Cumple","No Cumple")</f>
        <v>Cumple</v>
      </c>
      <c r="K43" s="219"/>
      <c r="L43" s="107"/>
      <c r="P43" s="211"/>
      <c r="Q43" s="111"/>
      <c r="R43" s="111"/>
      <c r="S43" s="111"/>
      <c r="T43" s="215"/>
      <c r="U43" s="111"/>
      <c r="V43" s="211"/>
      <c r="W43" s="111"/>
      <c r="X43" s="111"/>
      <c r="Y43" s="111"/>
      <c r="Z43" s="215"/>
      <c r="AM43" s="111"/>
    </row>
    <row r="44" spans="1:39" ht="15.6" x14ac:dyDescent="0.3">
      <c r="A44" s="216" t="s">
        <v>200</v>
      </c>
      <c r="B44" s="220">
        <f>0.003*(B23*100-B42)/B42</f>
        <v>0.49862192431128521</v>
      </c>
      <c r="C44" s="131"/>
      <c r="D44" s="101" t="str">
        <f>IF(B44&gt;=0.005,"Cumple","No Cumple")</f>
        <v>Cumple</v>
      </c>
      <c r="F44" s="221"/>
      <c r="G44" s="216" t="s">
        <v>200</v>
      </c>
      <c r="H44" s="220">
        <f>0.003*(B23*100-H42)/H42</f>
        <v>0.49862192431128521</v>
      </c>
      <c r="I44" s="131"/>
      <c r="J44" s="101" t="str">
        <f>IF(H44&gt;=0.005,"Cumple","No Cumple")</f>
        <v>Cumple</v>
      </c>
      <c r="L44" s="107"/>
      <c r="M44" s="222"/>
      <c r="N44" s="222"/>
      <c r="P44" s="211"/>
      <c r="Q44" s="111"/>
      <c r="R44" s="111"/>
      <c r="S44" s="111"/>
      <c r="T44" s="215"/>
      <c r="U44" s="111"/>
      <c r="V44" s="211"/>
      <c r="W44" s="111"/>
      <c r="X44" s="111"/>
      <c r="Y44" s="111"/>
      <c r="Z44" s="215"/>
      <c r="AM44" s="111"/>
    </row>
    <row r="45" spans="1:39" x14ac:dyDescent="0.3">
      <c r="A45" s="216" t="s">
        <v>201</v>
      </c>
      <c r="B45" s="217">
        <f>B12*B10*(B35*(B23*100-B41/2))*1000/10000000</f>
        <v>135.20819059742647</v>
      </c>
      <c r="C45" s="131" t="s">
        <v>202</v>
      </c>
      <c r="D45" s="101" t="str">
        <f>IF(B45&gt;=B19,"Cumple","No Cumple")</f>
        <v>Cumple</v>
      </c>
      <c r="F45" s="107"/>
      <c r="G45" s="216" t="s">
        <v>203</v>
      </c>
      <c r="H45" s="217">
        <f>B12*B10*(H35*(B23*100-H41/2))*1000/10000000</f>
        <v>135.20819059742647</v>
      </c>
      <c r="I45" s="131" t="s">
        <v>202</v>
      </c>
      <c r="J45" s="101" t="str">
        <f>IF(H45&gt;=B19,"Cumple","No Cumple")</f>
        <v>Cumple</v>
      </c>
      <c r="L45" s="107"/>
      <c r="P45" s="211"/>
      <c r="Q45" s="111"/>
      <c r="R45" s="111"/>
      <c r="S45" s="111"/>
      <c r="T45" s="215"/>
      <c r="U45" s="111"/>
      <c r="V45" s="211"/>
      <c r="W45" s="111"/>
      <c r="X45" s="111"/>
      <c r="Y45" s="111"/>
      <c r="Z45" s="215"/>
      <c r="AM45" s="111"/>
    </row>
    <row r="46" spans="1:39" ht="15" thickBot="1" x14ac:dyDescent="0.35">
      <c r="A46" s="223"/>
      <c r="B46" s="224"/>
      <c r="C46" s="225"/>
      <c r="D46" s="226"/>
      <c r="E46" s="227"/>
      <c r="F46" s="228"/>
      <c r="G46" s="229"/>
      <c r="H46" s="230"/>
      <c r="I46" s="231"/>
      <c r="J46" s="231"/>
      <c r="K46" s="232"/>
      <c r="L46" s="233"/>
      <c r="P46" s="211"/>
      <c r="Q46" s="111"/>
      <c r="R46" s="111"/>
      <c r="S46" s="111"/>
      <c r="T46" s="215"/>
      <c r="U46" s="111"/>
      <c r="V46" s="211"/>
      <c r="W46" s="111"/>
      <c r="X46" s="111"/>
      <c r="Y46" s="111"/>
      <c r="Z46" s="215"/>
      <c r="AM46" s="111"/>
    </row>
    <row r="47" spans="1:39" ht="15" thickBot="1" x14ac:dyDescent="0.35">
      <c r="P47" s="211"/>
      <c r="Q47" s="111"/>
      <c r="R47" s="111"/>
      <c r="S47" s="111"/>
      <c r="T47" s="215"/>
      <c r="U47" s="111"/>
      <c r="V47" s="211"/>
      <c r="W47" s="111"/>
      <c r="X47" s="111"/>
      <c r="Y47" s="111"/>
      <c r="Z47" s="215"/>
      <c r="AM47" s="111"/>
    </row>
    <row r="48" spans="1:39" ht="15" customHeight="1" x14ac:dyDescent="0.3">
      <c r="A48" s="234" t="s">
        <v>204</v>
      </c>
      <c r="B48" s="235"/>
      <c r="C48" s="235"/>
      <c r="D48" s="235"/>
      <c r="E48" s="235"/>
      <c r="F48" s="236"/>
      <c r="P48" s="211"/>
      <c r="Q48" s="111"/>
      <c r="R48" s="111"/>
      <c r="S48" s="111"/>
      <c r="T48" s="215"/>
      <c r="U48" s="111"/>
      <c r="V48" s="211"/>
      <c r="W48" s="111"/>
      <c r="X48" s="111"/>
      <c r="Y48" s="111"/>
      <c r="Z48" s="215"/>
      <c r="AM48" s="111"/>
    </row>
    <row r="49" spans="1:39" ht="16.2" x14ac:dyDescent="0.3">
      <c r="A49" s="213" t="s">
        <v>205</v>
      </c>
      <c r="B49" s="237">
        <f>0.0018*B5*100*B6*100/(2*B5*100+2*B6*100)</f>
        <v>6.9677419354838718E-2</v>
      </c>
      <c r="C49" s="238" t="s">
        <v>206</v>
      </c>
      <c r="F49" s="107"/>
      <c r="P49" s="211"/>
      <c r="Q49" s="111"/>
      <c r="R49" s="111"/>
      <c r="S49" s="111"/>
      <c r="T49" s="215"/>
      <c r="U49" s="111"/>
      <c r="V49" s="211"/>
      <c r="W49" s="111"/>
      <c r="X49" s="111"/>
      <c r="Y49" s="111"/>
      <c r="Z49" s="215"/>
      <c r="AM49" s="111"/>
    </row>
    <row r="50" spans="1:39" ht="16.2" x14ac:dyDescent="0.3">
      <c r="A50" s="216" t="s">
        <v>207</v>
      </c>
      <c r="B50" s="218">
        <f>(B58+B31+H31)/(B5*100*2+B6*100*2)</f>
        <v>7.9229629605030702E-2</v>
      </c>
      <c r="C50" s="238" t="s">
        <v>208</v>
      </c>
      <c r="F50" s="107"/>
      <c r="P50" s="211"/>
      <c r="Q50" s="111"/>
      <c r="R50" s="111"/>
      <c r="S50" s="111"/>
      <c r="T50" s="215"/>
      <c r="U50" s="111"/>
      <c r="V50" s="211"/>
      <c r="W50" s="111"/>
      <c r="X50" s="111"/>
      <c r="Y50" s="111"/>
      <c r="Z50" s="215"/>
      <c r="AM50" s="111"/>
    </row>
    <row r="51" spans="1:39" ht="15" thickBot="1" x14ac:dyDescent="0.35">
      <c r="A51" s="223"/>
      <c r="B51" s="224"/>
      <c r="C51" s="239"/>
      <c r="D51" s="240"/>
      <c r="E51" s="227"/>
      <c r="F51" s="228"/>
      <c r="P51" s="211"/>
      <c r="Q51" s="111"/>
      <c r="R51" s="111"/>
      <c r="S51" s="111"/>
      <c r="T51" s="215"/>
      <c r="U51" s="111"/>
      <c r="V51" s="211"/>
      <c r="W51" s="111"/>
      <c r="X51" s="111"/>
      <c r="Y51" s="111"/>
      <c r="Z51" s="215"/>
      <c r="AM51" s="111"/>
    </row>
    <row r="52" spans="1:39" x14ac:dyDescent="0.3">
      <c r="A52" s="241" t="s">
        <v>209</v>
      </c>
      <c r="B52" s="242"/>
      <c r="C52" s="242"/>
      <c r="D52" s="242"/>
      <c r="E52" s="242"/>
      <c r="F52" s="243"/>
      <c r="G52" s="241" t="s">
        <v>210</v>
      </c>
      <c r="H52" s="242"/>
      <c r="I52" s="242"/>
      <c r="J52" s="242"/>
      <c r="K52" s="242"/>
      <c r="L52" s="243"/>
      <c r="M52" s="151"/>
      <c r="N52" s="151"/>
      <c r="P52" s="211"/>
      <c r="Q52" s="111"/>
      <c r="R52" s="111"/>
      <c r="S52" s="111"/>
      <c r="T52" s="215"/>
      <c r="U52" s="111"/>
      <c r="V52" s="211"/>
      <c r="W52" s="111"/>
      <c r="X52" s="111"/>
      <c r="Y52" s="111"/>
      <c r="Z52" s="215"/>
      <c r="AM52" s="111"/>
    </row>
    <row r="53" spans="1:39" x14ac:dyDescent="0.3">
      <c r="A53" s="154" t="s">
        <v>211</v>
      </c>
      <c r="B53" s="244">
        <f>IF(C53="Requerido",(ROUNDUP(0.001*((B23*1000)-760)*(B23*1000),0))/100,0)</f>
        <v>9.48</v>
      </c>
      <c r="C53" s="245" t="str">
        <f>IF(B6&lt;1,"No requiere","Requerido")</f>
        <v>Requerido</v>
      </c>
      <c r="D53" s="246" t="s">
        <v>212</v>
      </c>
      <c r="E53" s="246"/>
      <c r="F53" s="107"/>
      <c r="G53" s="247" t="s">
        <v>213</v>
      </c>
      <c r="H53" s="84">
        <v>0.9</v>
      </c>
      <c r="I53" s="248" t="s">
        <v>214</v>
      </c>
      <c r="L53" s="107"/>
      <c r="P53" s="211"/>
      <c r="Q53" s="111"/>
      <c r="R53" s="111"/>
      <c r="S53" s="111"/>
      <c r="T53" s="215"/>
      <c r="U53" s="111"/>
      <c r="V53" s="211"/>
      <c r="W53" s="111"/>
      <c r="X53" s="111"/>
      <c r="Y53" s="111"/>
      <c r="Z53" s="215"/>
      <c r="AM53" s="111"/>
    </row>
    <row r="54" spans="1:39" x14ac:dyDescent="0.3">
      <c r="A54" s="119" t="s">
        <v>174</v>
      </c>
      <c r="B54" s="175">
        <v>5</v>
      </c>
      <c r="C54" s="176" t="s">
        <v>175</v>
      </c>
      <c r="D54" s="249"/>
      <c r="E54" s="249"/>
      <c r="F54" s="107"/>
      <c r="G54" s="216" t="s">
        <v>215</v>
      </c>
      <c r="H54" s="250">
        <f>B5*100*B6*100</f>
        <v>24000</v>
      </c>
      <c r="I54" s="251"/>
      <c r="L54" s="107"/>
      <c r="P54" s="211"/>
      <c r="Q54" s="111"/>
      <c r="R54" s="111"/>
      <c r="S54" s="111"/>
      <c r="T54" s="215"/>
      <c r="U54" s="111"/>
      <c r="V54" s="211"/>
      <c r="W54" s="111"/>
      <c r="X54" s="111"/>
      <c r="Y54" s="111"/>
      <c r="Z54" s="215"/>
      <c r="AM54" s="111"/>
    </row>
    <row r="55" spans="1:39" ht="15.75" customHeight="1" x14ac:dyDescent="0.3">
      <c r="A55" s="129" t="s">
        <v>176</v>
      </c>
      <c r="B55" s="177">
        <f>IF(C53="Requerido",ROUNDUP(B53/(VLOOKUP($B$54,AD5:AE22,2)/100),0),0)</f>
        <v>5</v>
      </c>
      <c r="C55" s="124" t="s">
        <v>177</v>
      </c>
      <c r="D55" s="249"/>
      <c r="E55" s="249"/>
      <c r="F55" s="107"/>
      <c r="G55" s="216" t="s">
        <v>216</v>
      </c>
      <c r="H55" s="250">
        <f>2*(B5+B6)*100</f>
        <v>620</v>
      </c>
      <c r="I55" s="252"/>
      <c r="J55" s="253" t="str">
        <f>IF(H56&gt;B17,"No requiere refuerzo por torsión",IF((H63/2)&gt;B58,"Requiere refuerzo","Usar Refuerzo Piel"))</f>
        <v>Requiere refuerzo</v>
      </c>
      <c r="K55" s="254"/>
      <c r="L55" s="107"/>
      <c r="P55" s="211"/>
      <c r="Q55" s="111"/>
      <c r="R55" s="111"/>
      <c r="S55" s="111"/>
      <c r="T55" s="215"/>
      <c r="U55" s="111"/>
      <c r="V55" s="211"/>
      <c r="W55" s="111"/>
      <c r="X55" s="111"/>
      <c r="Y55" s="111"/>
      <c r="Z55" s="215"/>
      <c r="AM55" s="111"/>
    </row>
    <row r="56" spans="1:39" x14ac:dyDescent="0.3">
      <c r="A56" s="196" t="s">
        <v>188</v>
      </c>
      <c r="B56" s="255">
        <f>(IF(C53="Requerido",ROUNDDOWN(MIN((B6*100-(2*(B13+VLOOKUP(B54,AD6:AF22,3)/10)))/(B55+1),B23*100/6,30),1),0))/100</f>
        <v>0.23699999999999999</v>
      </c>
      <c r="C56" s="198" t="s">
        <v>189</v>
      </c>
      <c r="D56" s="256" t="str">
        <f>IF(AND(J55="Requiere refuerzo",B58&lt;(H63/2)),"Usar refuerzo a Torsión","Usar Refuerzo de Piel")</f>
        <v>Usar refuerzo a Torsión</v>
      </c>
      <c r="E56" s="257"/>
      <c r="F56" s="258"/>
      <c r="G56" s="216" t="s">
        <v>217</v>
      </c>
      <c r="H56" s="217">
        <f>(H53*(1/12)*SQRT(B7)*((H54*10*10)^2)/(H55*10))/(10000000)</f>
        <v>36.86982472193236</v>
      </c>
      <c r="I56" s="252" t="s">
        <v>218</v>
      </c>
      <c r="J56" s="259"/>
      <c r="K56" s="260"/>
      <c r="L56" s="107"/>
      <c r="M56" s="261"/>
      <c r="N56" s="261"/>
      <c r="P56" s="211"/>
      <c r="Q56" s="111"/>
      <c r="R56" s="111"/>
      <c r="S56" s="111"/>
      <c r="T56" s="215"/>
      <c r="U56" s="111"/>
      <c r="V56" s="211"/>
      <c r="W56" s="111"/>
      <c r="X56" s="111"/>
      <c r="Y56" s="111"/>
      <c r="Z56" s="215"/>
      <c r="AM56" s="111"/>
    </row>
    <row r="57" spans="1:39" ht="15.6" x14ac:dyDescent="0.3">
      <c r="A57" s="119" t="s">
        <v>179</v>
      </c>
      <c r="B57" s="262">
        <v>6</v>
      </c>
      <c r="C57" s="176" t="s">
        <v>180</v>
      </c>
      <c r="D57" s="263"/>
      <c r="E57" s="264" t="str">
        <f>IF(B58&gt;Q91,"Cumple","Aumentar area de refuerzo")</f>
        <v>Cumple</v>
      </c>
      <c r="F57" s="265"/>
      <c r="G57" s="216" t="s">
        <v>219</v>
      </c>
      <c r="H57" s="250">
        <f>(B5*1000)-(2*B13*100)</f>
        <v>1590</v>
      </c>
      <c r="I57" s="266"/>
      <c r="L57" s="107"/>
      <c r="M57" s="74"/>
      <c r="N57" s="74"/>
      <c r="P57" s="211"/>
      <c r="Q57" s="111"/>
      <c r="R57" s="111"/>
      <c r="S57" s="111"/>
      <c r="T57" s="215"/>
      <c r="U57" s="111"/>
      <c r="V57" s="211"/>
      <c r="W57" s="111"/>
      <c r="X57" s="111"/>
      <c r="Y57" s="111"/>
      <c r="Z57" s="215"/>
      <c r="AM57" s="111"/>
    </row>
    <row r="58" spans="1:39" ht="15" customHeight="1" thickBot="1" x14ac:dyDescent="0.35">
      <c r="A58" s="267" t="s">
        <v>220</v>
      </c>
      <c r="B58" s="268">
        <f>IF(C53="Requerido",B57*VLOOKUP(B54,AD6:AE22,2)/100,0)</f>
        <v>11.94</v>
      </c>
      <c r="C58" s="269" t="s">
        <v>221</v>
      </c>
      <c r="D58" s="270"/>
      <c r="E58" s="264"/>
      <c r="F58" s="265"/>
      <c r="G58" s="216" t="s">
        <v>222</v>
      </c>
      <c r="H58" s="250">
        <f>(B6*1000)-(2*B13*100)</f>
        <v>1490</v>
      </c>
      <c r="I58" s="266"/>
      <c r="L58" s="107"/>
      <c r="M58" s="74"/>
      <c r="N58" s="74"/>
      <c r="P58" s="271"/>
      <c r="Q58" s="272"/>
      <c r="R58" s="273"/>
      <c r="S58" s="273"/>
      <c r="T58" s="274"/>
      <c r="U58" s="111"/>
      <c r="V58" s="271"/>
      <c r="W58" s="273"/>
      <c r="X58" s="273"/>
      <c r="Y58" s="273"/>
      <c r="Z58" s="274"/>
      <c r="AM58" s="111"/>
    </row>
    <row r="59" spans="1:39" ht="15" thickBot="1" x14ac:dyDescent="0.35">
      <c r="A59" s="223"/>
      <c r="B59" s="224"/>
      <c r="C59" s="240"/>
      <c r="D59" s="240"/>
      <c r="E59" s="227"/>
      <c r="F59" s="228"/>
      <c r="G59" s="216" t="s">
        <v>223</v>
      </c>
      <c r="H59" s="250">
        <f>H57*H58</f>
        <v>2369100</v>
      </c>
      <c r="I59" s="266"/>
      <c r="L59" s="107"/>
      <c r="U59" s="111"/>
      <c r="AM59" s="111"/>
    </row>
    <row r="60" spans="1:39" ht="15" thickBot="1" x14ac:dyDescent="0.35">
      <c r="A60" s="241" t="s">
        <v>224</v>
      </c>
      <c r="B60" s="242"/>
      <c r="C60" s="242"/>
      <c r="D60" s="242"/>
      <c r="E60" s="242"/>
      <c r="F60" s="243"/>
      <c r="G60" s="216" t="s">
        <v>225</v>
      </c>
      <c r="H60" s="250">
        <f>2*(H57+H58)</f>
        <v>6160</v>
      </c>
      <c r="I60" s="266"/>
      <c r="L60" s="107"/>
      <c r="M60" s="151"/>
      <c r="N60" s="151"/>
      <c r="U60" s="111"/>
      <c r="AM60" s="111"/>
    </row>
    <row r="61" spans="1:39" x14ac:dyDescent="0.3">
      <c r="A61" s="247" t="s">
        <v>213</v>
      </c>
      <c r="B61" s="275">
        <v>0.9</v>
      </c>
      <c r="C61" s="276" t="s">
        <v>226</v>
      </c>
      <c r="F61" s="107"/>
      <c r="G61" s="216" t="s">
        <v>227</v>
      </c>
      <c r="H61" s="250">
        <f>0.85*H59</f>
        <v>2013735</v>
      </c>
      <c r="I61" s="266"/>
      <c r="L61" s="107"/>
      <c r="P61" s="277" t="s">
        <v>145</v>
      </c>
      <c r="Q61" s="278"/>
      <c r="R61" s="278"/>
      <c r="S61" s="278"/>
      <c r="T61" s="279"/>
      <c r="V61" s="277" t="s">
        <v>192</v>
      </c>
      <c r="W61" s="278"/>
      <c r="X61" s="278"/>
      <c r="Y61" s="280"/>
      <c r="Z61" s="281"/>
      <c r="AM61" s="111"/>
    </row>
    <row r="62" spans="1:39" x14ac:dyDescent="0.3">
      <c r="A62" s="216" t="s">
        <v>228</v>
      </c>
      <c r="B62" s="217">
        <f>(B61*0.17*SQRT(B7)*B5*B23*1000000)/10000</f>
        <v>184.58877747035442</v>
      </c>
      <c r="C62" s="251" t="s">
        <v>229</v>
      </c>
      <c r="F62" s="282"/>
      <c r="G62" s="216" t="s">
        <v>230</v>
      </c>
      <c r="H62" s="217">
        <f>(B17*10000000)/(2*H53*H61*B10)</f>
        <v>0.43326791881095195</v>
      </c>
      <c r="I62" s="266"/>
      <c r="L62" s="107"/>
      <c r="M62" s="283"/>
      <c r="N62" s="283"/>
      <c r="P62" s="128"/>
      <c r="T62" s="107"/>
      <c r="V62" s="128"/>
      <c r="Y62" s="84"/>
      <c r="Z62" s="284"/>
    </row>
    <row r="63" spans="1:39" ht="18" customHeight="1" x14ac:dyDescent="0.3">
      <c r="A63" s="216" t="s">
        <v>231</v>
      </c>
      <c r="B63" s="217">
        <f>IF(B18-B62&gt;0,B18-B62,0)</f>
        <v>0</v>
      </c>
      <c r="C63" s="251" t="s">
        <v>232</v>
      </c>
      <c r="D63" s="253" t="str">
        <f>IF(B63&gt;B64,"Aumentar dimesiones",IF(B63=0,"No requiere estribos - Usar refuerzo mínimo","Cumple"))</f>
        <v>No requiere estribos - Usar refuerzo mínimo</v>
      </c>
      <c r="E63" s="254"/>
      <c r="F63" s="107"/>
      <c r="G63" s="216" t="s">
        <v>233</v>
      </c>
      <c r="H63" s="217">
        <f>H62*H60/100</f>
        <v>26.68930379875464</v>
      </c>
      <c r="I63" s="266" t="s">
        <v>173</v>
      </c>
      <c r="L63" s="107"/>
      <c r="P63" s="128"/>
      <c r="T63" s="107"/>
      <c r="V63" s="128"/>
      <c r="Z63" s="107"/>
    </row>
    <row r="64" spans="1:39" ht="18" customHeight="1" x14ac:dyDescent="0.3">
      <c r="A64" s="216" t="s">
        <v>234</v>
      </c>
      <c r="B64" s="217">
        <f>(B61*0.66*SQRT(B7)*B5*B23*1000000)/10000</f>
        <v>716.63878312019949</v>
      </c>
      <c r="C64" s="251" t="s">
        <v>235</v>
      </c>
      <c r="D64" s="259"/>
      <c r="E64" s="260"/>
      <c r="F64" s="107"/>
      <c r="G64" s="114" t="s">
        <v>236</v>
      </c>
      <c r="H64" s="175">
        <v>8</v>
      </c>
      <c r="I64" s="285"/>
      <c r="L64" s="107"/>
      <c r="P64" s="128"/>
      <c r="T64" s="107"/>
      <c r="V64" s="128"/>
      <c r="Z64" s="107"/>
    </row>
    <row r="65" spans="1:34" ht="17.25" customHeight="1" x14ac:dyDescent="0.3">
      <c r="A65" s="216" t="s">
        <v>237</v>
      </c>
      <c r="B65" s="217">
        <f>(B61*0.35*B5*B23*1000000)/10000</f>
        <v>71.820000000000007</v>
      </c>
      <c r="C65" s="251" t="s">
        <v>238</v>
      </c>
      <c r="D65" s="166"/>
      <c r="F65" s="107"/>
      <c r="G65" s="129" t="s">
        <v>239</v>
      </c>
      <c r="H65" s="177">
        <f>ROUNDUP(H63/(VLOOKUP($H$64,AD6:AE22,2)/100),0)</f>
        <v>6</v>
      </c>
      <c r="I65" s="285"/>
      <c r="L65" s="107"/>
      <c r="P65" s="128"/>
      <c r="T65" s="107"/>
      <c r="V65" s="128"/>
      <c r="Z65" s="107"/>
    </row>
    <row r="66" spans="1:34" ht="23.25" customHeight="1" x14ac:dyDescent="0.3">
      <c r="A66" s="216" t="s">
        <v>240</v>
      </c>
      <c r="B66" s="217">
        <f>MAX(B65,B63)</f>
        <v>71.820000000000007</v>
      </c>
      <c r="C66" s="251" t="s">
        <v>241</v>
      </c>
      <c r="D66" s="166"/>
      <c r="F66" s="107"/>
      <c r="G66" s="114" t="s">
        <v>242</v>
      </c>
      <c r="H66" s="179">
        <v>6</v>
      </c>
      <c r="L66" s="107"/>
      <c r="P66" s="128"/>
      <c r="T66" s="107"/>
      <c r="V66" s="128"/>
      <c r="Z66" s="107"/>
    </row>
    <row r="67" spans="1:34" ht="18" customHeight="1" x14ac:dyDescent="0.3">
      <c r="A67" s="286" t="s">
        <v>174</v>
      </c>
      <c r="B67" s="287">
        <v>4</v>
      </c>
      <c r="C67" s="176" t="s">
        <v>175</v>
      </c>
      <c r="F67" s="107"/>
      <c r="G67" s="129" t="s">
        <v>243</v>
      </c>
      <c r="H67" s="130">
        <f>(B6-2*B13)/((H66/2)+1)</f>
        <v>0.35</v>
      </c>
      <c r="I67" s="266" t="s">
        <v>164</v>
      </c>
      <c r="L67" s="107"/>
      <c r="P67" s="128"/>
      <c r="T67" s="107"/>
      <c r="V67" s="128"/>
      <c r="Z67" s="107"/>
    </row>
    <row r="68" spans="1:34" ht="15.75" customHeight="1" x14ac:dyDescent="0.3">
      <c r="A68" s="288" t="s">
        <v>244</v>
      </c>
      <c r="B68" s="289">
        <v>4</v>
      </c>
      <c r="C68" s="176" t="s">
        <v>245</v>
      </c>
      <c r="F68" s="107"/>
      <c r="G68" s="129" t="s">
        <v>246</v>
      </c>
      <c r="H68" s="130">
        <f>2*H62</f>
        <v>0.86653583762190389</v>
      </c>
      <c r="I68" s="266" t="s">
        <v>247</v>
      </c>
      <c r="L68" s="107"/>
      <c r="P68" s="128"/>
      <c r="T68" s="107"/>
      <c r="V68" s="128"/>
      <c r="Z68" s="107"/>
      <c r="AC68" s="111"/>
      <c r="AD68" s="111"/>
      <c r="AE68" s="111"/>
      <c r="AF68" s="111"/>
      <c r="AG68" s="111"/>
      <c r="AH68" s="111"/>
    </row>
    <row r="69" spans="1:34" ht="16.2" x14ac:dyDescent="0.3">
      <c r="A69" s="129" t="s">
        <v>248</v>
      </c>
      <c r="B69" s="290">
        <f>B68*VLOOKUP($B$67,AD6:AE22,2)/100</f>
        <v>5.16</v>
      </c>
      <c r="C69" s="251" t="s">
        <v>183</v>
      </c>
      <c r="F69" s="107"/>
      <c r="G69" s="129" t="s">
        <v>249</v>
      </c>
      <c r="H69" s="130">
        <f>(B69*100)/(B70*1000)</f>
        <v>1.72</v>
      </c>
      <c r="I69" s="266" t="s">
        <v>247</v>
      </c>
      <c r="J69" s="101" t="str">
        <f>IF(H69&gt;H68,"Cumple","Disminuir separacion estribos")</f>
        <v>Cumple</v>
      </c>
      <c r="K69" s="101"/>
      <c r="L69" s="107"/>
      <c r="P69" s="128"/>
      <c r="T69" s="107"/>
      <c r="V69" s="128"/>
      <c r="Z69" s="107"/>
      <c r="AB69" s="111"/>
    </row>
    <row r="70" spans="1:34" ht="16.2" x14ac:dyDescent="0.3">
      <c r="A70" s="129" t="s">
        <v>188</v>
      </c>
      <c r="B70" s="130">
        <f>(ROUNDDOWN(MIN(B61*B69*100*B10*B23*1000/B66/10000,B69*100*B10/(0.35*B5*1000),300,IF(B18&lt;B62+(B66/2),B23*1000/2,B23*1000/2)),0))/1000</f>
        <v>0.3</v>
      </c>
      <c r="C70" s="291" t="s">
        <v>189</v>
      </c>
      <c r="D70" s="292" t="str">
        <f>IF(OR(B70&gt;=0.1,B67=0),"Cumple","No Cumple")</f>
        <v>Cumple</v>
      </c>
      <c r="F70" s="107"/>
      <c r="G70" s="129" t="s">
        <v>250</v>
      </c>
      <c r="H70" s="293">
        <f>H63+B35</f>
        <v>52.039303798754645</v>
      </c>
      <c r="I70" s="266" t="s">
        <v>251</v>
      </c>
      <c r="L70" s="107"/>
      <c r="P70" s="128"/>
      <c r="T70" s="107"/>
      <c r="V70" s="128"/>
      <c r="Z70" s="107"/>
    </row>
    <row r="71" spans="1:34" x14ac:dyDescent="0.3">
      <c r="A71" s="294" t="s">
        <v>190</v>
      </c>
      <c r="B71" s="295">
        <v>0.3</v>
      </c>
      <c r="C71" s="296" t="s">
        <v>252</v>
      </c>
      <c r="D71" s="101"/>
      <c r="F71" s="107"/>
      <c r="G71" s="129" t="s">
        <v>253</v>
      </c>
      <c r="H71" s="130">
        <f>0.062*SQRT(B7)*(B5*100*B70*100)/B10</f>
        <v>3.7494075722515343</v>
      </c>
      <c r="I71" s="297" t="s">
        <v>247</v>
      </c>
      <c r="L71" s="107"/>
      <c r="P71" s="128"/>
      <c r="T71" s="107"/>
      <c r="V71" s="128"/>
      <c r="Z71" s="107"/>
    </row>
    <row r="72" spans="1:34" ht="15" thickBot="1" x14ac:dyDescent="0.35">
      <c r="A72" s="298"/>
      <c r="B72" s="272"/>
      <c r="C72" s="273"/>
      <c r="D72" s="273"/>
      <c r="E72" s="273"/>
      <c r="F72" s="228"/>
      <c r="G72" s="299" t="s">
        <v>254</v>
      </c>
      <c r="H72" s="300">
        <f>(0.35*B5*100*B70*100)/B10</f>
        <v>3.9999999999999996</v>
      </c>
      <c r="I72" s="301" t="s">
        <v>247</v>
      </c>
      <c r="J72" s="227"/>
      <c r="K72" s="227"/>
      <c r="L72" s="228"/>
      <c r="P72" s="128"/>
      <c r="T72" s="107"/>
      <c r="V72" s="128"/>
      <c r="Z72" s="107"/>
    </row>
    <row r="73" spans="1:34" ht="15" thickBot="1" x14ac:dyDescent="0.35">
      <c r="B73" s="102"/>
      <c r="P73" s="128"/>
      <c r="T73" s="107"/>
      <c r="V73" s="128"/>
      <c r="Z73" s="107"/>
    </row>
    <row r="74" spans="1:34" ht="16.2" thickBot="1" x14ac:dyDescent="0.35">
      <c r="A74" s="132" t="s">
        <v>255</v>
      </c>
      <c r="B74" s="133"/>
      <c r="C74" s="133"/>
      <c r="D74" s="133"/>
      <c r="E74" s="133"/>
      <c r="F74" s="134"/>
      <c r="G74" s="135"/>
      <c r="H74" s="135"/>
      <c r="I74" s="135"/>
      <c r="J74" s="135"/>
      <c r="K74" s="135"/>
      <c r="L74" s="135"/>
      <c r="M74" s="135"/>
      <c r="N74" s="135"/>
      <c r="P74" s="128"/>
      <c r="T74" s="107"/>
      <c r="V74" s="128"/>
      <c r="Z74" s="107"/>
      <c r="AA74" s="111"/>
    </row>
    <row r="75" spans="1:34" x14ac:dyDescent="0.3">
      <c r="A75" s="108" t="s">
        <v>142</v>
      </c>
      <c r="B75" s="109">
        <v>65.83</v>
      </c>
      <c r="C75" s="110" t="s">
        <v>143</v>
      </c>
      <c r="F75" s="107"/>
      <c r="P75" s="128"/>
      <c r="T75" s="107"/>
      <c r="V75" s="128"/>
      <c r="Z75" s="107"/>
    </row>
    <row r="76" spans="1:34" x14ac:dyDescent="0.3">
      <c r="A76" s="108" t="s">
        <v>147</v>
      </c>
      <c r="B76" s="109">
        <v>47.6</v>
      </c>
      <c r="C76" s="110" t="s">
        <v>148</v>
      </c>
      <c r="F76" s="107"/>
      <c r="P76" s="128"/>
      <c r="T76" s="107"/>
      <c r="V76" s="128"/>
      <c r="Z76" s="107"/>
    </row>
    <row r="77" spans="1:34" x14ac:dyDescent="0.3">
      <c r="A77" s="108" t="s">
        <v>150</v>
      </c>
      <c r="B77" s="109">
        <f>-[3]Dinámico!S5</f>
        <v>15.308770000000001</v>
      </c>
      <c r="C77" s="110" t="s">
        <v>151</v>
      </c>
      <c r="F77" s="107"/>
      <c r="P77" s="128"/>
      <c r="T77" s="107"/>
      <c r="V77" s="128"/>
      <c r="Z77" s="107"/>
    </row>
    <row r="78" spans="1:34" x14ac:dyDescent="0.3">
      <c r="A78" s="108" t="s">
        <v>152</v>
      </c>
      <c r="B78" s="109">
        <v>26.85</v>
      </c>
      <c r="C78" s="110" t="s">
        <v>153</v>
      </c>
      <c r="F78" s="107"/>
      <c r="P78" s="128"/>
      <c r="T78" s="107"/>
      <c r="V78" s="128"/>
      <c r="Z78" s="107"/>
    </row>
    <row r="79" spans="1:34" ht="15" thickBot="1" x14ac:dyDescent="0.35">
      <c r="A79" s="302"/>
      <c r="B79" s="303"/>
      <c r="C79" s="111"/>
      <c r="F79" s="107"/>
      <c r="P79" s="128"/>
      <c r="T79" s="107"/>
      <c r="V79" s="128"/>
      <c r="Z79" s="107"/>
    </row>
    <row r="80" spans="1:34" x14ac:dyDescent="0.3">
      <c r="A80" s="148" t="s">
        <v>256</v>
      </c>
      <c r="B80" s="149"/>
      <c r="C80" s="149"/>
      <c r="D80" s="149"/>
      <c r="E80" s="149"/>
      <c r="F80" s="150"/>
      <c r="G80" s="148" t="s">
        <v>257</v>
      </c>
      <c r="H80" s="149"/>
      <c r="I80" s="149"/>
      <c r="J80" s="149"/>
      <c r="K80" s="149"/>
      <c r="L80" s="150"/>
      <c r="M80" s="151"/>
      <c r="N80" s="151"/>
      <c r="P80" s="128"/>
      <c r="T80" s="107"/>
      <c r="V80" s="128"/>
      <c r="Z80" s="107"/>
    </row>
    <row r="81" spans="1:26" ht="15" thickBot="1" x14ac:dyDescent="0.35">
      <c r="A81" s="129" t="s">
        <v>156</v>
      </c>
      <c r="B81" s="152">
        <f>ROUND(B5-(B13+(VLOOKUP(B113,AD6:AF22,3))/1000+(VLOOKUP(B90,AD6:AF22,3)/2/1000)),3)</f>
        <v>1.5289999999999999</v>
      </c>
      <c r="C81" s="153" t="s">
        <v>157</v>
      </c>
      <c r="E81" s="304"/>
      <c r="F81" s="107"/>
      <c r="G81" s="129"/>
      <c r="H81" s="152"/>
      <c r="I81" s="153"/>
      <c r="K81" s="304"/>
      <c r="L81" s="107"/>
      <c r="P81" s="305"/>
      <c r="Q81" s="232"/>
      <c r="R81" s="232"/>
      <c r="S81" s="232"/>
      <c r="T81" s="233"/>
      <c r="V81" s="305"/>
      <c r="W81" s="232"/>
      <c r="X81" s="232"/>
      <c r="Y81" s="232"/>
      <c r="Z81" s="233"/>
    </row>
    <row r="82" spans="1:26" x14ac:dyDescent="0.3">
      <c r="A82" s="154" t="s">
        <v>158</v>
      </c>
      <c r="B82" s="155">
        <f>1.6*0.75*((B5*B6^2)*(100)*B14/6)</f>
        <v>236.2126770518467</v>
      </c>
      <c r="C82" s="156" t="s">
        <v>159</v>
      </c>
      <c r="D82" s="306" t="s">
        <v>258</v>
      </c>
      <c r="E82" s="307"/>
      <c r="F82" s="308"/>
      <c r="G82" s="154" t="s">
        <v>158</v>
      </c>
      <c r="H82" s="155">
        <f>1.6*0.75*((B5*B6^2)*(100)*B14/6)</f>
        <v>236.2126770518467</v>
      </c>
      <c r="I82" s="156" t="s">
        <v>159</v>
      </c>
      <c r="J82" s="306" t="s">
        <v>259</v>
      </c>
      <c r="K82" s="307"/>
      <c r="L82" s="308"/>
      <c r="M82" s="111"/>
      <c r="N82" s="111"/>
    </row>
    <row r="83" spans="1:26" x14ac:dyDescent="0.3">
      <c r="A83" s="129" t="s">
        <v>162</v>
      </c>
      <c r="B83" s="130">
        <f>1.33*B77</f>
        <v>20.360664100000001</v>
      </c>
      <c r="C83" s="131" t="s">
        <v>163</v>
      </c>
      <c r="D83" s="163"/>
      <c r="E83" s="164"/>
      <c r="F83" s="308"/>
      <c r="G83" s="129" t="s">
        <v>162</v>
      </c>
      <c r="H83" s="130">
        <f>1.33*B78</f>
        <v>35.710500000000003</v>
      </c>
      <c r="I83" s="131" t="s">
        <v>163</v>
      </c>
      <c r="J83" s="163"/>
      <c r="K83" s="164"/>
      <c r="L83" s="308"/>
      <c r="M83" s="111"/>
      <c r="N83" s="111"/>
    </row>
    <row r="84" spans="1:26" x14ac:dyDescent="0.3">
      <c r="A84" s="129" t="s">
        <v>164</v>
      </c>
      <c r="B84" s="130">
        <f>B10/(0.85*B7)</f>
        <v>17.647058823529409</v>
      </c>
      <c r="C84" s="131"/>
      <c r="D84" s="111"/>
      <c r="E84" s="304"/>
      <c r="F84" s="308"/>
      <c r="G84" s="129" t="s">
        <v>164</v>
      </c>
      <c r="H84" s="130">
        <f>B10/(0.85*B7)</f>
        <v>17.647058823529409</v>
      </c>
      <c r="I84" s="131"/>
      <c r="J84" s="111"/>
      <c r="K84" s="304"/>
      <c r="L84" s="308"/>
      <c r="M84" s="111"/>
      <c r="N84" s="111"/>
    </row>
    <row r="85" spans="1:26" x14ac:dyDescent="0.3">
      <c r="A85" s="129" t="s">
        <v>165</v>
      </c>
      <c r="B85" s="130">
        <f>B77*100000/(B5*100*(B81*100)^2)</f>
        <v>0.40926569642674604</v>
      </c>
      <c r="C85" s="131"/>
      <c r="D85" s="111"/>
      <c r="E85" s="304"/>
      <c r="F85" s="308"/>
      <c r="G85" s="129" t="s">
        <v>165</v>
      </c>
      <c r="H85" s="130">
        <f>B78*100000/(B5*100*(B81*100)^2)</f>
        <v>0.7178097227313579</v>
      </c>
      <c r="I85" s="131"/>
      <c r="J85" s="111"/>
      <c r="K85" s="304"/>
      <c r="L85" s="308"/>
      <c r="M85" s="111"/>
      <c r="N85" s="111"/>
    </row>
    <row r="86" spans="1:26" ht="15.6" x14ac:dyDescent="0.3">
      <c r="A86" s="167" t="s">
        <v>166</v>
      </c>
      <c r="B86" s="168">
        <f>(1/B84)*(1-((1-2*B84*(MIN(B82,B83)*100000/(B5*100*(B81*100)^2))/(B12*B10*10))^(1/2)))</f>
        <v>1.4418432659927706E-4</v>
      </c>
      <c r="C86" s="131" t="s">
        <v>167</v>
      </c>
      <c r="D86" s="111"/>
      <c r="E86" s="304"/>
      <c r="F86" s="308"/>
      <c r="G86" s="167" t="s">
        <v>166</v>
      </c>
      <c r="H86" s="168">
        <f>(1/H84)*(1-((1-2*H84*(MIN(H82,H83)*100000/(B5*100*(B81*100)^2))/(B12*B10*10))^(1/2)))</f>
        <v>2.5312803730798177E-4</v>
      </c>
      <c r="I86" s="131" t="s">
        <v>167</v>
      </c>
      <c r="J86" s="111"/>
      <c r="K86" s="304"/>
      <c r="L86" s="308"/>
      <c r="M86" s="111"/>
      <c r="N86" s="111"/>
    </row>
    <row r="87" spans="1:26" x14ac:dyDescent="0.3">
      <c r="A87" s="170" t="s">
        <v>168</v>
      </c>
      <c r="B87" s="168">
        <f>(1/B84)*(1-((1-2*B84*B85/(B12*B10*10))^(1/2)))</f>
        <v>1.0837498182002082E-4</v>
      </c>
      <c r="C87" s="131" t="s">
        <v>169</v>
      </c>
      <c r="D87" s="111"/>
      <c r="E87" s="304"/>
      <c r="F87" s="308"/>
      <c r="G87" s="170" t="s">
        <v>168</v>
      </c>
      <c r="H87" s="168">
        <f>(1/H84)*(1-((1-2*H84*H85/(B12*B10*10))^(1/2)))</f>
        <v>1.9021600612461868E-4</v>
      </c>
      <c r="I87" s="131" t="s">
        <v>169</v>
      </c>
      <c r="J87" s="111"/>
      <c r="K87" s="304"/>
      <c r="L87" s="308"/>
      <c r="M87" s="111"/>
      <c r="N87" s="111"/>
    </row>
    <row r="88" spans="1:26" ht="15.6" x14ac:dyDescent="0.3">
      <c r="A88" s="167" t="s">
        <v>170</v>
      </c>
      <c r="B88" s="168">
        <f>MAX(B86:B87)</f>
        <v>1.4418432659927706E-4</v>
      </c>
      <c r="C88" s="131" t="s">
        <v>171</v>
      </c>
      <c r="D88" s="111"/>
      <c r="E88" s="304"/>
      <c r="F88" s="308"/>
      <c r="G88" s="167" t="s">
        <v>170</v>
      </c>
      <c r="H88" s="168">
        <f>MAX(H86:H87)</f>
        <v>2.5312803730798177E-4</v>
      </c>
      <c r="I88" s="131" t="s">
        <v>171</v>
      </c>
      <c r="J88" s="111"/>
      <c r="K88" s="304"/>
      <c r="L88" s="308"/>
      <c r="M88" s="111"/>
      <c r="N88" s="111"/>
    </row>
    <row r="89" spans="1:26" ht="16.2" x14ac:dyDescent="0.3">
      <c r="A89" s="129" t="s">
        <v>172</v>
      </c>
      <c r="B89" s="130">
        <f>B88*B5*100*B81*100</f>
        <v>3.5273253659247135</v>
      </c>
      <c r="C89" s="131" t="s">
        <v>173</v>
      </c>
      <c r="D89" s="162" t="s">
        <v>178</v>
      </c>
      <c r="E89" s="309">
        <f>0.0018*B5*100*B6*100/(B5*100*2+B6*2*100)</f>
        <v>6.9677419354838718E-2</v>
      </c>
      <c r="F89" s="310"/>
      <c r="G89" s="129" t="s">
        <v>172</v>
      </c>
      <c r="H89" s="130">
        <f>H88*B5*100*B81*100</f>
        <v>6.1925243047024656</v>
      </c>
      <c r="I89" s="131" t="s">
        <v>173</v>
      </c>
      <c r="J89" s="162" t="s">
        <v>178</v>
      </c>
      <c r="K89" s="309">
        <f>0.0018*B5*100*B6*100/(B5*100*2+B6*2*100)</f>
        <v>6.9677419354838718E-2</v>
      </c>
      <c r="L89" s="310"/>
      <c r="M89" s="311"/>
      <c r="N89" s="311"/>
    </row>
    <row r="90" spans="1:26" x14ac:dyDescent="0.3">
      <c r="A90" s="312" t="s">
        <v>174</v>
      </c>
      <c r="B90" s="175">
        <v>5</v>
      </c>
      <c r="C90" s="121" t="s">
        <v>175</v>
      </c>
      <c r="D90" s="162" t="s">
        <v>260</v>
      </c>
      <c r="E90" s="309">
        <f>E89*B5*100</f>
        <v>11.148387096774195</v>
      </c>
      <c r="F90" s="308"/>
      <c r="G90" s="312" t="s">
        <v>174</v>
      </c>
      <c r="H90" s="175">
        <v>5</v>
      </c>
      <c r="I90" s="121" t="s">
        <v>175</v>
      </c>
      <c r="J90" s="162" t="s">
        <v>260</v>
      </c>
      <c r="K90" s="309">
        <f>K89*B5*100</f>
        <v>11.148387096774195</v>
      </c>
      <c r="L90" s="308"/>
      <c r="M90" s="111"/>
      <c r="N90" s="111"/>
    </row>
    <row r="91" spans="1:26" ht="15.6" x14ac:dyDescent="0.3">
      <c r="A91" s="129" t="s">
        <v>176</v>
      </c>
      <c r="B91" s="177">
        <f>ROUNDUP(B89/(VLOOKUP($B$90,AD6:AE22,2)/100),0)</f>
        <v>2</v>
      </c>
      <c r="C91" s="124" t="s">
        <v>177</v>
      </c>
      <c r="D91" s="111"/>
      <c r="E91" s="111"/>
      <c r="F91" s="308"/>
      <c r="G91" s="129" t="s">
        <v>176</v>
      </c>
      <c r="H91" s="177">
        <f>ROUNDUP(H89/(VLOOKUP($H$90,AD6:AE22,2)/100),0)</f>
        <v>4</v>
      </c>
      <c r="I91" s="124" t="s">
        <v>177</v>
      </c>
      <c r="J91" s="111"/>
      <c r="K91" s="111"/>
      <c r="L91" s="308"/>
      <c r="M91" s="111"/>
      <c r="N91" s="111"/>
      <c r="P91" s="313" t="s">
        <v>261</v>
      </c>
      <c r="Q91" s="313">
        <f>E33*B6*100</f>
        <v>10.451612903225808</v>
      </c>
    </row>
    <row r="92" spans="1:26" ht="15.6" x14ac:dyDescent="0.3">
      <c r="A92" s="312" t="s">
        <v>262</v>
      </c>
      <c r="B92" s="314">
        <v>7</v>
      </c>
      <c r="C92" s="315" t="s">
        <v>180</v>
      </c>
      <c r="D92" s="316" t="str">
        <f>IF(D63="Requiere refuerzo",IF(B89+'Refuerzo Viga Cabezal_CCP-14'!$H$63/2&gt;B93,"Sumar el diseño a torsion","Usar refuerzo de fisuracion sin sumar torsion"),IF(B93&gt;'Refuerzo Viga Cabezal_CCP-14'!B58,"Reemplazar Refuerzo de Piel","Usar refuerzo de piel"))</f>
        <v>Reemplazar Refuerzo de Piel</v>
      </c>
      <c r="E92" s="316"/>
      <c r="F92" s="308"/>
      <c r="G92" s="312" t="s">
        <v>263</v>
      </c>
      <c r="H92" s="314">
        <f t="shared" ref="H92" si="0">+B92</f>
        <v>7</v>
      </c>
      <c r="I92" s="315" t="s">
        <v>180</v>
      </c>
      <c r="J92" s="316" t="str">
        <f>IF(D63="Requiere refuerzo",IF(H89+'Refuerzo Viga Cabezal_CCP-14'!$H$63/2&gt;H93,"Sumar el diseño a torsion","Usar refuerzo de fisuracion sin sumar torsion"),IF(H93&gt;'Refuerzo Viga Cabezal_CCP-14'!B58,"Reemplazar Refuerzo de Piel","Usar refuerzo de piel"))</f>
        <v>Reemplazar Refuerzo de Piel</v>
      </c>
      <c r="K92" s="316"/>
      <c r="L92" s="308"/>
      <c r="M92" s="111"/>
      <c r="N92" s="111"/>
    </row>
    <row r="93" spans="1:26" ht="16.2" x14ac:dyDescent="0.3">
      <c r="A93" s="129" t="s">
        <v>182</v>
      </c>
      <c r="B93" s="130">
        <f>B92*VLOOKUP($B$90,AD6:AF22,2)/100</f>
        <v>13.93</v>
      </c>
      <c r="C93" s="317" t="s">
        <v>183</v>
      </c>
      <c r="D93" s="83" t="str">
        <f>IF(B93&gt;E90,"Cumple","Aumentar area de refuerzo")</f>
        <v>Cumple</v>
      </c>
      <c r="E93" s="83"/>
      <c r="F93" s="308"/>
      <c r="G93" s="129" t="s">
        <v>264</v>
      </c>
      <c r="H93" s="130">
        <f>H92*VLOOKUP($H$90,AD6:AF22,2)/100</f>
        <v>13.93</v>
      </c>
      <c r="I93" s="317" t="s">
        <v>183</v>
      </c>
      <c r="J93" s="83" t="str">
        <f>IF(H93&gt;K90,"Cumple","Aumentar area de refuerzo")</f>
        <v>Cumple</v>
      </c>
      <c r="K93" s="83"/>
      <c r="L93" s="308"/>
      <c r="M93" s="111"/>
      <c r="N93" s="111"/>
    </row>
    <row r="94" spans="1:26" ht="15.6" x14ac:dyDescent="0.3">
      <c r="A94" s="167" t="s">
        <v>184</v>
      </c>
      <c r="B94" s="169">
        <f>B93/10000/(B5*B81)</f>
        <v>5.6940810987573566E-4</v>
      </c>
      <c r="C94" s="318" t="s">
        <v>185</v>
      </c>
      <c r="D94" s="86" t="str">
        <f>IF(AND(B94&gt;=B88,B94&lt;B86),"Cumple por momento de fisuración",IF(B94&gt;=B86,"Cumple","No Cumple"))</f>
        <v>Cumple</v>
      </c>
      <c r="E94" s="86"/>
      <c r="F94" s="189"/>
      <c r="G94" s="167" t="s">
        <v>265</v>
      </c>
      <c r="H94" s="169">
        <f>H93/10000/(B5*B81)</f>
        <v>5.6940810987573566E-4</v>
      </c>
      <c r="I94" s="318" t="s">
        <v>185</v>
      </c>
      <c r="J94" s="86" t="str">
        <f>IF(AND(H94&gt;=H88,H94&lt;H86),"Cumple por momento de fisuración",IF(H94&gt;=H86,"Cumple","No Cumple"))</f>
        <v>Cumple</v>
      </c>
      <c r="K94" s="86"/>
      <c r="L94" s="189"/>
      <c r="M94" s="101"/>
      <c r="N94" s="101"/>
    </row>
    <row r="95" spans="1:26" ht="15.6" x14ac:dyDescent="0.3">
      <c r="A95" s="129" t="s">
        <v>186</v>
      </c>
      <c r="B95" s="130">
        <f>ROUNDUP(123*1/((1+B13/(0.7*($B$6-B13)))*$B$10*0.6)-2*B13,2)</f>
        <v>0.37</v>
      </c>
      <c r="C95" s="317" t="s">
        <v>187</v>
      </c>
      <c r="D95" s="101" t="str">
        <f>IF(B96&lt;=B95,"Cumple","No Cumple")</f>
        <v>Cumple</v>
      </c>
      <c r="E95" s="101"/>
      <c r="F95" s="195"/>
      <c r="G95" s="129" t="s">
        <v>186</v>
      </c>
      <c r="H95" s="130">
        <f>ROUNDUP(123*1/((1+B13/(0.7*($B$6-B13)))*$B$10*0.6)-2*B13,2)</f>
        <v>0.37</v>
      </c>
      <c r="I95" s="317" t="s">
        <v>187</v>
      </c>
      <c r="J95" s="101" t="str">
        <f>IF(H96&lt;=H95,"Cumple","No Cumple")</f>
        <v>Cumple</v>
      </c>
      <c r="K95" s="101"/>
      <c r="L95" s="195"/>
      <c r="M95" s="101"/>
      <c r="N95" s="101"/>
    </row>
    <row r="96" spans="1:26" x14ac:dyDescent="0.3">
      <c r="A96" s="196" t="s">
        <v>188</v>
      </c>
      <c r="B96" s="197">
        <f>ROUND((B5-2*B13-VLOOKUP(B90,AD6:AF22,3)/1000-2*VLOOKUP(B113,AD6:AF22,3)/1000)/(B92-1),2)</f>
        <v>0.24</v>
      </c>
      <c r="C96" s="319" t="s">
        <v>189</v>
      </c>
      <c r="D96" s="101" t="str">
        <f>IF(B96&gt;=0.0254+VLOOKUP(B90,AD6:AF22,3)/1000,"Cumple","No Cumple")</f>
        <v>Cumple</v>
      </c>
      <c r="F96" s="107"/>
      <c r="G96" s="196" t="s">
        <v>188</v>
      </c>
      <c r="H96" s="197">
        <f>ROUND((B5-2*B13-VLOOKUP(H90,AD6:AF22,3)/1000-2*VLOOKUP(B113,AD6:AF22,3)/1000)/(H92-1),2)</f>
        <v>0.24</v>
      </c>
      <c r="I96" s="319" t="s">
        <v>189</v>
      </c>
      <c r="J96" s="101" t="str">
        <f>IF(H96&gt;=0.0254+VLOOKUP(H90,AD6:AF22,3)/1000,"Cumple","No Cumple")</f>
        <v>Cumple</v>
      </c>
      <c r="L96" s="107"/>
    </row>
    <row r="97" spans="1:14" x14ac:dyDescent="0.3">
      <c r="A97" s="201" t="s">
        <v>190</v>
      </c>
      <c r="B97" s="202">
        <v>0.24</v>
      </c>
      <c r="C97" s="203" t="s">
        <v>191</v>
      </c>
      <c r="D97" s="101"/>
      <c r="F97" s="107"/>
      <c r="G97" s="201" t="s">
        <v>190</v>
      </c>
      <c r="H97" s="202">
        <v>0.24</v>
      </c>
      <c r="I97" s="203" t="s">
        <v>191</v>
      </c>
      <c r="J97" s="101"/>
      <c r="L97" s="107"/>
    </row>
    <row r="98" spans="1:14" x14ac:dyDescent="0.3">
      <c r="A98" s="208" t="s">
        <v>194</v>
      </c>
      <c r="B98" s="209"/>
      <c r="C98" s="209"/>
      <c r="D98" s="209"/>
      <c r="E98" s="209"/>
      <c r="F98" s="210"/>
      <c r="G98" s="208" t="s">
        <v>194</v>
      </c>
      <c r="H98" s="209"/>
      <c r="I98" s="209"/>
      <c r="J98" s="209"/>
      <c r="K98" s="209"/>
      <c r="L98" s="210"/>
      <c r="M98" s="139"/>
      <c r="N98" s="139"/>
    </row>
    <row r="99" spans="1:14" ht="15.6" x14ac:dyDescent="0.3">
      <c r="A99" s="213" t="s">
        <v>195</v>
      </c>
      <c r="B99" s="214">
        <f>(B93*B10*100)/(0.85*B7*B5*1000)/10</f>
        <v>1.5363970588235292</v>
      </c>
      <c r="C99" s="131" t="s">
        <v>196</v>
      </c>
      <c r="F99" s="107"/>
      <c r="G99" s="213" t="s">
        <v>195</v>
      </c>
      <c r="H99" s="214">
        <f>(H93*B10*100)/(0.85*B7*B5*1000)/10</f>
        <v>1.5363970588235292</v>
      </c>
      <c r="I99" s="131" t="s">
        <v>196</v>
      </c>
      <c r="L99" s="107"/>
    </row>
    <row r="100" spans="1:14" x14ac:dyDescent="0.3">
      <c r="A100" s="216" t="s">
        <v>197</v>
      </c>
      <c r="B100" s="217">
        <f>B99/B14</f>
        <v>0.46830927796061439</v>
      </c>
      <c r="C100" s="131" t="s">
        <v>198</v>
      </c>
      <c r="F100" s="107"/>
      <c r="G100" s="216" t="s">
        <v>197</v>
      </c>
      <c r="H100" s="217">
        <f>H99/B14</f>
        <v>0.46830927796061439</v>
      </c>
      <c r="I100" s="131" t="s">
        <v>198</v>
      </c>
      <c r="L100" s="107"/>
    </row>
    <row r="101" spans="1:14" x14ac:dyDescent="0.3">
      <c r="A101" s="216" t="s">
        <v>199</v>
      </c>
      <c r="B101" s="218">
        <f>B100/(B81*100)</f>
        <v>3.0628468146541169E-3</v>
      </c>
      <c r="C101" s="131"/>
      <c r="D101" s="101" t="str">
        <f>IF(B101&lt;=0.375,"Cumple","No Cumple")</f>
        <v>Cumple</v>
      </c>
      <c r="E101" s="219"/>
      <c r="F101" s="107"/>
      <c r="G101" s="216" t="s">
        <v>199</v>
      </c>
      <c r="H101" s="218">
        <f>H100/(B81*100)</f>
        <v>3.0628468146541169E-3</v>
      </c>
      <c r="I101" s="131"/>
      <c r="J101" s="101" t="str">
        <f>IF(H101&lt;=0.375,"Cumple","No Cumple")</f>
        <v>Cumple</v>
      </c>
      <c r="K101" s="219"/>
      <c r="L101" s="107"/>
    </row>
    <row r="102" spans="1:14" ht="15.6" x14ac:dyDescent="0.3">
      <c r="A102" s="320" t="s">
        <v>200</v>
      </c>
      <c r="B102" s="220">
        <f>0.003*(B81*100-B100)/B100</f>
        <v>0.97648091482948862</v>
      </c>
      <c r="C102" s="131"/>
      <c r="D102" s="101" t="str">
        <f>IF(B102&gt;=0.005,"Cumple","No Cumple")</f>
        <v>Cumple</v>
      </c>
      <c r="F102" s="107"/>
      <c r="G102" s="320" t="s">
        <v>200</v>
      </c>
      <c r="H102" s="220">
        <f>0.003*(B81*100-H100)/H100</f>
        <v>0.97648091482948862</v>
      </c>
      <c r="I102" s="131"/>
      <c r="J102" s="101" t="str">
        <f>IF(H102&gt;=0.005,"Cumple","No Cumple")</f>
        <v>Cumple</v>
      </c>
      <c r="L102" s="107"/>
    </row>
    <row r="103" spans="1:14" x14ac:dyDescent="0.3">
      <c r="A103" s="216" t="s">
        <v>203</v>
      </c>
      <c r="B103" s="217">
        <f>B12*B10*(B93*(B81*100-B99/2))*1000/10000000</f>
        <v>80.105608591544097</v>
      </c>
      <c r="C103" s="131" t="s">
        <v>202</v>
      </c>
      <c r="D103" s="101" t="str">
        <f>IF(B103&gt;=B77,"Cumple","No Cumple")</f>
        <v>Cumple</v>
      </c>
      <c r="F103" s="107"/>
      <c r="G103" s="216" t="s">
        <v>203</v>
      </c>
      <c r="H103" s="217">
        <f>B12*B10*(H93*(B81*100-H99/2))*1000/10000000</f>
        <v>80.105608591544097</v>
      </c>
      <c r="I103" s="131" t="s">
        <v>202</v>
      </c>
      <c r="J103" s="101" t="str">
        <f>IF(H103&gt;=B78,"Cumple","No Cumple")</f>
        <v>Cumple</v>
      </c>
      <c r="L103" s="107"/>
    </row>
    <row r="104" spans="1:14" ht="15" thickBot="1" x14ac:dyDescent="0.35">
      <c r="A104" s="229"/>
      <c r="B104" s="230"/>
      <c r="C104" s="321"/>
      <c r="D104" s="322"/>
      <c r="E104" s="232"/>
      <c r="F104" s="233"/>
      <c r="G104" s="229"/>
      <c r="H104" s="230"/>
      <c r="I104" s="321"/>
      <c r="J104" s="322"/>
      <c r="K104" s="232"/>
      <c r="L104" s="233"/>
    </row>
    <row r="105" spans="1:14" ht="15" thickBot="1" x14ac:dyDescent="0.35">
      <c r="A105" s="128"/>
      <c r="B105" s="102"/>
      <c r="F105" s="107"/>
    </row>
    <row r="106" spans="1:14" x14ac:dyDescent="0.3">
      <c r="A106" s="241" t="s">
        <v>224</v>
      </c>
      <c r="B106" s="242"/>
      <c r="C106" s="242"/>
      <c r="D106" s="242"/>
      <c r="E106" s="242"/>
      <c r="F106" s="243"/>
      <c r="G106" s="151"/>
      <c r="H106" s="151"/>
      <c r="I106" s="151"/>
      <c r="J106" s="151"/>
      <c r="K106" s="151"/>
      <c r="L106" s="151"/>
      <c r="M106" s="151"/>
      <c r="N106" s="151"/>
    </row>
    <row r="107" spans="1:14" x14ac:dyDescent="0.3">
      <c r="A107" s="247" t="s">
        <v>213</v>
      </c>
      <c r="B107" s="275">
        <v>0.9</v>
      </c>
      <c r="C107" s="276" t="s">
        <v>226</v>
      </c>
      <c r="F107" s="107"/>
    </row>
    <row r="108" spans="1:14" x14ac:dyDescent="0.3">
      <c r="A108" s="216" t="s">
        <v>228</v>
      </c>
      <c r="B108" s="217">
        <f>(B107*0.17*SQRT(B7)*B5*B81*1000000)/10000</f>
        <v>198.06051982608551</v>
      </c>
      <c r="C108" s="251" t="s">
        <v>229</v>
      </c>
      <c r="F108" s="282"/>
      <c r="G108" s="283"/>
      <c r="H108" s="283"/>
      <c r="I108" s="283"/>
      <c r="J108" s="283"/>
      <c r="K108" s="283"/>
      <c r="L108" s="283"/>
      <c r="M108" s="283"/>
      <c r="N108" s="283"/>
    </row>
    <row r="109" spans="1:14" ht="15.6" x14ac:dyDescent="0.3">
      <c r="A109" s="216" t="s">
        <v>231</v>
      </c>
      <c r="B109" s="217">
        <f>IF(B76-B108&gt;0,B76-B108,0)</f>
        <v>0</v>
      </c>
      <c r="C109" s="251" t="s">
        <v>232</v>
      </c>
      <c r="D109" s="253" t="str">
        <f>IF(B109&gt;B110,"Aumentar dimesiones",IF(B109=0,"No requiere estribos - Usar refuerzo mínimo","Cumple"))</f>
        <v>No requiere estribos - Usar refuerzo mínimo</v>
      </c>
      <c r="E109" s="254"/>
      <c r="F109" s="107"/>
    </row>
    <row r="110" spans="1:14" ht="15.6" x14ac:dyDescent="0.3">
      <c r="A110" s="216" t="s">
        <v>234</v>
      </c>
      <c r="B110" s="217">
        <f>(B107*0.66*SQRT(B7)*B5*B81*1000000)/10000</f>
        <v>768.94084167774372</v>
      </c>
      <c r="C110" s="251" t="s">
        <v>235</v>
      </c>
      <c r="D110" s="259"/>
      <c r="E110" s="260"/>
      <c r="F110" s="107"/>
    </row>
    <row r="111" spans="1:14" ht="15.6" x14ac:dyDescent="0.3">
      <c r="A111" s="216" t="s">
        <v>237</v>
      </c>
      <c r="B111" s="217">
        <f>(B107*0.35*B5*B81*1000000)/10000</f>
        <v>77.061599999999999</v>
      </c>
      <c r="C111" s="251" t="s">
        <v>238</v>
      </c>
      <c r="D111" s="166"/>
      <c r="F111" s="107"/>
    </row>
    <row r="112" spans="1:14" ht="15.6" x14ac:dyDescent="0.3">
      <c r="A112" s="216" t="s">
        <v>240</v>
      </c>
      <c r="B112" s="217">
        <f>MAX(B111,B109)</f>
        <v>77.061599999999999</v>
      </c>
      <c r="C112" s="251" t="s">
        <v>241</v>
      </c>
      <c r="D112" s="166"/>
      <c r="F112" s="107"/>
    </row>
    <row r="113" spans="1:28" x14ac:dyDescent="0.3">
      <c r="A113" s="286" t="s">
        <v>174</v>
      </c>
      <c r="B113" s="287">
        <v>4</v>
      </c>
      <c r="C113" s="176" t="s">
        <v>175</v>
      </c>
      <c r="F113" s="107"/>
    </row>
    <row r="114" spans="1:28" x14ac:dyDescent="0.3">
      <c r="A114" s="288" t="s">
        <v>244</v>
      </c>
      <c r="B114" s="289">
        <v>4</v>
      </c>
      <c r="C114" s="176" t="s">
        <v>245</v>
      </c>
      <c r="F114" s="107"/>
    </row>
    <row r="115" spans="1:28" ht="16.2" x14ac:dyDescent="0.3">
      <c r="A115" s="129" t="s">
        <v>248</v>
      </c>
      <c r="B115" s="290">
        <f>B114*VLOOKUP($B$113,AD6:AF22,2)/100</f>
        <v>5.16</v>
      </c>
      <c r="C115" s="251" t="s">
        <v>183</v>
      </c>
      <c r="F115" s="107"/>
    </row>
    <row r="116" spans="1:28" x14ac:dyDescent="0.3">
      <c r="A116" s="129" t="s">
        <v>188</v>
      </c>
      <c r="B116" s="130">
        <f>(ROUNDDOWN(MIN(B107*B115*100*B10*B81*1000/B112/10000,B115*100*B10/(0.35*B5*1000),300,IF(B76&lt;B108+(B112/2),B81*1000/2,B81*1000/2)),0))/1000</f>
        <v>0.3</v>
      </c>
      <c r="C116" s="291" t="s">
        <v>189</v>
      </c>
      <c r="D116" s="292" t="str">
        <f>IF(OR(B116&gt;=0.1,B113=0),"Cumple","No Cumple")</f>
        <v>Cumple</v>
      </c>
      <c r="F116" s="107"/>
    </row>
    <row r="117" spans="1:28" ht="15" thickBot="1" x14ac:dyDescent="0.35">
      <c r="A117" s="323" t="s">
        <v>190</v>
      </c>
      <c r="B117" s="324">
        <v>0.3</v>
      </c>
      <c r="C117" s="325" t="s">
        <v>252</v>
      </c>
      <c r="D117" s="322"/>
      <c r="E117" s="232"/>
      <c r="F117" s="233"/>
    </row>
    <row r="118" spans="1:28" x14ac:dyDescent="0.3">
      <c r="C118" s="142"/>
    </row>
    <row r="119" spans="1:28" ht="15" thickBot="1" x14ac:dyDescent="0.35">
      <c r="A119" s="326" t="s">
        <v>266</v>
      </c>
      <c r="B119" s="142" t="s">
        <v>267</v>
      </c>
      <c r="C119" s="142" t="s">
        <v>164</v>
      </c>
    </row>
    <row r="120" spans="1:28" ht="15" thickBot="1" x14ac:dyDescent="0.35">
      <c r="A120" s="327" t="s">
        <v>268</v>
      </c>
      <c r="B120" s="328"/>
      <c r="C120" s="328"/>
      <c r="D120" s="328"/>
      <c r="E120" s="328"/>
      <c r="F120" s="328"/>
      <c r="G120" s="329"/>
    </row>
    <row r="121" spans="1:28" x14ac:dyDescent="0.3">
      <c r="A121" s="330" t="s">
        <v>269</v>
      </c>
      <c r="B121" s="331"/>
      <c r="C121" s="330" t="s">
        <v>270</v>
      </c>
      <c r="D121" s="331"/>
      <c r="E121" s="332" t="s">
        <v>271</v>
      </c>
      <c r="F121" s="333"/>
      <c r="G121" s="334"/>
      <c r="AB121" s="111"/>
    </row>
    <row r="122" spans="1:28" ht="15" customHeight="1" x14ac:dyDescent="0.3">
      <c r="A122" s="335" t="s">
        <v>174</v>
      </c>
      <c r="B122" s="336">
        <f>B32</f>
        <v>8</v>
      </c>
      <c r="C122" s="335" t="s">
        <v>174</v>
      </c>
      <c r="D122" s="337">
        <f>IF(AND(D92="reemplazar refuerzo de piel",E1=0),B90,B54)</f>
        <v>5</v>
      </c>
      <c r="E122" s="338" t="s">
        <v>174</v>
      </c>
      <c r="F122" s="339"/>
      <c r="G122" s="336">
        <f>B67</f>
        <v>4</v>
      </c>
      <c r="J122" s="13" t="str">
        <f>CONCATENATE(A119,G122,B119,(ROUND(G124,2)),C119)</f>
        <v>#4@0.3m</v>
      </c>
      <c r="K122" s="13"/>
      <c r="AB122" s="111"/>
    </row>
    <row r="123" spans="1:28" x14ac:dyDescent="0.3">
      <c r="A123" s="335" t="s">
        <v>272</v>
      </c>
      <c r="B123" s="337">
        <f>B34</f>
        <v>5</v>
      </c>
      <c r="C123" s="335" t="s">
        <v>272</v>
      </c>
      <c r="D123" s="337">
        <f>IF(AND(D92="reemplazar refuerzo de piel",E1=0),B92,B57)</f>
        <v>7</v>
      </c>
      <c r="E123" s="335" t="s">
        <v>244</v>
      </c>
      <c r="F123" s="261"/>
      <c r="G123" s="336">
        <f>B68</f>
        <v>4</v>
      </c>
      <c r="AB123" s="111"/>
    </row>
    <row r="124" spans="1:28" ht="15" thickBot="1" x14ac:dyDescent="0.35">
      <c r="A124" s="340" t="s">
        <v>273</v>
      </c>
      <c r="B124" s="341">
        <f>B39</f>
        <v>0.3</v>
      </c>
      <c r="C124" s="340" t="s">
        <v>273</v>
      </c>
      <c r="D124" s="341">
        <f>IF(AND(D92="reemplazar refuerzo de piel",E1=0),B97,B56)</f>
        <v>0.24</v>
      </c>
      <c r="E124" s="340" t="s">
        <v>273</v>
      </c>
      <c r="F124" s="342"/>
      <c r="G124" s="341">
        <f>B70</f>
        <v>0.3</v>
      </c>
    </row>
    <row r="125" spans="1:28" ht="15" customHeight="1" thickBot="1" x14ac:dyDescent="0.35">
      <c r="A125" s="343"/>
      <c r="B125" s="344" t="str">
        <f>CONCATENATE(B123,A119,B122,B119,B124,C119)</f>
        <v>5#8@0.3m</v>
      </c>
      <c r="C125" s="261"/>
      <c r="D125" s="344" t="str">
        <f>CONCATENATE(D123,A119,D122,B119,(ROUND(D124,2)),C119)</f>
        <v>7#5@0.24m</v>
      </c>
      <c r="E125" s="261"/>
      <c r="F125" s="261"/>
      <c r="G125" s="261"/>
    </row>
    <row r="126" spans="1:28" x14ac:dyDescent="0.3">
      <c r="A126" s="330" t="s">
        <v>274</v>
      </c>
      <c r="B126" s="331"/>
      <c r="C126" s="330" t="s">
        <v>275</v>
      </c>
      <c r="D126" s="331"/>
      <c r="E126" s="332" t="s">
        <v>276</v>
      </c>
      <c r="F126" s="333"/>
      <c r="G126" s="334"/>
    </row>
    <row r="127" spans="1:28" x14ac:dyDescent="0.3">
      <c r="A127" s="335" t="s">
        <v>174</v>
      </c>
      <c r="B127" s="336">
        <f>H32</f>
        <v>8</v>
      </c>
      <c r="C127" s="335" t="s">
        <v>174</v>
      </c>
      <c r="D127" s="337">
        <f>IF(AND(J92="reemplazar refuerzo de piel",E1=0),H90,B54)</f>
        <v>5</v>
      </c>
      <c r="E127" s="338" t="s">
        <v>174</v>
      </c>
      <c r="F127" s="339"/>
      <c r="G127" s="336">
        <f>IF(E1=1,B67,B113)</f>
        <v>4</v>
      </c>
    </row>
    <row r="128" spans="1:28" x14ac:dyDescent="0.3">
      <c r="A128" s="335" t="s">
        <v>272</v>
      </c>
      <c r="B128" s="337">
        <f>H34</f>
        <v>5</v>
      </c>
      <c r="C128" s="335" t="s">
        <v>272</v>
      </c>
      <c r="D128" s="337">
        <f>IF(AND(J92="reemplazar refuerzo de piel",E1=0),H92,B57)</f>
        <v>7</v>
      </c>
      <c r="E128" s="335" t="s">
        <v>244</v>
      </c>
      <c r="F128" s="261"/>
      <c r="G128" s="336">
        <f>IF(E1=1,B68,B114)</f>
        <v>4</v>
      </c>
    </row>
    <row r="129" spans="1:7" ht="15" thickBot="1" x14ac:dyDescent="0.35">
      <c r="A129" s="340" t="s">
        <v>273</v>
      </c>
      <c r="B129" s="341">
        <f>H39</f>
        <v>0.3</v>
      </c>
      <c r="C129" s="340" t="s">
        <v>273</v>
      </c>
      <c r="D129" s="341">
        <f>IF(AND(J92="reemplazar refuerzo de piel",E1=0),H97,B56)</f>
        <v>0.24</v>
      </c>
      <c r="E129" s="340" t="s">
        <v>273</v>
      </c>
      <c r="F129" s="342"/>
      <c r="G129" s="341">
        <f>IF(E1=1,B70*2,B116)</f>
        <v>0.3</v>
      </c>
    </row>
    <row r="130" spans="1:7" x14ac:dyDescent="0.3">
      <c r="A130" s="345"/>
      <c r="B130" s="344" t="str">
        <f>CONCATENATE(B128,A119,B127,B119,B129,C119)</f>
        <v>5#8@0.3m</v>
      </c>
      <c r="C130" s="313"/>
      <c r="D130" s="344" t="str">
        <f>CONCATENATE(D128,A119,D127,B119,ROUND(D129,2),C119)</f>
        <v>7#5@0.24m</v>
      </c>
    </row>
    <row r="149" ht="15" customHeight="1" x14ac:dyDescent="0.3"/>
    <row r="175" ht="18" customHeight="1" x14ac:dyDescent="0.3"/>
    <row r="189" spans="16:16" x14ac:dyDescent="0.3">
      <c r="P189" s="283"/>
    </row>
  </sheetData>
  <mergeCells count="49">
    <mergeCell ref="J122:K122"/>
    <mergeCell ref="A126:B126"/>
    <mergeCell ref="C126:D126"/>
    <mergeCell ref="E126:G126"/>
    <mergeCell ref="A106:F106"/>
    <mergeCell ref="D109:E110"/>
    <mergeCell ref="A120:G120"/>
    <mergeCell ref="A121:B121"/>
    <mergeCell ref="C121:D121"/>
    <mergeCell ref="E121:G121"/>
    <mergeCell ref="D93:E93"/>
    <mergeCell ref="J93:K93"/>
    <mergeCell ref="D94:F94"/>
    <mergeCell ref="J94:L94"/>
    <mergeCell ref="A98:F98"/>
    <mergeCell ref="G98:L98"/>
    <mergeCell ref="A74:F74"/>
    <mergeCell ref="A80:F80"/>
    <mergeCell ref="G80:L80"/>
    <mergeCell ref="D82:E83"/>
    <mergeCell ref="J82:K83"/>
    <mergeCell ref="D92:E92"/>
    <mergeCell ref="J92:K92"/>
    <mergeCell ref="D53:E55"/>
    <mergeCell ref="J55:K56"/>
    <mergeCell ref="D56:D58"/>
    <mergeCell ref="E57:F58"/>
    <mergeCell ref="A60:F60"/>
    <mergeCell ref="D63:E64"/>
    <mergeCell ref="D36:F36"/>
    <mergeCell ref="J36:L36"/>
    <mergeCell ref="A40:F40"/>
    <mergeCell ref="G40:L40"/>
    <mergeCell ref="A48:F48"/>
    <mergeCell ref="A52:F52"/>
    <mergeCell ref="G52:L52"/>
    <mergeCell ref="A16:F16"/>
    <mergeCell ref="A22:F22"/>
    <mergeCell ref="G22:L22"/>
    <mergeCell ref="D24:E25"/>
    <mergeCell ref="J24:K25"/>
    <mergeCell ref="D35:E35"/>
    <mergeCell ref="J35:K35"/>
    <mergeCell ref="A4:F4"/>
    <mergeCell ref="AC4:AC5"/>
    <mergeCell ref="AD4:AD5"/>
    <mergeCell ref="AE4:AE5"/>
    <mergeCell ref="AF4:AF5"/>
    <mergeCell ref="AG4:AG5"/>
  </mergeCells>
  <conditionalFormatting sqref="D92">
    <cfRule type="cellIs" dxfId="385" priority="52" operator="equal">
      <formula>"Reemplazar Refuerzo de Piel"</formula>
    </cfRule>
  </conditionalFormatting>
  <conditionalFormatting sqref="D92:E92">
    <cfRule type="cellIs" dxfId="384" priority="51" operator="equal">
      <formula>"Usar refuerzo de piel"</formula>
    </cfRule>
  </conditionalFormatting>
  <conditionalFormatting sqref="A5:XFD14 AB117:XFD137 A1:O4 V1:XFD4 A15:O16 AA15:XFD16 G122:G124 A131:O1048576 A17:XFD22 A23:F46 M23:XFD46 G24:L46 G47:O48 A49:F72 M49:O72 G52:L72 A73:O80 M81:O104 P139:XFD1048576 AA138:XFD138 P47:XFD116 A81:F90 A120:A121 E121 A105:O119 A92:F104 A91 C91:F91 A125:G125 A122:E124 L122:O122 J122">
    <cfRule type="cellIs" dxfId="383" priority="48" operator="equal">
      <formula>"NO CUMPLE"</formula>
    </cfRule>
    <cfRule type="cellIs" dxfId="382" priority="49" operator="equal">
      <formula>"Aumentar area de refuerzo"</formula>
    </cfRule>
    <cfRule type="cellIs" dxfId="381" priority="50" operator="equal">
      <formula>"CUMPLE"</formula>
    </cfRule>
  </conditionalFormatting>
  <conditionalFormatting sqref="B127:B129 A130:G130 D127:D129">
    <cfRule type="cellIs" dxfId="380" priority="45" operator="equal">
      <formula>"NO CUMPLE"</formula>
    </cfRule>
    <cfRule type="cellIs" dxfId="379" priority="46" operator="equal">
      <formula>"Aumentar area de refuerzo"</formula>
    </cfRule>
    <cfRule type="cellIs" dxfId="378" priority="47" operator="equal">
      <formula>"CUMPLE"</formula>
    </cfRule>
  </conditionalFormatting>
  <conditionalFormatting sqref="P15:Z16">
    <cfRule type="cellIs" dxfId="377" priority="42" operator="equal">
      <formula>"NO CUMPLE"</formula>
    </cfRule>
    <cfRule type="cellIs" dxfId="376" priority="43" operator="equal">
      <formula>"Aumentar area de refuerzo"</formula>
    </cfRule>
    <cfRule type="cellIs" dxfId="375" priority="44" operator="equal">
      <formula>"CUMPLE"</formula>
    </cfRule>
  </conditionalFormatting>
  <conditionalFormatting sqref="G23:I23">
    <cfRule type="cellIs" dxfId="374" priority="39" operator="equal">
      <formula>"NO CUMPLE"</formula>
    </cfRule>
    <cfRule type="cellIs" dxfId="373" priority="40" operator="equal">
      <formula>"Aumentar area de refuerzo"</formula>
    </cfRule>
    <cfRule type="cellIs" dxfId="372" priority="41" operator="equal">
      <formula>"CUMPLE"</formula>
    </cfRule>
  </conditionalFormatting>
  <conditionalFormatting sqref="A48:F48">
    <cfRule type="cellIs" dxfId="371" priority="36" operator="equal">
      <formula>"NO CUMPLE"</formula>
    </cfRule>
    <cfRule type="cellIs" dxfId="370" priority="37" operator="equal">
      <formula>"Aumentar area de refuerzo"</formula>
    </cfRule>
    <cfRule type="cellIs" dxfId="369" priority="38" operator="equal">
      <formula>"CUMPLE"</formula>
    </cfRule>
  </conditionalFormatting>
  <conditionalFormatting sqref="J92">
    <cfRule type="cellIs" dxfId="368" priority="35" operator="equal">
      <formula>"Reemplazar Refuerzo de Piel"</formula>
    </cfRule>
  </conditionalFormatting>
  <conditionalFormatting sqref="J92:K92">
    <cfRule type="cellIs" dxfId="367" priority="34" operator="equal">
      <formula>"Usar refuerzo de piel"</formula>
    </cfRule>
  </conditionalFormatting>
  <conditionalFormatting sqref="G81:L89 G93:L104 J90:L92">
    <cfRule type="cellIs" dxfId="366" priority="31" operator="equal">
      <formula>"NO CUMPLE"</formula>
    </cfRule>
    <cfRule type="cellIs" dxfId="365" priority="32" operator="equal">
      <formula>"Aumentar area de refuerzo"</formula>
    </cfRule>
    <cfRule type="cellIs" dxfId="364" priority="33" operator="equal">
      <formula>"CUMPLE"</formula>
    </cfRule>
  </conditionalFormatting>
  <conditionalFormatting sqref="H120:O121 H123:O130 H122:I122">
    <cfRule type="cellIs" dxfId="363" priority="28" operator="equal">
      <formula>"NO CUMPLE"</formula>
    </cfRule>
    <cfRule type="cellIs" dxfId="362" priority="29" operator="equal">
      <formula>"Aumentar area de refuerzo"</formula>
    </cfRule>
    <cfRule type="cellIs" dxfId="361" priority="30" operator="equal">
      <formula>"CUMPLE"</formula>
    </cfRule>
  </conditionalFormatting>
  <conditionalFormatting sqref="C121">
    <cfRule type="cellIs" dxfId="360" priority="25" operator="equal">
      <formula>"NO CUMPLE"</formula>
    </cfRule>
    <cfRule type="cellIs" dxfId="359" priority="26" operator="equal">
      <formula>"Aumentar area de refuerzo"</formula>
    </cfRule>
    <cfRule type="cellIs" dxfId="358" priority="27" operator="equal">
      <formula>"CUMPLE"</formula>
    </cfRule>
  </conditionalFormatting>
  <conditionalFormatting sqref="A126">
    <cfRule type="cellIs" dxfId="357" priority="22" operator="equal">
      <formula>"NO CUMPLE"</formula>
    </cfRule>
    <cfRule type="cellIs" dxfId="356" priority="23" operator="equal">
      <formula>"Aumentar area de refuerzo"</formula>
    </cfRule>
    <cfRule type="cellIs" dxfId="355" priority="24" operator="equal">
      <formula>"CUMPLE"</formula>
    </cfRule>
  </conditionalFormatting>
  <conditionalFormatting sqref="B91">
    <cfRule type="cellIs" dxfId="354" priority="20" operator="equal">
      <formula>"CUMPLE"</formula>
    </cfRule>
    <cfRule type="cellIs" dxfId="353" priority="21" operator="equal">
      <formula>"NO CUMPLE"</formula>
    </cfRule>
  </conditionalFormatting>
  <conditionalFormatting sqref="B91">
    <cfRule type="cellIs" dxfId="352" priority="19" operator="equal">
      <formula>"Aumentar area de refuerzo"</formula>
    </cfRule>
  </conditionalFormatting>
  <conditionalFormatting sqref="G90:I90 G92:I92 G91 I91">
    <cfRule type="cellIs" dxfId="351" priority="16" operator="equal">
      <formula>"NO CUMPLE"</formula>
    </cfRule>
    <cfRule type="cellIs" dxfId="350" priority="17" operator="equal">
      <formula>"Aumentar area de refuerzo"</formula>
    </cfRule>
    <cfRule type="cellIs" dxfId="349" priority="18" operator="equal">
      <formula>"CUMPLE"</formula>
    </cfRule>
  </conditionalFormatting>
  <conditionalFormatting sqref="H91">
    <cfRule type="cellIs" dxfId="348" priority="14" operator="equal">
      <formula>"CUMPLE"</formula>
    </cfRule>
    <cfRule type="cellIs" dxfId="347" priority="15" operator="equal">
      <formula>"NO CUMPLE"</formula>
    </cfRule>
  </conditionalFormatting>
  <conditionalFormatting sqref="H91">
    <cfRule type="cellIs" dxfId="346" priority="13" operator="equal">
      <formula>"Aumentar area de refuerzo"</formula>
    </cfRule>
  </conditionalFormatting>
  <conditionalFormatting sqref="A127:A129">
    <cfRule type="cellIs" dxfId="345" priority="10" operator="equal">
      <formula>"NO CUMPLE"</formula>
    </cfRule>
    <cfRule type="cellIs" dxfId="344" priority="11" operator="equal">
      <formula>"Aumentar area de refuerzo"</formula>
    </cfRule>
    <cfRule type="cellIs" dxfId="343" priority="12" operator="equal">
      <formula>"CUMPLE"</formula>
    </cfRule>
  </conditionalFormatting>
  <conditionalFormatting sqref="C127:C129">
    <cfRule type="cellIs" dxfId="342" priority="7" operator="equal">
      <formula>"NO CUMPLE"</formula>
    </cfRule>
    <cfRule type="cellIs" dxfId="341" priority="8" operator="equal">
      <formula>"Aumentar area de refuerzo"</formula>
    </cfRule>
    <cfRule type="cellIs" dxfId="340" priority="9" operator="equal">
      <formula>"CUMPLE"</formula>
    </cfRule>
  </conditionalFormatting>
  <conditionalFormatting sqref="C126">
    <cfRule type="cellIs" dxfId="339" priority="4" operator="equal">
      <formula>"NO CUMPLE"</formula>
    </cfRule>
    <cfRule type="cellIs" dxfId="338" priority="5" operator="equal">
      <formula>"Aumentar area de refuerzo"</formula>
    </cfRule>
    <cfRule type="cellIs" dxfId="337" priority="6" operator="equal">
      <formula>"CUMPLE"</formula>
    </cfRule>
  </conditionalFormatting>
  <conditionalFormatting sqref="G127:G129 E126:E129">
    <cfRule type="cellIs" dxfId="336" priority="1" operator="equal">
      <formula>"NO CUMPLE"</formula>
    </cfRule>
    <cfRule type="cellIs" dxfId="335" priority="2" operator="equal">
      <formula>"Aumentar area de refuerzo"</formula>
    </cfRule>
    <cfRule type="cellIs" dxfId="334" priority="3" operator="equal">
      <formula>"CUMPLE"</formula>
    </cfRule>
  </conditionalFormatting>
  <dataValidations count="4">
    <dataValidation type="list" allowBlank="1" showInputMessage="1" showErrorMessage="1" sqref="B90 H90" xr:uid="{390BB11C-338C-42FD-A1B5-694C6862C66D}">
      <formula1>$AD$7:$AD$18</formula1>
    </dataValidation>
    <dataValidation type="list" allowBlank="1" showInputMessage="1" showErrorMessage="1" sqref="B32 B54 B67 H32 H64" xr:uid="{50D97898-5B82-4539-A535-C635082254A9}">
      <formula1>$AD$7:$AD$22</formula1>
    </dataValidation>
    <dataValidation type="list" allowBlank="1" showInputMessage="1" showErrorMessage="1" sqref="B113" xr:uid="{CB827322-FBFD-4000-A7B6-46EBAF19F960}">
      <formula1>$AD$6:$AD$22</formula1>
    </dataValidation>
    <dataValidation type="list" allowBlank="1" showInputMessage="1" showErrorMessage="1" sqref="B8" xr:uid="{31C22FF0-6D33-424C-A901-CE656FB45BB4}">
      <formula1>"Concreto normal,Concreto liviano"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5E31-02BC-4908-98D5-61D2A5530B8B}">
  <sheetPr codeName="Hoja1"/>
  <dimension ref="A1:AQ1011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20" sqref="L20"/>
    </sheetView>
  </sheetViews>
  <sheetFormatPr baseColWidth="10" defaultColWidth="11.44140625" defaultRowHeight="14.4" x14ac:dyDescent="0.3"/>
  <cols>
    <col min="1" max="1" width="9" style="1" customWidth="1"/>
    <col min="2" max="3" width="6.6640625" style="1" bestFit="1" customWidth="1"/>
    <col min="4" max="4" width="4.88671875" style="1" bestFit="1" customWidth="1"/>
    <col min="5" max="5" width="5.88671875" style="5" bestFit="1" customWidth="1"/>
    <col min="6" max="6" width="8.109375" style="3" customWidth="1"/>
    <col min="7" max="7" width="7.88671875" style="5" customWidth="1"/>
    <col min="8" max="8" width="5.109375" style="3" customWidth="1"/>
    <col min="9" max="9" width="9.88671875" style="4" customWidth="1"/>
    <col min="10" max="10" width="9.109375" style="3" customWidth="1"/>
    <col min="11" max="11" width="7.109375" style="4" bestFit="1" customWidth="1"/>
    <col min="12" max="12" width="7.88671875" style="4" customWidth="1"/>
    <col min="13" max="13" width="8.44140625" style="3" customWidth="1"/>
    <col min="14" max="14" width="6.33203125" style="1" bestFit="1" customWidth="1"/>
    <col min="15" max="15" width="7.5546875" style="1" bestFit="1" customWidth="1"/>
    <col min="16" max="16" width="5.6640625" style="1" bestFit="1" customWidth="1"/>
    <col min="17" max="17" width="8.44140625" style="1" bestFit="1" customWidth="1"/>
    <col min="18" max="18" width="8.109375" style="3" bestFit="1" customWidth="1"/>
    <col min="19" max="19" width="7.88671875" style="1" customWidth="1"/>
    <col min="20" max="20" width="7.5546875" style="2" bestFit="1" customWidth="1"/>
    <col min="21" max="21" width="7.6640625" style="1" bestFit="1" customWidth="1"/>
    <col min="22" max="22" width="9" style="1" bestFit="1" customWidth="1"/>
    <col min="23" max="23" width="8.6640625" style="1" customWidth="1"/>
    <col min="24" max="24" width="6.6640625" style="1" customWidth="1"/>
    <col min="25" max="25" width="5.6640625" style="1" bestFit="1" customWidth="1"/>
    <col min="26" max="26" width="7.33203125" style="1" customWidth="1"/>
    <col min="27" max="27" width="7.44140625" style="1" bestFit="1" customWidth="1"/>
    <col min="28" max="29" width="7.109375" style="1" bestFit="1" customWidth="1"/>
    <col min="30" max="30" width="9" style="1" bestFit="1" customWidth="1"/>
    <col min="31" max="31" width="7.109375" style="1" bestFit="1" customWidth="1"/>
    <col min="32" max="32" width="6.109375" style="1" customWidth="1"/>
    <col min="33" max="34" width="8.44140625" style="1" bestFit="1" customWidth="1"/>
    <col min="35" max="35" width="5.5546875" style="1" customWidth="1"/>
    <col min="36" max="36" width="4.88671875" style="1" bestFit="1" customWidth="1"/>
    <col min="37" max="37" width="6.44140625" style="1" customWidth="1"/>
    <col min="38" max="38" width="8.6640625" style="1" bestFit="1" customWidth="1"/>
    <col min="39" max="39" width="8.33203125" style="1" bestFit="1" customWidth="1"/>
    <col min="40" max="40" width="7.109375" style="1" bestFit="1" customWidth="1"/>
    <col min="41" max="41" width="7.33203125" style="1" customWidth="1"/>
    <col min="42" max="42" width="10.44140625" style="1" bestFit="1" customWidth="1"/>
    <col min="43" max="43" width="9" style="1" bestFit="1" customWidth="1"/>
    <col min="44" max="16384" width="11.44140625" style="1"/>
  </cols>
  <sheetData>
    <row r="1" spans="1:43" ht="15" customHeight="1" x14ac:dyDescent="0.3">
      <c r="B1" s="88" t="s">
        <v>98</v>
      </c>
      <c r="C1" s="88"/>
      <c r="D1" s="1">
        <v>0</v>
      </c>
      <c r="E1" s="86" t="s">
        <v>97</v>
      </c>
      <c r="F1" s="86"/>
      <c r="G1" s="86"/>
      <c r="H1" s="86"/>
      <c r="I1" s="1"/>
      <c r="J1" s="1"/>
      <c r="K1" s="1"/>
      <c r="L1" s="1"/>
      <c r="M1" s="1"/>
      <c r="N1" s="92" t="s">
        <v>96</v>
      </c>
      <c r="O1" s="91"/>
      <c r="P1" s="91"/>
      <c r="Q1" s="91"/>
      <c r="R1" s="91"/>
      <c r="S1" s="91"/>
      <c r="T1" s="91"/>
      <c r="U1" s="91"/>
      <c r="V1" s="90"/>
      <c r="W1" s="86" t="s">
        <v>95</v>
      </c>
      <c r="X1" s="83"/>
      <c r="Y1" s="83"/>
      <c r="Z1" s="83"/>
      <c r="AA1" s="83"/>
      <c r="AB1" s="83"/>
      <c r="AC1" s="83"/>
      <c r="AD1" s="83"/>
      <c r="AE1" s="84"/>
      <c r="AF1" s="86" t="s">
        <v>94</v>
      </c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</row>
    <row r="2" spans="1:43" ht="15" thickBot="1" x14ac:dyDescent="0.35">
      <c r="A2" s="89"/>
      <c r="B2" s="88" t="s">
        <v>93</v>
      </c>
      <c r="C2" s="88"/>
      <c r="D2" s="1">
        <v>1</v>
      </c>
      <c r="E2" s="86"/>
      <c r="F2" s="86"/>
      <c r="G2" s="86"/>
      <c r="H2" s="86"/>
      <c r="I2" s="1"/>
      <c r="J2" s="1"/>
      <c r="K2" s="1"/>
      <c r="L2" s="1"/>
      <c r="M2" s="1"/>
      <c r="N2" s="87"/>
      <c r="O2" s="86"/>
      <c r="P2" s="86"/>
      <c r="Q2" s="86"/>
      <c r="R2" s="86"/>
      <c r="S2" s="86"/>
      <c r="T2" s="86"/>
      <c r="U2" s="86"/>
      <c r="V2" s="85"/>
      <c r="W2" s="83"/>
      <c r="X2" s="83"/>
      <c r="Y2" s="83"/>
      <c r="Z2" s="83"/>
      <c r="AA2" s="83"/>
      <c r="AB2" s="83"/>
      <c r="AC2" s="83"/>
      <c r="AD2" s="83"/>
      <c r="AE2" s="84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 s="71" customFormat="1" ht="32.4" thickBot="1" x14ac:dyDescent="0.35">
      <c r="A3" s="82" t="s">
        <v>92</v>
      </c>
      <c r="B3" s="81" t="s">
        <v>91</v>
      </c>
      <c r="C3" s="79" t="s">
        <v>90</v>
      </c>
      <c r="D3" s="79" t="s">
        <v>89</v>
      </c>
      <c r="E3" s="79" t="s">
        <v>88</v>
      </c>
      <c r="F3" s="77" t="s">
        <v>87</v>
      </c>
      <c r="G3" s="79" t="s">
        <v>86</v>
      </c>
      <c r="H3" s="77" t="s">
        <v>85</v>
      </c>
      <c r="I3" s="77" t="s">
        <v>84</v>
      </c>
      <c r="J3" s="77" t="s">
        <v>83</v>
      </c>
      <c r="K3" s="77" t="s">
        <v>82</v>
      </c>
      <c r="L3" s="77" t="s">
        <v>81</v>
      </c>
      <c r="M3" s="77" t="s">
        <v>80</v>
      </c>
      <c r="N3" s="80" t="s">
        <v>79</v>
      </c>
      <c r="O3" s="77" t="s">
        <v>78</v>
      </c>
      <c r="P3" s="79" t="s">
        <v>70</v>
      </c>
      <c r="Q3" s="79" t="s">
        <v>77</v>
      </c>
      <c r="R3" s="77" t="s">
        <v>76</v>
      </c>
      <c r="S3" s="77" t="s">
        <v>75</v>
      </c>
      <c r="T3" s="78" t="s">
        <v>74</v>
      </c>
      <c r="U3" s="77" t="s">
        <v>73</v>
      </c>
      <c r="V3" s="76" t="s">
        <v>53</v>
      </c>
      <c r="W3" s="79" t="s">
        <v>72</v>
      </c>
      <c r="X3" s="77" t="s">
        <v>71</v>
      </c>
      <c r="Y3" s="79" t="s">
        <v>70</v>
      </c>
      <c r="Z3" s="77" t="s">
        <v>69</v>
      </c>
      <c r="AA3" s="78" t="s">
        <v>68</v>
      </c>
      <c r="AB3" s="77" t="s">
        <v>67</v>
      </c>
      <c r="AC3" s="77" t="s">
        <v>66</v>
      </c>
      <c r="AD3" s="76" t="s">
        <v>53</v>
      </c>
      <c r="AE3" s="75" t="s">
        <v>65</v>
      </c>
      <c r="AF3" s="74" t="s">
        <v>64</v>
      </c>
      <c r="AG3" s="73" t="s">
        <v>63</v>
      </c>
      <c r="AH3" s="72" t="s">
        <v>62</v>
      </c>
      <c r="AI3" s="73" t="s">
        <v>61</v>
      </c>
      <c r="AJ3" s="73" t="s">
        <v>60</v>
      </c>
      <c r="AK3" s="74" t="s">
        <v>59</v>
      </c>
      <c r="AL3" s="72" t="s">
        <v>58</v>
      </c>
      <c r="AM3" s="73" t="s">
        <v>57</v>
      </c>
      <c r="AN3" s="73" t="s">
        <v>56</v>
      </c>
      <c r="AO3" s="73" t="s">
        <v>55</v>
      </c>
      <c r="AP3" s="72" t="s">
        <v>54</v>
      </c>
      <c r="AQ3" s="72" t="s">
        <v>53</v>
      </c>
    </row>
    <row r="4" spans="1:43" ht="15" customHeight="1" x14ac:dyDescent="0.3">
      <c r="A4" s="70" t="s">
        <v>52</v>
      </c>
      <c r="B4" s="44">
        <v>1</v>
      </c>
      <c r="C4" s="1" t="s">
        <v>51</v>
      </c>
      <c r="D4" s="1">
        <v>1</v>
      </c>
      <c r="E4" s="5">
        <v>1</v>
      </c>
      <c r="F4" s="3">
        <f>E4</f>
        <v>1</v>
      </c>
      <c r="G4" s="5">
        <v>1.3</v>
      </c>
      <c r="H4" s="3">
        <f>PI()*(G4^2)/4</f>
        <v>1.3273228961416876</v>
      </c>
      <c r="I4" s="21">
        <v>1.3273E-2</v>
      </c>
      <c r="J4" s="20">
        <v>107.761</v>
      </c>
      <c r="K4" s="3">
        <v>138.08584567351573</v>
      </c>
      <c r="L4" s="20">
        <v>258.97111999999998</v>
      </c>
      <c r="M4" s="43">
        <v>152.3612</v>
      </c>
      <c r="N4" s="42">
        <f>I4/H4</f>
        <v>9.9998275013430862E-3</v>
      </c>
      <c r="O4" s="11">
        <f>I4*10000</f>
        <v>132.72999999999999</v>
      </c>
      <c r="P4" s="1">
        <v>10</v>
      </c>
      <c r="Q4" s="1">
        <v>1</v>
      </c>
      <c r="R4" s="3">
        <f>Q4*VLOOKUP(P4,[1]Datos!$A$2:$D$14,2)</f>
        <v>8.19</v>
      </c>
      <c r="S4" s="10">
        <f>ROUNDUP(O4/R4,0)</f>
        <v>17</v>
      </c>
      <c r="T4" s="2">
        <v>22</v>
      </c>
      <c r="U4" s="3">
        <f>ROUNDDOWN(PI()*(G4-0.185)/T4,2)</f>
        <v>0.15</v>
      </c>
      <c r="V4" s="41" t="str">
        <f>+IF(T4&gt;=S4,"Cumple","No cumple")</f>
        <v>Cumple</v>
      </c>
      <c r="W4" s="60">
        <v>280</v>
      </c>
      <c r="X4" s="61">
        <v>4</v>
      </c>
      <c r="Y4" s="60">
        <v>6</v>
      </c>
      <c r="Z4" s="59">
        <f>X4*VLOOKUP(Y4,[1]Datos!$A$2:$D$14,2)</f>
        <v>11.36</v>
      </c>
      <c r="AA4" s="58">
        <v>0.1</v>
      </c>
      <c r="AB4" s="57">
        <f>IF(D4=0,IF(AH4="",1,IF(J4&gt;0.1*W4*H4*10,1,J4/(0.1*W4*H4*10))),0)*0.9*0.53*SQRT(W4)*G4*MAX(0.72*G4,0.9*((G4/2)+((G4-0.11)/PI())))*10</f>
        <v>0</v>
      </c>
      <c r="AC4" s="57">
        <f>0.9*Z4*4220*MAX(0.72*G4,0.9*((G4/2)+((G4-0.11)/PI())))/AA4/1000</f>
        <v>403.83982079999993</v>
      </c>
      <c r="AD4" s="56" t="str">
        <f>+IF(AND(AC4&gt;K4-AB4,AA4&lt;=IF(K4&lt;0.125*W4*G4*MAX(0.72*G4,0.9*((G4/2)+((G4-0.11)/PI())))*10,MIN(0.6,0.8*MAX(0.72*G4,0.9*((G4/2)+((G4-0.11)/PI())))),MIN(0.3,0.4*MAX(0.72*G4,0.9*((G4/2)+((G4-0.11)/PI()))))),K4/0.9&lt;=0.25*W4*G4*MAX(0.72*G4,0.9*((G4/2)+((G4-0.11)/PI())))*10),"Cumple","No Cumple")</f>
        <v>Cumple</v>
      </c>
      <c r="AE4" s="55">
        <f>K4</f>
        <v>138.08584567351573</v>
      </c>
      <c r="AF4" s="5"/>
      <c r="AG4" s="7">
        <f>ROUNDUP(MAX(0.45,2*G4,),1)</f>
        <v>2.6</v>
      </c>
      <c r="AH4" s="3">
        <f>PI()*(G4-0.15)^2/4</f>
        <v>1.0386890710931256</v>
      </c>
      <c r="AI4" s="7">
        <f>G4-0.15-VLOOKUP(Y4,[2]Datos!$A$2:$D$14,3)/100</f>
        <v>1.1309000000000002</v>
      </c>
      <c r="AJ4" s="7">
        <f>SQRT((PI()*AI4)^2+AA4^2)</f>
        <v>3.5542341832640103</v>
      </c>
      <c r="AK4" s="1">
        <v>0.12</v>
      </c>
      <c r="AL4" s="16">
        <f>MAX(0.45*(H4/AH4-1),AK4)*(W4/4220)</f>
        <v>8.2969745294259878E-3</v>
      </c>
      <c r="AM4" s="7">
        <f>AG4*(AJ4/AA4)</f>
        <v>92.410088764864255</v>
      </c>
      <c r="AN4" s="17">
        <f>AM4*Z4/X4/10000</f>
        <v>2.6244465209221447E-2</v>
      </c>
      <c r="AO4" s="17">
        <f>AH4*AG4</f>
        <v>2.7005915848421265</v>
      </c>
      <c r="AP4" s="16">
        <f>AN4/AO4</f>
        <v>9.7180430230643967E-3</v>
      </c>
      <c r="AQ4" s="6" t="str">
        <f>+IF(AP4&gt;AL4,"Cumple","No Cumple")</f>
        <v>Cumple</v>
      </c>
    </row>
    <row r="5" spans="1:43" ht="15" customHeight="1" x14ac:dyDescent="0.3">
      <c r="A5" s="45"/>
      <c r="B5" s="44">
        <v>2</v>
      </c>
      <c r="C5" s="1" t="s">
        <v>50</v>
      </c>
      <c r="D5" s="1">
        <v>1</v>
      </c>
      <c r="E5" s="5">
        <v>1</v>
      </c>
      <c r="F5" s="3">
        <f>F4+E5</f>
        <v>2</v>
      </c>
      <c r="G5" s="5">
        <v>1.3</v>
      </c>
      <c r="H5" s="3">
        <f>PI()*(G5^2)/4</f>
        <v>1.3273228961416876</v>
      </c>
      <c r="I5" s="21">
        <v>1.8001E-2</v>
      </c>
      <c r="J5" s="20">
        <v>107.761</v>
      </c>
      <c r="K5" s="3">
        <v>127.06593083659365</v>
      </c>
      <c r="L5" s="20">
        <v>370.23581999999999</v>
      </c>
      <c r="M5" s="43">
        <v>91.147630000000007</v>
      </c>
      <c r="N5" s="42">
        <f>I5/H5</f>
        <v>1.3561884641880274E-2</v>
      </c>
      <c r="O5" s="11">
        <f>I5*10000</f>
        <v>180.01</v>
      </c>
      <c r="P5" s="1">
        <v>10</v>
      </c>
      <c r="Q5" s="1">
        <v>1</v>
      </c>
      <c r="R5" s="3">
        <f>Q5*VLOOKUP(P5,[1]Datos!$A$2:$D$14,2)</f>
        <v>8.19</v>
      </c>
      <c r="S5" s="10">
        <f>ROUNDUP(O5/R5,0)</f>
        <v>22</v>
      </c>
      <c r="T5" s="2">
        <v>22</v>
      </c>
      <c r="U5" s="3">
        <f>ROUNDDOWN(PI()*(G5-0.185)/T5,2)</f>
        <v>0.15</v>
      </c>
      <c r="V5" s="41" t="str">
        <f>+IF(T5&gt;=S5,"Cumple","No cumple")</f>
        <v>Cumple</v>
      </c>
      <c r="W5" s="1">
        <v>280</v>
      </c>
      <c r="X5" s="9">
        <v>4</v>
      </c>
      <c r="Y5" s="1">
        <v>6</v>
      </c>
      <c r="Z5" s="3">
        <f>X5*VLOOKUP(Y5,[1]Datos!$A$2:$D$14,2)</f>
        <v>11.36</v>
      </c>
      <c r="AA5" s="5">
        <v>0.1</v>
      </c>
      <c r="AB5" s="7">
        <f>IF(D5=0,IF(AH5="",1,IF(J5&gt;0.1*W5*H5*10,1,J5/(0.1*W5*H5*10))),0)*0.9*0.53*SQRT(W5)*G5*MAX(0.72*G5,0.9*((G5/2)+((G5-0.11)/PI())))*10</f>
        <v>0</v>
      </c>
      <c r="AC5" s="7">
        <f>0.9*Z5*4220*MAX(0.72*G5,0.9*((G5/2)+((G5-0.11)/PI())))/AA5/1000</f>
        <v>403.83982079999993</v>
      </c>
      <c r="AD5" s="6" t="str">
        <f>+IF(AND(AC5&gt;K5-AB5,AA5&lt;=IF(K5&lt;0.125*W5*G5*MAX(0.72*G5,0.9*((G5/2)+((G5-0.11)/PI())))*10,MIN(0.6,0.8*MAX(0.72*G5,0.9*((G5/2)+((G5-0.11)/PI())))),MIN(0.3,0.4*MAX(0.72*G5,0.9*((G5/2)+((G5-0.11)/PI()))))),K5/0.9&lt;=0.25*W5*G5*MAX(0.72*G5,0.9*((G5/2)+((G5-0.11)/PI())))*10),"Cumple","No Cumple")</f>
        <v>Cumple</v>
      </c>
      <c r="AE5" s="40">
        <f>K5</f>
        <v>127.06593083659365</v>
      </c>
      <c r="AF5" s="5"/>
      <c r="AG5" s="7">
        <f>ROUNDUP(MAX(0.45,2*G5,),1)</f>
        <v>2.6</v>
      </c>
      <c r="AH5" s="3">
        <f>PI()*(G5-0.15)^2/4</f>
        <v>1.0386890710931256</v>
      </c>
      <c r="AI5" s="7">
        <f>G5-0.15-VLOOKUP(Y5,[2]Datos!$A$2:$D$14,3)/100</f>
        <v>1.1309000000000002</v>
      </c>
      <c r="AJ5" s="7">
        <f>SQRT((PI()*AI5)^2+AA5^2)</f>
        <v>3.5542341832640103</v>
      </c>
      <c r="AK5" s="1">
        <v>0.12</v>
      </c>
      <c r="AL5" s="16">
        <f>MAX(0.45*(H5/AH5-1),AK5)*(W5/4220)</f>
        <v>8.2969745294259878E-3</v>
      </c>
      <c r="AM5" s="7">
        <f>AG5*(AJ5/AA5)</f>
        <v>92.410088764864255</v>
      </c>
      <c r="AN5" s="17">
        <f>AM5*Z5/X5/10000</f>
        <v>2.6244465209221447E-2</v>
      </c>
      <c r="AO5" s="17">
        <f>AH5*AG5</f>
        <v>2.7005915848421265</v>
      </c>
      <c r="AP5" s="16">
        <f>AN5/AO5</f>
        <v>9.7180430230643967E-3</v>
      </c>
      <c r="AQ5" s="6" t="str">
        <f>+IF(AP5&gt;AL5,"Cumple","No Cumple")</f>
        <v>Cumple</v>
      </c>
    </row>
    <row r="6" spans="1:43" ht="15" customHeight="1" x14ac:dyDescent="0.3">
      <c r="A6" s="45"/>
      <c r="B6" s="44">
        <v>3</v>
      </c>
      <c r="C6" s="1" t="s">
        <v>49</v>
      </c>
      <c r="D6" s="1">
        <v>1</v>
      </c>
      <c r="E6" s="5">
        <v>1</v>
      </c>
      <c r="F6" s="3">
        <f>F5+E6</f>
        <v>3</v>
      </c>
      <c r="G6" s="5">
        <v>1.3</v>
      </c>
      <c r="H6" s="3">
        <f>PI()*(G6^2)/4</f>
        <v>1.3273228961416876</v>
      </c>
      <c r="I6" s="21">
        <v>2.3917000000000001E-2</v>
      </c>
      <c r="J6" s="20">
        <v>107.761</v>
      </c>
      <c r="K6" s="3">
        <v>105.10557111480819</v>
      </c>
      <c r="L6" s="20">
        <v>473.68538999999998</v>
      </c>
      <c r="M6" s="43">
        <v>32.381860000000003</v>
      </c>
      <c r="N6" s="42">
        <f>I6/H6</f>
        <v>1.8018976444633662E-2</v>
      </c>
      <c r="O6" s="11">
        <f>I6*10000</f>
        <v>239.17000000000002</v>
      </c>
      <c r="P6" s="1">
        <v>10</v>
      </c>
      <c r="Q6" s="1">
        <v>1</v>
      </c>
      <c r="R6" s="3">
        <f>Q6*VLOOKUP(P6,[1]Datos!$A$2:$D$14,2)</f>
        <v>8.19</v>
      </c>
      <c r="S6" s="10">
        <f>ROUNDUP(O6/R6,0)</f>
        <v>30</v>
      </c>
      <c r="T6" s="54">
        <v>30</v>
      </c>
      <c r="U6" s="3">
        <f>ROUNDDOWN(PI()*(G6-0.185)/T6,2)</f>
        <v>0.11</v>
      </c>
      <c r="V6" s="41" t="str">
        <f>+IF(T6&gt;=S6,"Cumple","No cumple")</f>
        <v>Cumple</v>
      </c>
      <c r="W6" s="51">
        <v>280</v>
      </c>
      <c r="X6" s="52">
        <v>4</v>
      </c>
      <c r="Y6" s="51">
        <v>6</v>
      </c>
      <c r="Z6" s="50">
        <f>X6*VLOOKUP(Y6,[1]Datos!$A$2:$D$14,2)</f>
        <v>11.36</v>
      </c>
      <c r="AA6" s="49">
        <v>0.1</v>
      </c>
      <c r="AB6" s="48">
        <f>IF(D6=0,IF(AH6="",1,IF(J6&gt;0.1*W6*H6*10,1,J6/(0.1*W6*H6*10))),0)*0.9*0.53*SQRT(W6)*G6*MAX(0.72*G6,0.9*((G6/2)+((G6-0.11)/PI())))*10</f>
        <v>0</v>
      </c>
      <c r="AC6" s="48">
        <f>0.9*Z6*4220*MAX(0.72*G6,0.9*((G6/2)+((G6-0.11)/PI())))/AA6/1000</f>
        <v>403.83982079999993</v>
      </c>
      <c r="AD6" s="47" t="str">
        <f>+IF(AND(AC6&gt;K6-AB6,AA6&lt;=IF(K6&lt;0.125*W6*G6*MAX(0.72*G6,0.9*((G6/2)+((G6-0.11)/PI())))*10,MIN(0.6,0.8*MAX(0.72*G6,0.9*((G6/2)+((G6-0.11)/PI())))),MIN(0.3,0.4*MAX(0.72*G6,0.9*((G6/2)+((G6-0.11)/PI()))))),K6/0.9&lt;=0.25*W6*G6*MAX(0.72*G6,0.9*((G6/2)+((G6-0.11)/PI())))*10),"Cumple","No Cumple")</f>
        <v>Cumple</v>
      </c>
      <c r="AE6" s="46">
        <f>K6</f>
        <v>105.10557111480819</v>
      </c>
      <c r="AF6" s="5"/>
      <c r="AG6" s="7">
        <f>ROUNDUP(MAX(0.45,2*G6,),1)</f>
        <v>2.6</v>
      </c>
      <c r="AH6" s="3">
        <f>PI()*(G6-0.15)^2/4</f>
        <v>1.0386890710931256</v>
      </c>
      <c r="AI6" s="7">
        <f>G6-0.15-VLOOKUP(Y6,[2]Datos!$A$2:$D$14,3)/100</f>
        <v>1.1309000000000002</v>
      </c>
      <c r="AJ6" s="7">
        <f>SQRT((PI()*AI6)^2+AA6^2)</f>
        <v>3.5542341832640103</v>
      </c>
      <c r="AK6" s="1">
        <v>0.12</v>
      </c>
      <c r="AL6" s="16">
        <f>MAX(0.45*(H6/AH6-1),AK6)*(W6/4220)</f>
        <v>8.2969745294259878E-3</v>
      </c>
      <c r="AM6" s="7">
        <f>AG6*(AJ6/AA6)</f>
        <v>92.410088764864255</v>
      </c>
      <c r="AN6" s="17">
        <f>AM6*Z6/X6/10000</f>
        <v>2.6244465209221447E-2</v>
      </c>
      <c r="AO6" s="17">
        <f>AH6*AG6</f>
        <v>2.7005915848421265</v>
      </c>
      <c r="AP6" s="16">
        <f>AN6/AO6</f>
        <v>9.7180430230643967E-3</v>
      </c>
      <c r="AQ6" s="6" t="str">
        <f>+IF(AP6&gt;AL6,"Cumple","No Cumple")</f>
        <v>Cumple</v>
      </c>
    </row>
    <row r="7" spans="1:43" ht="15" customHeight="1" x14ac:dyDescent="0.3">
      <c r="A7" s="45"/>
      <c r="B7" s="44">
        <v>4</v>
      </c>
      <c r="C7" s="1" t="s">
        <v>48</v>
      </c>
      <c r="D7" s="1">
        <v>1</v>
      </c>
      <c r="E7" s="5">
        <v>1</v>
      </c>
      <c r="F7" s="3">
        <f>F6+E7</f>
        <v>4</v>
      </c>
      <c r="G7" s="5">
        <v>1.3</v>
      </c>
      <c r="H7" s="3">
        <f>PI()*(G7^2)/4</f>
        <v>1.3273228961416876</v>
      </c>
      <c r="I7" s="21">
        <v>2.4188000000000001E-2</v>
      </c>
      <c r="J7" s="20">
        <v>107.761</v>
      </c>
      <c r="K7" s="3">
        <v>34.08189289476158</v>
      </c>
      <c r="L7" s="20">
        <v>479.53223000000003</v>
      </c>
      <c r="M7" s="43">
        <v>63.428139999999999</v>
      </c>
      <c r="N7" s="42">
        <f>I7/H7</f>
        <v>1.8223146809499477E-2</v>
      </c>
      <c r="O7" s="11">
        <f>I7*10000</f>
        <v>241.88000000000002</v>
      </c>
      <c r="P7" s="1">
        <v>10</v>
      </c>
      <c r="Q7" s="1">
        <v>1</v>
      </c>
      <c r="R7" s="3">
        <f>Q7*VLOOKUP(P7,[1]Datos!$A$2:$D$14,2)</f>
        <v>8.19</v>
      </c>
      <c r="S7" s="10">
        <f>ROUNDUP(O7/R7,0)</f>
        <v>30</v>
      </c>
      <c r="T7" s="54">
        <v>30</v>
      </c>
      <c r="U7" s="3">
        <f>ROUNDDOWN(PI()*(G7-0.185)/T7,2)</f>
        <v>0.11</v>
      </c>
      <c r="V7" s="41" t="str">
        <f>+IF(T7&gt;=S7,"Cumple","No cumple")</f>
        <v>Cumple</v>
      </c>
      <c r="W7" s="1">
        <v>280</v>
      </c>
      <c r="X7" s="9">
        <v>2</v>
      </c>
      <c r="Y7" s="1">
        <v>5</v>
      </c>
      <c r="Z7" s="3">
        <f>X7*VLOOKUP(Y7,[1]Datos!$A$2:$D$14,2)</f>
        <v>3.98</v>
      </c>
      <c r="AA7" s="5">
        <v>0.15</v>
      </c>
      <c r="AB7" s="7">
        <f>IF(D7=0,IF(AH7="",1,IF(J7&gt;0.1*W7*H7*10,1,J7/(0.1*W7*H7*10))),0)*0.9*0.53*SQRT(W7)*G7*MAX(0.72*G7,0.9*((G7/2)+((G7-0.11)/PI())))*10</f>
        <v>0</v>
      </c>
      <c r="AC7" s="7">
        <f>0.9*Z7*4220*MAX(0.72*G7,0.9*((G7/2)+((G7-0.11)/PI())))/AA7/1000</f>
        <v>94.324089599999994</v>
      </c>
      <c r="AD7" s="6" t="str">
        <f>+IF(AND(AC7&gt;K7-AB7,AA7&lt;=IF(K7&lt;0.125*W7*G7*MAX(0.72*G7,0.9*((G7/2)+((G7-0.11)/PI())))*10,MIN(0.6,0.8*MAX(0.72*G7,0.9*((G7/2)+((G7-0.11)/PI())))),MIN(0.3,0.4*MAX(0.72*G7,0.9*((G7/2)+((G7-0.11)/PI()))))),K7/0.9&lt;=0.25*W7*G7*MAX(0.72*G7,0.9*((G7/2)+((G7-0.11)/PI())))*10),"Cumple","No Cumple")</f>
        <v>Cumple</v>
      </c>
      <c r="AE7" s="40">
        <f>K7</f>
        <v>34.08189289476158</v>
      </c>
      <c r="AF7" s="5"/>
      <c r="AG7" s="7"/>
      <c r="AH7" s="3"/>
      <c r="AI7" s="7"/>
      <c r="AJ7" s="7"/>
      <c r="AL7" s="16"/>
      <c r="AM7" s="7"/>
      <c r="AN7" s="17"/>
      <c r="AO7" s="17"/>
      <c r="AP7" s="16"/>
      <c r="AQ7" s="6"/>
    </row>
    <row r="8" spans="1:43" ht="15" customHeight="1" x14ac:dyDescent="0.3">
      <c r="A8" s="45"/>
      <c r="B8" s="44">
        <v>5</v>
      </c>
      <c r="C8" s="1" t="s">
        <v>47</v>
      </c>
      <c r="D8" s="1">
        <v>1</v>
      </c>
      <c r="E8" s="5">
        <v>1</v>
      </c>
      <c r="F8" s="3">
        <f>F7+E8</f>
        <v>5</v>
      </c>
      <c r="G8" s="5">
        <v>1.3</v>
      </c>
      <c r="H8" s="3">
        <f>PI()*(G8^2)/4</f>
        <v>1.3273228961416876</v>
      </c>
      <c r="I8" s="21">
        <v>2.4188000000000001E-2</v>
      </c>
      <c r="J8" s="20">
        <v>107.761</v>
      </c>
      <c r="K8" s="3">
        <v>51.098957404823828</v>
      </c>
      <c r="L8" s="20">
        <v>479.53223000000003</v>
      </c>
      <c r="M8" s="43">
        <v>74.109889999999993</v>
      </c>
      <c r="N8" s="42">
        <f>I8/H8</f>
        <v>1.8223146809499477E-2</v>
      </c>
      <c r="O8" s="11">
        <f>I8*10000</f>
        <v>241.88000000000002</v>
      </c>
      <c r="P8" s="1">
        <v>10</v>
      </c>
      <c r="Q8" s="1">
        <v>1</v>
      </c>
      <c r="R8" s="3">
        <f>Q8*VLOOKUP(P8,[1]Datos!$A$2:$D$14,2)</f>
        <v>8.19</v>
      </c>
      <c r="S8" s="10">
        <f>ROUNDUP(O8/R8,0)</f>
        <v>30</v>
      </c>
      <c r="T8" s="54">
        <v>30</v>
      </c>
      <c r="U8" s="3">
        <f>ROUNDDOWN(PI()*(G8-0.185)/T8,2)</f>
        <v>0.11</v>
      </c>
      <c r="V8" s="41" t="str">
        <f>+IF(T8&gt;=S8,"Cumple","No cumple")</f>
        <v>Cumple</v>
      </c>
      <c r="W8" s="53">
        <v>280</v>
      </c>
      <c r="X8" s="52">
        <v>2</v>
      </c>
      <c r="Y8" s="51">
        <v>5</v>
      </c>
      <c r="Z8" s="50">
        <f>X8*VLOOKUP(Y8,[1]Datos!$A$2:$D$14,2)</f>
        <v>3.98</v>
      </c>
      <c r="AA8" s="5">
        <v>0.15</v>
      </c>
      <c r="AB8" s="48">
        <f>IF(D8=0,IF(AH8="",1,IF(J8&gt;0.1*W8*H8*10,1,J8/(0.1*W8*H8*10))),0)*0.9*0.53*SQRT(W8)*G8*MAX(0.72*G8,0.9*((G8/2)+((G8-0.11)/PI())))*10</f>
        <v>0</v>
      </c>
      <c r="AC8" s="48">
        <f>0.9*Z8*4220*MAX(0.72*G8,0.9*((G8/2)+((G8-0.11)/PI())))/AA8/1000</f>
        <v>94.324089599999994</v>
      </c>
      <c r="AD8" s="47" t="str">
        <f>+IF(AND(AC8&gt;K8-AB8,AA8&lt;=IF(K8&lt;0.125*W8*G8*MAX(0.72*G8,0.9*((G8/2)+((G8-0.11)/PI())))*10,MIN(0.6,0.8*MAX(0.72*G8,0.9*((G8/2)+((G8-0.11)/PI())))),MIN(0.3,0.4*MAX(0.72*G8,0.9*((G8/2)+((G8-0.11)/PI()))))),K8/0.9&lt;=0.25*W8*G8*MAX(0.72*G8,0.9*((G8/2)+((G8-0.11)/PI())))*10),"Cumple","No Cumple")</f>
        <v>Cumple</v>
      </c>
      <c r="AE8" s="46">
        <f>K8</f>
        <v>51.098957404823828</v>
      </c>
      <c r="AF8" s="5"/>
      <c r="AG8" s="7"/>
      <c r="AH8" s="3"/>
      <c r="AI8" s="7"/>
      <c r="AJ8" s="7"/>
      <c r="AL8" s="16"/>
      <c r="AM8" s="7"/>
      <c r="AN8" s="17"/>
      <c r="AO8" s="17"/>
      <c r="AP8" s="16"/>
      <c r="AQ8" s="6"/>
    </row>
    <row r="9" spans="1:43" ht="15" customHeight="1" x14ac:dyDescent="0.3">
      <c r="A9" s="45"/>
      <c r="B9" s="44">
        <v>6</v>
      </c>
      <c r="C9" s="1" t="s">
        <v>46</v>
      </c>
      <c r="D9" s="1">
        <v>1</v>
      </c>
      <c r="E9" s="5">
        <v>1</v>
      </c>
      <c r="F9" s="3">
        <f>F8+E9</f>
        <v>6</v>
      </c>
      <c r="G9" s="5">
        <v>1.3</v>
      </c>
      <c r="H9" s="3">
        <f>PI()*(G9^2)/4</f>
        <v>1.3273228961416876</v>
      </c>
      <c r="I9" s="21">
        <v>2.1814E-2</v>
      </c>
      <c r="J9" s="20">
        <v>107.761</v>
      </c>
      <c r="K9" s="3">
        <v>77.866176629201462</v>
      </c>
      <c r="L9" s="20">
        <v>428.54872999999998</v>
      </c>
      <c r="M9" s="43">
        <v>74.109889999999993</v>
      </c>
      <c r="N9" s="42">
        <f>I9/H9</f>
        <v>1.6434584277427715E-2</v>
      </c>
      <c r="O9" s="11">
        <f>I9*10000</f>
        <v>218.14</v>
      </c>
      <c r="P9" s="1">
        <v>10</v>
      </c>
      <c r="Q9" s="1">
        <v>1</v>
      </c>
      <c r="R9" s="3">
        <f>Q9*VLOOKUP(P9,[1]Datos!$A$2:$D$14,2)</f>
        <v>8.19</v>
      </c>
      <c r="S9" s="10">
        <f>ROUNDUP(O9/R9,0)</f>
        <v>27</v>
      </c>
      <c r="T9" s="54">
        <v>30</v>
      </c>
      <c r="U9" s="3">
        <f>ROUNDDOWN(PI()*(G9-0.185)/T9,2)</f>
        <v>0.11</v>
      </c>
      <c r="V9" s="41" t="str">
        <f>+IF(T9&gt;=S9,"Cumple","No cumple")</f>
        <v>Cumple</v>
      </c>
      <c r="W9" s="1">
        <v>280</v>
      </c>
      <c r="X9" s="9">
        <v>2</v>
      </c>
      <c r="Y9" s="1">
        <v>5</v>
      </c>
      <c r="Z9" s="3">
        <f>X9*VLOOKUP(Y9,[1]Datos!$A$2:$D$14,2)</f>
        <v>3.98</v>
      </c>
      <c r="AA9" s="5">
        <v>0.15</v>
      </c>
      <c r="AB9" s="7">
        <f>IF(D9=0,IF(AH9="",1,IF(J9&gt;0.1*W9*H9*10,1,J9/(0.1*W9*H9*10))),0)*0.9*0.53*SQRT(W9)*G9*MAX(0.72*G9,0.9*((G9/2)+((G9-0.11)/PI())))*10</f>
        <v>0</v>
      </c>
      <c r="AC9" s="7">
        <f>0.9*Z9*4220*MAX(0.72*G9,0.9*((G9/2)+((G9-0.11)/PI())))/AA9/1000</f>
        <v>94.324089599999994</v>
      </c>
      <c r="AD9" s="6" t="str">
        <f>+IF(AND(AC9&gt;K9-AB9,AA9&lt;=IF(K9&lt;0.125*W9*G9*MAX(0.72*G9,0.9*((G9/2)+((G9-0.11)/PI())))*10,MIN(0.6,0.8*MAX(0.72*G9,0.9*((G9/2)+((G9-0.11)/PI())))),MIN(0.3,0.4*MAX(0.72*G9,0.9*((G9/2)+((G9-0.11)/PI()))))),K9/0.9&lt;=0.25*W9*G9*MAX(0.72*G9,0.9*((G9/2)+((G9-0.11)/PI())))*10),"Cumple","No Cumple")</f>
        <v>Cumple</v>
      </c>
      <c r="AE9" s="40">
        <f>K9</f>
        <v>77.866176629201462</v>
      </c>
      <c r="AF9" s="5"/>
      <c r="AG9" s="7"/>
      <c r="AH9" s="3"/>
      <c r="AI9" s="7"/>
      <c r="AJ9" s="7"/>
      <c r="AL9" s="3"/>
      <c r="AM9" s="3"/>
      <c r="AN9" s="3"/>
      <c r="AO9" s="3"/>
      <c r="AP9" s="9"/>
      <c r="AQ9" s="6"/>
    </row>
    <row r="10" spans="1:43" ht="15" customHeight="1" x14ac:dyDescent="0.3">
      <c r="A10" s="45"/>
      <c r="B10" s="44">
        <v>7</v>
      </c>
      <c r="C10" s="1" t="s">
        <v>45</v>
      </c>
      <c r="D10" s="1">
        <v>1</v>
      </c>
      <c r="E10" s="5">
        <v>1</v>
      </c>
      <c r="F10" s="3">
        <f>F9+E10</f>
        <v>7</v>
      </c>
      <c r="G10" s="5">
        <v>1.3</v>
      </c>
      <c r="H10" s="3">
        <f>PI()*(G10^2)/4</f>
        <v>1.3273228961416876</v>
      </c>
      <c r="I10" s="21">
        <v>1.6542000000000001E-2</v>
      </c>
      <c r="J10" s="20">
        <v>107.761</v>
      </c>
      <c r="K10" s="3">
        <v>84.451800660791122</v>
      </c>
      <c r="L10" s="20">
        <v>350.68439999999998</v>
      </c>
      <c r="M10" s="43">
        <v>72.075360000000003</v>
      </c>
      <c r="N10" s="42">
        <f>I10/H10</f>
        <v>1.2462679614798262E-2</v>
      </c>
      <c r="O10" s="11">
        <f>I10*10000</f>
        <v>165.42000000000002</v>
      </c>
      <c r="P10" s="1">
        <v>10</v>
      </c>
      <c r="Q10" s="1">
        <v>1</v>
      </c>
      <c r="R10" s="3">
        <f>Q10*VLOOKUP(P10,[1]Datos!$A$2:$D$14,2)</f>
        <v>8.19</v>
      </c>
      <c r="S10" s="10">
        <f>ROUNDUP(O10/R10,0)</f>
        <v>21</v>
      </c>
      <c r="T10" s="54">
        <v>30</v>
      </c>
      <c r="U10" s="3">
        <f>ROUNDDOWN(PI()*(G10-0.185)/T10,2)</f>
        <v>0.11</v>
      </c>
      <c r="V10" s="41" t="str">
        <f>+IF(T10&gt;=S10,"Cumple","No cumple")</f>
        <v>Cumple</v>
      </c>
      <c r="W10" s="1">
        <v>280</v>
      </c>
      <c r="X10" s="9">
        <v>2</v>
      </c>
      <c r="Y10" s="1">
        <v>5</v>
      </c>
      <c r="Z10" s="3">
        <f>X10*VLOOKUP(Y10,[1]Datos!$A$2:$D$14,2)</f>
        <v>3.98</v>
      </c>
      <c r="AA10" s="5">
        <v>0.15</v>
      </c>
      <c r="AB10" s="7">
        <f>IF(D10=0,IF(AH10="",1,IF(J10&gt;0.1*W10*H10*10,1,J10/(0.1*W10*H10*10))),0)*0.9*0.53*SQRT(W10)*G10*MAX(0.72*G10,0.9*((G10/2)+((G10-0.11)/PI())))*10</f>
        <v>0</v>
      </c>
      <c r="AC10" s="7">
        <f>0.9*Z10*4220*MAX(0.72*G10,0.9*((G10/2)+((G10-0.11)/PI())))/AA10/1000</f>
        <v>94.324089599999994</v>
      </c>
      <c r="AD10" s="6" t="str">
        <f>+IF(AND(AC10&gt;K10-AB10,AA10&lt;=IF(K10&lt;0.125*W10*G10*MAX(0.72*G10,0.9*((G10/2)+((G10-0.11)/PI())))*10,MIN(0.6,0.8*MAX(0.72*G10,0.9*((G10/2)+((G10-0.11)/PI())))),MIN(0.3,0.4*MAX(0.72*G10,0.9*((G10/2)+((G10-0.11)/PI()))))),K10/0.9&lt;=0.25*W10*G10*MAX(0.72*G10,0.9*((G10/2)+((G10-0.11)/PI())))*10),"Cumple","No Cumple")</f>
        <v>Cumple</v>
      </c>
      <c r="AE10" s="40">
        <f>K10</f>
        <v>84.451800660791122</v>
      </c>
      <c r="AF10" s="5"/>
      <c r="AG10" s="7"/>
      <c r="AH10" s="3"/>
      <c r="AI10" s="7"/>
      <c r="AJ10" s="7"/>
      <c r="AL10" s="3"/>
      <c r="AM10" s="3"/>
      <c r="AN10" s="3"/>
      <c r="AO10" s="3"/>
      <c r="AP10" s="9"/>
      <c r="AQ10" s="6"/>
    </row>
    <row r="11" spans="1:43" ht="15" customHeight="1" x14ac:dyDescent="0.3">
      <c r="A11" s="45"/>
      <c r="B11" s="44">
        <v>8</v>
      </c>
      <c r="C11" s="1" t="s">
        <v>44</v>
      </c>
      <c r="D11" s="1">
        <v>1</v>
      </c>
      <c r="E11" s="5">
        <v>1</v>
      </c>
      <c r="F11" s="3">
        <f>F10+E11</f>
        <v>8</v>
      </c>
      <c r="G11" s="5">
        <v>1.3</v>
      </c>
      <c r="H11" s="3">
        <f>PI()*(G11^2)/4</f>
        <v>1.3273228961416876</v>
      </c>
      <c r="I11" s="21">
        <v>1.3273E-2</v>
      </c>
      <c r="J11" s="20">
        <v>107.761</v>
      </c>
      <c r="K11" s="3">
        <v>78.523746160890724</v>
      </c>
      <c r="L11" s="20">
        <v>266.27778999999998</v>
      </c>
      <c r="M11" s="43">
        <v>62.774369999999998</v>
      </c>
      <c r="N11" s="42">
        <f>I11/H11</f>
        <v>9.9998275013430862E-3</v>
      </c>
      <c r="O11" s="11">
        <f>I11*10000</f>
        <v>132.72999999999999</v>
      </c>
      <c r="P11" s="1">
        <v>10</v>
      </c>
      <c r="Q11" s="1">
        <v>1</v>
      </c>
      <c r="R11" s="3">
        <f>Q11*VLOOKUP(P11,[1]Datos!$A$2:$D$14,2)</f>
        <v>8.19</v>
      </c>
      <c r="S11" s="10">
        <f>ROUNDUP(O11/R11,0)</f>
        <v>17</v>
      </c>
      <c r="T11" s="2">
        <v>17</v>
      </c>
      <c r="U11" s="3">
        <f>ROUNDDOWN(PI()*(G11-0.185)/T11,2)</f>
        <v>0.2</v>
      </c>
      <c r="V11" s="41" t="str">
        <f>+IF(T11&gt;=S11,"Cumple","No cumple")</f>
        <v>Cumple</v>
      </c>
      <c r="W11" s="1">
        <v>280</v>
      </c>
      <c r="X11" s="9">
        <v>2</v>
      </c>
      <c r="Y11" s="1">
        <v>5</v>
      </c>
      <c r="Z11" s="3">
        <f>X11*VLOOKUP(Y11,[1]Datos!$A$2:$D$14,2)</f>
        <v>3.98</v>
      </c>
      <c r="AA11" s="5">
        <v>0.15</v>
      </c>
      <c r="AB11" s="7">
        <f>IF(D11=0,IF(AH11="",1,IF(J11&gt;0.1*W11*H11*10,1,J11/(0.1*W11*H11*10))),0)*0.9*0.53*SQRT(W11)*G11*MAX(0.72*G11,0.9*((G11/2)+((G11-0.11)/PI())))*10</f>
        <v>0</v>
      </c>
      <c r="AC11" s="7">
        <f>0.9*Z11*4220*MAX(0.72*G11,0.9*((G11/2)+((G11-0.11)/PI())))/AA11/1000</f>
        <v>94.324089599999994</v>
      </c>
      <c r="AD11" s="6" t="str">
        <f>+IF(AND(AC11&gt;K11-AB11,AA11&lt;=IF(K11&lt;0.125*W11*G11*MAX(0.72*G11,0.9*((G11/2)+((G11-0.11)/PI())))*10,MIN(0.6,0.8*MAX(0.72*G11,0.9*((G11/2)+((G11-0.11)/PI())))),MIN(0.3,0.4*MAX(0.72*G11,0.9*((G11/2)+((G11-0.11)/PI()))))),K11/0.9&lt;=0.25*W11*G11*MAX(0.72*G11,0.9*((G11/2)+((G11-0.11)/PI())))*10),"Cumple","No Cumple")</f>
        <v>Cumple</v>
      </c>
      <c r="AE11" s="40">
        <f>K11</f>
        <v>78.523746160890724</v>
      </c>
      <c r="AF11" s="5"/>
      <c r="AG11" s="7"/>
      <c r="AH11" s="3"/>
      <c r="AI11" s="7"/>
      <c r="AJ11" s="7"/>
      <c r="AL11" s="3"/>
      <c r="AM11" s="3"/>
      <c r="AN11" s="3"/>
      <c r="AO11" s="3"/>
      <c r="AP11" s="9"/>
      <c r="AQ11" s="6"/>
    </row>
    <row r="12" spans="1:43" ht="15" customHeight="1" x14ac:dyDescent="0.3">
      <c r="A12" s="45"/>
      <c r="B12" s="44">
        <v>9</v>
      </c>
      <c r="C12" s="1" t="s">
        <v>43</v>
      </c>
      <c r="D12" s="1">
        <v>1</v>
      </c>
      <c r="E12" s="5">
        <v>1</v>
      </c>
      <c r="F12" s="3">
        <f>F11+E12</f>
        <v>9</v>
      </c>
      <c r="G12" s="5">
        <v>1.3</v>
      </c>
      <c r="H12" s="3">
        <f>PI()*(G12^2)/4</f>
        <v>1.3273228961416876</v>
      </c>
      <c r="I12" s="21">
        <v>1.3273E-2</v>
      </c>
      <c r="J12" s="20">
        <v>107.761</v>
      </c>
      <c r="K12" s="3">
        <v>65.976613459088668</v>
      </c>
      <c r="L12" s="20">
        <v>187.84229999999999</v>
      </c>
      <c r="M12" s="43">
        <v>50.34742</v>
      </c>
      <c r="N12" s="42">
        <f>I12/H12</f>
        <v>9.9998275013430862E-3</v>
      </c>
      <c r="O12" s="11">
        <f>I12*10000</f>
        <v>132.72999999999999</v>
      </c>
      <c r="P12" s="1">
        <v>10</v>
      </c>
      <c r="Q12" s="1">
        <v>1</v>
      </c>
      <c r="R12" s="3">
        <f>Q12*VLOOKUP(P12,[1]Datos!$A$2:$D$14,2)</f>
        <v>8.19</v>
      </c>
      <c r="S12" s="10">
        <f>ROUNDUP(O12/R12,0)</f>
        <v>17</v>
      </c>
      <c r="T12" s="2">
        <v>17</v>
      </c>
      <c r="U12" s="3">
        <f>ROUNDDOWN(PI()*(G12-0.185)/T12,2)</f>
        <v>0.2</v>
      </c>
      <c r="V12" s="41" t="str">
        <f>+IF(T12&gt;=S12,"Cumple","No cumple")</f>
        <v>Cumple</v>
      </c>
      <c r="W12" s="53">
        <v>280</v>
      </c>
      <c r="X12" s="52">
        <v>2</v>
      </c>
      <c r="Y12" s="51">
        <v>5</v>
      </c>
      <c r="Z12" s="50">
        <f>X12*VLOOKUP(Y12,[1]Datos!$A$2:$D$14,2)</f>
        <v>3.98</v>
      </c>
      <c r="AA12" s="5">
        <v>0.15</v>
      </c>
      <c r="AB12" s="48">
        <f>IF(D12=0,IF(AH12="",1,IF(J12&gt;0.1*W12*H12*10,1,J12/(0.1*W12*H12*10))),0)*0.9*0.53*SQRT(W12)*G12*MAX(0.72*G12,0.9*((G12/2)+((G12-0.11)/PI())))*10</f>
        <v>0</v>
      </c>
      <c r="AC12" s="48">
        <f>0.9*Z12*4220*MAX(0.72*G12,0.9*((G12/2)+((G12-0.11)/PI())))/AA12/1000</f>
        <v>94.324089599999994</v>
      </c>
      <c r="AD12" s="47" t="str">
        <f>+IF(AND(AC12&gt;K12-AB12,AA12&lt;=IF(K12&lt;0.125*W12*G12*MAX(0.72*G12,0.9*((G12/2)+((G12-0.11)/PI())))*10,MIN(0.6,0.8*MAX(0.72*G12,0.9*((G12/2)+((G12-0.11)/PI())))),MIN(0.3,0.4*MAX(0.72*G12,0.9*((G12/2)+((G12-0.11)/PI()))))),K12/0.9&lt;=0.25*W12*G12*MAX(0.72*G12,0.9*((G12/2)+((G12-0.11)/PI())))*10),"Cumple","No Cumple")</f>
        <v>Cumple</v>
      </c>
      <c r="AE12" s="46">
        <f>K12</f>
        <v>65.976613459088668</v>
      </c>
      <c r="AF12" s="5"/>
      <c r="AG12" s="7"/>
      <c r="AH12" s="3"/>
      <c r="AI12" s="7"/>
      <c r="AJ12" s="7"/>
      <c r="AL12" s="3"/>
      <c r="AM12" s="3"/>
      <c r="AN12" s="3"/>
      <c r="AO12" s="3"/>
      <c r="AP12" s="9"/>
      <c r="AQ12" s="6"/>
    </row>
    <row r="13" spans="1:43" ht="15" customHeight="1" x14ac:dyDescent="0.3">
      <c r="A13" s="45"/>
      <c r="B13" s="44">
        <v>10</v>
      </c>
      <c r="C13" s="1" t="s">
        <v>42</v>
      </c>
      <c r="D13" s="1">
        <v>1</v>
      </c>
      <c r="E13" s="5">
        <v>1</v>
      </c>
      <c r="F13" s="3">
        <f>F12+E13</f>
        <v>10</v>
      </c>
      <c r="G13" s="5">
        <v>1.3</v>
      </c>
      <c r="H13" s="3">
        <f>PI()*(G13^2)/4</f>
        <v>1.3273228961416876</v>
      </c>
      <c r="I13" s="21">
        <v>1.3273E-2</v>
      </c>
      <c r="J13" s="20">
        <v>107.761</v>
      </c>
      <c r="K13" s="3">
        <v>50.961978252418739</v>
      </c>
      <c r="L13" s="20">
        <v>121.97765</v>
      </c>
      <c r="M13" s="43">
        <v>37.565350000000002</v>
      </c>
      <c r="N13" s="42">
        <f>I13/H13</f>
        <v>9.9998275013430862E-3</v>
      </c>
      <c r="O13" s="11">
        <f>I13*10000</f>
        <v>132.72999999999999</v>
      </c>
      <c r="P13" s="1">
        <v>10</v>
      </c>
      <c r="Q13" s="1">
        <v>1</v>
      </c>
      <c r="R13" s="3">
        <f>Q13*VLOOKUP(P13,[1]Datos!$A$2:$D$14,2)</f>
        <v>8.19</v>
      </c>
      <c r="S13" s="10">
        <f>ROUNDUP(O13/R13,0)</f>
        <v>17</v>
      </c>
      <c r="T13" s="2">
        <v>17</v>
      </c>
      <c r="U13" s="3">
        <f>ROUNDDOWN(PI()*(G13-0.185)/T13,2)</f>
        <v>0.2</v>
      </c>
      <c r="V13" s="41" t="str">
        <f>+IF(T13&gt;=S13,"Cumple","No cumple")</f>
        <v>Cumple</v>
      </c>
      <c r="W13" s="1">
        <v>280</v>
      </c>
      <c r="X13" s="9">
        <v>2</v>
      </c>
      <c r="Y13" s="1">
        <v>5</v>
      </c>
      <c r="Z13" s="3">
        <f>X13*VLOOKUP(Y13,[1]Datos!$A$2:$D$14,2)</f>
        <v>3.98</v>
      </c>
      <c r="AA13" s="5">
        <v>0.15</v>
      </c>
      <c r="AB13" s="7">
        <f>IF(D13=0,IF(AH13="",1,IF(J13&gt;0.1*W13*H13*10,1,J13/(0.1*W13*H13*10))),0)*0.9*0.53*SQRT(W13)*G13*MAX(0.72*G13,0.9*((G13/2)+((G13-0.11)/PI())))*10</f>
        <v>0</v>
      </c>
      <c r="AC13" s="7">
        <f>0.9*Z13*4220*MAX(0.72*G13,0.9*((G13/2)+((G13-0.11)/PI())))/AA13/1000</f>
        <v>94.324089599999994</v>
      </c>
      <c r="AD13" s="6" t="str">
        <f>+IF(AND(AC13&gt;K13-AB13,AA13&lt;=IF(K13&lt;0.125*W13*G13*MAX(0.72*G13,0.9*((G13/2)+((G13-0.11)/PI())))*10,MIN(0.6,0.8*MAX(0.72*G13,0.9*((G13/2)+((G13-0.11)/PI())))),MIN(0.3,0.4*MAX(0.72*G13,0.9*((G13/2)+((G13-0.11)/PI()))))),K13/0.9&lt;=0.25*W13*G13*MAX(0.72*G13,0.9*((G13/2)+((G13-0.11)/PI())))*10),"Cumple","No Cumple")</f>
        <v>Cumple</v>
      </c>
      <c r="AE13" s="40">
        <f>K13</f>
        <v>50.961978252418739</v>
      </c>
      <c r="AF13" s="5"/>
      <c r="AG13" s="7"/>
      <c r="AH13" s="3"/>
      <c r="AI13" s="7"/>
      <c r="AJ13" s="7"/>
      <c r="AL13" s="3"/>
      <c r="AM13" s="3"/>
      <c r="AN13" s="3"/>
      <c r="AO13" s="3"/>
      <c r="AP13" s="9"/>
      <c r="AQ13" s="6"/>
    </row>
    <row r="14" spans="1:43" ht="15" customHeight="1" x14ac:dyDescent="0.3">
      <c r="A14" s="45"/>
      <c r="B14" s="44">
        <v>11</v>
      </c>
      <c r="C14" s="1" t="s">
        <v>41</v>
      </c>
      <c r="D14" s="1">
        <v>1</v>
      </c>
      <c r="E14" s="5">
        <v>1</v>
      </c>
      <c r="F14" s="3">
        <f>F13+E14</f>
        <v>11</v>
      </c>
      <c r="G14" s="5">
        <v>1.3</v>
      </c>
      <c r="H14" s="3">
        <f>PI()*(G14^2)/4</f>
        <v>1.3273228961416876</v>
      </c>
      <c r="I14" s="21">
        <v>1.3273E-2</v>
      </c>
      <c r="J14" s="20">
        <v>107.761</v>
      </c>
      <c r="K14" s="3">
        <v>36.163255524357872</v>
      </c>
      <c r="L14" s="20">
        <v>71.133210000000005</v>
      </c>
      <c r="M14" s="43">
        <v>26.077079999999999</v>
      </c>
      <c r="N14" s="42">
        <f>I14/H14</f>
        <v>9.9998275013430862E-3</v>
      </c>
      <c r="O14" s="11">
        <f>I14*10000</f>
        <v>132.72999999999999</v>
      </c>
      <c r="P14" s="1">
        <v>10</v>
      </c>
      <c r="Q14" s="1">
        <v>1</v>
      </c>
      <c r="R14" s="3">
        <f>Q14*VLOOKUP(P14,[1]Datos!$A$2:$D$14,2)</f>
        <v>8.19</v>
      </c>
      <c r="S14" s="10">
        <f>ROUNDUP(O14/R14,0)</f>
        <v>17</v>
      </c>
      <c r="T14" s="2">
        <v>17</v>
      </c>
      <c r="U14" s="3">
        <f>ROUNDDOWN(PI()*(G14-0.185)/T14,2)</f>
        <v>0.2</v>
      </c>
      <c r="V14" s="41" t="str">
        <f>+IF(T14&gt;=S14,"Cumple","No cumple")</f>
        <v>Cumple</v>
      </c>
      <c r="W14" s="1">
        <v>280</v>
      </c>
      <c r="X14" s="9">
        <v>2</v>
      </c>
      <c r="Y14" s="1">
        <v>5</v>
      </c>
      <c r="Z14" s="3">
        <f>X14*VLOOKUP(Y14,[1]Datos!$A$2:$D$14,2)</f>
        <v>3.98</v>
      </c>
      <c r="AA14" s="5">
        <v>0.3</v>
      </c>
      <c r="AB14" s="7">
        <f>IF(D14=0,IF(AH14="",1,IF(J14&gt;0.1*W14*H14*10,1,J14/(0.1*W14*H14*10))),0)*0.9*0.53*SQRT(W14)*G14*MAX(0.72*G14,0.9*((G14/2)+((G14-0.11)/PI())))*10</f>
        <v>0</v>
      </c>
      <c r="AC14" s="7">
        <f>0.9*Z14*4220*MAX(0.72*G14,0.9*((G14/2)+((G14-0.11)/PI())))/AA14/1000</f>
        <v>47.162044799999997</v>
      </c>
      <c r="AD14" s="6" t="str">
        <f>+IF(AND(AC14&gt;K14-AB14,AA14&lt;=IF(K14&lt;0.125*W14*G14*MAX(0.72*G14,0.9*((G14/2)+((G14-0.11)/PI())))*10,MIN(0.6,0.8*MAX(0.72*G14,0.9*((G14/2)+((G14-0.11)/PI())))),MIN(0.3,0.4*MAX(0.72*G14,0.9*((G14/2)+((G14-0.11)/PI()))))),K14/0.9&lt;=0.25*W14*G14*MAX(0.72*G14,0.9*((G14/2)+((G14-0.11)/PI())))*10),"Cumple","No Cumple")</f>
        <v>Cumple</v>
      </c>
      <c r="AE14" s="40">
        <f>K14</f>
        <v>36.163255524357872</v>
      </c>
      <c r="AF14" s="5"/>
      <c r="AG14" s="7"/>
      <c r="AH14" s="3"/>
      <c r="AI14" s="7"/>
      <c r="AJ14" s="7"/>
      <c r="AL14" s="3"/>
      <c r="AM14" s="3"/>
      <c r="AN14" s="3"/>
      <c r="AO14" s="3"/>
      <c r="AP14" s="9"/>
      <c r="AQ14" s="6"/>
    </row>
    <row r="15" spans="1:43" ht="15" customHeight="1" x14ac:dyDescent="0.3">
      <c r="A15" s="45"/>
      <c r="B15" s="44">
        <v>12</v>
      </c>
      <c r="C15" s="1" t="s">
        <v>40</v>
      </c>
      <c r="D15" s="1">
        <v>1</v>
      </c>
      <c r="E15" s="5">
        <v>1</v>
      </c>
      <c r="F15" s="3">
        <f>F14+E15</f>
        <v>12</v>
      </c>
      <c r="G15" s="5">
        <v>1.3</v>
      </c>
      <c r="H15" s="3">
        <f>PI()*(G15^2)/4</f>
        <v>1.3273228961416876</v>
      </c>
      <c r="I15" s="21">
        <v>1.3273E-2</v>
      </c>
      <c r="J15" s="20">
        <v>107.761</v>
      </c>
      <c r="K15" s="3">
        <v>23.132110465108887</v>
      </c>
      <c r="L15" s="20">
        <v>35.080829999999999</v>
      </c>
      <c r="M15" s="43">
        <v>16.69838</v>
      </c>
      <c r="N15" s="42">
        <f>I15/H15</f>
        <v>9.9998275013430862E-3</v>
      </c>
      <c r="O15" s="11">
        <f>I15*10000</f>
        <v>132.72999999999999</v>
      </c>
      <c r="P15" s="1">
        <v>10</v>
      </c>
      <c r="Q15" s="1">
        <v>1</v>
      </c>
      <c r="R15" s="3">
        <f>Q15*VLOOKUP(P15,[1]Datos!$A$2:$D$14,2)</f>
        <v>8.19</v>
      </c>
      <c r="S15" s="10">
        <f>ROUNDUP(O15/R15,0)</f>
        <v>17</v>
      </c>
      <c r="T15" s="2">
        <v>17</v>
      </c>
      <c r="U15" s="3">
        <f>ROUNDDOWN(PI()*(G15-0.185)/T15,2)</f>
        <v>0.2</v>
      </c>
      <c r="V15" s="41" t="str">
        <f>+IF(T15&gt;=S15,"Cumple","No cumple")</f>
        <v>Cumple</v>
      </c>
      <c r="W15" s="1">
        <v>280</v>
      </c>
      <c r="X15" s="9">
        <v>2</v>
      </c>
      <c r="Y15" s="1">
        <v>5</v>
      </c>
      <c r="Z15" s="3">
        <f>X15*VLOOKUP(Y15,[1]Datos!$A$2:$D$14,2)</f>
        <v>3.98</v>
      </c>
      <c r="AA15" s="5">
        <v>0.3</v>
      </c>
      <c r="AB15" s="7">
        <f>IF(D15=0,IF(AH15="",1,IF(J15&gt;0.1*W15*H15*10,1,J15/(0.1*W15*H15*10))),0)*0.9*0.53*SQRT(W15)*G15*MAX(0.72*G15,0.9*((G15/2)+((G15-0.11)/PI())))*10</f>
        <v>0</v>
      </c>
      <c r="AC15" s="7">
        <f>0.9*Z15*4220*MAX(0.72*G15,0.9*((G15/2)+((G15-0.11)/PI())))/AA15/1000</f>
        <v>47.162044799999997</v>
      </c>
      <c r="AD15" s="6" t="str">
        <f>+IF(AND(AC15&gt;K15-AB15,AA15&lt;=IF(K15&lt;0.125*W15*G15*MAX(0.72*G15,0.9*((G15/2)+((G15-0.11)/PI())))*10,MIN(0.6,0.8*MAX(0.72*G15,0.9*((G15/2)+((G15-0.11)/PI())))),MIN(0.3,0.4*MAX(0.72*G15,0.9*((G15/2)+((G15-0.11)/PI()))))),K15/0.9&lt;=0.25*W15*G15*MAX(0.72*G15,0.9*((G15/2)+((G15-0.11)/PI())))*10),"Cumple","No Cumple")</f>
        <v>Cumple</v>
      </c>
      <c r="AE15" s="40">
        <f>K15</f>
        <v>23.132110465108887</v>
      </c>
      <c r="AF15" s="5"/>
      <c r="AG15" s="7"/>
      <c r="AH15" s="3"/>
      <c r="AI15" s="7"/>
      <c r="AJ15" s="7"/>
      <c r="AL15" s="3"/>
      <c r="AM15" s="3"/>
      <c r="AN15" s="3"/>
      <c r="AO15" s="3"/>
      <c r="AP15" s="9"/>
      <c r="AQ15" s="6"/>
    </row>
    <row r="16" spans="1:43" ht="15" customHeight="1" x14ac:dyDescent="0.3">
      <c r="A16" s="45"/>
      <c r="B16" s="44">
        <v>13</v>
      </c>
      <c r="C16" s="1" t="s">
        <v>39</v>
      </c>
      <c r="D16" s="1">
        <v>1</v>
      </c>
      <c r="E16" s="5">
        <v>1</v>
      </c>
      <c r="F16" s="3">
        <f>F15+E16</f>
        <v>13</v>
      </c>
      <c r="G16" s="5">
        <v>1.3</v>
      </c>
      <c r="H16" s="3">
        <f>PI()*(G16^2)/4</f>
        <v>1.3273228961416876</v>
      </c>
      <c r="I16" s="21">
        <v>1.3273E-2</v>
      </c>
      <c r="J16" s="20">
        <v>107.761</v>
      </c>
      <c r="K16" s="3">
        <v>12.622481721515779</v>
      </c>
      <c r="L16" s="20">
        <v>12.0464</v>
      </c>
      <c r="M16" s="43">
        <v>9.6697799999999994</v>
      </c>
      <c r="N16" s="42">
        <f>I16/H16</f>
        <v>9.9998275013430862E-3</v>
      </c>
      <c r="O16" s="11">
        <f>I16*10000</f>
        <v>132.72999999999999</v>
      </c>
      <c r="P16" s="1">
        <v>10</v>
      </c>
      <c r="Q16" s="1">
        <v>1</v>
      </c>
      <c r="R16" s="3">
        <f>Q16*VLOOKUP(P16,[1]Datos!$A$2:$D$14,2)</f>
        <v>8.19</v>
      </c>
      <c r="S16" s="10">
        <f>ROUNDUP(O16/R16,0)</f>
        <v>17</v>
      </c>
      <c r="T16" s="2">
        <v>17</v>
      </c>
      <c r="U16" s="3">
        <f>ROUNDDOWN(PI()*(G16-0.185)/T16,2)</f>
        <v>0.2</v>
      </c>
      <c r="V16" s="41" t="str">
        <f>+IF(T16&gt;=S16,"Cumple","No cumple")</f>
        <v>Cumple</v>
      </c>
      <c r="W16" s="1">
        <v>280</v>
      </c>
      <c r="X16" s="9">
        <v>2</v>
      </c>
      <c r="Y16" s="1">
        <v>5</v>
      </c>
      <c r="Z16" s="3">
        <f>X16*VLOOKUP(Y16,[1]Datos!$A$2:$D$14,2)</f>
        <v>3.98</v>
      </c>
      <c r="AA16" s="5">
        <v>0.3</v>
      </c>
      <c r="AB16" s="7">
        <f>IF(D16=0,IF(AH16="",1,IF(J16&gt;0.1*W16*H16*10,1,J16/(0.1*W16*H16*10))),0)*0.9*0.53*SQRT(W16)*G16*MAX(0.72*G16,0.9*((G16/2)+((G16-0.11)/PI())))*10</f>
        <v>0</v>
      </c>
      <c r="AC16" s="7">
        <f>0.9*Z16*4220*MAX(0.72*G16,0.9*((G16/2)+((G16-0.11)/PI())))/AA16/1000</f>
        <v>47.162044799999997</v>
      </c>
      <c r="AD16" s="6" t="str">
        <f>+IF(AND(AC16&gt;K16-AB16,AA16&lt;=IF(K16&lt;0.125*W16*G16*MAX(0.72*G16,0.9*((G16/2)+((G16-0.11)/PI())))*10,MIN(0.6,0.8*MAX(0.72*G16,0.9*((G16/2)+((G16-0.11)/PI())))),MIN(0.3,0.4*MAX(0.72*G16,0.9*((G16/2)+((G16-0.11)/PI()))))),K16/0.9&lt;=0.25*W16*G16*MAX(0.72*G16,0.9*((G16/2)+((G16-0.11)/PI())))*10),"Cumple","No Cumple")</f>
        <v>Cumple</v>
      </c>
      <c r="AE16" s="40">
        <f>K16</f>
        <v>12.622481721515779</v>
      </c>
      <c r="AF16" s="5"/>
      <c r="AG16" s="7"/>
      <c r="AH16" s="3"/>
      <c r="AI16" s="7"/>
      <c r="AJ16" s="7"/>
      <c r="AL16" s="3"/>
      <c r="AM16" s="3"/>
      <c r="AN16" s="3"/>
      <c r="AO16" s="3"/>
      <c r="AP16" s="9"/>
      <c r="AQ16" s="6"/>
    </row>
    <row r="17" spans="1:43" ht="15" customHeight="1" x14ac:dyDescent="0.3">
      <c r="A17" s="45"/>
      <c r="B17" s="44">
        <v>14</v>
      </c>
      <c r="C17" s="1" t="s">
        <v>38</v>
      </c>
      <c r="D17" s="1">
        <v>1</v>
      </c>
      <c r="E17" s="5">
        <v>1</v>
      </c>
      <c r="F17" s="3">
        <f>F16+E17</f>
        <v>14</v>
      </c>
      <c r="G17" s="5">
        <v>1.3</v>
      </c>
      <c r="H17" s="3">
        <f>PI()*(G17^2)/4</f>
        <v>1.3273228961416876</v>
      </c>
      <c r="I17" s="21">
        <v>1.3273E-2</v>
      </c>
      <c r="J17" s="20">
        <v>107.761</v>
      </c>
      <c r="K17" s="3">
        <v>4.8863570735262485</v>
      </c>
      <c r="L17" s="20">
        <v>5.7218799999999996</v>
      </c>
      <c r="M17" s="43">
        <v>4.8660500000000004</v>
      </c>
      <c r="N17" s="42">
        <f>I17/H17</f>
        <v>9.9998275013430862E-3</v>
      </c>
      <c r="O17" s="11">
        <f>I17*10000</f>
        <v>132.72999999999999</v>
      </c>
      <c r="P17" s="1">
        <v>10</v>
      </c>
      <c r="Q17" s="1">
        <v>1</v>
      </c>
      <c r="R17" s="3">
        <f>Q17*VLOOKUP(P17,[1]Datos!$A$2:$D$14,2)</f>
        <v>8.19</v>
      </c>
      <c r="S17" s="10">
        <f>ROUNDUP(O17/R17,0)</f>
        <v>17</v>
      </c>
      <c r="T17" s="2">
        <v>17</v>
      </c>
      <c r="U17" s="3">
        <f>ROUNDDOWN(PI()*(G17-0.185)/T17,2)</f>
        <v>0.2</v>
      </c>
      <c r="V17" s="41" t="str">
        <f>+IF(T17&gt;=S17,"Cumple","No cumple")</f>
        <v>Cumple</v>
      </c>
      <c r="W17" s="1">
        <v>280</v>
      </c>
      <c r="X17" s="9">
        <v>2</v>
      </c>
      <c r="Y17" s="1">
        <v>5</v>
      </c>
      <c r="Z17" s="3">
        <f>X17*VLOOKUP(Y17,[1]Datos!$A$2:$D$14,2)</f>
        <v>3.98</v>
      </c>
      <c r="AA17" s="5">
        <v>0.3</v>
      </c>
      <c r="AB17" s="7">
        <f>IF(D17=0,IF(AH17="",1,IF(J17&gt;0.1*W17*H17*10,1,J17/(0.1*W17*H17*10))),0)*0.9*0.53*SQRT(W17)*G17*MAX(0.72*G17,0.9*((G17/2)+((G17-0.11)/PI())))*10</f>
        <v>0</v>
      </c>
      <c r="AC17" s="7">
        <f>0.9*Z17*4220*MAX(0.72*G17,0.9*((G17/2)+((G17-0.11)/PI())))/AA17/1000</f>
        <v>47.162044799999997</v>
      </c>
      <c r="AD17" s="6" t="str">
        <f>+IF(AND(AC17&gt;K17-AB17,AA17&lt;=IF(K17&lt;0.125*W17*G17*MAX(0.72*G17,0.9*((G17/2)+((G17-0.11)/PI())))*10,MIN(0.6,0.8*MAX(0.72*G17,0.9*((G17/2)+((G17-0.11)/PI())))),MIN(0.3,0.4*MAX(0.72*G17,0.9*((G17/2)+((G17-0.11)/PI()))))),K17/0.9&lt;=0.25*W17*G17*MAX(0.72*G17,0.9*((G17/2)+((G17-0.11)/PI())))*10),"Cumple","No Cumple")</f>
        <v>Cumple</v>
      </c>
      <c r="AE17" s="40">
        <f>K17</f>
        <v>4.8863570735262485</v>
      </c>
      <c r="AF17" s="5"/>
      <c r="AG17" s="7"/>
      <c r="AH17" s="3"/>
      <c r="AI17" s="7"/>
      <c r="AJ17" s="7"/>
      <c r="AL17" s="3"/>
      <c r="AM17" s="3"/>
      <c r="AN17" s="3"/>
      <c r="AO17" s="3"/>
      <c r="AP17" s="9"/>
      <c r="AQ17" s="6"/>
    </row>
    <row r="18" spans="1:43" ht="15" customHeight="1" x14ac:dyDescent="0.3">
      <c r="A18" s="45"/>
      <c r="B18" s="44">
        <v>15</v>
      </c>
      <c r="C18" s="1" t="s">
        <v>37</v>
      </c>
      <c r="D18" s="1">
        <v>1</v>
      </c>
      <c r="E18" s="5">
        <v>1</v>
      </c>
      <c r="F18" s="3">
        <f>F17+E18</f>
        <v>15</v>
      </c>
      <c r="G18" s="5">
        <v>1.3</v>
      </c>
      <c r="H18" s="3">
        <f>PI()*(G18^2)/4</f>
        <v>1.3273228961416876</v>
      </c>
      <c r="I18" s="21">
        <v>1.3273E-2</v>
      </c>
      <c r="J18" s="20">
        <v>107.761</v>
      </c>
      <c r="K18" s="3">
        <v>1.6765907848965411</v>
      </c>
      <c r="L18" s="20">
        <v>5.7218799999999996</v>
      </c>
      <c r="M18" s="43">
        <v>1.9523200000000001</v>
      </c>
      <c r="N18" s="42">
        <f>I18/H18</f>
        <v>9.9998275013430862E-3</v>
      </c>
      <c r="O18" s="11">
        <f>I18*10000</f>
        <v>132.72999999999999</v>
      </c>
      <c r="P18" s="1">
        <v>10</v>
      </c>
      <c r="Q18" s="1">
        <v>1</v>
      </c>
      <c r="R18" s="3">
        <f>Q18*VLOOKUP(P18,[1]Datos!$A$2:$D$14,2)</f>
        <v>8.19</v>
      </c>
      <c r="S18" s="10">
        <f>ROUNDUP(O18/R18,0)</f>
        <v>17</v>
      </c>
      <c r="T18" s="2">
        <v>17</v>
      </c>
      <c r="U18" s="3">
        <f>ROUNDDOWN(PI()*(G18-0.185)/T18,2)</f>
        <v>0.2</v>
      </c>
      <c r="V18" s="41" t="str">
        <f>+IF(T18&gt;=S18,"Cumple","No cumple")</f>
        <v>Cumple</v>
      </c>
      <c r="W18" s="51">
        <v>280</v>
      </c>
      <c r="X18" s="52">
        <v>2</v>
      </c>
      <c r="Y18" s="51">
        <v>5</v>
      </c>
      <c r="Z18" s="50">
        <f>X18*VLOOKUP(Y18,[1]Datos!$A$2:$D$14,2)</f>
        <v>3.98</v>
      </c>
      <c r="AA18" s="49">
        <v>0.3</v>
      </c>
      <c r="AB18" s="48">
        <f>IF(D18=0,IF(AH18="",1,IF(J18&gt;0.1*W18*H18*10,1,J18/(0.1*W18*H18*10))),0)*0.9*0.53*SQRT(W18)*G18*MAX(0.72*G18,0.9*((G18/2)+((G18-0.11)/PI())))*10</f>
        <v>0</v>
      </c>
      <c r="AC18" s="48">
        <f>0.9*Z18*4220*MAX(0.72*G18,0.9*((G18/2)+((G18-0.11)/PI())))/AA18/1000</f>
        <v>47.162044799999997</v>
      </c>
      <c r="AD18" s="47" t="str">
        <f>+IF(AND(AC18&gt;K18-AB18,AA18&lt;=IF(K18&lt;0.125*W18*G18*MAX(0.72*G18,0.9*((G18/2)+((G18-0.11)/PI())))*10,MIN(0.6,0.8*MAX(0.72*G18,0.9*((G18/2)+((G18-0.11)/PI())))),MIN(0.3,0.4*MAX(0.72*G18,0.9*((G18/2)+((G18-0.11)/PI()))))),K18/0.9&lt;=0.25*W18*G18*MAX(0.72*G18,0.9*((G18/2)+((G18-0.11)/PI())))*10),"Cumple","No Cumple")</f>
        <v>Cumple</v>
      </c>
      <c r="AE18" s="46">
        <f>K18</f>
        <v>1.6765907848965411</v>
      </c>
      <c r="AF18" s="5"/>
      <c r="AG18" s="7"/>
      <c r="AH18" s="3"/>
      <c r="AI18" s="7"/>
      <c r="AJ18" s="7"/>
      <c r="AL18" s="3"/>
      <c r="AM18" s="3"/>
      <c r="AN18" s="3"/>
      <c r="AO18" s="3"/>
      <c r="AP18" s="9"/>
      <c r="AQ18" s="6"/>
    </row>
    <row r="19" spans="1:43" ht="15" customHeight="1" x14ac:dyDescent="0.3">
      <c r="A19" s="45"/>
      <c r="B19" s="44">
        <v>16</v>
      </c>
      <c r="C19" s="1" t="s">
        <v>36</v>
      </c>
      <c r="D19" s="1">
        <v>1</v>
      </c>
      <c r="E19" s="5">
        <v>1</v>
      </c>
      <c r="F19" s="3">
        <f>F18+E19</f>
        <v>16</v>
      </c>
      <c r="G19" s="5">
        <v>1.3</v>
      </c>
      <c r="H19" s="3">
        <f>PI()*(G19^2)/4</f>
        <v>1.3273228961416876</v>
      </c>
      <c r="I19" s="21">
        <v>1.3273E-2</v>
      </c>
      <c r="J19" s="20">
        <v>107.761</v>
      </c>
      <c r="K19" s="3">
        <v>2.5976158684455251</v>
      </c>
      <c r="L19" s="20">
        <v>5.1029499999999999</v>
      </c>
      <c r="M19" s="43">
        <v>0.49021999999999999</v>
      </c>
      <c r="N19" s="42">
        <f>I19/H19</f>
        <v>9.9998275013430862E-3</v>
      </c>
      <c r="O19" s="11">
        <f>I19*10000</f>
        <v>132.72999999999999</v>
      </c>
      <c r="P19" s="1">
        <v>10</v>
      </c>
      <c r="Q19" s="1">
        <v>1</v>
      </c>
      <c r="R19" s="3">
        <f>Q19*VLOOKUP(P19,[1]Datos!$A$2:$D$14,2)</f>
        <v>8.19</v>
      </c>
      <c r="S19" s="10">
        <f>ROUNDUP(O19/R19,0)</f>
        <v>17</v>
      </c>
      <c r="T19" s="2">
        <v>17</v>
      </c>
      <c r="U19" s="3">
        <f>ROUNDDOWN(PI()*(G19-0.185)/T19,2)</f>
        <v>0.2</v>
      </c>
      <c r="V19" s="41" t="str">
        <f>+IF(T19&gt;=S19,"Cumple","No cumple")</f>
        <v>Cumple</v>
      </c>
      <c r="W19" s="1">
        <v>280</v>
      </c>
      <c r="X19" s="9">
        <v>2</v>
      </c>
      <c r="Y19" s="1">
        <v>5</v>
      </c>
      <c r="Z19" s="3">
        <f>X19*VLOOKUP(Y19,[1]Datos!$A$2:$D$14,2)</f>
        <v>3.98</v>
      </c>
      <c r="AA19" s="5">
        <v>0.3</v>
      </c>
      <c r="AB19" s="7">
        <f>IF(D19=0,IF(AH19="",1,IF(J19&gt;0.1*W19*H19*10,1,J19/(0.1*W19*H19*10))),0)*0.9*0.53*SQRT(W19)*G19*MAX(0.72*G19,0.9*((G19/2)+((G19-0.11)/PI())))*10</f>
        <v>0</v>
      </c>
      <c r="AC19" s="7">
        <f>0.9*Z19*4220*MAX(0.72*G19,0.9*((G19/2)+((G19-0.11)/PI())))/AA19/1000</f>
        <v>47.162044799999997</v>
      </c>
      <c r="AD19" s="6" t="str">
        <f>+IF(AND(AC19&gt;K19-AB19,AA19&lt;=IF(K19&lt;0.125*W19*G19*MAX(0.72*G19,0.9*((G19/2)+((G19-0.11)/PI())))*10,MIN(0.6,0.8*MAX(0.72*G19,0.9*((G19/2)+((G19-0.11)/PI())))),MIN(0.3,0.4*MAX(0.72*G19,0.9*((G19/2)+((G19-0.11)/PI()))))),K19/0.9&lt;=0.25*W19*G19*MAX(0.72*G19,0.9*((G19/2)+((G19-0.11)/PI())))*10),"Cumple","No Cumple")</f>
        <v>Cumple</v>
      </c>
      <c r="AE19" s="40">
        <f>K19</f>
        <v>2.5976158684455251</v>
      </c>
      <c r="AF19" s="5"/>
      <c r="AG19" s="7"/>
      <c r="AH19" s="3"/>
      <c r="AI19" s="7"/>
      <c r="AJ19" s="7"/>
      <c r="AL19" s="3"/>
      <c r="AM19" s="3"/>
      <c r="AN19" s="3"/>
      <c r="AO19" s="3"/>
      <c r="AP19" s="9"/>
      <c r="AQ19" s="6"/>
    </row>
    <row r="20" spans="1:43" ht="15" customHeight="1" thickBot="1" x14ac:dyDescent="0.35">
      <c r="A20" s="39"/>
      <c r="B20" s="38">
        <v>17</v>
      </c>
      <c r="C20" s="28" t="s">
        <v>35</v>
      </c>
      <c r="D20" s="28">
        <v>1</v>
      </c>
      <c r="E20" s="26">
        <v>1</v>
      </c>
      <c r="F20" s="27">
        <f>F19+E20</f>
        <v>17</v>
      </c>
      <c r="G20" s="26">
        <v>1.3</v>
      </c>
      <c r="H20" s="27">
        <f>PI()*(G20^2)/4</f>
        <v>1.3273228961416876</v>
      </c>
      <c r="I20" s="37">
        <v>1.3273E-2</v>
      </c>
      <c r="J20" s="36">
        <v>107.761</v>
      </c>
      <c r="K20" s="27">
        <v>2.5098014523065366</v>
      </c>
      <c r="L20" s="36">
        <v>2.5097499999999999</v>
      </c>
      <c r="M20" s="35">
        <v>7.7299999999999999E-3</v>
      </c>
      <c r="N20" s="34">
        <f>I20/H20</f>
        <v>9.9998275013430862E-3</v>
      </c>
      <c r="O20" s="33">
        <f>I20*10000</f>
        <v>132.72999999999999</v>
      </c>
      <c r="P20" s="28">
        <v>10</v>
      </c>
      <c r="Q20" s="28">
        <v>1</v>
      </c>
      <c r="R20" s="27">
        <f>Q20*VLOOKUP(P20,[1]Datos!$A$2:$D$14,2)</f>
        <v>8.19</v>
      </c>
      <c r="S20" s="32">
        <f>ROUNDUP(O20/R20,0)</f>
        <v>17</v>
      </c>
      <c r="T20" s="31">
        <v>17</v>
      </c>
      <c r="U20" s="27">
        <f>ROUNDDOWN(PI()*(G20-0.185)/T20,2)</f>
        <v>0.2</v>
      </c>
      <c r="V20" s="30" t="str">
        <f>+IF(T20&gt;=S20,"Cumple","No cumple")</f>
        <v>Cumple</v>
      </c>
      <c r="W20" s="28">
        <v>280</v>
      </c>
      <c r="X20" s="29">
        <v>2</v>
      </c>
      <c r="Y20" s="28">
        <v>5</v>
      </c>
      <c r="Z20" s="27">
        <f>X20*VLOOKUP(Y20,[1]Datos!$A$2:$D$14,2)</f>
        <v>3.98</v>
      </c>
      <c r="AA20" s="26">
        <v>0.3</v>
      </c>
      <c r="AB20" s="25">
        <f>IF(D20=0,IF(AH20="",1,IF(J20&gt;0.1*W20*H20*10,1,J20/(0.1*W20*H20*10))),0)*0.9*0.53*SQRT(W20)*G20*MAX(0.72*G20,0.9*((G20/2)+((G20-0.11)/PI())))*10</f>
        <v>0</v>
      </c>
      <c r="AC20" s="25">
        <f>0.9*Z20*4220*MAX(0.72*G20,0.9*((G20/2)+((G20-0.11)/PI())))/AA20/1000</f>
        <v>47.162044799999997</v>
      </c>
      <c r="AD20" s="24" t="str">
        <f>+IF(AND(AC20&gt;K20-AB20,AA20&lt;=IF(K20&lt;0.125*W20*G20*MAX(0.72*G20,0.9*((G20/2)+((G20-0.11)/PI())))*10,MIN(0.6,0.8*MAX(0.72*G20,0.9*((G20/2)+((G20-0.11)/PI())))),MIN(0.3,0.4*MAX(0.72*G20,0.9*((G20/2)+((G20-0.11)/PI()))))),K20/0.9&lt;=0.25*W20*G20*MAX(0.72*G20,0.9*((G20/2)+((G20-0.11)/PI())))*10),"Cumple","No Cumple")</f>
        <v>Cumple</v>
      </c>
      <c r="AE20" s="23">
        <f>K20</f>
        <v>2.5098014523065366</v>
      </c>
      <c r="AF20" s="5"/>
      <c r="AG20" s="7"/>
      <c r="AH20" s="3"/>
      <c r="AI20" s="7"/>
      <c r="AJ20" s="7"/>
      <c r="AL20" s="3"/>
      <c r="AM20" s="3"/>
      <c r="AN20" s="3"/>
      <c r="AO20" s="3"/>
      <c r="AP20" s="9"/>
      <c r="AQ20" s="6"/>
    </row>
    <row r="21" spans="1:43" ht="15" customHeight="1" x14ac:dyDescent="0.3">
      <c r="A21" s="70" t="s">
        <v>34</v>
      </c>
      <c r="B21" s="69">
        <v>1</v>
      </c>
      <c r="C21" s="60" t="s">
        <v>33</v>
      </c>
      <c r="D21" s="60">
        <v>1</v>
      </c>
      <c r="E21" s="58">
        <v>1</v>
      </c>
      <c r="F21" s="59">
        <f>E21</f>
        <v>1</v>
      </c>
      <c r="G21" s="58">
        <v>1.3</v>
      </c>
      <c r="H21" s="59">
        <f>PI()*(G21^2)/4</f>
        <v>1.3273228961416876</v>
      </c>
      <c r="I21" s="68">
        <v>1.3273E-2</v>
      </c>
      <c r="J21" s="67">
        <v>104.9696</v>
      </c>
      <c r="K21" s="59">
        <v>137.99185263837137</v>
      </c>
      <c r="L21" s="67">
        <v>258.97111999999998</v>
      </c>
      <c r="M21" s="66">
        <v>152.33600999999999</v>
      </c>
      <c r="N21" s="65">
        <f>I21/H21</f>
        <v>9.9998275013430862E-3</v>
      </c>
      <c r="O21" s="64">
        <f>I21*10000</f>
        <v>132.72999999999999</v>
      </c>
      <c r="P21" s="60">
        <v>10</v>
      </c>
      <c r="Q21" s="60">
        <v>1</v>
      </c>
      <c r="R21" s="59">
        <f>Q21*VLOOKUP(P21,[1]Datos!$A$2:$D$14,2)</f>
        <v>8.19</v>
      </c>
      <c r="S21" s="63">
        <f>ROUNDUP(O21/R21,0)</f>
        <v>17</v>
      </c>
      <c r="T21" s="2">
        <v>23</v>
      </c>
      <c r="U21" s="59">
        <f>ROUNDDOWN(PI()*(G21-0.185)/T21,2)</f>
        <v>0.15</v>
      </c>
      <c r="V21" s="62" t="str">
        <f>+IF(T21&gt;=S21,"Cumple","No cumple")</f>
        <v>Cumple</v>
      </c>
      <c r="W21" s="60">
        <v>280</v>
      </c>
      <c r="X21" s="61">
        <v>4</v>
      </c>
      <c r="Y21" s="60">
        <v>6</v>
      </c>
      <c r="Z21" s="59">
        <f>X21*VLOOKUP(Y21,[1]Datos!$A$2:$D$14,2)</f>
        <v>11.36</v>
      </c>
      <c r="AA21" s="58">
        <v>0.1</v>
      </c>
      <c r="AB21" s="57">
        <f>IF(D21=0,IF(AH21="",1,IF(J21&gt;0.1*W21*H21*10,1,J21/(0.1*W21*H21*10))),0)*0.9*0.53*SQRT(W21)*G21*MAX(0.72*G21,0.9*((G21/2)+((G21-0.11)/PI())))*10</f>
        <v>0</v>
      </c>
      <c r="AC21" s="57">
        <f>0.9*Z21*4220*MAX(0.72*G21,0.9*((G21/2)+((G21-0.11)/PI())))/AA21/1000</f>
        <v>403.83982079999993</v>
      </c>
      <c r="AD21" s="56" t="str">
        <f>+IF(AND(AC21&gt;K21-AB21,AA21&lt;=IF(K21&lt;0.125*W21*G21*MAX(0.72*G21,0.9*((G21/2)+((G21-0.11)/PI())))*10,MIN(0.6,0.8*MAX(0.72*G21,0.9*((G21/2)+((G21-0.11)/PI())))),MIN(0.3,0.4*MAX(0.72*G21,0.9*((G21/2)+((G21-0.11)/PI()))))),K21/0.9&lt;=0.25*W21*G21*MAX(0.72*G21,0.9*((G21/2)+((G21-0.11)/PI())))*10),"Cumple","No Cumple")</f>
        <v>Cumple</v>
      </c>
      <c r="AE21" s="55">
        <f>K21</f>
        <v>137.99185263837137</v>
      </c>
      <c r="AF21" s="5"/>
      <c r="AG21" s="7">
        <f>ROUNDUP(MAX(0.45,2*G21,),1)</f>
        <v>2.6</v>
      </c>
      <c r="AH21" s="3">
        <f>PI()*(G21-0.15)^2/4</f>
        <v>1.0386890710931256</v>
      </c>
      <c r="AI21" s="7">
        <f>G21-0.15-VLOOKUP(Y21,[2]Datos!$A$2:$D$14,3)/100</f>
        <v>1.1309000000000002</v>
      </c>
      <c r="AJ21" s="7">
        <f>SQRT((PI()*AI21)^2+AA21^2)</f>
        <v>3.5542341832640103</v>
      </c>
      <c r="AK21" s="1">
        <v>0.12</v>
      </c>
      <c r="AL21" s="16">
        <f>MAX(0.45*(H21/AH21-1),AK21)*(W21/4220)</f>
        <v>8.2969745294259878E-3</v>
      </c>
      <c r="AM21" s="7">
        <f>AG21*(AJ21/AA21)</f>
        <v>92.410088764864255</v>
      </c>
      <c r="AN21" s="17">
        <f>AM21*Z21/X21/10000</f>
        <v>2.6244465209221447E-2</v>
      </c>
      <c r="AO21" s="17">
        <f>AH21*AG21</f>
        <v>2.7005915848421265</v>
      </c>
      <c r="AP21" s="16">
        <f>AN21/AO21</f>
        <v>9.7180430230643967E-3</v>
      </c>
      <c r="AQ21" s="6" t="str">
        <f>+IF(AP21&gt;AL21,"Cumple","No Cumple")</f>
        <v>Cumple</v>
      </c>
    </row>
    <row r="22" spans="1:43" ht="15" customHeight="1" x14ac:dyDescent="0.3">
      <c r="A22" s="45"/>
      <c r="B22" s="44">
        <v>2</v>
      </c>
      <c r="C22" s="1" t="s">
        <v>32</v>
      </c>
      <c r="D22" s="1">
        <v>1</v>
      </c>
      <c r="E22" s="5">
        <v>1</v>
      </c>
      <c r="F22" s="3">
        <f>F21+E22</f>
        <v>2</v>
      </c>
      <c r="G22" s="5">
        <v>1.3</v>
      </c>
      <c r="H22" s="3">
        <f>PI()*(G22^2)/4</f>
        <v>1.3273228961416876</v>
      </c>
      <c r="I22" s="21">
        <v>1.8141999999999998E-2</v>
      </c>
      <c r="J22" s="20">
        <v>104.9696</v>
      </c>
      <c r="K22" s="3">
        <v>126.96377986878778</v>
      </c>
      <c r="L22" s="20">
        <v>368.06724000000003</v>
      </c>
      <c r="M22" s="43">
        <v>91.128380000000007</v>
      </c>
      <c r="N22" s="42">
        <f>I22/H22</f>
        <v>1.3668113503304923E-2</v>
      </c>
      <c r="O22" s="11">
        <f>I22*10000</f>
        <v>181.42</v>
      </c>
      <c r="P22" s="1">
        <v>10</v>
      </c>
      <c r="Q22" s="1">
        <v>1</v>
      </c>
      <c r="R22" s="3">
        <f>Q22*VLOOKUP(P22,[1]Datos!$A$2:$D$14,2)</f>
        <v>8.19</v>
      </c>
      <c r="S22" s="10">
        <f>ROUNDUP(O22/R22,0)</f>
        <v>23</v>
      </c>
      <c r="T22" s="2">
        <v>23</v>
      </c>
      <c r="U22" s="3">
        <f>ROUNDDOWN(PI()*(G22-0.185)/T22,2)</f>
        <v>0.15</v>
      </c>
      <c r="V22" s="41" t="str">
        <f>+IF(T22&gt;=S22,"Cumple","No cumple")</f>
        <v>Cumple</v>
      </c>
      <c r="W22" s="1">
        <v>280</v>
      </c>
      <c r="X22" s="9">
        <v>4</v>
      </c>
      <c r="Y22" s="1">
        <v>6</v>
      </c>
      <c r="Z22" s="3">
        <f>X22*VLOOKUP(Y22,[1]Datos!$A$2:$D$14,2)</f>
        <v>11.36</v>
      </c>
      <c r="AA22" s="5">
        <v>0.1</v>
      </c>
      <c r="AB22" s="7">
        <f>IF(D22=0,IF(AH22="",1,IF(J22&gt;0.1*W22*H22*10,1,J22/(0.1*W22*H22*10))),0)*0.9*0.53*SQRT(W22)*G22*MAX(0.72*G22,0.9*((G22/2)+((G22-0.11)/PI())))*10</f>
        <v>0</v>
      </c>
      <c r="AC22" s="7">
        <f>0.9*Z22*4220*MAX(0.72*G22,0.9*((G22/2)+((G22-0.11)/PI())))/AA22/1000</f>
        <v>403.83982079999993</v>
      </c>
      <c r="AD22" s="6" t="str">
        <f>+IF(AND(AC22&gt;K22-AB22,AA22&lt;=IF(K22&lt;0.125*W22*G22*MAX(0.72*G22,0.9*((G22/2)+((G22-0.11)/PI())))*10,MIN(0.6,0.8*MAX(0.72*G22,0.9*((G22/2)+((G22-0.11)/PI())))),MIN(0.3,0.4*MAX(0.72*G22,0.9*((G22/2)+((G22-0.11)/PI()))))),K22/0.9&lt;=0.25*W22*G22*MAX(0.72*G22,0.9*((G22/2)+((G22-0.11)/PI())))*10),"Cumple","No Cumple")</f>
        <v>Cumple</v>
      </c>
      <c r="AE22" s="40">
        <f>K22</f>
        <v>126.96377986878778</v>
      </c>
      <c r="AF22" s="5"/>
      <c r="AG22" s="7">
        <f>ROUNDUP(MAX(0.45,2*G22,),1)</f>
        <v>2.6</v>
      </c>
      <c r="AH22" s="3">
        <f>PI()*(G22-0.15)^2/4</f>
        <v>1.0386890710931256</v>
      </c>
      <c r="AI22" s="7">
        <f>G22-0.15-VLOOKUP(Y22,[2]Datos!$A$2:$D$14,3)/100</f>
        <v>1.1309000000000002</v>
      </c>
      <c r="AJ22" s="7">
        <f>SQRT((PI()*AI22)^2+AA22^2)</f>
        <v>3.5542341832640103</v>
      </c>
      <c r="AK22" s="1">
        <v>0.12</v>
      </c>
      <c r="AL22" s="16">
        <f>MAX(0.45*(H22/AH22-1),AK22)*(W22/4220)</f>
        <v>8.2969745294259878E-3</v>
      </c>
      <c r="AM22" s="7">
        <f>AG22*(AJ22/AA22)</f>
        <v>92.410088764864255</v>
      </c>
      <c r="AN22" s="17">
        <f>AM22*Z22/X22/10000</f>
        <v>2.6244465209221447E-2</v>
      </c>
      <c r="AO22" s="17">
        <f>AH22*AG22</f>
        <v>2.7005915848421265</v>
      </c>
      <c r="AP22" s="16">
        <f>AN22/AO22</f>
        <v>9.7180430230643967E-3</v>
      </c>
      <c r="AQ22" s="6" t="str">
        <f>+IF(AP22&gt;AL22,"Cumple","No Cumple")</f>
        <v>Cumple</v>
      </c>
    </row>
    <row r="23" spans="1:43" ht="15" customHeight="1" x14ac:dyDescent="0.3">
      <c r="A23" s="45"/>
      <c r="B23" s="44">
        <v>3</v>
      </c>
      <c r="C23" s="1" t="s">
        <v>31</v>
      </c>
      <c r="D23" s="1">
        <v>1</v>
      </c>
      <c r="E23" s="5">
        <v>1</v>
      </c>
      <c r="F23" s="3">
        <f>F22+E23</f>
        <v>3</v>
      </c>
      <c r="G23" s="5">
        <v>1.3</v>
      </c>
      <c r="H23" s="3">
        <f>PI()*(G23^2)/4</f>
        <v>1.3273228961416876</v>
      </c>
      <c r="I23" s="21">
        <v>2.401E-2</v>
      </c>
      <c r="J23" s="20">
        <v>104.9696</v>
      </c>
      <c r="K23" s="3">
        <v>104.98205417389204</v>
      </c>
      <c r="L23" s="20">
        <v>471.51681000000002</v>
      </c>
      <c r="M23" s="43">
        <v>32.389229999999998</v>
      </c>
      <c r="N23" s="42">
        <f>I23/H23</f>
        <v>1.8089042289403109E-2</v>
      </c>
      <c r="O23" s="11">
        <f>I23*10000</f>
        <v>240.1</v>
      </c>
      <c r="P23" s="1">
        <v>10</v>
      </c>
      <c r="Q23" s="1">
        <v>1</v>
      </c>
      <c r="R23" s="3">
        <f>Q23*VLOOKUP(P23,[1]Datos!$A$2:$D$14,2)</f>
        <v>8.19</v>
      </c>
      <c r="S23" s="10">
        <f>ROUNDUP(O23/R23,0)</f>
        <v>30</v>
      </c>
      <c r="T23" s="54">
        <v>30</v>
      </c>
      <c r="U23" s="3">
        <f>ROUNDDOWN(PI()*(G23-0.185)/T23,2)</f>
        <v>0.11</v>
      </c>
      <c r="V23" s="41" t="str">
        <f>+IF(T23&gt;=S23,"Cumple","No cumple")</f>
        <v>Cumple</v>
      </c>
      <c r="W23" s="51">
        <v>280</v>
      </c>
      <c r="X23" s="52">
        <v>4</v>
      </c>
      <c r="Y23" s="51">
        <v>6</v>
      </c>
      <c r="Z23" s="50">
        <f>X23*VLOOKUP(Y23,[1]Datos!$A$2:$D$14,2)</f>
        <v>11.36</v>
      </c>
      <c r="AA23" s="49">
        <v>0.1</v>
      </c>
      <c r="AB23" s="48">
        <f>IF(D23=0,IF(AH23="",1,IF(J23&gt;0.1*W23*H23*10,1,J23/(0.1*W23*H23*10))),0)*0.9*0.53*SQRT(W23)*G23*MAX(0.72*G23,0.9*((G23/2)+((G23-0.11)/PI())))*10</f>
        <v>0</v>
      </c>
      <c r="AC23" s="48">
        <f>0.9*Z23*4220*MAX(0.72*G23,0.9*((G23/2)+((G23-0.11)/PI())))/AA23/1000</f>
        <v>403.83982079999993</v>
      </c>
      <c r="AD23" s="47" t="str">
        <f>+IF(AND(AC23&gt;K23-AB23,AA23&lt;=IF(K23&lt;0.125*W23*G23*MAX(0.72*G23,0.9*((G23/2)+((G23-0.11)/PI())))*10,MIN(0.6,0.8*MAX(0.72*G23,0.9*((G23/2)+((G23-0.11)/PI())))),MIN(0.3,0.4*MAX(0.72*G23,0.9*((G23/2)+((G23-0.11)/PI()))))),K23/0.9&lt;=0.25*W23*G23*MAX(0.72*G23,0.9*((G23/2)+((G23-0.11)/PI())))*10),"Cumple","No Cumple")</f>
        <v>Cumple</v>
      </c>
      <c r="AE23" s="46">
        <f>K23</f>
        <v>104.98205417389204</v>
      </c>
      <c r="AF23" s="5"/>
      <c r="AG23" s="7">
        <f>ROUNDUP(MAX(0.45,2*G23,),1)</f>
        <v>2.6</v>
      </c>
      <c r="AH23" s="3">
        <f>PI()*(G23-0.15)^2/4</f>
        <v>1.0386890710931256</v>
      </c>
      <c r="AI23" s="7">
        <f>G23-0.15-VLOOKUP(Y23,[2]Datos!$A$2:$D$14,3)/100</f>
        <v>1.1309000000000002</v>
      </c>
      <c r="AJ23" s="7">
        <f>SQRT((PI()*AI23)^2+AA23^2)</f>
        <v>3.5542341832640103</v>
      </c>
      <c r="AK23" s="1">
        <v>0.12</v>
      </c>
      <c r="AL23" s="16">
        <f>MAX(0.45*(H23/AH23-1),AK23)*(W23/4220)</f>
        <v>8.2969745294259878E-3</v>
      </c>
      <c r="AM23" s="7">
        <f>AG23*(AJ23/AA23)</f>
        <v>92.410088764864255</v>
      </c>
      <c r="AN23" s="17">
        <f>AM23*Z23/X23/10000</f>
        <v>2.6244465209221447E-2</v>
      </c>
      <c r="AO23" s="17">
        <f>AH23*AG23</f>
        <v>2.7005915848421265</v>
      </c>
      <c r="AP23" s="16">
        <f>AN23/AO23</f>
        <v>9.7180430230643967E-3</v>
      </c>
      <c r="AQ23" s="6" t="str">
        <f>+IF(AP23&gt;AL23,"Cumple","No Cumple")</f>
        <v>Cumple</v>
      </c>
    </row>
    <row r="24" spans="1:43" ht="15" customHeight="1" x14ac:dyDescent="0.3">
      <c r="A24" s="45"/>
      <c r="B24" s="44">
        <v>4</v>
      </c>
      <c r="C24" s="1" t="s">
        <v>30</v>
      </c>
      <c r="D24" s="1">
        <v>1</v>
      </c>
      <c r="E24" s="5">
        <v>1</v>
      </c>
      <c r="F24" s="3">
        <f>F23+E24</f>
        <v>4</v>
      </c>
      <c r="G24" s="5">
        <v>1.3</v>
      </c>
      <c r="H24" s="3">
        <f>PI()*(G24^2)/4</f>
        <v>1.3273228961416876</v>
      </c>
      <c r="I24" s="21">
        <v>2.4292999999999999E-2</v>
      </c>
      <c r="J24" s="20">
        <v>104.9696</v>
      </c>
      <c r="K24" s="3">
        <v>33.76439177713705</v>
      </c>
      <c r="L24" s="20">
        <v>477.60950000000003</v>
      </c>
      <c r="M24" s="43">
        <v>63.431249999999999</v>
      </c>
      <c r="N24" s="42">
        <f>I24/H24</f>
        <v>1.8302253408432726E-2</v>
      </c>
      <c r="O24" s="11">
        <f>I24*10000</f>
        <v>242.92999999999998</v>
      </c>
      <c r="P24" s="1">
        <v>10</v>
      </c>
      <c r="Q24" s="1">
        <v>1</v>
      </c>
      <c r="R24" s="3">
        <f>Q24*VLOOKUP(P24,[1]Datos!$A$2:$D$14,2)</f>
        <v>8.19</v>
      </c>
      <c r="S24" s="10">
        <f>ROUNDUP(O24/R24,0)</f>
        <v>30</v>
      </c>
      <c r="T24" s="54">
        <v>30</v>
      </c>
      <c r="U24" s="3">
        <f>ROUNDDOWN(PI()*(G24-0.185)/T24,2)</f>
        <v>0.11</v>
      </c>
      <c r="V24" s="41" t="str">
        <f>+IF(T24&gt;=S24,"Cumple","No cumple")</f>
        <v>Cumple</v>
      </c>
      <c r="W24" s="1">
        <v>280</v>
      </c>
      <c r="X24" s="9">
        <v>2</v>
      </c>
      <c r="Y24" s="1">
        <v>5</v>
      </c>
      <c r="Z24" s="3">
        <f>X24*VLOOKUP(Y24,[1]Datos!$A$2:$D$14,2)</f>
        <v>3.98</v>
      </c>
      <c r="AA24" s="5">
        <v>0.15</v>
      </c>
      <c r="AB24" s="7">
        <f>IF(D24=0,IF(AH24="",1,IF(J24&gt;0.1*W24*H24*10,1,J24/(0.1*W24*H24*10))),0)*0.9*0.53*SQRT(W24)*G24*MAX(0.72*G24,0.9*((G24/2)+((G24-0.11)/PI())))*10</f>
        <v>0</v>
      </c>
      <c r="AC24" s="7">
        <f>0.9*Z24*4220*MAX(0.72*G24,0.9*((G24/2)+((G24-0.11)/PI())))/AA24/1000</f>
        <v>94.324089599999994</v>
      </c>
      <c r="AD24" s="6" t="str">
        <f>+IF(AND(AC24&gt;K24-AB24,AA24&lt;=IF(K24&lt;0.125*W24*G24*MAX(0.72*G24,0.9*((G24/2)+((G24-0.11)/PI())))*10,MIN(0.6,0.8*MAX(0.72*G24,0.9*((G24/2)+((G24-0.11)/PI())))),MIN(0.3,0.4*MAX(0.72*G24,0.9*((G24/2)+((G24-0.11)/PI()))))),K24/0.9&lt;=0.25*W24*G24*MAX(0.72*G24,0.9*((G24/2)+((G24-0.11)/PI())))*10),"Cumple","No Cumple")</f>
        <v>Cumple</v>
      </c>
      <c r="AE24" s="40">
        <f>K24</f>
        <v>33.76439177713705</v>
      </c>
      <c r="AF24" s="5"/>
      <c r="AG24" s="7"/>
      <c r="AH24" s="3"/>
      <c r="AI24" s="7"/>
      <c r="AJ24" s="7"/>
      <c r="AL24" s="16"/>
      <c r="AM24" s="7"/>
      <c r="AN24" s="17"/>
      <c r="AO24" s="17"/>
      <c r="AP24" s="16"/>
      <c r="AQ24" s="6"/>
    </row>
    <row r="25" spans="1:43" ht="15" customHeight="1" x14ac:dyDescent="0.3">
      <c r="A25" s="45"/>
      <c r="B25" s="44">
        <v>5</v>
      </c>
      <c r="C25" s="1" t="s">
        <v>29</v>
      </c>
      <c r="D25" s="1">
        <v>1</v>
      </c>
      <c r="E25" s="5">
        <v>1</v>
      </c>
      <c r="F25" s="3">
        <f>F24+E25</f>
        <v>5</v>
      </c>
      <c r="G25" s="5">
        <v>1.3</v>
      </c>
      <c r="H25" s="3">
        <f>PI()*(G25^2)/4</f>
        <v>1.3273228961416876</v>
      </c>
      <c r="I25" s="21">
        <v>2.4292999999999999E-2</v>
      </c>
      <c r="J25" s="20">
        <v>104.9696</v>
      </c>
      <c r="K25" s="3">
        <v>50.719042621287713</v>
      </c>
      <c r="L25" s="20">
        <v>477.60950000000003</v>
      </c>
      <c r="M25" s="43">
        <v>74.110200000000006</v>
      </c>
      <c r="N25" s="42">
        <f>I25/H25</f>
        <v>1.8302253408432726E-2</v>
      </c>
      <c r="O25" s="11">
        <f>I25*10000</f>
        <v>242.92999999999998</v>
      </c>
      <c r="P25" s="1">
        <v>10</v>
      </c>
      <c r="Q25" s="1">
        <v>1</v>
      </c>
      <c r="R25" s="3">
        <f>Q25*VLOOKUP(P25,[1]Datos!$A$2:$D$14,2)</f>
        <v>8.19</v>
      </c>
      <c r="S25" s="10">
        <f>ROUNDUP(O25/R25,0)</f>
        <v>30</v>
      </c>
      <c r="T25" s="54">
        <v>30</v>
      </c>
      <c r="U25" s="3">
        <f>ROUNDDOWN(PI()*(G25-0.185)/T25,2)</f>
        <v>0.11</v>
      </c>
      <c r="V25" s="41" t="str">
        <f>+IF(T25&gt;=S25,"Cumple","No cumple")</f>
        <v>Cumple</v>
      </c>
      <c r="W25" s="53">
        <v>280</v>
      </c>
      <c r="X25" s="52">
        <v>2</v>
      </c>
      <c r="Y25" s="51">
        <v>5</v>
      </c>
      <c r="Z25" s="50">
        <f>X25*VLOOKUP(Y25,[1]Datos!$A$2:$D$14,2)</f>
        <v>3.98</v>
      </c>
      <c r="AA25" s="5">
        <v>0.15</v>
      </c>
      <c r="AB25" s="48">
        <f>IF(D25=0,IF(AH25="",1,IF(J25&gt;0.1*W25*H25*10,1,J25/(0.1*W25*H25*10))),0)*0.9*0.53*SQRT(W25)*G25*MAX(0.72*G25,0.9*((G25/2)+((G25-0.11)/PI())))*10</f>
        <v>0</v>
      </c>
      <c r="AC25" s="48">
        <f>0.9*Z25*4220*MAX(0.72*G25,0.9*((G25/2)+((G25-0.11)/PI())))/AA25/1000</f>
        <v>94.324089599999994</v>
      </c>
      <c r="AD25" s="47" t="str">
        <f>+IF(AND(AC25&gt;K25-AB25,AA25&lt;=IF(K25&lt;0.125*W25*G25*MAX(0.72*G25,0.9*((G25/2)+((G25-0.11)/PI())))*10,MIN(0.6,0.8*MAX(0.72*G25,0.9*((G25/2)+((G25-0.11)/PI())))),MIN(0.3,0.4*MAX(0.72*G25,0.9*((G25/2)+((G25-0.11)/PI()))))),K25/0.9&lt;=0.25*W25*G25*MAX(0.72*G25,0.9*((G25/2)+((G25-0.11)/PI())))*10),"Cumple","No Cumple")</f>
        <v>Cumple</v>
      </c>
      <c r="AE25" s="46">
        <f>K25</f>
        <v>50.719042621287713</v>
      </c>
      <c r="AF25" s="5"/>
      <c r="AG25" s="7"/>
      <c r="AH25" s="3"/>
      <c r="AI25" s="7"/>
      <c r="AJ25" s="7"/>
      <c r="AL25" s="16"/>
      <c r="AM25" s="7"/>
      <c r="AN25" s="17"/>
      <c r="AO25" s="17"/>
      <c r="AP25" s="16"/>
      <c r="AQ25" s="6"/>
    </row>
    <row r="26" spans="1:43" ht="15" customHeight="1" x14ac:dyDescent="0.3">
      <c r="A26" s="45"/>
      <c r="B26" s="44">
        <v>6</v>
      </c>
      <c r="C26" s="1" t="s">
        <v>28</v>
      </c>
      <c r="D26" s="1">
        <v>1</v>
      </c>
      <c r="E26" s="5">
        <v>1</v>
      </c>
      <c r="F26" s="3">
        <f>F25+E26</f>
        <v>6</v>
      </c>
      <c r="G26" s="5">
        <v>1.3</v>
      </c>
      <c r="H26" s="3">
        <f>PI()*(G26^2)/4</f>
        <v>1.3273228961416876</v>
      </c>
      <c r="I26" s="21">
        <v>2.1971000000000001E-2</v>
      </c>
      <c r="J26" s="20">
        <v>104.9696</v>
      </c>
      <c r="K26" s="3">
        <v>77.483968121541125</v>
      </c>
      <c r="L26" s="20">
        <v>426.98543000000001</v>
      </c>
      <c r="M26" s="43">
        <v>74.110200000000006</v>
      </c>
      <c r="N26" s="42">
        <f>I26/H26</f>
        <v>1.6552867477737432E-2</v>
      </c>
      <c r="O26" s="11">
        <f>I26*10000</f>
        <v>219.71</v>
      </c>
      <c r="P26" s="1">
        <v>10</v>
      </c>
      <c r="Q26" s="1">
        <v>1</v>
      </c>
      <c r="R26" s="3">
        <f>Q26*VLOOKUP(P26,[1]Datos!$A$2:$D$14,2)</f>
        <v>8.19</v>
      </c>
      <c r="S26" s="10">
        <f>ROUNDUP(O26/R26,0)</f>
        <v>27</v>
      </c>
      <c r="T26" s="54">
        <v>30</v>
      </c>
      <c r="U26" s="3">
        <f>ROUNDDOWN(PI()*(G26-0.185)/T26,2)</f>
        <v>0.11</v>
      </c>
      <c r="V26" s="41" t="str">
        <f>+IF(T26&gt;=S26,"Cumple","No cumple")</f>
        <v>Cumple</v>
      </c>
      <c r="W26" s="1">
        <v>280</v>
      </c>
      <c r="X26" s="9">
        <v>2</v>
      </c>
      <c r="Y26" s="1">
        <v>5</v>
      </c>
      <c r="Z26" s="3">
        <f>X26*VLOOKUP(Y26,[1]Datos!$A$2:$D$14,2)</f>
        <v>3.98</v>
      </c>
      <c r="AA26" s="5">
        <v>0.15</v>
      </c>
      <c r="AB26" s="7">
        <f>IF(D26=0,IF(AH26="",1,IF(J26&gt;0.1*W26*H26*10,1,J26/(0.1*W26*H26*10))),0)*0.9*0.53*SQRT(W26)*G26*MAX(0.72*G26,0.9*((G26/2)+((G26-0.11)/PI())))*10</f>
        <v>0</v>
      </c>
      <c r="AC26" s="7">
        <f>0.9*Z26*4220*MAX(0.72*G26,0.9*((G26/2)+((G26-0.11)/PI())))/AA26/1000</f>
        <v>94.324089599999994</v>
      </c>
      <c r="AD26" s="6" t="str">
        <f>+IF(AND(AC26&gt;K26-AB26,AA26&lt;=IF(K26&lt;0.125*W26*G26*MAX(0.72*G26,0.9*((G26/2)+((G26-0.11)/PI())))*10,MIN(0.6,0.8*MAX(0.72*G26,0.9*((G26/2)+((G26-0.11)/PI())))),MIN(0.3,0.4*MAX(0.72*G26,0.9*((G26/2)+((G26-0.11)/PI()))))),K26/0.9&lt;=0.25*W26*G26*MAX(0.72*G26,0.9*((G26/2)+((G26-0.11)/PI())))*10),"Cumple","No Cumple")</f>
        <v>Cumple</v>
      </c>
      <c r="AE26" s="40">
        <f>K26</f>
        <v>77.483968121541125</v>
      </c>
      <c r="AF26" s="5"/>
      <c r="AG26" s="7"/>
      <c r="AH26" s="3"/>
      <c r="AI26" s="7"/>
      <c r="AJ26" s="7"/>
      <c r="AL26" s="16"/>
      <c r="AM26" s="7"/>
      <c r="AN26" s="17"/>
      <c r="AO26" s="17"/>
      <c r="AP26" s="16"/>
      <c r="AQ26" s="6"/>
    </row>
    <row r="27" spans="1:43" ht="15" customHeight="1" x14ac:dyDescent="0.3">
      <c r="A27" s="45"/>
      <c r="B27" s="44">
        <v>7</v>
      </c>
      <c r="C27" s="1" t="s">
        <v>27</v>
      </c>
      <c r="D27" s="1">
        <v>1</v>
      </c>
      <c r="E27" s="5">
        <v>1</v>
      </c>
      <c r="F27" s="3">
        <f>F26+E27</f>
        <v>7</v>
      </c>
      <c r="G27" s="5">
        <v>1.3</v>
      </c>
      <c r="H27" s="3">
        <f>PI()*(G27^2)/4</f>
        <v>1.3273228961416876</v>
      </c>
      <c r="I27" s="21">
        <v>1.6739E-2</v>
      </c>
      <c r="J27" s="20">
        <v>104.9696</v>
      </c>
      <c r="K27" s="3">
        <v>84.101022758406444</v>
      </c>
      <c r="L27" s="20">
        <v>349.50495000000001</v>
      </c>
      <c r="M27" s="43">
        <v>72.074029999999993</v>
      </c>
      <c r="N27" s="42">
        <f>I27/H27</f>
        <v>1.2611098662320644E-2</v>
      </c>
      <c r="O27" s="11">
        <f>I27*10000</f>
        <v>167.39000000000001</v>
      </c>
      <c r="P27" s="1">
        <v>10</v>
      </c>
      <c r="Q27" s="1">
        <v>1</v>
      </c>
      <c r="R27" s="3">
        <f>Q27*VLOOKUP(P27,[1]Datos!$A$2:$D$14,2)</f>
        <v>8.19</v>
      </c>
      <c r="S27" s="10">
        <f>ROUNDUP(O27/R27,0)</f>
        <v>21</v>
      </c>
      <c r="T27" s="54">
        <v>30</v>
      </c>
      <c r="U27" s="3">
        <f>ROUNDDOWN(PI()*(G27-0.185)/T27,2)</f>
        <v>0.11</v>
      </c>
      <c r="V27" s="41" t="str">
        <f>+IF(T27&gt;=S27,"Cumple","No cumple")</f>
        <v>Cumple</v>
      </c>
      <c r="W27" s="1">
        <v>280</v>
      </c>
      <c r="X27" s="9">
        <v>2</v>
      </c>
      <c r="Y27" s="1">
        <v>5</v>
      </c>
      <c r="Z27" s="3">
        <f>X27*VLOOKUP(Y27,[1]Datos!$A$2:$D$14,2)</f>
        <v>3.98</v>
      </c>
      <c r="AA27" s="5">
        <v>0.15</v>
      </c>
      <c r="AB27" s="7">
        <f>IF(D27=0,IF(AH27="",1,IF(J27&gt;0.1*W27*H27*10,1,J27/(0.1*W27*H27*10))),0)*0.9*0.53*SQRT(W27)*G27*MAX(0.72*G27,0.9*((G27/2)+((G27-0.11)/PI())))*10</f>
        <v>0</v>
      </c>
      <c r="AC27" s="7">
        <f>0.9*Z27*4220*MAX(0.72*G27,0.9*((G27/2)+((G27-0.11)/PI())))/AA27/1000</f>
        <v>94.324089599999994</v>
      </c>
      <c r="AD27" s="6" t="str">
        <f>+IF(AND(AC27&gt;K27-AB27,AA27&lt;=IF(K27&lt;0.125*W27*G27*MAX(0.72*G27,0.9*((G27/2)+((G27-0.11)/PI())))*10,MIN(0.6,0.8*MAX(0.72*G27,0.9*((G27/2)+((G27-0.11)/PI())))),MIN(0.3,0.4*MAX(0.72*G27,0.9*((G27/2)+((G27-0.11)/PI()))))),K27/0.9&lt;=0.25*W27*G27*MAX(0.72*G27,0.9*((G27/2)+((G27-0.11)/PI())))*10),"Cumple","No Cumple")</f>
        <v>Cumple</v>
      </c>
      <c r="AE27" s="40">
        <f>K27</f>
        <v>84.101022758406444</v>
      </c>
      <c r="AF27" s="5"/>
      <c r="AG27" s="7"/>
      <c r="AH27" s="3"/>
      <c r="AI27" s="7"/>
      <c r="AJ27" s="7"/>
      <c r="AL27" s="16"/>
      <c r="AM27" s="7"/>
      <c r="AN27" s="17"/>
      <c r="AO27" s="17"/>
      <c r="AP27" s="16"/>
      <c r="AQ27" s="6"/>
    </row>
    <row r="28" spans="1:43" ht="15" customHeight="1" x14ac:dyDescent="0.3">
      <c r="A28" s="45"/>
      <c r="B28" s="44">
        <v>8</v>
      </c>
      <c r="C28" s="1" t="s">
        <v>26</v>
      </c>
      <c r="D28" s="1">
        <v>1</v>
      </c>
      <c r="E28" s="5">
        <v>1</v>
      </c>
      <c r="F28" s="3">
        <f>F27+E28</f>
        <v>8</v>
      </c>
      <c r="G28" s="5">
        <v>1.3</v>
      </c>
      <c r="H28" s="3">
        <f>PI()*(G28^2)/4</f>
        <v>1.3273228961416876</v>
      </c>
      <c r="I28" s="21">
        <v>1.3273E-2</v>
      </c>
      <c r="J28" s="20">
        <v>104.9696</v>
      </c>
      <c r="K28" s="3">
        <v>78.22912501881892</v>
      </c>
      <c r="L28" s="20">
        <v>265.45229999999998</v>
      </c>
      <c r="M28" s="43">
        <v>62.772239999999996</v>
      </c>
      <c r="N28" s="42">
        <f>I28/H28</f>
        <v>9.9998275013430862E-3</v>
      </c>
      <c r="O28" s="11">
        <f>I28*10000</f>
        <v>132.72999999999999</v>
      </c>
      <c r="P28" s="1">
        <v>10</v>
      </c>
      <c r="Q28" s="1">
        <v>1</v>
      </c>
      <c r="R28" s="3">
        <f>Q28*VLOOKUP(P28,[1]Datos!$A$2:$D$14,2)</f>
        <v>8.19</v>
      </c>
      <c r="S28" s="10">
        <f>ROUNDUP(O28/R28,0)</f>
        <v>17</v>
      </c>
      <c r="T28" s="2">
        <v>17</v>
      </c>
      <c r="U28" s="3">
        <f>ROUNDDOWN(PI()*(G28-0.185)/T28,2)</f>
        <v>0.2</v>
      </c>
      <c r="V28" s="41" t="str">
        <f>+IF(T28&gt;=S28,"Cumple","No cumple")</f>
        <v>Cumple</v>
      </c>
      <c r="W28" s="1">
        <v>280</v>
      </c>
      <c r="X28" s="9">
        <v>2</v>
      </c>
      <c r="Y28" s="1">
        <v>5</v>
      </c>
      <c r="Z28" s="3">
        <f>X28*VLOOKUP(Y28,[1]Datos!$A$2:$D$14,2)</f>
        <v>3.98</v>
      </c>
      <c r="AA28" s="5">
        <v>0.15</v>
      </c>
      <c r="AB28" s="7">
        <f>IF(D28=0,IF(AH28="",1,IF(J28&gt;0.1*W28*H28*10,1,J28/(0.1*W28*H28*10))),0)*0.9*0.53*SQRT(W28)*G28*MAX(0.72*G28,0.9*((G28/2)+((G28-0.11)/PI())))*10</f>
        <v>0</v>
      </c>
      <c r="AC28" s="7">
        <f>0.9*Z28*4220*MAX(0.72*G28,0.9*((G28/2)+((G28-0.11)/PI())))/AA28/1000</f>
        <v>94.324089599999994</v>
      </c>
      <c r="AD28" s="6" t="str">
        <f>+IF(AND(AC28&gt;K28-AB28,AA28&lt;=IF(K28&lt;0.125*W28*G28*MAX(0.72*G28,0.9*((G28/2)+((G28-0.11)/PI())))*10,MIN(0.6,0.8*MAX(0.72*G28,0.9*((G28/2)+((G28-0.11)/PI())))),MIN(0.3,0.4*MAX(0.72*G28,0.9*((G28/2)+((G28-0.11)/PI()))))),K28/0.9&lt;=0.25*W28*G28*MAX(0.72*G28,0.9*((G28/2)+((G28-0.11)/PI())))*10),"Cumple","No Cumple")</f>
        <v>Cumple</v>
      </c>
      <c r="AE28" s="40">
        <f>K28</f>
        <v>78.22912501881892</v>
      </c>
      <c r="AF28" s="5"/>
      <c r="AG28" s="7"/>
      <c r="AH28" s="3"/>
      <c r="AI28" s="7"/>
      <c r="AJ28" s="7"/>
      <c r="AL28" s="16"/>
      <c r="AM28" s="7"/>
      <c r="AN28" s="17"/>
      <c r="AO28" s="17"/>
      <c r="AP28" s="16"/>
      <c r="AQ28" s="6"/>
    </row>
    <row r="29" spans="1:43" ht="15" customHeight="1" x14ac:dyDescent="0.3">
      <c r="A29" s="45"/>
      <c r="B29" s="44">
        <v>9</v>
      </c>
      <c r="C29" s="1" t="s">
        <v>25</v>
      </c>
      <c r="D29" s="1">
        <v>1</v>
      </c>
      <c r="E29" s="5">
        <v>1</v>
      </c>
      <c r="F29" s="3">
        <f>F28+E29</f>
        <v>9</v>
      </c>
      <c r="G29" s="5">
        <v>1.3</v>
      </c>
      <c r="H29" s="3">
        <f>PI()*(G29^2)/4</f>
        <v>1.3273228961416876</v>
      </c>
      <c r="I29" s="21">
        <v>1.3273E-2</v>
      </c>
      <c r="J29" s="20">
        <v>104.9696</v>
      </c>
      <c r="K29" s="3">
        <v>65.747713056805253</v>
      </c>
      <c r="L29" s="20">
        <v>187.31278</v>
      </c>
      <c r="M29" s="43">
        <v>50.34507</v>
      </c>
      <c r="N29" s="42">
        <f>I29/H29</f>
        <v>9.9998275013430862E-3</v>
      </c>
      <c r="O29" s="11">
        <f>I29*10000</f>
        <v>132.72999999999999</v>
      </c>
      <c r="P29" s="1">
        <v>10</v>
      </c>
      <c r="Q29" s="1">
        <v>1</v>
      </c>
      <c r="R29" s="3">
        <f>Q29*VLOOKUP(P29,[1]Datos!$A$2:$D$14,2)</f>
        <v>8.19</v>
      </c>
      <c r="S29" s="10">
        <f>ROUNDUP(O29/R29,0)</f>
        <v>17</v>
      </c>
      <c r="T29" s="2">
        <v>17</v>
      </c>
      <c r="U29" s="3">
        <f>ROUNDDOWN(PI()*(G29-0.185)/T29,2)</f>
        <v>0.2</v>
      </c>
      <c r="V29" s="41" t="str">
        <f>+IF(T29&gt;=S29,"Cumple","No cumple")</f>
        <v>Cumple</v>
      </c>
      <c r="W29" s="53">
        <v>280</v>
      </c>
      <c r="X29" s="52">
        <v>2</v>
      </c>
      <c r="Y29" s="51">
        <v>5</v>
      </c>
      <c r="Z29" s="50">
        <f>X29*VLOOKUP(Y29,[1]Datos!$A$2:$D$14,2)</f>
        <v>3.98</v>
      </c>
      <c r="AA29" s="5">
        <v>0.15</v>
      </c>
      <c r="AB29" s="48">
        <f>IF(D29=0,IF(AH29="",1,IF(J29&gt;0.1*W29*H29*10,1,J29/(0.1*W29*H29*10))),0)*0.9*0.53*SQRT(W29)*G29*MAX(0.72*G29,0.9*((G29/2)+((G29-0.11)/PI())))*10</f>
        <v>0</v>
      </c>
      <c r="AC29" s="48">
        <f>0.9*Z29*4220*MAX(0.72*G29,0.9*((G29/2)+((G29-0.11)/PI())))/AA29/1000</f>
        <v>94.324089599999994</v>
      </c>
      <c r="AD29" s="47" t="str">
        <f>+IF(AND(AC29&gt;K29-AB29,AA29&lt;=IF(K29&lt;0.125*W29*G29*MAX(0.72*G29,0.9*((G29/2)+((G29-0.11)/PI())))*10,MIN(0.6,0.8*MAX(0.72*G29,0.9*((G29/2)+((G29-0.11)/PI())))),MIN(0.3,0.4*MAX(0.72*G29,0.9*((G29/2)+((G29-0.11)/PI()))))),K29/0.9&lt;=0.25*W29*G29*MAX(0.72*G29,0.9*((G29/2)+((G29-0.11)/PI())))*10),"Cumple","No Cumple")</f>
        <v>Cumple</v>
      </c>
      <c r="AE29" s="46">
        <f>K29</f>
        <v>65.747713056805253</v>
      </c>
      <c r="AF29" s="5"/>
      <c r="AG29" s="7"/>
      <c r="AH29" s="3"/>
      <c r="AI29" s="7"/>
      <c r="AJ29" s="7"/>
      <c r="AL29" s="16"/>
      <c r="AM29" s="7"/>
      <c r="AN29" s="17"/>
      <c r="AO29" s="17"/>
      <c r="AP29" s="16"/>
      <c r="AQ29" s="6"/>
    </row>
    <row r="30" spans="1:43" ht="15" customHeight="1" x14ac:dyDescent="0.3">
      <c r="A30" s="45"/>
      <c r="B30" s="44">
        <v>10</v>
      </c>
      <c r="C30" s="1" t="s">
        <v>24</v>
      </c>
      <c r="D30" s="1">
        <v>1</v>
      </c>
      <c r="E30" s="5">
        <v>1</v>
      </c>
      <c r="F30" s="3">
        <f>F29+E30</f>
        <v>10</v>
      </c>
      <c r="G30" s="5">
        <v>1.3</v>
      </c>
      <c r="H30" s="3">
        <f>PI()*(G30^2)/4</f>
        <v>1.3273228961416876</v>
      </c>
      <c r="I30" s="21">
        <v>1.3273E-2</v>
      </c>
      <c r="J30" s="20">
        <v>104.9696</v>
      </c>
      <c r="K30" s="3">
        <v>50.797576177805958</v>
      </c>
      <c r="L30" s="20">
        <v>121.67623</v>
      </c>
      <c r="M30" s="43">
        <v>37.56315</v>
      </c>
      <c r="N30" s="42">
        <f>I30/H30</f>
        <v>9.9998275013430862E-3</v>
      </c>
      <c r="O30" s="11">
        <f>I30*10000</f>
        <v>132.72999999999999</v>
      </c>
      <c r="P30" s="1">
        <v>10</v>
      </c>
      <c r="Q30" s="1">
        <v>1</v>
      </c>
      <c r="R30" s="3">
        <f>Q30*VLOOKUP(P30,[1]Datos!$A$2:$D$14,2)</f>
        <v>8.19</v>
      </c>
      <c r="S30" s="10">
        <f>ROUNDUP(O30/R30,0)</f>
        <v>17</v>
      </c>
      <c r="T30" s="2">
        <v>17</v>
      </c>
      <c r="U30" s="3">
        <f>ROUNDDOWN(PI()*(G30-0.185)/T30,2)</f>
        <v>0.2</v>
      </c>
      <c r="V30" s="41" t="str">
        <f>+IF(T30&gt;=S30,"Cumple","No cumple")</f>
        <v>Cumple</v>
      </c>
      <c r="W30" s="1">
        <v>280</v>
      </c>
      <c r="X30" s="9">
        <v>2</v>
      </c>
      <c r="Y30" s="1">
        <v>5</v>
      </c>
      <c r="Z30" s="3">
        <f>X30*VLOOKUP(Y30,[1]Datos!$A$2:$D$14,2)</f>
        <v>3.98</v>
      </c>
      <c r="AA30" s="5">
        <v>0.15</v>
      </c>
      <c r="AB30" s="7">
        <f>IF(D30=0,IF(AH30="",1,IF(J30&gt;0.1*W30*H30*10,1,J30/(0.1*W30*H30*10))),0)*0.9*0.53*SQRT(W30)*G30*MAX(0.72*G30,0.9*((G30/2)+((G30-0.11)/PI())))*10</f>
        <v>0</v>
      </c>
      <c r="AC30" s="7">
        <f>0.9*Z30*4220*MAX(0.72*G30,0.9*((G30/2)+((G30-0.11)/PI())))/AA30/1000</f>
        <v>94.324089599999994</v>
      </c>
      <c r="AD30" s="6" t="str">
        <f>+IF(AND(AC30&gt;K30-AB30,AA30&lt;=IF(K30&lt;0.125*W30*G30*MAX(0.72*G30,0.9*((G30/2)+((G30-0.11)/PI())))*10,MIN(0.6,0.8*MAX(0.72*G30,0.9*((G30/2)+((G30-0.11)/PI())))),MIN(0.3,0.4*MAX(0.72*G30,0.9*((G30/2)+((G30-0.11)/PI()))))),K30/0.9&lt;=0.25*W30*G30*MAX(0.72*G30,0.9*((G30/2)+((G30-0.11)/PI())))*10),"Cumple","No Cumple")</f>
        <v>Cumple</v>
      </c>
      <c r="AE30" s="40">
        <f>K30</f>
        <v>50.797576177805958</v>
      </c>
      <c r="AF30" s="5"/>
      <c r="AG30" s="7"/>
      <c r="AH30" s="3"/>
      <c r="AI30" s="7"/>
      <c r="AJ30" s="7"/>
      <c r="AL30" s="16"/>
      <c r="AM30" s="7"/>
      <c r="AN30" s="17"/>
      <c r="AO30" s="17"/>
      <c r="AP30" s="16"/>
      <c r="AQ30" s="6"/>
    </row>
    <row r="31" spans="1:43" ht="15" customHeight="1" x14ac:dyDescent="0.3">
      <c r="A31" s="45"/>
      <c r="B31" s="44">
        <v>11</v>
      </c>
      <c r="C31" s="1" t="s">
        <v>23</v>
      </c>
      <c r="D31" s="1">
        <v>1</v>
      </c>
      <c r="E31" s="5">
        <v>1</v>
      </c>
      <c r="F31" s="3">
        <f>F30+E31</f>
        <v>11</v>
      </c>
      <c r="G31" s="5">
        <v>1.3</v>
      </c>
      <c r="H31" s="3">
        <f>PI()*(G31^2)/4</f>
        <v>1.3273228961416876</v>
      </c>
      <c r="I31" s="21">
        <v>1.3273E-2</v>
      </c>
      <c r="J31" s="20">
        <v>104.9696</v>
      </c>
      <c r="K31" s="3">
        <v>36.055540521950306</v>
      </c>
      <c r="L31" s="20">
        <v>70.993740000000003</v>
      </c>
      <c r="M31" s="43">
        <v>26.075220000000002</v>
      </c>
      <c r="N31" s="42">
        <f>I31/H31</f>
        <v>9.9998275013430862E-3</v>
      </c>
      <c r="O31" s="11">
        <f>I31*10000</f>
        <v>132.72999999999999</v>
      </c>
      <c r="P31" s="1">
        <v>10</v>
      </c>
      <c r="Q31" s="1">
        <v>1</v>
      </c>
      <c r="R31" s="3">
        <f>Q31*VLOOKUP(P31,[1]Datos!$A$2:$D$14,2)</f>
        <v>8.19</v>
      </c>
      <c r="S31" s="10">
        <f>ROUNDUP(O31/R31,0)</f>
        <v>17</v>
      </c>
      <c r="T31" s="2">
        <v>17</v>
      </c>
      <c r="U31" s="3">
        <f>ROUNDDOWN(PI()*(G31-0.185)/T31,2)</f>
        <v>0.2</v>
      </c>
      <c r="V31" s="41" t="str">
        <f>+IF(T31&gt;=S31,"Cumple","No cumple")</f>
        <v>Cumple</v>
      </c>
      <c r="W31" s="1">
        <v>280</v>
      </c>
      <c r="X31" s="9">
        <v>2</v>
      </c>
      <c r="Y31" s="1">
        <v>5</v>
      </c>
      <c r="Z31" s="3">
        <f>X31*VLOOKUP(Y31,[1]Datos!$A$2:$D$14,2)</f>
        <v>3.98</v>
      </c>
      <c r="AA31" s="5">
        <v>0.3</v>
      </c>
      <c r="AB31" s="7">
        <f>IF(D31=0,IF(AH31="",1,IF(J31&gt;0.1*W31*H31*10,1,J31/(0.1*W31*H31*10))),0)*0.9*0.53*SQRT(W31)*G31*MAX(0.72*G31,0.9*((G31/2)+((G31-0.11)/PI())))*10</f>
        <v>0</v>
      </c>
      <c r="AC31" s="7">
        <f>0.9*Z31*4220*MAX(0.72*G31,0.9*((G31/2)+((G31-0.11)/PI())))/AA31/1000</f>
        <v>47.162044799999997</v>
      </c>
      <c r="AD31" s="6" t="str">
        <f>+IF(AND(AC31&gt;K31-AB31,AA31&lt;=IF(K31&lt;0.125*W31*G31*MAX(0.72*G31,0.9*((G31/2)+((G31-0.11)/PI())))*10,MIN(0.6,0.8*MAX(0.72*G31,0.9*((G31/2)+((G31-0.11)/PI())))),MIN(0.3,0.4*MAX(0.72*G31,0.9*((G31/2)+((G31-0.11)/PI()))))),K31/0.9&lt;=0.25*W31*G31*MAX(0.72*G31,0.9*((G31/2)+((G31-0.11)/PI())))*10),"Cumple","No Cumple")</f>
        <v>Cumple</v>
      </c>
      <c r="AE31" s="40">
        <f>K31</f>
        <v>36.055540521950306</v>
      </c>
      <c r="AF31" s="5"/>
      <c r="AG31" s="7"/>
      <c r="AH31" s="3"/>
      <c r="AI31" s="7"/>
      <c r="AJ31" s="7"/>
      <c r="AL31" s="3"/>
      <c r="AM31" s="3"/>
      <c r="AN31" s="3"/>
      <c r="AO31" s="3"/>
      <c r="AP31" s="9"/>
      <c r="AQ31" s="6"/>
    </row>
    <row r="32" spans="1:43" ht="15" customHeight="1" x14ac:dyDescent="0.3">
      <c r="A32" s="45"/>
      <c r="B32" s="44">
        <v>12</v>
      </c>
      <c r="C32" s="1" t="s">
        <v>22</v>
      </c>
      <c r="D32" s="1">
        <v>1</v>
      </c>
      <c r="E32" s="5">
        <v>1</v>
      </c>
      <c r="F32" s="3">
        <f>F31+E32</f>
        <v>12</v>
      </c>
      <c r="G32" s="5">
        <v>1.3</v>
      </c>
      <c r="H32" s="3">
        <f>PI()*(G32^2)/4</f>
        <v>1.3273228961416876</v>
      </c>
      <c r="I32" s="21">
        <v>1.3273E-2</v>
      </c>
      <c r="J32" s="20">
        <v>104.9696</v>
      </c>
      <c r="K32" s="3">
        <v>23.070359421994276</v>
      </c>
      <c r="L32" s="20">
        <v>35.045479999999998</v>
      </c>
      <c r="M32" s="43">
        <v>16.696919999999999</v>
      </c>
      <c r="N32" s="42">
        <f>I32/H32</f>
        <v>9.9998275013430862E-3</v>
      </c>
      <c r="O32" s="11">
        <f>I32*10000</f>
        <v>132.72999999999999</v>
      </c>
      <c r="P32" s="1">
        <v>10</v>
      </c>
      <c r="Q32" s="1">
        <v>1</v>
      </c>
      <c r="R32" s="3">
        <f>Q32*VLOOKUP(P32,[1]Datos!$A$2:$D$14,2)</f>
        <v>8.19</v>
      </c>
      <c r="S32" s="10">
        <f>ROUNDUP(O32/R32,0)</f>
        <v>17</v>
      </c>
      <c r="T32" s="2">
        <v>17</v>
      </c>
      <c r="U32" s="3">
        <f>ROUNDDOWN(PI()*(G32-0.185)/T32,2)</f>
        <v>0.2</v>
      </c>
      <c r="V32" s="41" t="str">
        <f>+IF(T32&gt;=S32,"Cumple","No cumple")</f>
        <v>Cumple</v>
      </c>
      <c r="W32" s="1">
        <v>280</v>
      </c>
      <c r="X32" s="9">
        <v>2</v>
      </c>
      <c r="Y32" s="1">
        <v>5</v>
      </c>
      <c r="Z32" s="3">
        <f>X32*VLOOKUP(Y32,[1]Datos!$A$2:$D$14,2)</f>
        <v>3.98</v>
      </c>
      <c r="AA32" s="5">
        <v>0.3</v>
      </c>
      <c r="AB32" s="7">
        <f>IF(D32=0,IF(AH32="",1,IF(J32&gt;0.1*W32*H32*10,1,J32/(0.1*W32*H32*10))),0)*0.9*0.53*SQRT(W32)*G32*MAX(0.72*G32,0.9*((G32/2)+((G32-0.11)/PI())))*10</f>
        <v>0</v>
      </c>
      <c r="AC32" s="7">
        <f>0.9*Z32*4220*MAX(0.72*G32,0.9*((G32/2)+((G32-0.11)/PI())))/AA32/1000</f>
        <v>47.162044799999997</v>
      </c>
      <c r="AD32" s="6" t="str">
        <f>+IF(AND(AC32&gt;K32-AB32,AA32&lt;=IF(K32&lt;0.125*W32*G32*MAX(0.72*G32,0.9*((G32/2)+((G32-0.11)/PI())))*10,MIN(0.6,0.8*MAX(0.72*G32,0.9*((G32/2)+((G32-0.11)/PI())))),MIN(0.3,0.4*MAX(0.72*G32,0.9*((G32/2)+((G32-0.11)/PI()))))),K32/0.9&lt;=0.25*W32*G32*MAX(0.72*G32,0.9*((G32/2)+((G32-0.11)/PI())))*10),"Cumple","No Cumple")</f>
        <v>Cumple</v>
      </c>
      <c r="AE32" s="40">
        <f>K32</f>
        <v>23.070359421994276</v>
      </c>
      <c r="AF32" s="5"/>
      <c r="AG32" s="7"/>
      <c r="AH32" s="3"/>
      <c r="AI32" s="7"/>
      <c r="AJ32" s="7"/>
      <c r="AL32" s="3"/>
      <c r="AM32" s="3"/>
      <c r="AN32" s="3"/>
      <c r="AO32" s="3"/>
      <c r="AP32" s="9"/>
      <c r="AQ32" s="6"/>
    </row>
    <row r="33" spans="1:43" ht="15" customHeight="1" x14ac:dyDescent="0.3">
      <c r="A33" s="45"/>
      <c r="B33" s="44">
        <v>13</v>
      </c>
      <c r="C33" s="1" t="s">
        <v>21</v>
      </c>
      <c r="D33" s="1">
        <v>1</v>
      </c>
      <c r="E33" s="5">
        <v>1</v>
      </c>
      <c r="F33" s="3">
        <f>F32+E33</f>
        <v>13</v>
      </c>
      <c r="G33" s="5">
        <v>1.3</v>
      </c>
      <c r="H33" s="3">
        <f>PI()*(G33^2)/4</f>
        <v>1.3273228961416876</v>
      </c>
      <c r="I33" s="21">
        <v>1.3273E-2</v>
      </c>
      <c r="J33" s="20">
        <v>104.9696</v>
      </c>
      <c r="K33" s="3">
        <v>12.594931255072414</v>
      </c>
      <c r="L33" s="20">
        <v>12.06854</v>
      </c>
      <c r="M33" s="43">
        <v>9.6687399999999997</v>
      </c>
      <c r="N33" s="42">
        <f>I33/H33</f>
        <v>9.9998275013430862E-3</v>
      </c>
      <c r="O33" s="11">
        <f>I33*10000</f>
        <v>132.72999999999999</v>
      </c>
      <c r="P33" s="1">
        <v>10</v>
      </c>
      <c r="Q33" s="1">
        <v>1</v>
      </c>
      <c r="R33" s="3">
        <f>Q33*VLOOKUP(P33,[1]Datos!$A$2:$D$14,2)</f>
        <v>8.19</v>
      </c>
      <c r="S33" s="10">
        <f>ROUNDUP(O33/R33,0)</f>
        <v>17</v>
      </c>
      <c r="T33" s="2">
        <v>17</v>
      </c>
      <c r="U33" s="3">
        <f>ROUNDDOWN(PI()*(G33-0.185)/T33,2)</f>
        <v>0.2</v>
      </c>
      <c r="V33" s="41" t="str">
        <f>+IF(T33&gt;=S33,"Cumple","No cumple")</f>
        <v>Cumple</v>
      </c>
      <c r="W33" s="1">
        <v>280</v>
      </c>
      <c r="X33" s="9">
        <v>2</v>
      </c>
      <c r="Y33" s="1">
        <v>5</v>
      </c>
      <c r="Z33" s="3">
        <f>X33*VLOOKUP(Y33,[1]Datos!$A$2:$D$14,2)</f>
        <v>3.98</v>
      </c>
      <c r="AA33" s="5">
        <v>0.3</v>
      </c>
      <c r="AB33" s="7">
        <f>IF(D33=0,IF(AH33="",1,IF(J33&gt;0.1*W33*H33*10,1,J33/(0.1*W33*H33*10))),0)*0.9*0.53*SQRT(W33)*G33*MAX(0.72*G33,0.9*((G33/2)+((G33-0.11)/PI())))*10</f>
        <v>0</v>
      </c>
      <c r="AC33" s="7">
        <f>0.9*Z33*4220*MAX(0.72*G33,0.9*((G33/2)+((G33-0.11)/PI())))/AA33/1000</f>
        <v>47.162044799999997</v>
      </c>
      <c r="AD33" s="6" t="str">
        <f>+IF(AND(AC33&gt;K33-AB33,AA33&lt;=IF(K33&lt;0.125*W33*G33*MAX(0.72*G33,0.9*((G33/2)+((G33-0.11)/PI())))*10,MIN(0.6,0.8*MAX(0.72*G33,0.9*((G33/2)+((G33-0.11)/PI())))),MIN(0.3,0.4*MAX(0.72*G33,0.9*((G33/2)+((G33-0.11)/PI()))))),K33/0.9&lt;=0.25*W33*G33*MAX(0.72*G33,0.9*((G33/2)+((G33-0.11)/PI())))*10),"Cumple","No Cumple")</f>
        <v>Cumple</v>
      </c>
      <c r="AE33" s="40">
        <f>K33</f>
        <v>12.594931255072414</v>
      </c>
      <c r="AF33" s="5"/>
      <c r="AG33" s="7"/>
      <c r="AH33" s="3"/>
      <c r="AI33" s="7"/>
      <c r="AJ33" s="7"/>
      <c r="AL33" s="3"/>
      <c r="AM33" s="3"/>
      <c r="AN33" s="3"/>
      <c r="AO33" s="3"/>
      <c r="AP33" s="9"/>
      <c r="AQ33" s="6"/>
    </row>
    <row r="34" spans="1:43" ht="15" customHeight="1" x14ac:dyDescent="0.3">
      <c r="A34" s="45"/>
      <c r="B34" s="44">
        <v>14</v>
      </c>
      <c r="C34" s="1" t="s">
        <v>20</v>
      </c>
      <c r="D34" s="1">
        <v>1</v>
      </c>
      <c r="E34" s="5">
        <v>1</v>
      </c>
      <c r="F34" s="3">
        <f>F33+E34</f>
        <v>14</v>
      </c>
      <c r="G34" s="5">
        <v>1.3</v>
      </c>
      <c r="H34" s="3">
        <f>PI()*(G34^2)/4</f>
        <v>1.3273228961416876</v>
      </c>
      <c r="I34" s="21">
        <v>1.3273E-2</v>
      </c>
      <c r="J34" s="20">
        <v>104.9696</v>
      </c>
      <c r="K34" s="3">
        <v>4.8808717141510689</v>
      </c>
      <c r="L34" s="20">
        <v>5.7218799999999996</v>
      </c>
      <c r="M34" s="43">
        <v>4.8653599999999999</v>
      </c>
      <c r="N34" s="42">
        <f>I34/H34</f>
        <v>9.9998275013430862E-3</v>
      </c>
      <c r="O34" s="11">
        <f>I34*10000</f>
        <v>132.72999999999999</v>
      </c>
      <c r="P34" s="1">
        <v>10</v>
      </c>
      <c r="Q34" s="1">
        <v>1</v>
      </c>
      <c r="R34" s="3">
        <f>Q34*VLOOKUP(P34,[1]Datos!$A$2:$D$14,2)</f>
        <v>8.19</v>
      </c>
      <c r="S34" s="10">
        <f>ROUNDUP(O34/R34,0)</f>
        <v>17</v>
      </c>
      <c r="T34" s="2">
        <v>17</v>
      </c>
      <c r="U34" s="3">
        <f>ROUNDDOWN(PI()*(G34-0.185)/T34,2)</f>
        <v>0.2</v>
      </c>
      <c r="V34" s="41" t="str">
        <f>+IF(T34&gt;=S34,"Cumple","No cumple")</f>
        <v>Cumple</v>
      </c>
      <c r="W34" s="1">
        <v>280</v>
      </c>
      <c r="X34" s="9">
        <v>2</v>
      </c>
      <c r="Y34" s="1">
        <v>5</v>
      </c>
      <c r="Z34" s="3">
        <f>X34*VLOOKUP(Y34,[1]Datos!$A$2:$D$14,2)</f>
        <v>3.98</v>
      </c>
      <c r="AA34" s="5">
        <v>0.3</v>
      </c>
      <c r="AB34" s="7">
        <f>IF(D34=0,IF(AH34="",1,IF(J34&gt;0.1*W34*H34*10,1,J34/(0.1*W34*H34*10))),0)*0.9*0.53*SQRT(W34)*G34*MAX(0.72*G34,0.9*((G34/2)+((G34-0.11)/PI())))*10</f>
        <v>0</v>
      </c>
      <c r="AC34" s="7">
        <f>0.9*Z34*4220*MAX(0.72*G34,0.9*((G34/2)+((G34-0.11)/PI())))/AA34/1000</f>
        <v>47.162044799999997</v>
      </c>
      <c r="AD34" s="6" t="str">
        <f>+IF(AND(AC34&gt;K34-AB34,AA34&lt;=IF(K34&lt;0.125*W34*G34*MAX(0.72*G34,0.9*((G34/2)+((G34-0.11)/PI())))*10,MIN(0.6,0.8*MAX(0.72*G34,0.9*((G34/2)+((G34-0.11)/PI())))),MIN(0.3,0.4*MAX(0.72*G34,0.9*((G34/2)+((G34-0.11)/PI()))))),K34/0.9&lt;=0.25*W34*G34*MAX(0.72*G34,0.9*((G34/2)+((G34-0.11)/PI())))*10),"Cumple","No Cumple")</f>
        <v>Cumple</v>
      </c>
      <c r="AE34" s="40">
        <f>K34</f>
        <v>4.8808717141510689</v>
      </c>
      <c r="AF34" s="5"/>
      <c r="AG34" s="7"/>
      <c r="AH34" s="3"/>
      <c r="AI34" s="7"/>
      <c r="AJ34" s="7"/>
      <c r="AL34" s="3"/>
      <c r="AM34" s="3"/>
      <c r="AN34" s="3"/>
      <c r="AO34" s="3"/>
      <c r="AP34" s="9"/>
      <c r="AQ34" s="6"/>
    </row>
    <row r="35" spans="1:43" ht="15" customHeight="1" x14ac:dyDescent="0.3">
      <c r="A35" s="45"/>
      <c r="B35" s="44">
        <v>15</v>
      </c>
      <c r="C35" s="1" t="s">
        <v>19</v>
      </c>
      <c r="D35" s="1">
        <v>1</v>
      </c>
      <c r="E35" s="5">
        <v>1</v>
      </c>
      <c r="F35" s="3">
        <f>F34+E35</f>
        <v>15</v>
      </c>
      <c r="G35" s="5">
        <v>1.3</v>
      </c>
      <c r="H35" s="3">
        <f>PI()*(G35^2)/4</f>
        <v>1.3273228961416876</v>
      </c>
      <c r="I35" s="21">
        <v>1.3273E-2</v>
      </c>
      <c r="J35" s="20">
        <v>104.9696</v>
      </c>
      <c r="K35" s="3">
        <v>1.6628914155770966</v>
      </c>
      <c r="L35" s="20">
        <v>5.7218799999999996</v>
      </c>
      <c r="M35" s="43">
        <v>1.9519200000000001</v>
      </c>
      <c r="N35" s="42">
        <f>I35/H35</f>
        <v>9.9998275013430862E-3</v>
      </c>
      <c r="O35" s="11">
        <f>I35*10000</f>
        <v>132.72999999999999</v>
      </c>
      <c r="P35" s="1">
        <v>10</v>
      </c>
      <c r="Q35" s="1">
        <v>1</v>
      </c>
      <c r="R35" s="3">
        <f>Q35*VLOOKUP(P35,[1]Datos!$A$2:$D$14,2)</f>
        <v>8.19</v>
      </c>
      <c r="S35" s="10">
        <f>ROUNDUP(O35/R35,0)</f>
        <v>17</v>
      </c>
      <c r="T35" s="2">
        <v>17</v>
      </c>
      <c r="U35" s="3">
        <f>ROUNDDOWN(PI()*(G35-0.185)/T35,2)</f>
        <v>0.2</v>
      </c>
      <c r="V35" s="41" t="str">
        <f>+IF(T35&gt;=S35,"Cumple","No cumple")</f>
        <v>Cumple</v>
      </c>
      <c r="W35" s="51">
        <v>280</v>
      </c>
      <c r="X35" s="52">
        <v>2</v>
      </c>
      <c r="Y35" s="51">
        <v>5</v>
      </c>
      <c r="Z35" s="50">
        <f>X35*VLOOKUP(Y35,[1]Datos!$A$2:$D$14,2)</f>
        <v>3.98</v>
      </c>
      <c r="AA35" s="49">
        <v>0.3</v>
      </c>
      <c r="AB35" s="48">
        <f>IF(D35=0,IF(AH35="",1,IF(J35&gt;0.1*W35*H35*10,1,J35/(0.1*W35*H35*10))),0)*0.9*0.53*SQRT(W35)*G35*MAX(0.72*G35,0.9*((G35/2)+((G35-0.11)/PI())))*10</f>
        <v>0</v>
      </c>
      <c r="AC35" s="48">
        <f>0.9*Z35*4220*MAX(0.72*G35,0.9*((G35/2)+((G35-0.11)/PI())))/AA35/1000</f>
        <v>47.162044799999997</v>
      </c>
      <c r="AD35" s="47" t="str">
        <f>+IF(AND(AC35&gt;K35-AB35,AA35&lt;=IF(K35&lt;0.125*W35*G35*MAX(0.72*G35,0.9*((G35/2)+((G35-0.11)/PI())))*10,MIN(0.6,0.8*MAX(0.72*G35,0.9*((G35/2)+((G35-0.11)/PI())))),MIN(0.3,0.4*MAX(0.72*G35,0.9*((G35/2)+((G35-0.11)/PI()))))),K35/0.9&lt;=0.25*W35*G35*MAX(0.72*G35,0.9*((G35/2)+((G35-0.11)/PI())))*10),"Cumple","No Cumple")</f>
        <v>Cumple</v>
      </c>
      <c r="AE35" s="46">
        <f>K35</f>
        <v>1.6628914155770966</v>
      </c>
      <c r="AF35" s="5"/>
      <c r="AG35" s="7"/>
      <c r="AH35" s="3"/>
      <c r="AI35" s="7"/>
      <c r="AJ35" s="7"/>
      <c r="AL35" s="3"/>
      <c r="AM35" s="3"/>
      <c r="AN35" s="3"/>
      <c r="AO35" s="3"/>
      <c r="AP35" s="9"/>
      <c r="AQ35" s="6"/>
    </row>
    <row r="36" spans="1:43" ht="15" customHeight="1" x14ac:dyDescent="0.3">
      <c r="A36" s="45"/>
      <c r="B36" s="44">
        <v>16</v>
      </c>
      <c r="C36" s="1" t="s">
        <v>18</v>
      </c>
      <c r="D36" s="1">
        <v>1</v>
      </c>
      <c r="E36" s="5">
        <v>1</v>
      </c>
      <c r="F36" s="3">
        <f>F35+E36</f>
        <v>16</v>
      </c>
      <c r="G36" s="5">
        <v>1.3</v>
      </c>
      <c r="H36" s="3">
        <f>PI()*(G36^2)/4</f>
        <v>1.3273228961416876</v>
      </c>
      <c r="I36" s="21">
        <v>1.3273E-2</v>
      </c>
      <c r="J36" s="20">
        <v>104.9696</v>
      </c>
      <c r="K36" s="3">
        <v>2.579177582098604</v>
      </c>
      <c r="L36" s="20">
        <v>5.0723799999999999</v>
      </c>
      <c r="M36" s="43">
        <v>0.49003000000000002</v>
      </c>
      <c r="N36" s="42">
        <f>I36/H36</f>
        <v>9.9998275013430862E-3</v>
      </c>
      <c r="O36" s="11">
        <f>I36*10000</f>
        <v>132.72999999999999</v>
      </c>
      <c r="P36" s="1">
        <v>10</v>
      </c>
      <c r="Q36" s="1">
        <v>1</v>
      </c>
      <c r="R36" s="3">
        <f>Q36*VLOOKUP(P36,[1]Datos!$A$2:$D$14,2)</f>
        <v>8.19</v>
      </c>
      <c r="S36" s="10">
        <f>ROUNDUP(O36/R36,0)</f>
        <v>17</v>
      </c>
      <c r="T36" s="2">
        <v>17</v>
      </c>
      <c r="U36" s="3">
        <f>ROUNDDOWN(PI()*(G36-0.185)/T36,2)</f>
        <v>0.2</v>
      </c>
      <c r="V36" s="41" t="str">
        <f>+IF(T36&gt;=S36,"Cumple","No cumple")</f>
        <v>Cumple</v>
      </c>
      <c r="W36" s="1">
        <v>280</v>
      </c>
      <c r="X36" s="9">
        <v>2</v>
      </c>
      <c r="Y36" s="1">
        <v>5</v>
      </c>
      <c r="Z36" s="3">
        <f>X36*VLOOKUP(Y36,[1]Datos!$A$2:$D$14,2)</f>
        <v>3.98</v>
      </c>
      <c r="AA36" s="5">
        <v>0.3</v>
      </c>
      <c r="AB36" s="7">
        <f>IF(D36=0,IF(AH36="",1,IF(J36&gt;0.1*W36*H36*10,1,J36/(0.1*W36*H36*10))),0)*0.9*0.53*SQRT(W36)*G36*MAX(0.72*G36,0.9*((G36/2)+((G36-0.11)/PI())))*10</f>
        <v>0</v>
      </c>
      <c r="AC36" s="7">
        <f>0.9*Z36*4220*MAX(0.72*G36,0.9*((G36/2)+((G36-0.11)/PI())))/AA36/1000</f>
        <v>47.162044799999997</v>
      </c>
      <c r="AD36" s="6" t="str">
        <f>+IF(AND(AC36&gt;K36-AB36,AA36&lt;=IF(K36&lt;0.125*W36*G36*MAX(0.72*G36,0.9*((G36/2)+((G36-0.11)/PI())))*10,MIN(0.6,0.8*MAX(0.72*G36,0.9*((G36/2)+((G36-0.11)/PI())))),MIN(0.3,0.4*MAX(0.72*G36,0.9*((G36/2)+((G36-0.11)/PI()))))),K36/0.9&lt;=0.25*W36*G36*MAX(0.72*G36,0.9*((G36/2)+((G36-0.11)/PI())))*10),"Cumple","No Cumple")</f>
        <v>Cumple</v>
      </c>
      <c r="AE36" s="40">
        <f>K36</f>
        <v>2.579177582098604</v>
      </c>
      <c r="AF36" s="5"/>
      <c r="AG36" s="7"/>
      <c r="AH36" s="3"/>
      <c r="AI36" s="7"/>
      <c r="AJ36" s="7"/>
      <c r="AL36" s="3"/>
      <c r="AM36" s="3"/>
      <c r="AN36" s="3"/>
      <c r="AO36" s="3"/>
      <c r="AP36" s="9"/>
      <c r="AQ36" s="6"/>
    </row>
    <row r="37" spans="1:43" ht="15" customHeight="1" thickBot="1" x14ac:dyDescent="0.35">
      <c r="A37" s="39"/>
      <c r="B37" s="38">
        <v>17</v>
      </c>
      <c r="C37" s="28" t="s">
        <v>17</v>
      </c>
      <c r="D37" s="28">
        <v>1</v>
      </c>
      <c r="E37" s="26">
        <v>1</v>
      </c>
      <c r="F37" s="27">
        <f>F36+E37</f>
        <v>17</v>
      </c>
      <c r="G37" s="26">
        <v>1.3</v>
      </c>
      <c r="H37" s="27">
        <f>PI()*(G37^2)/4</f>
        <v>1.3273228961416876</v>
      </c>
      <c r="I37" s="37">
        <v>1.3273E-2</v>
      </c>
      <c r="J37" s="36">
        <v>104.9696</v>
      </c>
      <c r="K37" s="27">
        <v>2.496804237420307</v>
      </c>
      <c r="L37" s="36">
        <v>2.4967999999999999</v>
      </c>
      <c r="M37" s="35">
        <v>7.79E-3</v>
      </c>
      <c r="N37" s="34">
        <f>I37/H37</f>
        <v>9.9998275013430862E-3</v>
      </c>
      <c r="O37" s="33">
        <f>I37*10000</f>
        <v>132.72999999999999</v>
      </c>
      <c r="P37" s="28">
        <v>10</v>
      </c>
      <c r="Q37" s="28">
        <v>1</v>
      </c>
      <c r="R37" s="27">
        <f>Q37*VLOOKUP(P37,[1]Datos!$A$2:$D$14,2)</f>
        <v>8.19</v>
      </c>
      <c r="S37" s="32">
        <f>ROUNDUP(O37/R37,0)</f>
        <v>17</v>
      </c>
      <c r="T37" s="31">
        <v>17</v>
      </c>
      <c r="U37" s="27">
        <f>ROUNDDOWN(PI()*(G37-0.185)/T37,2)</f>
        <v>0.2</v>
      </c>
      <c r="V37" s="30" t="str">
        <f>+IF(T37&gt;=S37,"Cumple","No cumple")</f>
        <v>Cumple</v>
      </c>
      <c r="W37" s="28">
        <v>280</v>
      </c>
      <c r="X37" s="29">
        <v>2</v>
      </c>
      <c r="Y37" s="28">
        <v>5</v>
      </c>
      <c r="Z37" s="27">
        <f>X37*VLOOKUP(Y37,[1]Datos!$A$2:$D$14,2)</f>
        <v>3.98</v>
      </c>
      <c r="AA37" s="26">
        <v>0.3</v>
      </c>
      <c r="AB37" s="25">
        <f>IF(D37=0,IF(AH37="",1,IF(J37&gt;0.1*W37*H37*10,1,J37/(0.1*W37*H37*10))),0)*0.9*0.53*SQRT(W37)*G37*MAX(0.72*G37,0.9*((G37/2)+((G37-0.11)/PI())))*10</f>
        <v>0</v>
      </c>
      <c r="AC37" s="25">
        <f>0.9*Z37*4220*MAX(0.72*G37,0.9*((G37/2)+((G37-0.11)/PI())))/AA37/1000</f>
        <v>47.162044799999997</v>
      </c>
      <c r="AD37" s="24" t="str">
        <f>+IF(AND(AC37&gt;K37-AB37,AA37&lt;=IF(K37&lt;0.125*W37*G37*MAX(0.72*G37,0.9*((G37/2)+((G37-0.11)/PI())))*10,MIN(0.6,0.8*MAX(0.72*G37,0.9*((G37/2)+((G37-0.11)/PI())))),MIN(0.3,0.4*MAX(0.72*G37,0.9*((G37/2)+((G37-0.11)/PI()))))),K37/0.9&lt;=0.25*W37*G37*MAX(0.72*G37,0.9*((G37/2)+((G37-0.11)/PI())))*10),"Cumple","No Cumple")</f>
        <v>Cumple</v>
      </c>
      <c r="AE37" s="23">
        <f>K37</f>
        <v>2.496804237420307</v>
      </c>
      <c r="AF37" s="5"/>
      <c r="AG37" s="7"/>
      <c r="AH37" s="3"/>
      <c r="AI37" s="7"/>
      <c r="AJ37" s="7"/>
      <c r="AL37" s="3"/>
      <c r="AM37" s="3"/>
      <c r="AN37" s="3"/>
      <c r="AO37" s="3"/>
      <c r="AP37" s="9"/>
      <c r="AQ37" s="6"/>
    </row>
    <row r="38" spans="1:43" ht="15" customHeight="1" x14ac:dyDescent="0.3">
      <c r="A38" s="22"/>
      <c r="I38" s="21"/>
      <c r="J38" s="20"/>
      <c r="K38" s="3"/>
      <c r="L38" s="20"/>
      <c r="N38" s="12"/>
      <c r="O38" s="11"/>
      <c r="S38" s="10"/>
      <c r="U38" s="3"/>
      <c r="V38" s="3"/>
      <c r="X38" s="9"/>
      <c r="Z38" s="3"/>
      <c r="AA38" s="8"/>
      <c r="AB38" s="7"/>
      <c r="AC38" s="7"/>
      <c r="AD38" s="6"/>
      <c r="AE38" s="6"/>
      <c r="AF38" s="5"/>
      <c r="AG38" s="7"/>
      <c r="AH38" s="3"/>
      <c r="AI38" s="7"/>
      <c r="AJ38" s="7"/>
      <c r="AL38" s="3"/>
      <c r="AM38" s="3"/>
      <c r="AN38" s="3"/>
      <c r="AO38" s="3"/>
      <c r="AP38" s="9"/>
      <c r="AQ38" s="6"/>
    </row>
    <row r="39" spans="1:43" ht="15" customHeight="1" x14ac:dyDescent="0.3">
      <c r="A39" s="22"/>
      <c r="I39" s="21"/>
      <c r="J39" s="20"/>
      <c r="K39" s="3"/>
      <c r="L39" s="20"/>
      <c r="N39" s="12"/>
      <c r="O39" s="11"/>
      <c r="S39" s="10"/>
      <c r="U39" s="3"/>
      <c r="V39" s="3"/>
      <c r="X39" s="9"/>
      <c r="Z39" s="3"/>
      <c r="AA39" s="8"/>
      <c r="AB39" s="7"/>
      <c r="AC39" s="7"/>
      <c r="AD39" s="6"/>
      <c r="AE39" s="6"/>
      <c r="AF39" s="5"/>
      <c r="AG39" s="7"/>
      <c r="AH39" s="3"/>
      <c r="AI39" s="7"/>
      <c r="AJ39" s="7"/>
      <c r="AL39" s="3"/>
      <c r="AM39" s="3"/>
      <c r="AN39" s="3"/>
      <c r="AO39" s="3"/>
      <c r="AP39" s="9"/>
      <c r="AQ39" s="6"/>
    </row>
    <row r="40" spans="1:43" ht="15" customHeight="1" x14ac:dyDescent="0.3">
      <c r="A40" s="22"/>
      <c r="I40" s="21"/>
      <c r="J40" s="20"/>
      <c r="K40" s="3"/>
      <c r="L40" s="20"/>
      <c r="N40" s="12"/>
      <c r="O40" s="11"/>
      <c r="S40" s="10"/>
      <c r="U40" s="3"/>
      <c r="V40" s="3"/>
      <c r="X40" s="9"/>
      <c r="Z40" s="3"/>
      <c r="AA40" s="8"/>
      <c r="AB40" s="7"/>
      <c r="AC40" s="7"/>
      <c r="AD40" s="6"/>
      <c r="AE40" s="6"/>
      <c r="AF40" s="5"/>
      <c r="AG40" s="7"/>
      <c r="AH40" s="3"/>
      <c r="AI40" s="7"/>
      <c r="AJ40" s="7"/>
      <c r="AL40" s="3"/>
      <c r="AM40" s="3"/>
      <c r="AN40" s="3"/>
      <c r="AO40" s="3"/>
      <c r="AP40" s="9"/>
      <c r="AQ40" s="6"/>
    </row>
    <row r="41" spans="1:43" ht="15" customHeight="1" x14ac:dyDescent="0.3">
      <c r="A41" s="22"/>
      <c r="I41" s="21"/>
      <c r="J41" s="20"/>
      <c r="K41" s="3"/>
      <c r="L41" s="20"/>
      <c r="N41" s="12"/>
      <c r="O41" s="11"/>
      <c r="S41" s="10"/>
      <c r="U41" s="3"/>
      <c r="V41" s="3"/>
      <c r="X41" s="9"/>
      <c r="Z41" s="3"/>
      <c r="AA41" s="8"/>
      <c r="AB41" s="7"/>
      <c r="AC41" s="7"/>
      <c r="AD41" s="6"/>
      <c r="AE41" s="6"/>
      <c r="AF41" s="5"/>
      <c r="AG41" s="7"/>
      <c r="AH41" s="3"/>
      <c r="AI41" s="7"/>
      <c r="AJ41" s="7"/>
      <c r="AL41" s="3"/>
      <c r="AM41" s="3"/>
      <c r="AN41" s="3"/>
      <c r="AO41" s="3"/>
      <c r="AP41" s="9"/>
      <c r="AQ41" s="6"/>
    </row>
    <row r="42" spans="1:43" ht="15" customHeight="1" x14ac:dyDescent="0.3">
      <c r="A42" s="22"/>
      <c r="I42" s="21"/>
      <c r="J42" s="20"/>
      <c r="K42" s="3"/>
      <c r="L42" s="20"/>
      <c r="N42" s="12"/>
      <c r="O42" s="11"/>
      <c r="S42" s="10"/>
      <c r="U42" s="3"/>
      <c r="V42" s="3"/>
      <c r="X42" s="9"/>
      <c r="Z42" s="3"/>
      <c r="AA42" s="8"/>
      <c r="AB42" s="7"/>
      <c r="AC42" s="7"/>
      <c r="AD42" s="6"/>
      <c r="AE42" s="6"/>
      <c r="AF42" s="5"/>
      <c r="AG42" s="7"/>
      <c r="AH42" s="3"/>
      <c r="AI42" s="7"/>
      <c r="AJ42" s="7"/>
      <c r="AL42" s="3"/>
      <c r="AM42" s="3"/>
      <c r="AN42" s="3"/>
      <c r="AO42" s="3"/>
      <c r="AP42" s="9"/>
      <c r="AQ42" s="6"/>
    </row>
    <row r="43" spans="1:43" ht="15" customHeight="1" x14ac:dyDescent="0.3">
      <c r="A43" s="22"/>
      <c r="I43" s="21"/>
      <c r="J43" s="20"/>
      <c r="K43" s="3"/>
      <c r="L43" s="20"/>
      <c r="N43" s="12"/>
      <c r="O43" s="11"/>
      <c r="S43" s="10"/>
      <c r="U43" s="3"/>
      <c r="V43" s="3"/>
      <c r="X43" s="9"/>
      <c r="Z43" s="3"/>
      <c r="AA43" s="8"/>
      <c r="AB43" s="7"/>
      <c r="AC43" s="7"/>
      <c r="AD43" s="6"/>
      <c r="AE43" s="6"/>
      <c r="AF43" s="5"/>
      <c r="AG43" s="7"/>
      <c r="AH43" s="3"/>
      <c r="AI43" s="7"/>
      <c r="AJ43" s="7"/>
      <c r="AL43" s="3"/>
      <c r="AM43" s="3"/>
      <c r="AN43" s="3"/>
      <c r="AO43" s="3"/>
      <c r="AP43" s="9"/>
      <c r="AQ43" s="6"/>
    </row>
    <row r="44" spans="1:43" ht="15" customHeight="1" x14ac:dyDescent="0.3">
      <c r="A44" s="22"/>
      <c r="I44" s="21"/>
      <c r="J44" s="20"/>
      <c r="K44" s="3"/>
      <c r="L44" s="20"/>
      <c r="N44" s="12"/>
      <c r="O44" s="11"/>
      <c r="S44" s="10"/>
      <c r="U44" s="3"/>
      <c r="V44" s="3"/>
      <c r="X44" s="9"/>
      <c r="Z44" s="3"/>
      <c r="AA44" s="8"/>
      <c r="AB44" s="7"/>
      <c r="AC44" s="7"/>
      <c r="AD44" s="6"/>
      <c r="AE44" s="6"/>
      <c r="AF44" s="5"/>
      <c r="AG44" s="7"/>
      <c r="AH44" s="3"/>
      <c r="AI44" s="7"/>
      <c r="AJ44" s="7"/>
      <c r="AL44" s="3"/>
      <c r="AM44" s="3"/>
      <c r="AN44" s="3"/>
      <c r="AO44" s="3"/>
      <c r="AP44" s="9"/>
      <c r="AQ44" s="6"/>
    </row>
    <row r="45" spans="1:43" ht="15" customHeight="1" x14ac:dyDescent="0.3">
      <c r="A45" s="22"/>
      <c r="I45" s="21"/>
      <c r="J45" s="20"/>
      <c r="K45" s="3"/>
      <c r="L45" s="20"/>
      <c r="N45" s="12"/>
      <c r="O45" s="11"/>
      <c r="S45" s="10"/>
      <c r="U45" s="3"/>
      <c r="V45" s="3"/>
      <c r="X45" s="9"/>
      <c r="Z45" s="3"/>
      <c r="AA45" s="8"/>
      <c r="AB45" s="7"/>
      <c r="AC45" s="7"/>
      <c r="AD45" s="6"/>
      <c r="AE45" s="6"/>
      <c r="AF45" s="5"/>
      <c r="AG45" s="7"/>
      <c r="AH45" s="3"/>
      <c r="AI45" s="7"/>
      <c r="AJ45" s="7"/>
      <c r="AL45" s="3"/>
      <c r="AM45" s="3"/>
      <c r="AN45" s="3"/>
      <c r="AO45" s="3"/>
      <c r="AP45" s="9"/>
      <c r="AQ45" s="6"/>
    </row>
    <row r="46" spans="1:43" ht="15" customHeight="1" x14ac:dyDescent="0.3">
      <c r="A46" s="22"/>
      <c r="I46" s="21"/>
      <c r="J46" s="20"/>
      <c r="K46" s="3"/>
      <c r="L46" s="20"/>
      <c r="N46" s="12"/>
      <c r="O46" s="11"/>
      <c r="S46" s="10"/>
      <c r="U46" s="3"/>
      <c r="V46" s="3"/>
      <c r="X46" s="9"/>
      <c r="Z46" s="3"/>
      <c r="AA46" s="8"/>
      <c r="AB46" s="7"/>
      <c r="AC46" s="7"/>
      <c r="AD46" s="6"/>
      <c r="AE46" s="6"/>
      <c r="AF46" s="5"/>
      <c r="AG46" s="7"/>
      <c r="AH46" s="3"/>
      <c r="AI46" s="7"/>
      <c r="AJ46" s="7"/>
      <c r="AL46" s="3"/>
      <c r="AM46" s="3"/>
      <c r="AN46" s="3"/>
      <c r="AO46" s="3"/>
      <c r="AP46" s="9"/>
      <c r="AQ46" s="6"/>
    </row>
    <row r="47" spans="1:43" ht="15" customHeight="1" x14ac:dyDescent="0.3">
      <c r="A47" s="22"/>
      <c r="I47" s="21"/>
      <c r="J47" s="20"/>
      <c r="K47" s="3"/>
      <c r="L47" s="20"/>
      <c r="N47" s="12"/>
      <c r="O47" s="11"/>
      <c r="S47" s="10"/>
      <c r="U47" s="3"/>
      <c r="V47" s="3"/>
      <c r="X47" s="9"/>
      <c r="Z47" s="3"/>
      <c r="AA47" s="8"/>
      <c r="AB47" s="7"/>
      <c r="AC47" s="7"/>
      <c r="AD47" s="6"/>
      <c r="AE47" s="6"/>
      <c r="AF47" s="5"/>
      <c r="AG47" s="7"/>
      <c r="AH47" s="3"/>
      <c r="AI47" s="7"/>
      <c r="AJ47" s="7"/>
      <c r="AL47" s="3"/>
      <c r="AM47" s="3"/>
      <c r="AN47" s="3"/>
      <c r="AO47" s="3"/>
      <c r="AP47" s="9"/>
      <c r="AQ47" s="6"/>
    </row>
    <row r="48" spans="1:43" ht="15" customHeight="1" x14ac:dyDescent="0.3">
      <c r="A48" s="22"/>
      <c r="I48" s="21"/>
      <c r="J48" s="20"/>
      <c r="K48" s="3"/>
      <c r="L48" s="20"/>
      <c r="N48" s="12"/>
      <c r="O48" s="11"/>
      <c r="S48" s="10"/>
      <c r="U48" s="3"/>
      <c r="V48" s="3"/>
      <c r="X48" s="9"/>
      <c r="Z48" s="3"/>
      <c r="AA48" s="8"/>
      <c r="AB48" s="7"/>
      <c r="AC48" s="7"/>
      <c r="AD48" s="6"/>
      <c r="AE48" s="6"/>
      <c r="AF48" s="5"/>
      <c r="AG48" s="7"/>
      <c r="AH48" s="3"/>
      <c r="AI48" s="7"/>
      <c r="AJ48" s="7"/>
      <c r="AL48" s="3"/>
      <c r="AM48" s="3"/>
      <c r="AN48" s="3"/>
      <c r="AO48" s="3"/>
      <c r="AP48" s="9"/>
      <c r="AQ48" s="6"/>
    </row>
    <row r="49" spans="1:43" ht="15" customHeight="1" x14ac:dyDescent="0.3">
      <c r="A49" s="22"/>
      <c r="I49" s="21"/>
      <c r="J49" s="20"/>
      <c r="K49" s="3"/>
      <c r="L49" s="20"/>
      <c r="N49" s="12"/>
      <c r="O49" s="11"/>
      <c r="S49" s="10"/>
      <c r="U49" s="3"/>
      <c r="V49" s="3"/>
      <c r="X49" s="9"/>
      <c r="Z49" s="3"/>
      <c r="AA49" s="8"/>
      <c r="AB49" s="7"/>
      <c r="AC49" s="7"/>
      <c r="AD49" s="6"/>
      <c r="AE49" s="6"/>
      <c r="AF49" s="5"/>
      <c r="AG49" s="7"/>
      <c r="AH49" s="3"/>
      <c r="AI49" s="7"/>
      <c r="AJ49" s="7"/>
      <c r="AL49" s="3"/>
      <c r="AM49" s="3"/>
      <c r="AN49" s="3"/>
      <c r="AO49" s="3"/>
      <c r="AP49" s="9"/>
      <c r="AQ49" s="6"/>
    </row>
    <row r="50" spans="1:43" ht="15" customHeight="1" x14ac:dyDescent="0.3">
      <c r="A50" s="22"/>
      <c r="I50" s="21"/>
      <c r="J50" s="20"/>
      <c r="K50" s="3"/>
      <c r="L50" s="20"/>
      <c r="N50" s="12"/>
      <c r="O50" s="11"/>
      <c r="S50" s="10"/>
      <c r="U50" s="3"/>
      <c r="V50" s="3"/>
      <c r="X50" s="9"/>
      <c r="Z50" s="3"/>
      <c r="AA50" s="8"/>
      <c r="AB50" s="7"/>
      <c r="AC50" s="7"/>
      <c r="AD50" s="6"/>
      <c r="AE50" s="6"/>
      <c r="AF50" s="5"/>
      <c r="AG50" s="7"/>
      <c r="AH50" s="3"/>
      <c r="AI50" s="7"/>
      <c r="AJ50" s="7"/>
      <c r="AL50" s="3"/>
      <c r="AM50" s="3"/>
      <c r="AN50" s="3"/>
      <c r="AO50" s="3"/>
      <c r="AP50" s="9"/>
      <c r="AQ50" s="6"/>
    </row>
    <row r="51" spans="1:43" ht="15" customHeight="1" x14ac:dyDescent="0.3">
      <c r="A51" s="22"/>
      <c r="I51" s="21"/>
      <c r="J51" s="20"/>
      <c r="K51" s="3"/>
      <c r="L51" s="20"/>
      <c r="N51" s="12"/>
      <c r="O51" s="11"/>
      <c r="S51" s="10"/>
      <c r="U51" s="3"/>
      <c r="V51" s="3"/>
      <c r="X51" s="9"/>
      <c r="Z51" s="3"/>
      <c r="AA51" s="8"/>
      <c r="AB51" s="7"/>
      <c r="AC51" s="7"/>
      <c r="AD51" s="6"/>
      <c r="AE51" s="6"/>
      <c r="AF51" s="5"/>
      <c r="AG51" s="7"/>
      <c r="AH51" s="3"/>
      <c r="AI51" s="7"/>
      <c r="AJ51" s="7"/>
      <c r="AL51" s="3"/>
      <c r="AM51" s="3"/>
      <c r="AN51" s="3"/>
      <c r="AO51" s="3"/>
      <c r="AP51" s="9"/>
      <c r="AQ51" s="6"/>
    </row>
    <row r="52" spans="1:43" ht="15" customHeight="1" x14ac:dyDescent="0.3">
      <c r="A52" s="22"/>
      <c r="I52" s="21"/>
      <c r="J52" s="20"/>
      <c r="K52" s="3"/>
      <c r="L52" s="20"/>
      <c r="N52" s="12"/>
      <c r="O52" s="11"/>
      <c r="S52" s="10"/>
      <c r="U52" s="3"/>
      <c r="V52" s="3"/>
      <c r="X52" s="9"/>
      <c r="Z52" s="3"/>
      <c r="AA52" s="8"/>
      <c r="AB52" s="7"/>
      <c r="AC52" s="7"/>
      <c r="AD52" s="6"/>
      <c r="AE52" s="6"/>
      <c r="AF52" s="5"/>
      <c r="AG52" s="7"/>
      <c r="AH52" s="3"/>
      <c r="AI52" s="7"/>
      <c r="AJ52" s="7"/>
      <c r="AL52" s="3"/>
      <c r="AM52" s="3"/>
      <c r="AN52" s="3"/>
      <c r="AO52" s="3"/>
      <c r="AP52" s="9"/>
      <c r="AQ52" s="6"/>
    </row>
    <row r="53" spans="1:43" ht="15" customHeight="1" x14ac:dyDescent="0.3">
      <c r="A53" s="22"/>
      <c r="I53" s="21"/>
      <c r="J53" s="20"/>
      <c r="K53" s="3"/>
      <c r="L53" s="20"/>
      <c r="N53" s="12"/>
      <c r="O53" s="11"/>
      <c r="S53" s="10"/>
      <c r="U53" s="3"/>
      <c r="V53" s="3"/>
      <c r="X53" s="9"/>
      <c r="Z53" s="3"/>
      <c r="AA53" s="8"/>
      <c r="AB53" s="7"/>
      <c r="AC53" s="7"/>
      <c r="AD53" s="6"/>
      <c r="AE53" s="6"/>
      <c r="AF53" s="5"/>
      <c r="AG53" s="7"/>
      <c r="AH53" s="3"/>
      <c r="AI53" s="7"/>
      <c r="AJ53" s="7"/>
      <c r="AL53" s="3"/>
      <c r="AM53" s="3"/>
      <c r="AN53" s="3"/>
      <c r="AO53" s="3"/>
      <c r="AP53" s="9"/>
      <c r="AQ53" s="6"/>
    </row>
    <row r="54" spans="1:43" ht="15" customHeight="1" x14ac:dyDescent="0.3">
      <c r="A54" s="22"/>
      <c r="I54" s="21"/>
      <c r="J54" s="20"/>
      <c r="K54" s="3"/>
      <c r="L54" s="20"/>
      <c r="N54" s="12"/>
      <c r="O54" s="11"/>
      <c r="S54" s="10"/>
      <c r="U54" s="3"/>
      <c r="V54" s="3"/>
      <c r="X54" s="9"/>
      <c r="Z54" s="3"/>
      <c r="AA54" s="8"/>
      <c r="AB54" s="7"/>
      <c r="AC54" s="7"/>
      <c r="AD54" s="6"/>
      <c r="AE54" s="6"/>
      <c r="AF54" s="5"/>
      <c r="AG54" s="7"/>
      <c r="AH54" s="3"/>
      <c r="AI54" s="7"/>
      <c r="AJ54" s="7"/>
      <c r="AL54" s="3"/>
      <c r="AM54" s="3"/>
      <c r="AN54" s="3"/>
      <c r="AO54" s="3"/>
      <c r="AP54" s="9"/>
      <c r="AQ54" s="6"/>
    </row>
    <row r="55" spans="1:43" ht="15" customHeight="1" x14ac:dyDescent="0.3">
      <c r="A55" s="22"/>
      <c r="I55" s="21"/>
      <c r="J55" s="20"/>
      <c r="K55" s="3"/>
      <c r="L55" s="20"/>
      <c r="N55" s="12"/>
      <c r="O55" s="11"/>
      <c r="S55" s="10"/>
      <c r="U55" s="3"/>
      <c r="V55" s="3"/>
      <c r="X55" s="9"/>
      <c r="Z55" s="3"/>
      <c r="AA55" s="8"/>
      <c r="AB55" s="7"/>
      <c r="AC55" s="7"/>
      <c r="AD55" s="6"/>
      <c r="AE55" s="6"/>
      <c r="AF55" s="5"/>
      <c r="AG55" s="7"/>
      <c r="AH55" s="3"/>
      <c r="AI55" s="7"/>
      <c r="AJ55" s="7"/>
      <c r="AL55" s="3"/>
      <c r="AM55" s="3"/>
      <c r="AN55" s="3"/>
      <c r="AO55" s="3"/>
      <c r="AP55" s="9"/>
      <c r="AQ55" s="6"/>
    </row>
    <row r="56" spans="1:43" ht="15" customHeight="1" x14ac:dyDescent="0.3">
      <c r="A56" s="22"/>
      <c r="I56" s="21"/>
      <c r="J56" s="20"/>
      <c r="K56" s="3"/>
      <c r="L56" s="20"/>
      <c r="N56" s="12"/>
      <c r="O56" s="11"/>
      <c r="S56" s="10"/>
      <c r="U56" s="3"/>
      <c r="V56" s="3"/>
      <c r="X56" s="9"/>
      <c r="Z56" s="3"/>
      <c r="AA56" s="8"/>
      <c r="AB56" s="7"/>
      <c r="AC56" s="7"/>
      <c r="AD56" s="6"/>
      <c r="AE56" s="6"/>
      <c r="AF56" s="5"/>
      <c r="AG56" s="7"/>
      <c r="AH56" s="3"/>
      <c r="AI56" s="7"/>
      <c r="AJ56" s="7"/>
      <c r="AL56" s="3"/>
      <c r="AM56" s="3"/>
      <c r="AN56" s="3"/>
      <c r="AO56" s="3"/>
      <c r="AP56" s="9"/>
      <c r="AQ56" s="6"/>
    </row>
    <row r="57" spans="1:43" ht="15" customHeight="1" x14ac:dyDescent="0.3">
      <c r="A57" s="22"/>
      <c r="I57" s="21"/>
      <c r="J57" s="20"/>
      <c r="K57" s="3"/>
      <c r="L57" s="20"/>
      <c r="N57" s="12"/>
      <c r="O57" s="11"/>
      <c r="S57" s="10"/>
      <c r="U57" s="3"/>
      <c r="V57" s="3"/>
      <c r="X57" s="9"/>
      <c r="Z57" s="3"/>
      <c r="AA57" s="8"/>
      <c r="AB57" s="7"/>
      <c r="AC57" s="7"/>
      <c r="AD57" s="6"/>
      <c r="AE57" s="6"/>
      <c r="AF57" s="5"/>
      <c r="AG57" s="7"/>
      <c r="AH57" s="3"/>
      <c r="AI57" s="7"/>
      <c r="AJ57" s="7"/>
      <c r="AL57" s="3"/>
      <c r="AM57" s="3"/>
      <c r="AN57" s="3"/>
      <c r="AO57" s="3"/>
      <c r="AP57" s="9"/>
      <c r="AQ57" s="6"/>
    </row>
    <row r="58" spans="1:43" ht="15" customHeight="1" x14ac:dyDescent="0.3">
      <c r="A58" s="22"/>
      <c r="I58" s="21"/>
      <c r="J58" s="20"/>
      <c r="K58" s="3"/>
      <c r="L58" s="20"/>
      <c r="N58" s="12"/>
      <c r="O58" s="11"/>
      <c r="S58" s="10"/>
      <c r="U58" s="3"/>
      <c r="V58" s="3"/>
      <c r="X58" s="9"/>
      <c r="Z58" s="3"/>
      <c r="AA58" s="8"/>
      <c r="AB58" s="7"/>
      <c r="AC58" s="7"/>
      <c r="AD58" s="6"/>
      <c r="AE58" s="6"/>
      <c r="AF58" s="5"/>
      <c r="AG58" s="7"/>
      <c r="AH58" s="3"/>
      <c r="AI58" s="7"/>
      <c r="AJ58" s="7"/>
      <c r="AL58" s="3"/>
      <c r="AM58" s="3"/>
      <c r="AN58" s="3"/>
      <c r="AO58" s="3"/>
      <c r="AP58" s="9"/>
      <c r="AQ58" s="6"/>
    </row>
    <row r="59" spans="1:43" ht="15" customHeight="1" x14ac:dyDescent="0.3">
      <c r="A59" s="22"/>
      <c r="I59" s="21"/>
      <c r="J59" s="20"/>
      <c r="K59" s="3"/>
      <c r="L59" s="20"/>
      <c r="N59" s="12"/>
      <c r="O59" s="11"/>
      <c r="S59" s="10"/>
      <c r="U59" s="3"/>
      <c r="V59" s="3"/>
      <c r="X59" s="9"/>
      <c r="Z59" s="3"/>
      <c r="AA59" s="8"/>
      <c r="AB59" s="7"/>
      <c r="AC59" s="7"/>
      <c r="AD59" s="6"/>
      <c r="AE59" s="6"/>
      <c r="AF59" s="5"/>
      <c r="AG59" s="7"/>
      <c r="AH59" s="3"/>
      <c r="AI59" s="7"/>
      <c r="AJ59" s="7"/>
      <c r="AL59" s="3"/>
      <c r="AM59" s="3"/>
      <c r="AN59" s="3"/>
      <c r="AO59" s="3"/>
      <c r="AP59" s="9"/>
      <c r="AQ59" s="6"/>
    </row>
    <row r="60" spans="1:43" ht="15" customHeight="1" x14ac:dyDescent="0.3">
      <c r="A60" s="22"/>
      <c r="I60" s="21"/>
      <c r="J60" s="20"/>
      <c r="K60" s="3"/>
      <c r="L60" s="20"/>
      <c r="N60" s="12"/>
      <c r="O60" s="11"/>
      <c r="S60" s="10"/>
      <c r="U60" s="3"/>
      <c r="V60" s="3"/>
      <c r="X60" s="9"/>
      <c r="Z60" s="3"/>
      <c r="AA60" s="8"/>
      <c r="AB60" s="7"/>
      <c r="AC60" s="7"/>
      <c r="AD60" s="6"/>
      <c r="AE60" s="6"/>
      <c r="AF60" s="5"/>
      <c r="AG60" s="7"/>
      <c r="AH60" s="3"/>
      <c r="AI60" s="7"/>
      <c r="AJ60" s="7"/>
      <c r="AL60" s="3"/>
      <c r="AM60" s="3"/>
      <c r="AN60" s="3"/>
      <c r="AO60" s="3"/>
      <c r="AP60" s="9"/>
      <c r="AQ60" s="6"/>
    </row>
    <row r="61" spans="1:43" ht="15" customHeight="1" x14ac:dyDescent="0.3">
      <c r="A61" s="22"/>
      <c r="I61" s="21"/>
      <c r="J61" s="20"/>
      <c r="K61" s="3"/>
      <c r="L61" s="20"/>
      <c r="N61" s="12"/>
      <c r="O61" s="11"/>
      <c r="S61" s="10"/>
      <c r="U61" s="3"/>
      <c r="V61" s="3"/>
      <c r="X61" s="9"/>
      <c r="Z61" s="3"/>
      <c r="AA61" s="8"/>
      <c r="AB61" s="7"/>
      <c r="AC61" s="7"/>
      <c r="AD61" s="6"/>
      <c r="AE61" s="6"/>
      <c r="AF61" s="5"/>
      <c r="AG61" s="7"/>
      <c r="AH61" s="3"/>
      <c r="AI61" s="7"/>
      <c r="AJ61" s="7"/>
      <c r="AL61" s="3"/>
      <c r="AM61" s="3"/>
      <c r="AN61" s="3"/>
      <c r="AO61" s="3"/>
      <c r="AP61" s="9"/>
      <c r="AQ61" s="6"/>
    </row>
    <row r="62" spans="1:43" ht="15" customHeight="1" x14ac:dyDescent="0.3">
      <c r="A62" s="22"/>
      <c r="I62" s="21"/>
      <c r="J62" s="20"/>
      <c r="K62" s="3"/>
      <c r="L62" s="20"/>
      <c r="N62" s="12"/>
      <c r="O62" s="11"/>
      <c r="S62" s="10"/>
      <c r="U62" s="3"/>
      <c r="V62" s="3"/>
      <c r="X62" s="9"/>
      <c r="Z62" s="3"/>
      <c r="AA62" s="8"/>
      <c r="AB62" s="7"/>
      <c r="AC62" s="7"/>
      <c r="AD62" s="6"/>
      <c r="AE62" s="6"/>
      <c r="AF62" s="5"/>
      <c r="AG62" s="7"/>
      <c r="AH62" s="3"/>
      <c r="AI62" s="7"/>
      <c r="AJ62" s="7"/>
      <c r="AL62" s="3"/>
      <c r="AM62" s="3"/>
      <c r="AN62" s="3"/>
      <c r="AO62" s="3"/>
      <c r="AP62" s="9"/>
      <c r="AQ62" s="6"/>
    </row>
    <row r="63" spans="1:43" ht="15" customHeight="1" x14ac:dyDescent="0.3">
      <c r="A63" s="22"/>
      <c r="I63" s="21"/>
      <c r="J63" s="20"/>
      <c r="K63" s="3"/>
      <c r="L63" s="20"/>
      <c r="N63" s="12"/>
      <c r="O63" s="11"/>
      <c r="S63" s="10"/>
      <c r="U63" s="3"/>
      <c r="V63" s="3"/>
      <c r="X63" s="9"/>
      <c r="Z63" s="3"/>
      <c r="AA63" s="8"/>
      <c r="AB63" s="7"/>
      <c r="AC63" s="7"/>
      <c r="AD63" s="6"/>
      <c r="AE63" s="6"/>
      <c r="AF63" s="5"/>
      <c r="AG63" s="7"/>
      <c r="AH63" s="3"/>
      <c r="AI63" s="7"/>
      <c r="AJ63" s="7"/>
      <c r="AL63" s="3"/>
      <c r="AM63" s="3"/>
      <c r="AN63" s="3"/>
      <c r="AO63" s="3"/>
      <c r="AP63" s="9"/>
      <c r="AQ63" s="6"/>
    </row>
    <row r="64" spans="1:43" ht="15" customHeight="1" x14ac:dyDescent="0.3">
      <c r="A64" s="22"/>
      <c r="I64" s="21"/>
      <c r="J64" s="20"/>
      <c r="K64" s="3"/>
      <c r="L64" s="20"/>
      <c r="N64" s="12"/>
      <c r="O64" s="11"/>
      <c r="S64" s="10"/>
      <c r="U64" s="3"/>
      <c r="V64" s="3"/>
      <c r="X64" s="9"/>
      <c r="Z64" s="3"/>
      <c r="AA64" s="8"/>
      <c r="AB64" s="7"/>
      <c r="AC64" s="7"/>
      <c r="AD64" s="6"/>
      <c r="AE64" s="6"/>
      <c r="AF64" s="5"/>
      <c r="AG64" s="7"/>
      <c r="AH64" s="3"/>
      <c r="AI64" s="7"/>
      <c r="AJ64" s="7"/>
      <c r="AL64" s="3"/>
      <c r="AM64" s="3"/>
      <c r="AN64" s="3"/>
      <c r="AO64" s="3"/>
      <c r="AP64" s="9"/>
      <c r="AQ64" s="6"/>
    </row>
    <row r="65" spans="1:43" ht="15" customHeight="1" x14ac:dyDescent="0.3">
      <c r="A65" s="22"/>
      <c r="I65" s="21"/>
      <c r="J65" s="20"/>
      <c r="K65" s="3"/>
      <c r="L65" s="20"/>
      <c r="N65" s="12"/>
      <c r="O65" s="11"/>
      <c r="S65" s="10"/>
      <c r="U65" s="3"/>
      <c r="V65" s="3"/>
      <c r="X65" s="9"/>
      <c r="Z65" s="3"/>
      <c r="AA65" s="8"/>
      <c r="AB65" s="7"/>
      <c r="AC65" s="7"/>
      <c r="AD65" s="6"/>
      <c r="AE65" s="6"/>
      <c r="AF65" s="5"/>
      <c r="AG65" s="7"/>
      <c r="AH65" s="3"/>
      <c r="AI65" s="7"/>
      <c r="AJ65" s="7"/>
      <c r="AL65" s="3"/>
      <c r="AM65" s="3"/>
      <c r="AN65" s="3"/>
      <c r="AO65" s="3"/>
      <c r="AP65" s="9"/>
      <c r="AQ65" s="6"/>
    </row>
    <row r="66" spans="1:43" ht="15" customHeight="1" x14ac:dyDescent="0.3">
      <c r="A66" s="22"/>
      <c r="I66" s="21"/>
      <c r="J66" s="20"/>
      <c r="K66" s="3"/>
      <c r="L66" s="20"/>
      <c r="N66" s="12"/>
      <c r="O66" s="11"/>
      <c r="S66" s="10"/>
      <c r="U66" s="3"/>
      <c r="V66" s="3"/>
      <c r="X66" s="9"/>
      <c r="Z66" s="3"/>
      <c r="AA66" s="8"/>
      <c r="AB66" s="7"/>
      <c r="AC66" s="7"/>
      <c r="AD66" s="6"/>
      <c r="AE66" s="6"/>
      <c r="AF66" s="5"/>
      <c r="AG66" s="7"/>
      <c r="AH66" s="3"/>
      <c r="AI66" s="7"/>
      <c r="AJ66" s="7"/>
      <c r="AL66" s="3"/>
      <c r="AM66" s="3"/>
      <c r="AN66" s="3"/>
      <c r="AO66" s="3"/>
      <c r="AP66" s="9"/>
      <c r="AQ66" s="6"/>
    </row>
    <row r="67" spans="1:43" ht="15" customHeight="1" x14ac:dyDescent="0.3">
      <c r="A67" s="22"/>
      <c r="I67" s="21"/>
      <c r="J67" s="20"/>
      <c r="K67" s="3"/>
      <c r="L67" s="20"/>
      <c r="N67" s="12"/>
      <c r="O67" s="11"/>
      <c r="S67" s="10"/>
      <c r="U67" s="3"/>
      <c r="V67" s="3"/>
      <c r="X67" s="9"/>
      <c r="Z67" s="3"/>
      <c r="AA67" s="8"/>
      <c r="AB67" s="7"/>
      <c r="AC67" s="7"/>
      <c r="AD67" s="6"/>
      <c r="AE67" s="6"/>
      <c r="AF67" s="5"/>
      <c r="AG67" s="7"/>
      <c r="AH67" s="3"/>
      <c r="AI67" s="7"/>
      <c r="AJ67" s="7"/>
      <c r="AL67" s="3"/>
      <c r="AM67" s="3"/>
      <c r="AN67" s="3"/>
      <c r="AO67" s="3"/>
      <c r="AP67" s="9"/>
      <c r="AQ67" s="6"/>
    </row>
    <row r="68" spans="1:43" ht="15" customHeight="1" x14ac:dyDescent="0.3">
      <c r="A68" s="22"/>
      <c r="I68" s="21"/>
      <c r="J68" s="20"/>
      <c r="K68" s="3"/>
      <c r="L68" s="20"/>
      <c r="N68" s="12"/>
      <c r="O68" s="11"/>
      <c r="S68" s="10"/>
      <c r="U68" s="3"/>
      <c r="V68" s="3"/>
      <c r="X68" s="9"/>
      <c r="Z68" s="3"/>
      <c r="AA68" s="8"/>
      <c r="AB68" s="7"/>
      <c r="AC68" s="7"/>
      <c r="AD68" s="6"/>
      <c r="AE68" s="6"/>
      <c r="AF68" s="5"/>
      <c r="AG68" s="7"/>
      <c r="AH68" s="3"/>
      <c r="AI68" s="7"/>
      <c r="AJ68" s="7"/>
      <c r="AL68" s="3"/>
      <c r="AM68" s="3"/>
      <c r="AN68" s="3"/>
      <c r="AO68" s="3"/>
      <c r="AP68" s="9"/>
      <c r="AQ68" s="6"/>
    </row>
    <row r="69" spans="1:43" ht="15" customHeight="1" x14ac:dyDescent="0.3">
      <c r="A69" s="22"/>
      <c r="I69" s="21"/>
      <c r="J69" s="20"/>
      <c r="K69" s="3"/>
      <c r="L69" s="20"/>
      <c r="N69" s="12"/>
      <c r="O69" s="11"/>
      <c r="S69" s="10"/>
      <c r="U69" s="3"/>
      <c r="V69" s="3"/>
      <c r="X69" s="9"/>
      <c r="Z69" s="3"/>
      <c r="AA69" s="8"/>
      <c r="AB69" s="7"/>
      <c r="AC69" s="7"/>
      <c r="AD69" s="6"/>
      <c r="AE69" s="6"/>
      <c r="AF69" s="5"/>
      <c r="AG69" s="7"/>
      <c r="AH69" s="3"/>
      <c r="AI69" s="7"/>
      <c r="AJ69" s="7"/>
      <c r="AL69" s="3"/>
      <c r="AM69" s="3"/>
      <c r="AN69" s="3"/>
      <c r="AO69" s="3"/>
      <c r="AP69" s="9"/>
      <c r="AQ69" s="6"/>
    </row>
    <row r="70" spans="1:43" ht="15" customHeight="1" x14ac:dyDescent="0.3">
      <c r="A70" s="22"/>
      <c r="I70" s="21"/>
      <c r="J70" s="20"/>
      <c r="K70" s="3"/>
      <c r="L70" s="20"/>
      <c r="N70" s="12"/>
      <c r="O70" s="11"/>
      <c r="S70" s="10"/>
      <c r="U70" s="3"/>
      <c r="V70" s="3"/>
      <c r="X70" s="9"/>
      <c r="Z70" s="3"/>
      <c r="AA70" s="8"/>
      <c r="AB70" s="7"/>
      <c r="AC70" s="7"/>
      <c r="AD70" s="6"/>
      <c r="AE70" s="6"/>
      <c r="AF70" s="5"/>
      <c r="AG70" s="7"/>
      <c r="AH70" s="3"/>
      <c r="AI70" s="7"/>
      <c r="AJ70" s="7"/>
      <c r="AL70" s="3"/>
      <c r="AM70" s="3"/>
      <c r="AN70" s="3"/>
      <c r="AO70" s="3"/>
      <c r="AP70" s="9"/>
      <c r="AQ70" s="6"/>
    </row>
    <row r="71" spans="1:43" ht="15" customHeight="1" x14ac:dyDescent="0.3">
      <c r="A71" s="22"/>
      <c r="I71" s="21"/>
      <c r="J71" s="20"/>
      <c r="K71" s="3"/>
      <c r="L71" s="20"/>
      <c r="N71" s="12"/>
      <c r="O71" s="11"/>
      <c r="S71" s="10"/>
      <c r="U71" s="3"/>
      <c r="V71" s="3"/>
      <c r="X71" s="9"/>
      <c r="Z71" s="3"/>
      <c r="AA71" s="8"/>
      <c r="AB71" s="7"/>
      <c r="AC71" s="7"/>
      <c r="AD71" s="6"/>
      <c r="AE71" s="6"/>
      <c r="AF71" s="5"/>
      <c r="AG71" s="7"/>
      <c r="AH71" s="3"/>
      <c r="AI71" s="7"/>
      <c r="AJ71" s="7"/>
      <c r="AL71" s="3"/>
      <c r="AM71" s="3"/>
      <c r="AN71" s="3"/>
      <c r="AO71" s="3"/>
      <c r="AP71" s="9"/>
      <c r="AQ71" s="6"/>
    </row>
    <row r="72" spans="1:43" ht="15" customHeight="1" x14ac:dyDescent="0.3">
      <c r="A72" s="22"/>
      <c r="I72" s="21"/>
      <c r="J72" s="20"/>
      <c r="K72" s="3"/>
      <c r="L72" s="20"/>
      <c r="N72" s="12"/>
      <c r="O72" s="11"/>
      <c r="S72" s="10"/>
      <c r="U72" s="3"/>
      <c r="V72" s="3"/>
      <c r="X72" s="9"/>
      <c r="Z72" s="3"/>
      <c r="AA72" s="8"/>
      <c r="AB72" s="7"/>
      <c r="AC72" s="7"/>
      <c r="AD72" s="6"/>
      <c r="AE72" s="6"/>
      <c r="AF72" s="5"/>
      <c r="AG72" s="7"/>
      <c r="AH72" s="3"/>
      <c r="AI72" s="7"/>
      <c r="AJ72" s="7"/>
      <c r="AL72" s="3"/>
      <c r="AM72" s="3"/>
      <c r="AN72" s="3"/>
      <c r="AO72" s="3"/>
      <c r="AP72" s="9"/>
      <c r="AQ72" s="6"/>
    </row>
    <row r="73" spans="1:43" ht="15" customHeight="1" x14ac:dyDescent="0.3">
      <c r="A73" s="22"/>
      <c r="I73" s="21"/>
      <c r="J73" s="20"/>
      <c r="K73" s="3"/>
      <c r="L73" s="20"/>
      <c r="N73" s="12"/>
      <c r="O73" s="11"/>
      <c r="S73" s="10"/>
      <c r="U73" s="3"/>
      <c r="V73" s="3"/>
      <c r="X73" s="9"/>
      <c r="Z73" s="3"/>
      <c r="AA73" s="8"/>
      <c r="AB73" s="7"/>
      <c r="AC73" s="7"/>
      <c r="AD73" s="6"/>
      <c r="AE73" s="6"/>
      <c r="AF73" s="5"/>
      <c r="AG73" s="7"/>
      <c r="AH73" s="3"/>
      <c r="AI73" s="7"/>
      <c r="AJ73" s="7"/>
      <c r="AL73" s="3"/>
      <c r="AM73" s="3"/>
      <c r="AN73" s="3"/>
      <c r="AO73" s="3"/>
      <c r="AP73" s="9"/>
      <c r="AQ73" s="6"/>
    </row>
    <row r="74" spans="1:43" ht="15" customHeight="1" x14ac:dyDescent="0.3">
      <c r="A74" s="22"/>
      <c r="I74" s="21"/>
      <c r="J74" s="20"/>
      <c r="K74" s="3"/>
      <c r="L74" s="20"/>
      <c r="N74" s="12"/>
      <c r="O74" s="11"/>
      <c r="S74" s="10"/>
      <c r="U74" s="3"/>
      <c r="V74" s="3"/>
      <c r="X74" s="9"/>
      <c r="Z74" s="3"/>
      <c r="AA74" s="8"/>
      <c r="AB74" s="7"/>
      <c r="AC74" s="7"/>
      <c r="AD74" s="6"/>
      <c r="AE74" s="6"/>
      <c r="AF74" s="5"/>
      <c r="AG74" s="7"/>
      <c r="AH74" s="3"/>
      <c r="AI74" s="7"/>
      <c r="AJ74" s="7"/>
      <c r="AL74" s="3"/>
      <c r="AM74" s="3"/>
      <c r="AN74" s="3"/>
      <c r="AO74" s="3"/>
      <c r="AP74" s="9"/>
      <c r="AQ74" s="6"/>
    </row>
    <row r="75" spans="1:43" ht="15" customHeight="1" x14ac:dyDescent="0.3">
      <c r="A75" s="22"/>
      <c r="I75" s="21"/>
      <c r="J75" s="20"/>
      <c r="K75" s="3"/>
      <c r="L75" s="20"/>
      <c r="N75" s="12"/>
      <c r="O75" s="11"/>
      <c r="S75" s="10"/>
      <c r="U75" s="3"/>
      <c r="V75" s="3"/>
      <c r="X75" s="9"/>
      <c r="Z75" s="3"/>
      <c r="AA75" s="8"/>
      <c r="AB75" s="7"/>
      <c r="AC75" s="7"/>
      <c r="AD75" s="6"/>
      <c r="AE75" s="6"/>
      <c r="AF75" s="5"/>
      <c r="AG75" s="7"/>
      <c r="AH75" s="3"/>
      <c r="AI75" s="7"/>
      <c r="AJ75" s="7"/>
      <c r="AL75" s="3"/>
      <c r="AM75" s="3"/>
      <c r="AN75" s="3"/>
      <c r="AO75" s="3"/>
      <c r="AP75" s="9"/>
      <c r="AQ75" s="6"/>
    </row>
    <row r="76" spans="1:43" ht="15" customHeight="1" x14ac:dyDescent="0.3">
      <c r="A76" s="22"/>
      <c r="I76" s="21"/>
      <c r="J76" s="20"/>
      <c r="K76" s="3"/>
      <c r="L76" s="20"/>
      <c r="N76" s="12"/>
      <c r="O76" s="11"/>
      <c r="S76" s="10"/>
      <c r="U76" s="3"/>
      <c r="V76" s="3"/>
      <c r="X76" s="9"/>
      <c r="Z76" s="3"/>
      <c r="AA76" s="8"/>
      <c r="AB76" s="7"/>
      <c r="AC76" s="7"/>
      <c r="AD76" s="6"/>
      <c r="AE76" s="6"/>
      <c r="AF76" s="5"/>
      <c r="AG76" s="7"/>
      <c r="AH76" s="3"/>
      <c r="AI76" s="7"/>
      <c r="AJ76" s="7"/>
      <c r="AL76" s="3"/>
      <c r="AM76" s="3"/>
      <c r="AN76" s="3"/>
      <c r="AO76" s="3"/>
      <c r="AP76" s="9"/>
      <c r="AQ76" s="6"/>
    </row>
    <row r="77" spans="1:43" ht="15" customHeight="1" x14ac:dyDescent="0.3">
      <c r="A77" s="22"/>
      <c r="I77" s="21"/>
      <c r="J77" s="20"/>
      <c r="K77" s="3"/>
      <c r="L77" s="20"/>
      <c r="N77" s="12"/>
      <c r="O77" s="11"/>
      <c r="S77" s="10"/>
      <c r="U77" s="3"/>
      <c r="V77" s="3"/>
      <c r="X77" s="9"/>
      <c r="Z77" s="3"/>
      <c r="AA77" s="8"/>
      <c r="AB77" s="7"/>
      <c r="AC77" s="7"/>
      <c r="AD77" s="6"/>
      <c r="AE77" s="6"/>
      <c r="AF77" s="5"/>
      <c r="AG77" s="7"/>
      <c r="AH77" s="3"/>
      <c r="AI77" s="7"/>
      <c r="AJ77" s="7"/>
      <c r="AL77" s="3"/>
      <c r="AM77" s="3"/>
      <c r="AN77" s="3"/>
      <c r="AO77" s="3"/>
      <c r="AP77" s="9"/>
      <c r="AQ77" s="6"/>
    </row>
    <row r="78" spans="1:43" ht="15" customHeight="1" x14ac:dyDescent="0.3">
      <c r="A78" s="22"/>
      <c r="I78" s="21"/>
      <c r="J78" s="20"/>
      <c r="K78" s="3"/>
      <c r="L78" s="20"/>
      <c r="N78" s="12"/>
      <c r="O78" s="11"/>
      <c r="S78" s="10"/>
      <c r="U78" s="3"/>
      <c r="V78" s="3"/>
      <c r="X78" s="9"/>
      <c r="Z78" s="3"/>
      <c r="AA78" s="8"/>
      <c r="AB78" s="7"/>
      <c r="AC78" s="7"/>
      <c r="AD78" s="6"/>
      <c r="AE78" s="6"/>
      <c r="AF78" s="5"/>
      <c r="AG78" s="7"/>
      <c r="AH78" s="3"/>
      <c r="AI78" s="7"/>
      <c r="AJ78" s="7"/>
      <c r="AL78" s="3"/>
      <c r="AM78" s="3"/>
      <c r="AN78" s="3"/>
      <c r="AO78" s="3"/>
      <c r="AP78" s="9"/>
      <c r="AQ78" s="6"/>
    </row>
    <row r="79" spans="1:43" ht="15" customHeight="1" x14ac:dyDescent="0.3">
      <c r="A79" s="22"/>
      <c r="I79" s="21"/>
      <c r="J79" s="20"/>
      <c r="K79" s="3"/>
      <c r="L79" s="20"/>
      <c r="N79" s="12"/>
      <c r="O79" s="11"/>
      <c r="S79" s="10"/>
      <c r="U79" s="3"/>
      <c r="V79" s="3"/>
      <c r="X79" s="9"/>
      <c r="Z79" s="3"/>
      <c r="AA79" s="8"/>
      <c r="AB79" s="7"/>
      <c r="AC79" s="7"/>
      <c r="AD79" s="6"/>
      <c r="AE79" s="6"/>
      <c r="AF79" s="5"/>
      <c r="AG79" s="7"/>
      <c r="AH79" s="3"/>
      <c r="AI79" s="7"/>
      <c r="AJ79" s="7"/>
      <c r="AL79" s="3"/>
      <c r="AM79" s="3"/>
      <c r="AN79" s="3"/>
      <c r="AO79" s="3"/>
      <c r="AP79" s="9"/>
      <c r="AQ79" s="6"/>
    </row>
    <row r="80" spans="1:43" ht="15" customHeight="1" x14ac:dyDescent="0.3">
      <c r="A80" s="22"/>
      <c r="I80" s="21"/>
      <c r="J80" s="20"/>
      <c r="K80" s="3"/>
      <c r="L80" s="20"/>
      <c r="N80" s="12"/>
      <c r="O80" s="11"/>
      <c r="S80" s="10"/>
      <c r="U80" s="3"/>
      <c r="V80" s="3"/>
      <c r="X80" s="9"/>
      <c r="Z80" s="3"/>
      <c r="AA80" s="8"/>
      <c r="AB80" s="7"/>
      <c r="AC80" s="7"/>
      <c r="AD80" s="6"/>
      <c r="AE80" s="6"/>
      <c r="AF80" s="5"/>
      <c r="AG80" s="7"/>
      <c r="AH80" s="3"/>
      <c r="AI80" s="7"/>
      <c r="AJ80" s="7"/>
      <c r="AL80" s="3"/>
      <c r="AM80" s="3"/>
      <c r="AN80" s="3"/>
      <c r="AO80" s="3"/>
      <c r="AP80" s="9"/>
      <c r="AQ80" s="6"/>
    </row>
    <row r="81" spans="1:43" ht="15" customHeight="1" x14ac:dyDescent="0.3">
      <c r="A81" s="22"/>
      <c r="I81" s="21"/>
      <c r="J81" s="20"/>
      <c r="K81" s="3"/>
      <c r="L81" s="20"/>
      <c r="N81" s="12"/>
      <c r="O81" s="11"/>
      <c r="S81" s="10"/>
      <c r="U81" s="3"/>
      <c r="V81" s="3"/>
      <c r="X81" s="9"/>
      <c r="Z81" s="3"/>
      <c r="AA81" s="8"/>
      <c r="AB81" s="7"/>
      <c r="AC81" s="7"/>
      <c r="AD81" s="6"/>
      <c r="AE81" s="6"/>
      <c r="AF81" s="5"/>
      <c r="AG81" s="7"/>
      <c r="AH81" s="3"/>
      <c r="AI81" s="7"/>
      <c r="AJ81" s="7"/>
      <c r="AL81" s="3"/>
      <c r="AM81" s="3"/>
      <c r="AN81" s="3"/>
      <c r="AO81" s="3"/>
      <c r="AP81" s="9"/>
      <c r="AQ81" s="6"/>
    </row>
    <row r="82" spans="1:43" ht="15" customHeight="1" x14ac:dyDescent="0.3">
      <c r="A82" s="22"/>
      <c r="I82" s="21"/>
      <c r="J82" s="20"/>
      <c r="K82" s="3"/>
      <c r="L82" s="20"/>
      <c r="N82" s="12"/>
      <c r="O82" s="11"/>
      <c r="S82" s="10"/>
      <c r="U82" s="3"/>
      <c r="V82" s="3"/>
      <c r="X82" s="9"/>
      <c r="Z82" s="3"/>
      <c r="AA82" s="8"/>
      <c r="AB82" s="7"/>
      <c r="AC82" s="7"/>
      <c r="AD82" s="6"/>
      <c r="AE82" s="6"/>
      <c r="AF82" s="5"/>
      <c r="AG82" s="7"/>
      <c r="AH82" s="3"/>
      <c r="AI82" s="7"/>
      <c r="AJ82" s="7"/>
      <c r="AL82" s="3"/>
      <c r="AM82" s="3"/>
      <c r="AN82" s="3"/>
      <c r="AO82" s="3"/>
      <c r="AP82" s="9"/>
      <c r="AQ82" s="6"/>
    </row>
    <row r="83" spans="1:43" ht="15" customHeight="1" x14ac:dyDescent="0.3">
      <c r="A83" s="22"/>
      <c r="I83" s="21"/>
      <c r="J83" s="20"/>
      <c r="K83" s="3"/>
      <c r="L83" s="20"/>
      <c r="N83" s="12"/>
      <c r="O83" s="11"/>
      <c r="S83" s="10"/>
      <c r="U83" s="3"/>
      <c r="V83" s="3"/>
      <c r="X83" s="9"/>
      <c r="Z83" s="3"/>
      <c r="AA83" s="8"/>
      <c r="AB83" s="7"/>
      <c r="AC83" s="7"/>
      <c r="AD83" s="6"/>
      <c r="AE83" s="6"/>
      <c r="AF83" s="5"/>
      <c r="AG83" s="7"/>
      <c r="AH83" s="3"/>
      <c r="AI83" s="7"/>
      <c r="AJ83" s="7"/>
      <c r="AL83" s="3"/>
      <c r="AM83" s="3"/>
      <c r="AN83" s="3"/>
      <c r="AO83" s="3"/>
      <c r="AP83" s="9"/>
      <c r="AQ83" s="6"/>
    </row>
    <row r="84" spans="1:43" ht="15" customHeight="1" x14ac:dyDescent="0.3">
      <c r="A84" s="22"/>
      <c r="I84" s="21"/>
      <c r="J84" s="20"/>
      <c r="K84" s="3"/>
      <c r="L84" s="20"/>
      <c r="N84" s="12"/>
      <c r="O84" s="11"/>
      <c r="S84" s="10"/>
      <c r="U84" s="3"/>
      <c r="V84" s="3"/>
      <c r="X84" s="9"/>
      <c r="Z84" s="3"/>
      <c r="AA84" s="8"/>
      <c r="AB84" s="7"/>
      <c r="AC84" s="7"/>
      <c r="AD84" s="6"/>
      <c r="AE84" s="6"/>
      <c r="AF84" s="5"/>
      <c r="AG84" s="7"/>
      <c r="AH84" s="3"/>
      <c r="AI84" s="7"/>
      <c r="AJ84" s="7"/>
      <c r="AL84" s="3"/>
      <c r="AM84" s="3"/>
      <c r="AN84" s="3"/>
      <c r="AO84" s="3"/>
      <c r="AP84" s="9"/>
      <c r="AQ84" s="6"/>
    </row>
    <row r="85" spans="1:43" ht="15" customHeight="1" x14ac:dyDescent="0.3">
      <c r="A85" s="22"/>
      <c r="I85" s="21"/>
      <c r="J85" s="20"/>
      <c r="K85" s="3"/>
      <c r="L85" s="20"/>
      <c r="N85" s="12"/>
      <c r="O85" s="11"/>
      <c r="S85" s="10"/>
      <c r="U85" s="3"/>
      <c r="V85" s="3"/>
      <c r="X85" s="9"/>
      <c r="Z85" s="3"/>
      <c r="AA85" s="8"/>
      <c r="AB85" s="7"/>
      <c r="AC85" s="7"/>
      <c r="AD85" s="6"/>
      <c r="AE85" s="6"/>
      <c r="AF85" s="5"/>
      <c r="AG85" s="7"/>
      <c r="AH85" s="3"/>
      <c r="AI85" s="7"/>
      <c r="AJ85" s="7"/>
      <c r="AL85" s="3"/>
      <c r="AM85" s="3"/>
      <c r="AN85" s="3"/>
      <c r="AO85" s="3"/>
      <c r="AP85" s="9"/>
      <c r="AQ85" s="6"/>
    </row>
    <row r="86" spans="1:43" ht="15" customHeight="1" x14ac:dyDescent="0.3">
      <c r="A86" s="22"/>
      <c r="I86" s="21"/>
      <c r="J86" s="20"/>
      <c r="K86" s="3"/>
      <c r="L86" s="20"/>
      <c r="N86" s="12"/>
      <c r="O86" s="11"/>
      <c r="S86" s="10"/>
      <c r="U86" s="3"/>
      <c r="V86" s="3"/>
      <c r="X86" s="9"/>
      <c r="Z86" s="3"/>
      <c r="AA86" s="8"/>
      <c r="AB86" s="7"/>
      <c r="AC86" s="7"/>
      <c r="AD86" s="6"/>
      <c r="AE86" s="6"/>
      <c r="AF86" s="5"/>
      <c r="AG86" s="7"/>
      <c r="AH86" s="3"/>
      <c r="AI86" s="7"/>
      <c r="AJ86" s="7"/>
      <c r="AL86" s="3"/>
      <c r="AM86" s="3"/>
      <c r="AN86" s="3"/>
      <c r="AO86" s="3"/>
      <c r="AP86" s="9"/>
      <c r="AQ86" s="6"/>
    </row>
    <row r="87" spans="1:43" ht="15" customHeight="1" x14ac:dyDescent="0.3">
      <c r="A87" s="22"/>
      <c r="I87" s="21"/>
      <c r="J87" s="20"/>
      <c r="K87" s="3"/>
      <c r="L87" s="20"/>
      <c r="N87" s="12"/>
      <c r="O87" s="11"/>
      <c r="S87" s="10"/>
      <c r="U87" s="3"/>
      <c r="V87" s="3"/>
      <c r="X87" s="9"/>
      <c r="Z87" s="3"/>
      <c r="AA87" s="8"/>
      <c r="AB87" s="7"/>
      <c r="AC87" s="7"/>
      <c r="AD87" s="6"/>
      <c r="AE87" s="6"/>
      <c r="AF87" s="5"/>
      <c r="AG87" s="7"/>
      <c r="AH87" s="3"/>
      <c r="AI87" s="7"/>
      <c r="AJ87" s="7"/>
      <c r="AL87" s="3"/>
      <c r="AM87" s="3"/>
      <c r="AN87" s="3"/>
      <c r="AO87" s="3"/>
      <c r="AP87" s="9"/>
      <c r="AQ87" s="6"/>
    </row>
    <row r="88" spans="1:43" ht="15" customHeight="1" x14ac:dyDescent="0.3">
      <c r="A88" s="22"/>
      <c r="I88" s="21"/>
      <c r="J88" s="20"/>
      <c r="K88" s="3"/>
      <c r="L88" s="20"/>
      <c r="N88" s="12"/>
      <c r="O88" s="11"/>
      <c r="S88" s="10"/>
      <c r="U88" s="3"/>
      <c r="V88" s="3"/>
      <c r="X88" s="9"/>
      <c r="Z88" s="3"/>
      <c r="AA88" s="8"/>
      <c r="AB88" s="7"/>
      <c r="AC88" s="7"/>
      <c r="AD88" s="6"/>
      <c r="AE88" s="6"/>
      <c r="AF88" s="5"/>
      <c r="AG88" s="7"/>
      <c r="AH88" s="3"/>
      <c r="AI88" s="7"/>
      <c r="AJ88" s="7"/>
      <c r="AL88" s="3"/>
      <c r="AM88" s="3"/>
      <c r="AN88" s="3"/>
      <c r="AO88" s="3"/>
      <c r="AP88" s="9"/>
      <c r="AQ88" s="6"/>
    </row>
    <row r="89" spans="1:43" ht="15" customHeight="1" x14ac:dyDescent="0.3">
      <c r="A89" s="22"/>
      <c r="I89" s="21"/>
      <c r="J89" s="20"/>
      <c r="K89" s="3"/>
      <c r="L89" s="20"/>
      <c r="N89" s="12"/>
      <c r="O89" s="11"/>
      <c r="S89" s="10"/>
      <c r="U89" s="3"/>
      <c r="V89" s="3"/>
      <c r="X89" s="9"/>
      <c r="Z89" s="3"/>
      <c r="AA89" s="8"/>
      <c r="AB89" s="7"/>
      <c r="AC89" s="7"/>
      <c r="AD89" s="6"/>
      <c r="AE89" s="6"/>
      <c r="AF89" s="5"/>
      <c r="AG89" s="7"/>
      <c r="AH89" s="3"/>
      <c r="AI89" s="7"/>
      <c r="AJ89" s="7"/>
      <c r="AL89" s="3"/>
      <c r="AM89" s="3"/>
      <c r="AN89" s="3"/>
      <c r="AO89" s="3"/>
      <c r="AP89" s="9"/>
      <c r="AQ89" s="6"/>
    </row>
    <row r="90" spans="1:43" ht="15" customHeight="1" x14ac:dyDescent="0.3">
      <c r="A90" s="22"/>
      <c r="I90" s="21"/>
      <c r="J90" s="20"/>
      <c r="K90" s="3"/>
      <c r="L90" s="20"/>
      <c r="N90" s="12"/>
      <c r="O90" s="11"/>
      <c r="S90" s="10"/>
      <c r="U90" s="3"/>
      <c r="V90" s="3"/>
      <c r="X90" s="9"/>
      <c r="Z90" s="3"/>
      <c r="AA90" s="8"/>
      <c r="AB90" s="7"/>
      <c r="AC90" s="7"/>
      <c r="AD90" s="6"/>
      <c r="AE90" s="6"/>
      <c r="AF90" s="5"/>
      <c r="AG90" s="7"/>
      <c r="AH90" s="3"/>
      <c r="AI90" s="7"/>
      <c r="AJ90" s="7"/>
      <c r="AL90" s="3"/>
      <c r="AM90" s="3"/>
      <c r="AN90" s="3"/>
      <c r="AO90" s="3"/>
      <c r="AP90" s="9"/>
      <c r="AQ90" s="6"/>
    </row>
    <row r="91" spans="1:43" ht="15" customHeight="1" x14ac:dyDescent="0.3">
      <c r="A91" s="22"/>
      <c r="I91" s="21"/>
      <c r="J91" s="20"/>
      <c r="K91" s="3"/>
      <c r="L91" s="20"/>
      <c r="N91" s="12"/>
      <c r="O91" s="11"/>
      <c r="S91" s="10"/>
      <c r="U91" s="3"/>
      <c r="V91" s="3"/>
      <c r="X91" s="9"/>
      <c r="Z91" s="3"/>
      <c r="AA91" s="8"/>
      <c r="AB91" s="7"/>
      <c r="AC91" s="7"/>
      <c r="AD91" s="6"/>
      <c r="AE91" s="6"/>
      <c r="AF91" s="5"/>
      <c r="AG91" s="7"/>
      <c r="AH91" s="3"/>
      <c r="AI91" s="7"/>
      <c r="AJ91" s="7"/>
      <c r="AL91" s="3"/>
      <c r="AM91" s="3"/>
      <c r="AN91" s="3"/>
      <c r="AO91" s="3"/>
      <c r="AP91" s="9"/>
      <c r="AQ91" s="6"/>
    </row>
    <row r="92" spans="1:43" ht="15" customHeight="1" x14ac:dyDescent="0.3">
      <c r="A92" s="22"/>
      <c r="I92" s="21"/>
      <c r="J92" s="20"/>
      <c r="K92" s="3"/>
      <c r="L92" s="20"/>
      <c r="N92" s="12"/>
      <c r="O92" s="11"/>
      <c r="S92" s="10"/>
      <c r="U92" s="3"/>
      <c r="V92" s="3"/>
      <c r="X92" s="9"/>
      <c r="Z92" s="3"/>
      <c r="AA92" s="8"/>
      <c r="AB92" s="7"/>
      <c r="AC92" s="7"/>
      <c r="AD92" s="6"/>
      <c r="AE92" s="6"/>
      <c r="AF92" s="5"/>
      <c r="AG92" s="7"/>
      <c r="AH92" s="3"/>
      <c r="AI92" s="7"/>
      <c r="AJ92" s="7"/>
      <c r="AL92" s="3"/>
      <c r="AM92" s="3"/>
      <c r="AN92" s="3"/>
      <c r="AO92" s="3"/>
      <c r="AP92" s="9"/>
      <c r="AQ92" s="6"/>
    </row>
    <row r="93" spans="1:43" ht="15" customHeight="1" x14ac:dyDescent="0.3">
      <c r="A93" s="22"/>
      <c r="I93" s="21"/>
      <c r="J93" s="20"/>
      <c r="K93" s="3"/>
      <c r="L93" s="20"/>
      <c r="N93" s="12"/>
      <c r="O93" s="11"/>
      <c r="S93" s="10"/>
      <c r="U93" s="3"/>
      <c r="V93" s="3"/>
      <c r="X93" s="9"/>
      <c r="Z93" s="3"/>
      <c r="AA93" s="8"/>
      <c r="AB93" s="7"/>
      <c r="AC93" s="7"/>
      <c r="AD93" s="6"/>
      <c r="AE93" s="6"/>
      <c r="AF93" s="5"/>
      <c r="AG93" s="7"/>
      <c r="AH93" s="3"/>
      <c r="AI93" s="7"/>
      <c r="AJ93" s="7"/>
      <c r="AL93" s="3"/>
      <c r="AM93" s="3"/>
      <c r="AN93" s="3"/>
      <c r="AO93" s="3"/>
      <c r="AP93" s="9"/>
      <c r="AQ93" s="6"/>
    </row>
    <row r="94" spans="1:43" ht="15" customHeight="1" x14ac:dyDescent="0.3">
      <c r="A94" s="22"/>
      <c r="I94" s="21"/>
      <c r="J94" s="20"/>
      <c r="K94" s="3"/>
      <c r="L94" s="20"/>
      <c r="N94" s="12"/>
      <c r="O94" s="11"/>
      <c r="S94" s="10"/>
      <c r="U94" s="3"/>
      <c r="V94" s="3"/>
      <c r="X94" s="9"/>
      <c r="Z94" s="3"/>
      <c r="AA94" s="8"/>
      <c r="AB94" s="7"/>
      <c r="AC94" s="7"/>
      <c r="AD94" s="6"/>
      <c r="AE94" s="6"/>
      <c r="AF94" s="5"/>
      <c r="AG94" s="7"/>
      <c r="AH94" s="3"/>
      <c r="AI94" s="7"/>
      <c r="AJ94" s="7"/>
      <c r="AL94" s="3"/>
      <c r="AM94" s="3"/>
      <c r="AN94" s="3"/>
      <c r="AO94" s="3"/>
      <c r="AP94" s="9"/>
      <c r="AQ94" s="6"/>
    </row>
    <row r="95" spans="1:43" ht="15" customHeight="1" x14ac:dyDescent="0.3">
      <c r="A95" s="22"/>
      <c r="I95" s="21"/>
      <c r="J95" s="20"/>
      <c r="K95" s="3"/>
      <c r="L95" s="20"/>
      <c r="N95" s="12"/>
      <c r="O95" s="11"/>
      <c r="S95" s="10"/>
      <c r="U95" s="3"/>
      <c r="V95" s="3"/>
      <c r="X95" s="9"/>
      <c r="Z95" s="3"/>
      <c r="AA95" s="8"/>
      <c r="AB95" s="7"/>
      <c r="AC95" s="7"/>
      <c r="AD95" s="6"/>
      <c r="AE95" s="6"/>
      <c r="AF95" s="5"/>
      <c r="AG95" s="7"/>
      <c r="AH95" s="3"/>
      <c r="AI95" s="7"/>
      <c r="AJ95" s="7"/>
      <c r="AL95" s="3"/>
      <c r="AM95" s="3"/>
      <c r="AN95" s="3"/>
      <c r="AO95" s="3"/>
      <c r="AP95" s="9"/>
      <c r="AQ95" s="6"/>
    </row>
    <row r="96" spans="1:43" ht="15" customHeight="1" x14ac:dyDescent="0.3">
      <c r="A96" s="22"/>
      <c r="I96" s="21"/>
      <c r="J96" s="20"/>
      <c r="K96" s="3"/>
      <c r="L96" s="20"/>
      <c r="N96" s="12"/>
      <c r="O96" s="11"/>
      <c r="S96" s="10"/>
      <c r="U96" s="3"/>
      <c r="V96" s="3"/>
      <c r="X96" s="9"/>
      <c r="Z96" s="3"/>
      <c r="AA96" s="8"/>
      <c r="AB96" s="7"/>
      <c r="AC96" s="7"/>
      <c r="AD96" s="6"/>
      <c r="AE96" s="6"/>
      <c r="AF96" s="5"/>
      <c r="AG96" s="7"/>
      <c r="AH96" s="3"/>
      <c r="AI96" s="7"/>
      <c r="AJ96" s="7"/>
      <c r="AL96" s="3"/>
      <c r="AM96" s="3"/>
      <c r="AN96" s="3"/>
      <c r="AO96" s="3"/>
      <c r="AP96" s="9"/>
      <c r="AQ96" s="6"/>
    </row>
    <row r="97" spans="1:43" ht="15" customHeight="1" x14ac:dyDescent="0.3">
      <c r="A97" s="22"/>
      <c r="I97" s="21"/>
      <c r="J97" s="20"/>
      <c r="K97" s="3"/>
      <c r="L97" s="20"/>
      <c r="N97" s="12"/>
      <c r="O97" s="11"/>
      <c r="S97" s="10"/>
      <c r="U97" s="3"/>
      <c r="V97" s="3"/>
      <c r="X97" s="9"/>
      <c r="Z97" s="3"/>
      <c r="AA97" s="8"/>
      <c r="AB97" s="7"/>
      <c r="AC97" s="7"/>
      <c r="AD97" s="6"/>
      <c r="AE97" s="6"/>
      <c r="AF97" s="5"/>
      <c r="AG97" s="7"/>
      <c r="AH97" s="3"/>
      <c r="AI97" s="7"/>
      <c r="AJ97" s="7"/>
      <c r="AL97" s="3"/>
      <c r="AM97" s="3"/>
      <c r="AN97" s="3"/>
      <c r="AO97" s="3"/>
      <c r="AP97" s="9"/>
      <c r="AQ97" s="6"/>
    </row>
    <row r="98" spans="1:43" ht="15" customHeight="1" x14ac:dyDescent="0.3">
      <c r="A98" s="22"/>
      <c r="I98" s="21"/>
      <c r="J98" s="20"/>
      <c r="K98" s="3"/>
      <c r="L98" s="20"/>
      <c r="N98" s="12"/>
      <c r="O98" s="11"/>
      <c r="S98" s="10"/>
      <c r="U98" s="3"/>
      <c r="V98" s="3"/>
      <c r="X98" s="9"/>
      <c r="Z98" s="3"/>
      <c r="AA98" s="8"/>
      <c r="AB98" s="7"/>
      <c r="AC98" s="7"/>
      <c r="AD98" s="6"/>
      <c r="AE98" s="6"/>
      <c r="AF98" s="5"/>
      <c r="AG98" s="7"/>
      <c r="AH98" s="3"/>
      <c r="AI98" s="7"/>
      <c r="AJ98" s="7"/>
      <c r="AL98" s="3"/>
      <c r="AM98" s="3"/>
      <c r="AN98" s="3"/>
      <c r="AO98" s="3"/>
      <c r="AP98" s="9"/>
      <c r="AQ98" s="6"/>
    </row>
    <row r="99" spans="1:43" ht="15" customHeight="1" x14ac:dyDescent="0.3">
      <c r="A99" s="22"/>
      <c r="I99" s="21"/>
      <c r="J99" s="20"/>
      <c r="K99" s="3"/>
      <c r="L99" s="20"/>
      <c r="N99" s="12"/>
      <c r="O99" s="11"/>
      <c r="S99" s="10"/>
      <c r="U99" s="3"/>
      <c r="V99" s="3"/>
      <c r="X99" s="9"/>
      <c r="Z99" s="3"/>
      <c r="AA99" s="8"/>
      <c r="AB99" s="7"/>
      <c r="AC99" s="7"/>
      <c r="AD99" s="6"/>
      <c r="AE99" s="6"/>
      <c r="AF99" s="5"/>
      <c r="AG99" s="7"/>
      <c r="AH99" s="3"/>
      <c r="AI99" s="7"/>
      <c r="AJ99" s="7"/>
      <c r="AL99" s="3"/>
      <c r="AM99" s="3"/>
      <c r="AN99" s="3"/>
      <c r="AO99" s="3"/>
      <c r="AP99" s="9"/>
      <c r="AQ99" s="6"/>
    </row>
    <row r="100" spans="1:43" ht="15" customHeight="1" x14ac:dyDescent="0.3">
      <c r="A100" s="22"/>
      <c r="I100" s="21"/>
      <c r="J100" s="20"/>
      <c r="K100" s="3"/>
      <c r="L100" s="20"/>
      <c r="N100" s="12"/>
      <c r="O100" s="11"/>
      <c r="S100" s="10"/>
      <c r="U100" s="3"/>
      <c r="V100" s="3"/>
      <c r="X100" s="9"/>
      <c r="Z100" s="3"/>
      <c r="AA100" s="8"/>
      <c r="AB100" s="7"/>
      <c r="AC100" s="7"/>
      <c r="AD100" s="6"/>
      <c r="AE100" s="6"/>
      <c r="AF100" s="5"/>
      <c r="AG100" s="7"/>
      <c r="AH100" s="3"/>
      <c r="AI100" s="7"/>
      <c r="AJ100" s="7"/>
      <c r="AL100" s="3"/>
      <c r="AM100" s="3"/>
      <c r="AN100" s="3"/>
      <c r="AO100" s="3"/>
      <c r="AP100" s="9"/>
      <c r="AQ100" s="6"/>
    </row>
    <row r="101" spans="1:43" ht="15" customHeight="1" x14ac:dyDescent="0.3">
      <c r="A101" s="22"/>
      <c r="I101" s="21"/>
      <c r="J101" s="20"/>
      <c r="K101" s="3"/>
      <c r="L101" s="20"/>
      <c r="N101" s="12"/>
      <c r="O101" s="11"/>
      <c r="S101" s="10"/>
      <c r="U101" s="3"/>
      <c r="V101" s="3"/>
      <c r="X101" s="9"/>
      <c r="Z101" s="3"/>
      <c r="AA101" s="8"/>
      <c r="AB101" s="7"/>
      <c r="AC101" s="7"/>
      <c r="AD101" s="6"/>
      <c r="AE101" s="6"/>
      <c r="AF101" s="5"/>
      <c r="AG101" s="7"/>
      <c r="AH101" s="3"/>
      <c r="AI101" s="7"/>
      <c r="AJ101" s="7"/>
      <c r="AL101" s="3"/>
      <c r="AM101" s="3"/>
      <c r="AN101" s="3"/>
      <c r="AO101" s="3"/>
      <c r="AP101" s="9"/>
      <c r="AQ101" s="6"/>
    </row>
    <row r="102" spans="1:43" ht="15" customHeight="1" x14ac:dyDescent="0.3">
      <c r="A102" s="22"/>
      <c r="I102" s="21"/>
      <c r="J102" s="20"/>
      <c r="K102" s="3"/>
      <c r="L102" s="20"/>
      <c r="N102" s="12"/>
      <c r="O102" s="11"/>
      <c r="S102" s="10"/>
      <c r="U102" s="3"/>
      <c r="V102" s="3"/>
      <c r="X102" s="9"/>
      <c r="Z102" s="3"/>
      <c r="AA102" s="8"/>
      <c r="AB102" s="7"/>
      <c r="AC102" s="7"/>
      <c r="AD102" s="6"/>
      <c r="AE102" s="6"/>
      <c r="AF102" s="5"/>
      <c r="AG102" s="7"/>
      <c r="AH102" s="3"/>
      <c r="AI102" s="7"/>
      <c r="AJ102" s="7"/>
      <c r="AL102" s="3"/>
      <c r="AM102" s="3"/>
      <c r="AN102" s="3"/>
      <c r="AO102" s="3"/>
      <c r="AP102" s="9"/>
      <c r="AQ102" s="6"/>
    </row>
    <row r="103" spans="1:43" ht="15" customHeight="1" x14ac:dyDescent="0.3">
      <c r="A103" s="22"/>
      <c r="I103" s="21"/>
      <c r="J103" s="20"/>
      <c r="K103" s="3"/>
      <c r="L103" s="20"/>
      <c r="N103" s="12"/>
      <c r="O103" s="11"/>
      <c r="S103" s="10"/>
      <c r="U103" s="3"/>
      <c r="V103" s="3"/>
      <c r="X103" s="9"/>
      <c r="Z103" s="3"/>
      <c r="AA103" s="8"/>
      <c r="AB103" s="7"/>
      <c r="AC103" s="7"/>
      <c r="AD103" s="6"/>
      <c r="AE103" s="6"/>
      <c r="AF103" s="5"/>
      <c r="AG103" s="7"/>
      <c r="AH103" s="3"/>
      <c r="AI103" s="7"/>
      <c r="AJ103" s="7"/>
      <c r="AL103" s="3"/>
      <c r="AM103" s="3"/>
      <c r="AN103" s="3"/>
      <c r="AO103" s="3"/>
      <c r="AP103" s="9"/>
      <c r="AQ103" s="6"/>
    </row>
    <row r="104" spans="1:43" ht="15" customHeight="1" x14ac:dyDescent="0.3">
      <c r="A104" s="22"/>
      <c r="I104" s="21"/>
      <c r="J104" s="20"/>
      <c r="K104" s="3"/>
      <c r="L104" s="20"/>
      <c r="N104" s="12"/>
      <c r="O104" s="11"/>
      <c r="S104" s="10"/>
      <c r="U104" s="3"/>
      <c r="V104" s="3"/>
      <c r="X104" s="9"/>
      <c r="Z104" s="3"/>
      <c r="AA104" s="8"/>
      <c r="AB104" s="7"/>
      <c r="AC104" s="7"/>
      <c r="AD104" s="6"/>
      <c r="AE104" s="6"/>
      <c r="AF104" s="5"/>
      <c r="AG104" s="7"/>
      <c r="AH104" s="3"/>
      <c r="AI104" s="7"/>
      <c r="AJ104" s="7"/>
      <c r="AL104" s="3"/>
      <c r="AM104" s="3"/>
      <c r="AN104" s="3"/>
      <c r="AO104" s="3"/>
      <c r="AP104" s="9"/>
      <c r="AQ104" s="6"/>
    </row>
    <row r="105" spans="1:43" ht="15" customHeight="1" x14ac:dyDescent="0.3">
      <c r="A105" s="22"/>
      <c r="I105" s="21"/>
      <c r="J105" s="20"/>
      <c r="K105" s="3"/>
      <c r="L105" s="20"/>
      <c r="N105" s="12"/>
      <c r="O105" s="11"/>
      <c r="S105" s="10"/>
      <c r="U105" s="3"/>
      <c r="V105" s="3"/>
      <c r="X105" s="9"/>
      <c r="Z105" s="3"/>
      <c r="AA105" s="8"/>
      <c r="AB105" s="7"/>
      <c r="AC105" s="7"/>
      <c r="AD105" s="6"/>
      <c r="AE105" s="6"/>
      <c r="AF105" s="5"/>
      <c r="AG105" s="7"/>
      <c r="AH105" s="3"/>
      <c r="AI105" s="7"/>
      <c r="AJ105" s="7"/>
      <c r="AL105" s="3"/>
      <c r="AM105" s="3"/>
      <c r="AN105" s="3"/>
      <c r="AO105" s="3"/>
      <c r="AP105" s="9"/>
      <c r="AQ105" s="6"/>
    </row>
    <row r="106" spans="1:43" ht="15" customHeight="1" x14ac:dyDescent="0.3">
      <c r="A106" s="22"/>
      <c r="I106" s="21"/>
      <c r="J106" s="20"/>
      <c r="K106" s="3"/>
      <c r="L106" s="20"/>
      <c r="N106" s="12"/>
      <c r="O106" s="11"/>
      <c r="S106" s="10"/>
      <c r="U106" s="3"/>
      <c r="V106" s="3"/>
      <c r="X106" s="9"/>
      <c r="Z106" s="3"/>
      <c r="AA106" s="8"/>
      <c r="AB106" s="7"/>
      <c r="AC106" s="7"/>
      <c r="AD106" s="6"/>
      <c r="AE106" s="6"/>
      <c r="AF106" s="5"/>
      <c r="AG106" s="7"/>
      <c r="AH106" s="3"/>
      <c r="AI106" s="7"/>
      <c r="AJ106" s="7"/>
      <c r="AL106" s="3"/>
      <c r="AM106" s="3"/>
      <c r="AN106" s="3"/>
      <c r="AO106" s="3"/>
      <c r="AP106" s="9"/>
      <c r="AQ106" s="6"/>
    </row>
    <row r="107" spans="1:43" ht="15" customHeight="1" x14ac:dyDescent="0.3">
      <c r="A107" s="22"/>
      <c r="I107" s="21"/>
      <c r="J107" s="20"/>
      <c r="K107" s="3"/>
      <c r="L107" s="20"/>
      <c r="N107" s="12"/>
      <c r="O107" s="11"/>
      <c r="S107" s="10"/>
      <c r="U107" s="3"/>
      <c r="V107" s="3"/>
      <c r="X107" s="9"/>
      <c r="Z107" s="3"/>
      <c r="AA107" s="8"/>
      <c r="AB107" s="7"/>
      <c r="AC107" s="7"/>
      <c r="AD107" s="6"/>
      <c r="AE107" s="6"/>
      <c r="AF107" s="5"/>
      <c r="AG107" s="7"/>
      <c r="AH107" s="3"/>
      <c r="AI107" s="7"/>
      <c r="AJ107" s="7"/>
      <c r="AL107" s="3"/>
      <c r="AM107" s="3"/>
      <c r="AN107" s="3"/>
      <c r="AO107" s="3"/>
      <c r="AP107" s="9"/>
      <c r="AQ107" s="6"/>
    </row>
    <row r="108" spans="1:43" ht="15" customHeight="1" x14ac:dyDescent="0.3">
      <c r="A108" s="22"/>
      <c r="I108" s="21"/>
      <c r="J108" s="20"/>
      <c r="K108" s="3"/>
      <c r="L108" s="20"/>
      <c r="N108" s="12"/>
      <c r="O108" s="11"/>
      <c r="S108" s="10"/>
      <c r="U108" s="3"/>
      <c r="V108" s="3"/>
      <c r="X108" s="9"/>
      <c r="Z108" s="3"/>
      <c r="AA108" s="8"/>
      <c r="AB108" s="7"/>
      <c r="AC108" s="7"/>
      <c r="AD108" s="6"/>
      <c r="AE108" s="6"/>
      <c r="AF108" s="5"/>
      <c r="AG108" s="7"/>
      <c r="AH108" s="3"/>
      <c r="AI108" s="7"/>
      <c r="AJ108" s="7"/>
      <c r="AL108" s="3"/>
      <c r="AM108" s="3"/>
      <c r="AN108" s="3"/>
      <c r="AO108" s="3"/>
      <c r="AP108" s="9"/>
      <c r="AQ108" s="6"/>
    </row>
    <row r="109" spans="1:43" ht="15" customHeight="1" x14ac:dyDescent="0.3">
      <c r="A109" s="22"/>
      <c r="I109" s="21"/>
      <c r="J109" s="20"/>
      <c r="K109" s="3"/>
      <c r="L109" s="20"/>
      <c r="N109" s="12"/>
      <c r="O109" s="11"/>
      <c r="S109" s="10"/>
      <c r="U109" s="3"/>
      <c r="V109" s="3"/>
      <c r="X109" s="9"/>
      <c r="Z109" s="3"/>
      <c r="AA109" s="8"/>
      <c r="AB109" s="7"/>
      <c r="AC109" s="7"/>
      <c r="AD109" s="6"/>
      <c r="AE109" s="6"/>
      <c r="AF109" s="5"/>
      <c r="AG109" s="7"/>
      <c r="AH109" s="3"/>
      <c r="AI109" s="7"/>
      <c r="AJ109" s="7"/>
      <c r="AL109" s="3"/>
      <c r="AM109" s="3"/>
      <c r="AN109" s="3"/>
      <c r="AO109" s="3"/>
      <c r="AP109" s="9"/>
      <c r="AQ109" s="6"/>
    </row>
    <row r="110" spans="1:43" ht="15" customHeight="1" x14ac:dyDescent="0.3">
      <c r="A110" s="22"/>
      <c r="I110" s="21"/>
      <c r="J110" s="20"/>
      <c r="K110" s="3"/>
      <c r="L110" s="20"/>
      <c r="N110" s="12"/>
      <c r="O110" s="11"/>
      <c r="S110" s="10"/>
      <c r="U110" s="3"/>
      <c r="V110" s="3"/>
      <c r="X110" s="9"/>
      <c r="Z110" s="3"/>
      <c r="AA110" s="8"/>
      <c r="AB110" s="7"/>
      <c r="AC110" s="7"/>
      <c r="AD110" s="6"/>
      <c r="AE110" s="6"/>
      <c r="AF110" s="5"/>
      <c r="AG110" s="7"/>
      <c r="AH110" s="3"/>
      <c r="AI110" s="7"/>
      <c r="AJ110" s="7"/>
      <c r="AL110" s="3"/>
      <c r="AM110" s="3"/>
      <c r="AN110" s="3"/>
      <c r="AO110" s="3"/>
      <c r="AP110" s="9"/>
      <c r="AQ110" s="6"/>
    </row>
    <row r="111" spans="1:43" ht="15" customHeight="1" x14ac:dyDescent="0.3">
      <c r="A111" s="22"/>
      <c r="I111" s="21"/>
      <c r="J111" s="20"/>
      <c r="K111" s="3"/>
      <c r="L111" s="20"/>
      <c r="N111" s="12"/>
      <c r="O111" s="11"/>
      <c r="S111" s="10"/>
      <c r="U111" s="3"/>
      <c r="V111" s="3"/>
      <c r="X111" s="9"/>
      <c r="Z111" s="3"/>
      <c r="AA111" s="8"/>
      <c r="AB111" s="7"/>
      <c r="AC111" s="7"/>
      <c r="AD111" s="6"/>
      <c r="AE111" s="6"/>
      <c r="AF111" s="5"/>
      <c r="AG111" s="7"/>
      <c r="AH111" s="3"/>
      <c r="AI111" s="7"/>
      <c r="AJ111" s="7"/>
      <c r="AL111" s="3"/>
      <c r="AM111" s="3"/>
      <c r="AN111" s="3"/>
      <c r="AO111" s="3"/>
      <c r="AP111" s="9"/>
      <c r="AQ111" s="6"/>
    </row>
    <row r="112" spans="1:43" ht="15" customHeight="1" x14ac:dyDescent="0.3">
      <c r="A112" s="22"/>
      <c r="I112" s="21"/>
      <c r="J112" s="20"/>
      <c r="K112" s="3"/>
      <c r="L112" s="20"/>
      <c r="N112" s="12"/>
      <c r="O112" s="11"/>
      <c r="S112" s="10"/>
      <c r="U112" s="3"/>
      <c r="V112" s="3"/>
      <c r="X112" s="9"/>
      <c r="Z112" s="3"/>
      <c r="AA112" s="8"/>
      <c r="AB112" s="7"/>
      <c r="AC112" s="7"/>
      <c r="AD112" s="6"/>
      <c r="AE112" s="6"/>
      <c r="AF112" s="5"/>
      <c r="AG112" s="7"/>
      <c r="AH112" s="3"/>
      <c r="AI112" s="7"/>
      <c r="AJ112" s="7"/>
      <c r="AL112" s="3"/>
      <c r="AM112" s="3"/>
      <c r="AN112" s="3"/>
      <c r="AO112" s="3"/>
      <c r="AP112" s="9"/>
      <c r="AQ112" s="6"/>
    </row>
    <row r="113" spans="1:43" ht="15" customHeight="1" x14ac:dyDescent="0.3">
      <c r="A113" s="22"/>
      <c r="I113" s="21"/>
      <c r="J113" s="20"/>
      <c r="K113" s="3"/>
      <c r="L113" s="20"/>
      <c r="N113" s="12"/>
      <c r="O113" s="11"/>
      <c r="S113" s="10"/>
      <c r="U113" s="3"/>
      <c r="V113" s="3"/>
      <c r="X113" s="9"/>
      <c r="Z113" s="3"/>
      <c r="AA113" s="8"/>
      <c r="AB113" s="7"/>
      <c r="AC113" s="7"/>
      <c r="AD113" s="6"/>
      <c r="AE113" s="6"/>
      <c r="AF113" s="5"/>
      <c r="AG113" s="7"/>
      <c r="AH113" s="3"/>
      <c r="AI113" s="7"/>
      <c r="AJ113" s="7"/>
      <c r="AL113" s="3"/>
      <c r="AM113" s="3"/>
      <c r="AN113" s="3"/>
      <c r="AO113" s="3"/>
      <c r="AP113" s="9"/>
      <c r="AQ113" s="6"/>
    </row>
    <row r="114" spans="1:43" ht="15" customHeight="1" x14ac:dyDescent="0.3">
      <c r="A114" s="22"/>
      <c r="I114" s="21"/>
      <c r="J114" s="20"/>
      <c r="K114" s="3"/>
      <c r="L114" s="20"/>
      <c r="N114" s="12"/>
      <c r="O114" s="11"/>
      <c r="S114" s="10"/>
      <c r="U114" s="3"/>
      <c r="V114" s="3"/>
      <c r="X114" s="9"/>
      <c r="Z114" s="3"/>
      <c r="AA114" s="8"/>
      <c r="AB114" s="7"/>
      <c r="AC114" s="7"/>
      <c r="AD114" s="6"/>
      <c r="AE114" s="6"/>
      <c r="AF114" s="5"/>
      <c r="AG114" s="7"/>
      <c r="AH114" s="3"/>
      <c r="AI114" s="7"/>
      <c r="AJ114" s="7"/>
      <c r="AL114" s="3"/>
      <c r="AM114" s="3"/>
      <c r="AN114" s="3"/>
      <c r="AO114" s="3"/>
      <c r="AP114" s="9"/>
      <c r="AQ114" s="6"/>
    </row>
    <row r="115" spans="1:43" ht="15" customHeight="1" x14ac:dyDescent="0.3">
      <c r="A115" s="22"/>
      <c r="I115" s="21"/>
      <c r="J115" s="20"/>
      <c r="K115" s="3"/>
      <c r="L115" s="20"/>
      <c r="N115" s="12"/>
      <c r="O115" s="11"/>
      <c r="S115" s="10"/>
      <c r="U115" s="3"/>
      <c r="V115" s="3"/>
      <c r="X115" s="9"/>
      <c r="Z115" s="3"/>
      <c r="AA115" s="8"/>
      <c r="AB115" s="7"/>
      <c r="AC115" s="7"/>
      <c r="AD115" s="6"/>
      <c r="AE115" s="6"/>
      <c r="AF115" s="5"/>
      <c r="AG115" s="7"/>
      <c r="AH115" s="3"/>
      <c r="AI115" s="7"/>
      <c r="AJ115" s="7"/>
      <c r="AL115" s="3"/>
      <c r="AM115" s="3"/>
      <c r="AN115" s="3"/>
      <c r="AO115" s="3"/>
      <c r="AP115" s="9"/>
      <c r="AQ115" s="6"/>
    </row>
    <row r="116" spans="1:43" ht="15" customHeight="1" x14ac:dyDescent="0.3">
      <c r="A116" s="22"/>
      <c r="I116" s="21"/>
      <c r="J116" s="20"/>
      <c r="K116" s="3"/>
      <c r="L116" s="20"/>
      <c r="N116" s="12"/>
      <c r="O116" s="11"/>
      <c r="S116" s="10"/>
      <c r="U116" s="3"/>
      <c r="V116" s="3"/>
      <c r="X116" s="9"/>
      <c r="Z116" s="3"/>
      <c r="AA116" s="8"/>
      <c r="AB116" s="7"/>
      <c r="AC116" s="7"/>
      <c r="AD116" s="6"/>
      <c r="AE116" s="6"/>
      <c r="AF116" s="5"/>
      <c r="AG116" s="7"/>
      <c r="AH116" s="3"/>
      <c r="AI116" s="7"/>
      <c r="AJ116" s="7"/>
      <c r="AL116" s="3"/>
      <c r="AM116" s="3"/>
      <c r="AN116" s="3"/>
      <c r="AO116" s="3"/>
      <c r="AP116" s="9"/>
      <c r="AQ116" s="6"/>
    </row>
    <row r="117" spans="1:43" ht="15" customHeight="1" x14ac:dyDescent="0.3">
      <c r="A117" s="22"/>
      <c r="I117" s="21"/>
      <c r="J117" s="20"/>
      <c r="K117" s="3"/>
      <c r="L117" s="20"/>
      <c r="N117" s="12"/>
      <c r="O117" s="11"/>
      <c r="S117" s="10"/>
      <c r="U117" s="3"/>
      <c r="V117" s="3"/>
      <c r="X117" s="9"/>
      <c r="Z117" s="3"/>
      <c r="AA117" s="8"/>
      <c r="AB117" s="7"/>
      <c r="AC117" s="7"/>
      <c r="AD117" s="6"/>
      <c r="AE117" s="6"/>
      <c r="AF117" s="5"/>
      <c r="AG117" s="7"/>
      <c r="AH117" s="3"/>
      <c r="AI117" s="7"/>
      <c r="AJ117" s="7"/>
      <c r="AL117" s="3"/>
      <c r="AM117" s="3"/>
      <c r="AN117" s="3"/>
      <c r="AO117" s="3"/>
      <c r="AP117" s="9"/>
      <c r="AQ117" s="6"/>
    </row>
    <row r="118" spans="1:43" ht="15" customHeight="1" x14ac:dyDescent="0.3">
      <c r="A118" s="22"/>
      <c r="I118" s="21"/>
      <c r="J118" s="20"/>
      <c r="K118" s="3"/>
      <c r="L118" s="20"/>
      <c r="N118" s="12"/>
      <c r="O118" s="11"/>
      <c r="S118" s="10"/>
      <c r="U118" s="3"/>
      <c r="V118" s="3"/>
      <c r="X118" s="9"/>
      <c r="Z118" s="3"/>
      <c r="AA118" s="8"/>
      <c r="AB118" s="7"/>
      <c r="AC118" s="7"/>
      <c r="AD118" s="6"/>
      <c r="AE118" s="6"/>
      <c r="AF118" s="5"/>
      <c r="AG118" s="7"/>
      <c r="AH118" s="3"/>
      <c r="AI118" s="7"/>
      <c r="AJ118" s="7"/>
      <c r="AL118" s="3"/>
      <c r="AM118" s="3"/>
      <c r="AN118" s="3"/>
      <c r="AO118" s="3"/>
      <c r="AP118" s="9"/>
      <c r="AQ118" s="6"/>
    </row>
    <row r="119" spans="1:43" ht="15" customHeight="1" x14ac:dyDescent="0.3">
      <c r="A119" s="22"/>
      <c r="I119" s="21"/>
      <c r="J119" s="20"/>
      <c r="K119" s="3"/>
      <c r="L119" s="20"/>
      <c r="N119" s="12"/>
      <c r="O119" s="11"/>
      <c r="S119" s="10"/>
      <c r="U119" s="3"/>
      <c r="V119" s="3"/>
      <c r="X119" s="9"/>
      <c r="Z119" s="3"/>
      <c r="AA119" s="8"/>
      <c r="AB119" s="7"/>
      <c r="AC119" s="7"/>
      <c r="AD119" s="6"/>
      <c r="AE119" s="6"/>
      <c r="AF119" s="5"/>
      <c r="AG119" s="7"/>
      <c r="AH119" s="3"/>
      <c r="AI119" s="7"/>
      <c r="AJ119" s="7"/>
      <c r="AL119" s="3"/>
      <c r="AM119" s="3"/>
      <c r="AN119" s="3"/>
      <c r="AO119" s="3"/>
      <c r="AP119" s="9"/>
      <c r="AQ119" s="6"/>
    </row>
    <row r="120" spans="1:43" ht="15" customHeight="1" x14ac:dyDescent="0.3">
      <c r="A120" s="22"/>
      <c r="I120" s="21"/>
      <c r="J120" s="20"/>
      <c r="K120" s="3"/>
      <c r="L120" s="20"/>
      <c r="N120" s="12"/>
      <c r="O120" s="11"/>
      <c r="S120" s="10"/>
      <c r="U120" s="3"/>
      <c r="V120" s="3"/>
      <c r="X120" s="9"/>
      <c r="Z120" s="3"/>
      <c r="AA120" s="8"/>
      <c r="AB120" s="7"/>
      <c r="AC120" s="7"/>
      <c r="AD120" s="6"/>
      <c r="AE120" s="6"/>
      <c r="AF120" s="5"/>
      <c r="AG120" s="7"/>
      <c r="AH120" s="3"/>
      <c r="AI120" s="7"/>
      <c r="AJ120" s="7"/>
      <c r="AL120" s="3"/>
      <c r="AM120" s="3"/>
      <c r="AN120" s="3"/>
      <c r="AO120" s="3"/>
      <c r="AP120" s="9"/>
      <c r="AQ120" s="6"/>
    </row>
    <row r="121" spans="1:43" ht="15" customHeight="1" x14ac:dyDescent="0.3">
      <c r="A121" s="22"/>
      <c r="I121" s="21"/>
      <c r="J121" s="20"/>
      <c r="K121" s="3"/>
      <c r="L121" s="20"/>
      <c r="N121" s="12"/>
      <c r="O121" s="11"/>
      <c r="S121" s="10"/>
      <c r="U121" s="3"/>
      <c r="V121" s="3"/>
      <c r="X121" s="9"/>
      <c r="Z121" s="3"/>
      <c r="AA121" s="8"/>
      <c r="AB121" s="7"/>
      <c r="AC121" s="7"/>
      <c r="AD121" s="6"/>
      <c r="AE121" s="6"/>
      <c r="AF121" s="5"/>
      <c r="AG121" s="7"/>
      <c r="AH121" s="3"/>
      <c r="AI121" s="7"/>
      <c r="AJ121" s="7"/>
      <c r="AL121" s="3"/>
      <c r="AM121" s="3"/>
      <c r="AN121" s="3"/>
      <c r="AO121" s="3"/>
      <c r="AP121" s="9"/>
      <c r="AQ121" s="6"/>
    </row>
    <row r="122" spans="1:43" ht="15" customHeight="1" x14ac:dyDescent="0.3">
      <c r="A122" s="22"/>
      <c r="I122" s="21"/>
      <c r="J122" s="20"/>
      <c r="K122" s="3"/>
      <c r="L122" s="20"/>
      <c r="N122" s="12"/>
      <c r="O122" s="11"/>
      <c r="S122" s="10"/>
      <c r="U122" s="3"/>
      <c r="V122" s="3"/>
      <c r="X122" s="9"/>
      <c r="Z122" s="3"/>
      <c r="AA122" s="8"/>
      <c r="AB122" s="7"/>
      <c r="AC122" s="7"/>
      <c r="AD122" s="6"/>
      <c r="AE122" s="6"/>
      <c r="AF122" s="5"/>
      <c r="AG122" s="7"/>
      <c r="AH122" s="3"/>
      <c r="AI122" s="7"/>
      <c r="AJ122" s="7"/>
      <c r="AL122" s="3"/>
      <c r="AM122" s="3"/>
      <c r="AN122" s="3"/>
      <c r="AO122" s="3"/>
      <c r="AP122" s="9"/>
      <c r="AQ122" s="6"/>
    </row>
    <row r="123" spans="1:43" ht="15" customHeight="1" x14ac:dyDescent="0.3">
      <c r="A123" s="22"/>
      <c r="I123" s="21"/>
      <c r="J123" s="20"/>
      <c r="K123" s="3"/>
      <c r="L123" s="20"/>
      <c r="N123" s="12"/>
      <c r="O123" s="11"/>
      <c r="S123" s="10"/>
      <c r="U123" s="3"/>
      <c r="V123" s="3"/>
      <c r="X123" s="9"/>
      <c r="Z123" s="3"/>
      <c r="AA123" s="8"/>
      <c r="AB123" s="7"/>
      <c r="AC123" s="7"/>
      <c r="AD123" s="6"/>
      <c r="AE123" s="6"/>
      <c r="AF123" s="5"/>
      <c r="AG123" s="7"/>
      <c r="AH123" s="3"/>
      <c r="AI123" s="7"/>
      <c r="AJ123" s="7"/>
      <c r="AL123" s="3"/>
      <c r="AM123" s="3"/>
      <c r="AN123" s="3"/>
      <c r="AO123" s="3"/>
      <c r="AP123" s="9"/>
      <c r="AQ123" s="6"/>
    </row>
    <row r="124" spans="1:43" ht="15" customHeight="1" x14ac:dyDescent="0.3">
      <c r="A124" s="22"/>
      <c r="I124" s="21"/>
      <c r="J124" s="20"/>
      <c r="K124" s="3"/>
      <c r="L124" s="20"/>
      <c r="N124" s="12"/>
      <c r="O124" s="11"/>
      <c r="S124" s="10"/>
      <c r="U124" s="3"/>
      <c r="V124" s="3"/>
      <c r="X124" s="9"/>
      <c r="Z124" s="3"/>
      <c r="AA124" s="8"/>
      <c r="AB124" s="7"/>
      <c r="AC124" s="7"/>
      <c r="AD124" s="6"/>
      <c r="AE124" s="6"/>
      <c r="AF124" s="5"/>
      <c r="AG124" s="7"/>
      <c r="AH124" s="3"/>
      <c r="AI124" s="7"/>
      <c r="AJ124" s="7"/>
      <c r="AL124" s="3"/>
      <c r="AM124" s="3"/>
      <c r="AN124" s="3"/>
      <c r="AO124" s="3"/>
      <c r="AP124" s="9"/>
      <c r="AQ124" s="6"/>
    </row>
    <row r="125" spans="1:43" ht="15" customHeight="1" x14ac:dyDescent="0.3">
      <c r="A125" s="22"/>
      <c r="I125" s="21"/>
      <c r="J125" s="20"/>
      <c r="K125" s="3"/>
      <c r="L125" s="20"/>
      <c r="N125" s="12"/>
      <c r="O125" s="11"/>
      <c r="S125" s="10"/>
      <c r="U125" s="3"/>
      <c r="V125" s="3"/>
      <c r="X125" s="9"/>
      <c r="Z125" s="3"/>
      <c r="AA125" s="8"/>
      <c r="AB125" s="7"/>
      <c r="AC125" s="7"/>
      <c r="AD125" s="6"/>
      <c r="AE125" s="6"/>
      <c r="AF125" s="5"/>
      <c r="AG125" s="7"/>
      <c r="AH125" s="3"/>
      <c r="AI125" s="7"/>
      <c r="AJ125" s="7"/>
      <c r="AL125" s="3"/>
      <c r="AM125" s="3"/>
      <c r="AN125" s="3"/>
      <c r="AO125" s="3"/>
      <c r="AP125" s="9"/>
      <c r="AQ125" s="6"/>
    </row>
    <row r="126" spans="1:43" ht="15" customHeight="1" x14ac:dyDescent="0.3">
      <c r="A126" s="22"/>
      <c r="I126" s="21"/>
      <c r="J126" s="20"/>
      <c r="K126" s="3"/>
      <c r="L126" s="20"/>
      <c r="N126" s="12"/>
      <c r="O126" s="11"/>
      <c r="S126" s="10"/>
      <c r="U126" s="3"/>
      <c r="V126" s="3"/>
      <c r="X126" s="9"/>
      <c r="Z126" s="3"/>
      <c r="AA126" s="8"/>
      <c r="AB126" s="7"/>
      <c r="AC126" s="7"/>
      <c r="AD126" s="6"/>
      <c r="AE126" s="6"/>
      <c r="AF126" s="5"/>
      <c r="AG126" s="7"/>
      <c r="AH126" s="3"/>
      <c r="AI126" s="7"/>
      <c r="AJ126" s="7"/>
      <c r="AL126" s="3"/>
      <c r="AM126" s="3"/>
      <c r="AN126" s="3"/>
      <c r="AO126" s="3"/>
      <c r="AP126" s="9"/>
      <c r="AQ126" s="6"/>
    </row>
    <row r="127" spans="1:43" ht="15" customHeight="1" x14ac:dyDescent="0.3">
      <c r="A127" s="22"/>
      <c r="I127" s="21"/>
      <c r="J127" s="20"/>
      <c r="K127" s="3"/>
      <c r="L127" s="20"/>
      <c r="N127" s="12"/>
      <c r="O127" s="11"/>
      <c r="S127" s="10"/>
      <c r="U127" s="3"/>
      <c r="V127" s="3"/>
      <c r="X127" s="9"/>
      <c r="Z127" s="3"/>
      <c r="AA127" s="8"/>
      <c r="AB127" s="7"/>
      <c r="AC127" s="7"/>
      <c r="AD127" s="6"/>
      <c r="AE127" s="6"/>
      <c r="AF127" s="5"/>
      <c r="AG127" s="7"/>
      <c r="AH127" s="3"/>
      <c r="AI127" s="7"/>
      <c r="AJ127" s="7"/>
      <c r="AL127" s="3"/>
      <c r="AM127" s="3"/>
      <c r="AN127" s="3"/>
      <c r="AO127" s="3"/>
      <c r="AP127" s="9"/>
      <c r="AQ127" s="6"/>
    </row>
    <row r="128" spans="1:43" ht="15" customHeight="1" x14ac:dyDescent="0.3">
      <c r="A128" s="22"/>
      <c r="I128" s="21"/>
      <c r="J128" s="20"/>
      <c r="K128" s="3"/>
      <c r="L128" s="20"/>
      <c r="N128" s="12"/>
      <c r="O128" s="11"/>
      <c r="S128" s="10"/>
      <c r="U128" s="3"/>
      <c r="V128" s="3"/>
      <c r="X128" s="9"/>
      <c r="Z128" s="3"/>
      <c r="AA128" s="8"/>
      <c r="AB128" s="7"/>
      <c r="AC128" s="7"/>
      <c r="AD128" s="6"/>
      <c r="AE128" s="6"/>
      <c r="AF128" s="5"/>
      <c r="AG128" s="7"/>
      <c r="AH128" s="3"/>
      <c r="AI128" s="7"/>
      <c r="AJ128" s="7"/>
      <c r="AL128" s="3"/>
      <c r="AM128" s="3"/>
      <c r="AN128" s="3"/>
      <c r="AO128" s="3"/>
      <c r="AP128" s="9"/>
      <c r="AQ128" s="6"/>
    </row>
    <row r="129" spans="1:43" ht="15" customHeight="1" x14ac:dyDescent="0.3">
      <c r="A129" s="22"/>
      <c r="I129" s="21"/>
      <c r="J129" s="20"/>
      <c r="K129" s="3"/>
      <c r="L129" s="20"/>
      <c r="N129" s="12"/>
      <c r="O129" s="11"/>
      <c r="S129" s="10"/>
      <c r="U129" s="3"/>
      <c r="V129" s="3"/>
      <c r="X129" s="9"/>
      <c r="Z129" s="3"/>
      <c r="AA129" s="8"/>
      <c r="AB129" s="7"/>
      <c r="AC129" s="7"/>
      <c r="AD129" s="6"/>
      <c r="AE129" s="6"/>
      <c r="AF129" s="5"/>
      <c r="AG129" s="7"/>
      <c r="AH129" s="3"/>
      <c r="AI129" s="7"/>
      <c r="AJ129" s="7"/>
      <c r="AL129" s="3"/>
      <c r="AM129" s="3"/>
      <c r="AN129" s="3"/>
      <c r="AO129" s="3"/>
      <c r="AP129" s="9"/>
      <c r="AQ129" s="6"/>
    </row>
    <row r="130" spans="1:43" ht="15" customHeight="1" x14ac:dyDescent="0.3">
      <c r="A130" s="22"/>
      <c r="I130" s="21"/>
      <c r="J130" s="20"/>
      <c r="K130" s="3"/>
      <c r="L130" s="20"/>
      <c r="N130" s="12"/>
      <c r="O130" s="11"/>
      <c r="S130" s="10"/>
      <c r="U130" s="3"/>
      <c r="V130" s="3"/>
      <c r="X130" s="9"/>
      <c r="Z130" s="3"/>
      <c r="AA130" s="8"/>
      <c r="AB130" s="7"/>
      <c r="AC130" s="7"/>
      <c r="AD130" s="6"/>
      <c r="AE130" s="6"/>
      <c r="AF130" s="5"/>
      <c r="AG130" s="7"/>
      <c r="AH130" s="3"/>
      <c r="AI130" s="7"/>
      <c r="AJ130" s="7"/>
      <c r="AL130" s="3"/>
      <c r="AM130" s="3"/>
      <c r="AN130" s="3"/>
      <c r="AO130" s="3"/>
      <c r="AP130" s="9"/>
      <c r="AQ130" s="6"/>
    </row>
    <row r="131" spans="1:43" ht="15" customHeight="1" x14ac:dyDescent="0.3">
      <c r="A131" s="22"/>
      <c r="I131" s="21"/>
      <c r="J131" s="20"/>
      <c r="K131" s="3"/>
      <c r="L131" s="20"/>
      <c r="N131" s="12"/>
      <c r="O131" s="11"/>
      <c r="S131" s="10"/>
      <c r="U131" s="3"/>
      <c r="V131" s="3"/>
      <c r="X131" s="9"/>
      <c r="Z131" s="3"/>
      <c r="AA131" s="8"/>
      <c r="AB131" s="7"/>
      <c r="AC131" s="7"/>
      <c r="AD131" s="6"/>
      <c r="AE131" s="6"/>
      <c r="AF131" s="5"/>
      <c r="AG131" s="7"/>
      <c r="AH131" s="3"/>
      <c r="AI131" s="7"/>
      <c r="AJ131" s="7"/>
      <c r="AL131" s="3"/>
      <c r="AM131" s="3"/>
      <c r="AN131" s="3"/>
      <c r="AO131" s="3"/>
      <c r="AP131" s="9"/>
      <c r="AQ131" s="6"/>
    </row>
    <row r="132" spans="1:43" ht="15" customHeight="1" x14ac:dyDescent="0.3">
      <c r="A132" s="22"/>
      <c r="I132" s="21"/>
      <c r="J132" s="20"/>
      <c r="K132" s="3"/>
      <c r="L132" s="20"/>
      <c r="N132" s="12"/>
      <c r="O132" s="11"/>
      <c r="S132" s="10"/>
      <c r="U132" s="3"/>
      <c r="V132" s="3"/>
      <c r="X132" s="9"/>
      <c r="Z132" s="3"/>
      <c r="AA132" s="8"/>
      <c r="AB132" s="7"/>
      <c r="AC132" s="7"/>
      <c r="AD132" s="6"/>
      <c r="AE132" s="6"/>
      <c r="AF132" s="5"/>
      <c r="AG132" s="7"/>
      <c r="AH132" s="3"/>
      <c r="AI132" s="7"/>
      <c r="AJ132" s="7"/>
      <c r="AL132" s="3"/>
      <c r="AM132" s="3"/>
      <c r="AN132" s="3"/>
      <c r="AO132" s="3"/>
      <c r="AP132" s="9"/>
      <c r="AQ132" s="6"/>
    </row>
    <row r="133" spans="1:43" ht="15" customHeight="1" x14ac:dyDescent="0.3">
      <c r="A133" s="22"/>
      <c r="I133" s="21"/>
      <c r="J133" s="20"/>
      <c r="K133" s="3"/>
      <c r="L133" s="20"/>
      <c r="N133" s="12"/>
      <c r="O133" s="11"/>
      <c r="S133" s="10"/>
      <c r="U133" s="3"/>
      <c r="V133" s="3"/>
      <c r="X133" s="9"/>
      <c r="Z133" s="3"/>
      <c r="AA133" s="8"/>
      <c r="AB133" s="7"/>
      <c r="AC133" s="7"/>
      <c r="AD133" s="6"/>
      <c r="AE133" s="6"/>
      <c r="AF133" s="5"/>
      <c r="AG133" s="7"/>
      <c r="AH133" s="3"/>
      <c r="AI133" s="7"/>
      <c r="AJ133" s="7"/>
      <c r="AL133" s="3"/>
      <c r="AM133" s="3"/>
      <c r="AN133" s="3"/>
      <c r="AO133" s="3"/>
      <c r="AP133" s="9"/>
      <c r="AQ133" s="6"/>
    </row>
    <row r="134" spans="1:43" ht="15" customHeight="1" x14ac:dyDescent="0.3">
      <c r="A134" s="22"/>
      <c r="I134" s="21"/>
      <c r="J134" s="20"/>
      <c r="K134" s="3"/>
      <c r="L134" s="20"/>
      <c r="N134" s="12"/>
      <c r="O134" s="11"/>
      <c r="S134" s="10"/>
      <c r="U134" s="3"/>
      <c r="V134" s="3"/>
      <c r="X134" s="9"/>
      <c r="Z134" s="3"/>
      <c r="AA134" s="8"/>
      <c r="AB134" s="7"/>
      <c r="AC134" s="7"/>
      <c r="AD134" s="6"/>
      <c r="AE134" s="6"/>
      <c r="AF134" s="5"/>
      <c r="AG134" s="7"/>
      <c r="AH134" s="3"/>
      <c r="AI134" s="7"/>
      <c r="AJ134" s="7"/>
      <c r="AL134" s="3"/>
      <c r="AM134" s="3"/>
      <c r="AN134" s="3"/>
      <c r="AO134" s="3"/>
      <c r="AP134" s="9"/>
      <c r="AQ134" s="6"/>
    </row>
    <row r="135" spans="1:43" ht="15" customHeight="1" x14ac:dyDescent="0.3">
      <c r="A135" s="22"/>
      <c r="I135" s="21"/>
      <c r="J135" s="20"/>
      <c r="K135" s="3"/>
      <c r="L135" s="20"/>
      <c r="N135" s="12"/>
      <c r="O135" s="11"/>
      <c r="S135" s="10"/>
      <c r="U135" s="3"/>
      <c r="V135" s="3"/>
      <c r="X135" s="9"/>
      <c r="Z135" s="3"/>
      <c r="AA135" s="8"/>
      <c r="AB135" s="7"/>
      <c r="AC135" s="7"/>
      <c r="AD135" s="6"/>
      <c r="AE135" s="6"/>
      <c r="AF135" s="5"/>
      <c r="AG135" s="7"/>
      <c r="AH135" s="3"/>
      <c r="AI135" s="7"/>
      <c r="AJ135" s="7"/>
      <c r="AL135" s="3"/>
      <c r="AM135" s="3"/>
      <c r="AN135" s="3"/>
      <c r="AO135" s="3"/>
      <c r="AP135" s="9"/>
      <c r="AQ135" s="6"/>
    </row>
    <row r="136" spans="1:43" ht="15" customHeight="1" x14ac:dyDescent="0.3">
      <c r="A136" s="22"/>
      <c r="I136" s="21"/>
      <c r="J136" s="20"/>
      <c r="K136" s="3"/>
      <c r="L136" s="20"/>
      <c r="N136" s="12"/>
      <c r="O136" s="11"/>
      <c r="S136" s="10"/>
      <c r="U136" s="3"/>
      <c r="V136" s="3"/>
      <c r="X136" s="9"/>
      <c r="Z136" s="3"/>
      <c r="AA136" s="8"/>
      <c r="AB136" s="7"/>
      <c r="AC136" s="7"/>
      <c r="AD136" s="6"/>
      <c r="AE136" s="6"/>
      <c r="AF136" s="5"/>
      <c r="AG136" s="7"/>
      <c r="AH136" s="3"/>
      <c r="AI136" s="7"/>
      <c r="AJ136" s="7"/>
      <c r="AL136" s="3"/>
      <c r="AM136" s="3"/>
      <c r="AN136" s="3"/>
      <c r="AO136" s="3"/>
      <c r="AP136" s="9"/>
      <c r="AQ136" s="6"/>
    </row>
    <row r="137" spans="1:43" ht="15" customHeight="1" x14ac:dyDescent="0.3">
      <c r="A137" s="22"/>
      <c r="I137" s="21"/>
      <c r="J137" s="20"/>
      <c r="K137" s="3"/>
      <c r="L137" s="20"/>
      <c r="N137" s="12"/>
      <c r="O137" s="11"/>
      <c r="S137" s="10"/>
      <c r="U137" s="3"/>
      <c r="V137" s="3"/>
      <c r="X137" s="9"/>
      <c r="Z137" s="3"/>
      <c r="AA137" s="8"/>
      <c r="AB137" s="7"/>
      <c r="AC137" s="7"/>
      <c r="AD137" s="6"/>
      <c r="AE137" s="6"/>
      <c r="AF137" s="5"/>
      <c r="AG137" s="7"/>
      <c r="AH137" s="3"/>
      <c r="AI137" s="7"/>
      <c r="AJ137" s="7"/>
      <c r="AL137" s="3"/>
      <c r="AM137" s="3"/>
      <c r="AN137" s="3"/>
      <c r="AO137" s="3"/>
      <c r="AP137" s="9"/>
      <c r="AQ137" s="6"/>
    </row>
    <row r="138" spans="1:43" ht="15" customHeight="1" x14ac:dyDescent="0.3">
      <c r="A138" s="22"/>
      <c r="I138" s="21"/>
      <c r="J138" s="20"/>
      <c r="K138" s="3"/>
      <c r="L138" s="20"/>
      <c r="N138" s="12"/>
      <c r="O138" s="11"/>
      <c r="S138" s="10"/>
      <c r="U138" s="3"/>
      <c r="V138" s="3"/>
      <c r="X138" s="9"/>
      <c r="Z138" s="3"/>
      <c r="AA138" s="8"/>
      <c r="AB138" s="7"/>
      <c r="AC138" s="7"/>
      <c r="AD138" s="6"/>
      <c r="AE138" s="6"/>
      <c r="AF138" s="5"/>
      <c r="AG138" s="7"/>
      <c r="AH138" s="3"/>
      <c r="AI138" s="7"/>
      <c r="AJ138" s="7"/>
      <c r="AL138" s="3"/>
      <c r="AM138" s="3"/>
      <c r="AN138" s="3"/>
      <c r="AO138" s="3"/>
      <c r="AP138" s="9"/>
      <c r="AQ138" s="6"/>
    </row>
    <row r="139" spans="1:43" ht="15" customHeight="1" x14ac:dyDescent="0.3">
      <c r="A139" s="22"/>
      <c r="I139" s="21"/>
      <c r="J139" s="20"/>
      <c r="K139" s="3"/>
      <c r="L139" s="20"/>
      <c r="N139" s="12"/>
      <c r="O139" s="11"/>
      <c r="S139" s="10"/>
      <c r="U139" s="3"/>
      <c r="V139" s="3"/>
      <c r="X139" s="9"/>
      <c r="Z139" s="3"/>
      <c r="AA139" s="8"/>
      <c r="AB139" s="7"/>
      <c r="AC139" s="7"/>
      <c r="AD139" s="6"/>
      <c r="AE139" s="6"/>
      <c r="AF139" s="5"/>
      <c r="AG139" s="7"/>
      <c r="AH139" s="3"/>
      <c r="AI139" s="7"/>
      <c r="AJ139" s="7"/>
      <c r="AL139" s="3"/>
      <c r="AM139" s="3"/>
      <c r="AN139" s="3"/>
      <c r="AO139" s="3"/>
      <c r="AP139" s="9"/>
      <c r="AQ139" s="6"/>
    </row>
    <row r="140" spans="1:43" ht="15" customHeight="1" x14ac:dyDescent="0.3">
      <c r="A140" s="22"/>
      <c r="I140" s="21"/>
      <c r="J140" s="20"/>
      <c r="K140" s="3"/>
      <c r="L140" s="20"/>
      <c r="N140" s="12"/>
      <c r="O140" s="11"/>
      <c r="S140" s="10"/>
      <c r="U140" s="3"/>
      <c r="V140" s="3"/>
      <c r="X140" s="9"/>
      <c r="Z140" s="3"/>
      <c r="AA140" s="8"/>
      <c r="AB140" s="7"/>
      <c r="AC140" s="7"/>
      <c r="AD140" s="6"/>
      <c r="AE140" s="6"/>
      <c r="AF140" s="5"/>
      <c r="AG140" s="7"/>
      <c r="AH140" s="3"/>
      <c r="AI140" s="7"/>
      <c r="AJ140" s="7"/>
      <c r="AL140" s="3"/>
      <c r="AM140" s="3"/>
      <c r="AN140" s="3"/>
      <c r="AO140" s="3"/>
      <c r="AP140" s="9"/>
      <c r="AQ140" s="6"/>
    </row>
    <row r="141" spans="1:43" ht="15" customHeight="1" x14ac:dyDescent="0.3">
      <c r="A141" s="22"/>
      <c r="I141" s="21"/>
      <c r="J141" s="20"/>
      <c r="K141" s="3"/>
      <c r="L141" s="20"/>
      <c r="N141" s="12"/>
      <c r="O141" s="11"/>
      <c r="S141" s="10"/>
      <c r="U141" s="3"/>
      <c r="V141" s="3"/>
      <c r="X141" s="9"/>
      <c r="Z141" s="3"/>
      <c r="AA141" s="8"/>
      <c r="AB141" s="7"/>
      <c r="AC141" s="7"/>
      <c r="AD141" s="6"/>
      <c r="AE141" s="6"/>
      <c r="AF141" s="5"/>
      <c r="AG141" s="7"/>
      <c r="AH141" s="3"/>
      <c r="AI141" s="7"/>
      <c r="AJ141" s="7"/>
      <c r="AL141" s="3"/>
      <c r="AM141" s="3"/>
      <c r="AN141" s="3"/>
      <c r="AO141" s="3"/>
      <c r="AP141" s="9"/>
      <c r="AQ141" s="6"/>
    </row>
    <row r="142" spans="1:43" ht="15" customHeight="1" x14ac:dyDescent="0.3">
      <c r="A142" s="22"/>
      <c r="I142" s="21"/>
      <c r="J142" s="20"/>
      <c r="K142" s="3"/>
      <c r="L142" s="20"/>
      <c r="N142" s="12"/>
      <c r="O142" s="11"/>
      <c r="S142" s="10"/>
      <c r="U142" s="3"/>
      <c r="V142" s="3"/>
      <c r="X142" s="9"/>
      <c r="Z142" s="3"/>
      <c r="AA142" s="8"/>
      <c r="AB142" s="7"/>
      <c r="AC142" s="7"/>
      <c r="AD142" s="6"/>
      <c r="AE142" s="6"/>
      <c r="AF142" s="5"/>
      <c r="AG142" s="7"/>
      <c r="AH142" s="3"/>
      <c r="AI142" s="7"/>
      <c r="AJ142" s="7"/>
      <c r="AL142" s="3"/>
      <c r="AM142" s="3"/>
      <c r="AN142" s="3"/>
      <c r="AO142" s="3"/>
      <c r="AP142" s="9"/>
      <c r="AQ142" s="6"/>
    </row>
    <row r="143" spans="1:43" ht="15" customHeight="1" x14ac:dyDescent="0.3">
      <c r="A143" s="22"/>
      <c r="I143" s="21"/>
      <c r="J143" s="20"/>
      <c r="K143" s="3"/>
      <c r="L143" s="20"/>
      <c r="N143" s="12"/>
      <c r="O143" s="11"/>
      <c r="S143" s="10"/>
      <c r="U143" s="3"/>
      <c r="V143" s="3"/>
      <c r="X143" s="9"/>
      <c r="Z143" s="3"/>
      <c r="AA143" s="8"/>
      <c r="AB143" s="7"/>
      <c r="AC143" s="7"/>
      <c r="AD143" s="6"/>
      <c r="AE143" s="6"/>
      <c r="AF143" s="5"/>
      <c r="AG143" s="7"/>
      <c r="AH143" s="3"/>
      <c r="AI143" s="7"/>
      <c r="AJ143" s="7"/>
      <c r="AL143" s="3"/>
      <c r="AM143" s="3"/>
      <c r="AN143" s="3"/>
      <c r="AO143" s="3"/>
      <c r="AP143" s="9"/>
      <c r="AQ143" s="6"/>
    </row>
    <row r="144" spans="1:43" ht="15" customHeight="1" x14ac:dyDescent="0.3">
      <c r="A144" s="22"/>
      <c r="I144" s="21"/>
      <c r="J144" s="20"/>
      <c r="K144" s="3"/>
      <c r="L144" s="20"/>
      <c r="N144" s="12"/>
      <c r="O144" s="11"/>
      <c r="S144" s="10"/>
      <c r="U144" s="3"/>
      <c r="V144" s="3"/>
      <c r="X144" s="9"/>
      <c r="Z144" s="3"/>
      <c r="AA144" s="8"/>
      <c r="AB144" s="7"/>
      <c r="AC144" s="7"/>
      <c r="AD144" s="6"/>
      <c r="AE144" s="6"/>
      <c r="AF144" s="5"/>
      <c r="AG144" s="7"/>
      <c r="AH144" s="3"/>
      <c r="AI144" s="7"/>
      <c r="AJ144" s="7"/>
      <c r="AL144" s="3"/>
      <c r="AM144" s="3"/>
      <c r="AN144" s="3"/>
      <c r="AO144" s="3"/>
      <c r="AP144" s="9"/>
      <c r="AQ144" s="6"/>
    </row>
    <row r="145" spans="1:43" ht="15" customHeight="1" x14ac:dyDescent="0.3">
      <c r="A145" s="22"/>
      <c r="I145" s="21"/>
      <c r="J145" s="20"/>
      <c r="K145" s="3"/>
      <c r="L145" s="20"/>
      <c r="N145" s="12"/>
      <c r="O145" s="11"/>
      <c r="S145" s="10"/>
      <c r="U145" s="3"/>
      <c r="V145" s="3"/>
      <c r="X145" s="9"/>
      <c r="Z145" s="3"/>
      <c r="AA145" s="8"/>
      <c r="AB145" s="7"/>
      <c r="AC145" s="7"/>
      <c r="AD145" s="6"/>
      <c r="AE145" s="6"/>
      <c r="AF145" s="5"/>
      <c r="AG145" s="7"/>
      <c r="AH145" s="3"/>
      <c r="AI145" s="7"/>
      <c r="AJ145" s="7"/>
      <c r="AL145" s="3"/>
      <c r="AM145" s="3"/>
      <c r="AN145" s="3"/>
      <c r="AO145" s="3"/>
      <c r="AP145" s="9"/>
      <c r="AQ145" s="6"/>
    </row>
    <row r="146" spans="1:43" ht="15" customHeight="1" x14ac:dyDescent="0.3">
      <c r="A146" s="22"/>
      <c r="I146" s="21"/>
      <c r="J146" s="20"/>
      <c r="K146" s="3"/>
      <c r="L146" s="20"/>
      <c r="N146" s="12"/>
      <c r="O146" s="11"/>
      <c r="S146" s="10"/>
      <c r="U146" s="3"/>
      <c r="V146" s="3"/>
      <c r="X146" s="9"/>
      <c r="Z146" s="3"/>
      <c r="AA146" s="8"/>
      <c r="AB146" s="7"/>
      <c r="AC146" s="7"/>
      <c r="AD146" s="6"/>
      <c r="AE146" s="6"/>
      <c r="AF146" s="5"/>
      <c r="AG146" s="7"/>
      <c r="AH146" s="3"/>
      <c r="AI146" s="7"/>
      <c r="AJ146" s="7"/>
      <c r="AL146" s="3"/>
      <c r="AM146" s="3"/>
      <c r="AN146" s="3"/>
      <c r="AO146" s="3"/>
      <c r="AP146" s="9"/>
      <c r="AQ146" s="6"/>
    </row>
    <row r="147" spans="1:43" ht="15" customHeight="1" x14ac:dyDescent="0.3">
      <c r="A147" s="22"/>
      <c r="I147" s="21"/>
      <c r="J147" s="20"/>
      <c r="K147" s="3"/>
      <c r="L147" s="20"/>
      <c r="N147" s="12"/>
      <c r="O147" s="11"/>
      <c r="S147" s="10"/>
      <c r="U147" s="3"/>
      <c r="V147" s="3"/>
      <c r="X147" s="9"/>
      <c r="Z147" s="3"/>
      <c r="AA147" s="8"/>
      <c r="AB147" s="7"/>
      <c r="AC147" s="7"/>
      <c r="AD147" s="6"/>
      <c r="AE147" s="6"/>
      <c r="AF147" s="5"/>
      <c r="AG147" s="7"/>
      <c r="AH147" s="3"/>
      <c r="AI147" s="7"/>
      <c r="AJ147" s="7"/>
      <c r="AL147" s="3"/>
      <c r="AM147" s="3"/>
      <c r="AN147" s="3"/>
      <c r="AO147" s="3"/>
      <c r="AP147" s="9"/>
      <c r="AQ147" s="6"/>
    </row>
    <row r="148" spans="1:43" ht="15" customHeight="1" x14ac:dyDescent="0.3">
      <c r="A148" s="22"/>
      <c r="I148" s="21"/>
      <c r="J148" s="20"/>
      <c r="K148" s="3"/>
      <c r="L148" s="20"/>
      <c r="N148" s="12"/>
      <c r="O148" s="11"/>
      <c r="S148" s="10"/>
      <c r="U148" s="3"/>
      <c r="V148" s="3"/>
      <c r="X148" s="9"/>
      <c r="Z148" s="3"/>
      <c r="AA148" s="8"/>
      <c r="AB148" s="7"/>
      <c r="AC148" s="7"/>
      <c r="AD148" s="6"/>
      <c r="AE148" s="6"/>
      <c r="AF148" s="5"/>
      <c r="AG148" s="7"/>
      <c r="AH148" s="3"/>
      <c r="AI148" s="7"/>
      <c r="AJ148" s="7"/>
      <c r="AL148" s="3"/>
      <c r="AM148" s="3"/>
      <c r="AN148" s="3"/>
      <c r="AO148" s="3"/>
      <c r="AP148" s="9"/>
      <c r="AQ148" s="6"/>
    </row>
    <row r="149" spans="1:43" ht="15" customHeight="1" x14ac:dyDescent="0.3">
      <c r="A149" s="22"/>
      <c r="I149" s="21"/>
      <c r="J149" s="20"/>
      <c r="K149" s="3"/>
      <c r="L149" s="20"/>
      <c r="N149" s="12"/>
      <c r="O149" s="11"/>
      <c r="S149" s="10"/>
      <c r="U149" s="3"/>
      <c r="V149" s="3"/>
      <c r="X149" s="9"/>
      <c r="Z149" s="3"/>
      <c r="AA149" s="8"/>
      <c r="AB149" s="7"/>
      <c r="AC149" s="7"/>
      <c r="AD149" s="6"/>
      <c r="AE149" s="6"/>
      <c r="AF149" s="5"/>
      <c r="AG149" s="7"/>
      <c r="AH149" s="3"/>
      <c r="AI149" s="7"/>
      <c r="AJ149" s="7"/>
      <c r="AL149" s="3"/>
      <c r="AM149" s="3"/>
      <c r="AN149" s="3"/>
      <c r="AO149" s="3"/>
      <c r="AP149" s="9"/>
      <c r="AQ149" s="6"/>
    </row>
    <row r="150" spans="1:43" ht="15" customHeight="1" x14ac:dyDescent="0.3">
      <c r="A150" s="22"/>
      <c r="I150" s="21"/>
      <c r="J150" s="20"/>
      <c r="K150" s="3"/>
      <c r="L150" s="20"/>
      <c r="N150" s="12"/>
      <c r="O150" s="11"/>
      <c r="S150" s="10"/>
      <c r="U150" s="3"/>
      <c r="V150" s="3"/>
      <c r="X150" s="9"/>
      <c r="Z150" s="3"/>
      <c r="AA150" s="8"/>
      <c r="AB150" s="7"/>
      <c r="AC150" s="7"/>
      <c r="AD150" s="6"/>
      <c r="AE150" s="6"/>
      <c r="AF150" s="5"/>
      <c r="AG150" s="7"/>
      <c r="AH150" s="3"/>
      <c r="AI150" s="7"/>
      <c r="AJ150" s="7"/>
      <c r="AL150" s="3"/>
      <c r="AM150" s="3"/>
      <c r="AN150" s="3"/>
      <c r="AO150" s="3"/>
      <c r="AP150" s="9"/>
      <c r="AQ150" s="6"/>
    </row>
    <row r="151" spans="1:43" ht="15" customHeight="1" x14ac:dyDescent="0.3">
      <c r="A151" s="22"/>
      <c r="I151" s="21"/>
      <c r="J151" s="20"/>
      <c r="K151" s="3"/>
      <c r="L151" s="20"/>
      <c r="N151" s="12"/>
      <c r="O151" s="11"/>
      <c r="S151" s="10"/>
      <c r="U151" s="3"/>
      <c r="V151" s="3"/>
      <c r="X151" s="9"/>
      <c r="Z151" s="3"/>
      <c r="AA151" s="8"/>
      <c r="AB151" s="7"/>
      <c r="AC151" s="7"/>
      <c r="AD151" s="6"/>
      <c r="AE151" s="6"/>
      <c r="AF151" s="5"/>
      <c r="AG151" s="7"/>
      <c r="AH151" s="3"/>
      <c r="AI151" s="7"/>
      <c r="AJ151" s="7"/>
      <c r="AL151" s="3"/>
      <c r="AM151" s="3"/>
      <c r="AN151" s="3"/>
      <c r="AO151" s="3"/>
      <c r="AP151" s="9"/>
      <c r="AQ151" s="6"/>
    </row>
    <row r="152" spans="1:43" ht="15" customHeight="1" x14ac:dyDescent="0.3">
      <c r="A152" s="22"/>
      <c r="I152" s="21"/>
      <c r="J152" s="20"/>
      <c r="K152" s="3"/>
      <c r="L152" s="20"/>
      <c r="N152" s="12"/>
      <c r="O152" s="11"/>
      <c r="S152" s="10"/>
      <c r="U152" s="3"/>
      <c r="V152" s="3"/>
      <c r="X152" s="9"/>
      <c r="Z152" s="3"/>
      <c r="AA152" s="8"/>
      <c r="AB152" s="7"/>
      <c r="AC152" s="7"/>
      <c r="AD152" s="6"/>
      <c r="AE152" s="6"/>
      <c r="AF152" s="5"/>
      <c r="AG152" s="7"/>
      <c r="AH152" s="3"/>
      <c r="AI152" s="7"/>
      <c r="AJ152" s="7"/>
      <c r="AL152" s="3"/>
      <c r="AM152" s="3"/>
      <c r="AN152" s="3"/>
      <c r="AO152" s="3"/>
      <c r="AP152" s="9"/>
      <c r="AQ152" s="6"/>
    </row>
    <row r="153" spans="1:43" ht="15" customHeight="1" x14ac:dyDescent="0.3">
      <c r="A153" s="22"/>
      <c r="I153" s="21"/>
      <c r="J153" s="20"/>
      <c r="K153" s="3"/>
      <c r="L153" s="20"/>
      <c r="N153" s="12"/>
      <c r="O153" s="11"/>
      <c r="S153" s="10"/>
      <c r="U153" s="3"/>
      <c r="V153" s="3"/>
      <c r="X153" s="9"/>
      <c r="Z153" s="3"/>
      <c r="AA153" s="8"/>
      <c r="AB153" s="7"/>
      <c r="AC153" s="7"/>
      <c r="AD153" s="6"/>
      <c r="AE153" s="6"/>
      <c r="AF153" s="5"/>
      <c r="AG153" s="7"/>
      <c r="AH153" s="3"/>
      <c r="AI153" s="7"/>
      <c r="AJ153" s="7"/>
      <c r="AL153" s="3"/>
      <c r="AM153" s="3"/>
      <c r="AN153" s="3"/>
      <c r="AO153" s="3"/>
      <c r="AP153" s="9"/>
      <c r="AQ153" s="6"/>
    </row>
    <row r="154" spans="1:43" ht="15" customHeight="1" x14ac:dyDescent="0.3">
      <c r="A154" s="22"/>
      <c r="I154" s="21"/>
      <c r="J154" s="20"/>
      <c r="K154" s="3"/>
      <c r="L154" s="20"/>
      <c r="N154" s="12"/>
      <c r="O154" s="11"/>
      <c r="S154" s="10"/>
      <c r="U154" s="3"/>
      <c r="V154" s="3"/>
      <c r="X154" s="9"/>
      <c r="Z154" s="3"/>
      <c r="AA154" s="8"/>
      <c r="AB154" s="7"/>
      <c r="AC154" s="7"/>
      <c r="AD154" s="6"/>
      <c r="AE154" s="6"/>
      <c r="AF154" s="5"/>
      <c r="AG154" s="7"/>
      <c r="AH154" s="3"/>
      <c r="AI154" s="7"/>
      <c r="AJ154" s="7"/>
      <c r="AL154" s="3"/>
      <c r="AM154" s="3"/>
      <c r="AN154" s="3"/>
      <c r="AO154" s="3"/>
      <c r="AP154" s="9"/>
      <c r="AQ154" s="6"/>
    </row>
    <row r="155" spans="1:43" ht="15" customHeight="1" x14ac:dyDescent="0.3">
      <c r="A155" s="22"/>
      <c r="I155" s="21"/>
      <c r="J155" s="20"/>
      <c r="K155" s="3"/>
      <c r="L155" s="20"/>
      <c r="N155" s="12"/>
      <c r="O155" s="11"/>
      <c r="S155" s="10"/>
      <c r="U155" s="3"/>
      <c r="V155" s="3"/>
      <c r="X155" s="9"/>
      <c r="Z155" s="3"/>
      <c r="AA155" s="8"/>
      <c r="AB155" s="7"/>
      <c r="AC155" s="7"/>
      <c r="AD155" s="6"/>
      <c r="AE155" s="6"/>
      <c r="AF155" s="5"/>
      <c r="AG155" s="7"/>
      <c r="AH155" s="3"/>
      <c r="AI155" s="7"/>
      <c r="AJ155" s="7"/>
      <c r="AL155" s="3"/>
      <c r="AM155" s="3"/>
      <c r="AN155" s="3"/>
      <c r="AO155" s="3"/>
      <c r="AP155" s="9"/>
      <c r="AQ155" s="6"/>
    </row>
    <row r="156" spans="1:43" ht="15" customHeight="1" x14ac:dyDescent="0.3">
      <c r="A156" s="22"/>
      <c r="I156" s="21"/>
      <c r="J156" s="20"/>
      <c r="K156" s="3"/>
      <c r="L156" s="20"/>
      <c r="N156" s="12"/>
      <c r="O156" s="11"/>
      <c r="S156" s="10"/>
      <c r="U156" s="3"/>
      <c r="V156" s="3"/>
      <c r="X156" s="9"/>
      <c r="Z156" s="3"/>
      <c r="AA156" s="8"/>
      <c r="AB156" s="7"/>
      <c r="AC156" s="7"/>
      <c r="AD156" s="6"/>
      <c r="AE156" s="6"/>
      <c r="AF156" s="5"/>
      <c r="AG156" s="7"/>
      <c r="AH156" s="3"/>
      <c r="AI156" s="7"/>
      <c r="AJ156" s="7"/>
      <c r="AL156" s="3"/>
      <c r="AM156" s="3"/>
      <c r="AN156" s="3"/>
      <c r="AO156" s="3"/>
      <c r="AP156" s="9"/>
      <c r="AQ156" s="6"/>
    </row>
    <row r="157" spans="1:43" ht="15" customHeight="1" x14ac:dyDescent="0.3">
      <c r="A157" s="22"/>
      <c r="I157" s="21"/>
      <c r="J157" s="20"/>
      <c r="K157" s="3"/>
      <c r="L157" s="20"/>
      <c r="N157" s="12"/>
      <c r="O157" s="11"/>
      <c r="S157" s="10"/>
      <c r="U157" s="3"/>
      <c r="V157" s="3"/>
      <c r="X157" s="9"/>
      <c r="Z157" s="3"/>
      <c r="AA157" s="8"/>
      <c r="AB157" s="7"/>
      <c r="AC157" s="7"/>
      <c r="AD157" s="6"/>
      <c r="AE157" s="6"/>
      <c r="AF157" s="5"/>
      <c r="AG157" s="7"/>
      <c r="AH157" s="3"/>
      <c r="AI157" s="7"/>
      <c r="AJ157" s="7"/>
      <c r="AL157" s="3"/>
      <c r="AM157" s="3"/>
      <c r="AN157" s="3"/>
      <c r="AO157" s="3"/>
      <c r="AP157" s="9"/>
      <c r="AQ157" s="6"/>
    </row>
    <row r="158" spans="1:43" ht="15" customHeight="1" x14ac:dyDescent="0.3">
      <c r="A158" s="22"/>
      <c r="I158" s="21"/>
      <c r="J158" s="20"/>
      <c r="K158" s="3"/>
      <c r="L158" s="20"/>
      <c r="N158" s="12"/>
      <c r="O158" s="11"/>
      <c r="S158" s="10"/>
      <c r="U158" s="3"/>
      <c r="V158" s="3"/>
      <c r="X158" s="9"/>
      <c r="Z158" s="3"/>
      <c r="AA158" s="8"/>
      <c r="AB158" s="7"/>
      <c r="AC158" s="7"/>
      <c r="AD158" s="6"/>
      <c r="AE158" s="6"/>
      <c r="AF158" s="5"/>
      <c r="AG158" s="7"/>
      <c r="AH158" s="3"/>
      <c r="AI158" s="7"/>
      <c r="AJ158" s="7"/>
      <c r="AL158" s="3"/>
      <c r="AM158" s="3"/>
      <c r="AN158" s="3"/>
      <c r="AO158" s="3"/>
      <c r="AP158" s="9"/>
      <c r="AQ158" s="6"/>
    </row>
    <row r="159" spans="1:43" ht="15" customHeight="1" x14ac:dyDescent="0.3">
      <c r="A159" s="22"/>
      <c r="I159" s="21"/>
      <c r="J159" s="20"/>
      <c r="K159" s="3"/>
      <c r="L159" s="20"/>
      <c r="N159" s="12"/>
      <c r="O159" s="11"/>
      <c r="S159" s="10"/>
      <c r="U159" s="3"/>
      <c r="V159" s="3"/>
      <c r="X159" s="9"/>
      <c r="Z159" s="3"/>
      <c r="AA159" s="8"/>
      <c r="AB159" s="7"/>
      <c r="AC159" s="7"/>
      <c r="AD159" s="6"/>
      <c r="AE159" s="6"/>
      <c r="AF159" s="5"/>
      <c r="AG159" s="7"/>
      <c r="AH159" s="3"/>
      <c r="AI159" s="7"/>
      <c r="AJ159" s="7"/>
      <c r="AL159" s="3"/>
      <c r="AM159" s="3"/>
      <c r="AN159" s="3"/>
      <c r="AO159" s="3"/>
      <c r="AP159" s="9"/>
      <c r="AQ159" s="6"/>
    </row>
    <row r="160" spans="1:43" ht="15" customHeight="1" x14ac:dyDescent="0.3">
      <c r="A160" s="22"/>
      <c r="I160" s="21"/>
      <c r="J160" s="20"/>
      <c r="K160" s="3"/>
      <c r="L160" s="20"/>
      <c r="N160" s="12"/>
      <c r="O160" s="11"/>
      <c r="S160" s="10"/>
      <c r="U160" s="3"/>
      <c r="V160" s="3"/>
      <c r="X160" s="9"/>
      <c r="Z160" s="3"/>
      <c r="AA160" s="8"/>
      <c r="AB160" s="7"/>
      <c r="AC160" s="7"/>
      <c r="AD160" s="6"/>
      <c r="AE160" s="6"/>
      <c r="AF160" s="5"/>
      <c r="AG160" s="7"/>
      <c r="AH160" s="3"/>
      <c r="AI160" s="7"/>
      <c r="AJ160" s="7"/>
      <c r="AL160" s="3"/>
      <c r="AM160" s="3"/>
      <c r="AN160" s="3"/>
      <c r="AO160" s="3"/>
      <c r="AP160" s="9"/>
      <c r="AQ160" s="6"/>
    </row>
    <row r="161" spans="1:43" ht="15" customHeight="1" x14ac:dyDescent="0.3">
      <c r="A161" s="22"/>
      <c r="I161" s="21"/>
      <c r="J161" s="20"/>
      <c r="K161" s="3"/>
      <c r="L161" s="20"/>
      <c r="N161" s="12"/>
      <c r="O161" s="11"/>
      <c r="S161" s="10"/>
      <c r="U161" s="3"/>
      <c r="V161" s="3"/>
      <c r="X161" s="9"/>
      <c r="Z161" s="3"/>
      <c r="AA161" s="8"/>
      <c r="AB161" s="7"/>
      <c r="AC161" s="7"/>
      <c r="AD161" s="6"/>
      <c r="AE161" s="6"/>
      <c r="AF161" s="5"/>
      <c r="AG161" s="7"/>
      <c r="AH161" s="3"/>
      <c r="AI161" s="7"/>
      <c r="AJ161" s="7"/>
      <c r="AL161" s="3"/>
      <c r="AM161" s="3"/>
      <c r="AN161" s="3"/>
      <c r="AO161" s="3"/>
      <c r="AP161" s="9"/>
      <c r="AQ161" s="6"/>
    </row>
    <row r="162" spans="1:43" ht="15" customHeight="1" x14ac:dyDescent="0.3">
      <c r="A162" s="22"/>
      <c r="I162" s="21"/>
      <c r="J162" s="20"/>
      <c r="K162" s="3"/>
      <c r="L162" s="20"/>
      <c r="N162" s="12"/>
      <c r="O162" s="11"/>
      <c r="S162" s="10"/>
      <c r="U162" s="3"/>
      <c r="V162" s="3"/>
      <c r="X162" s="9"/>
      <c r="Z162" s="3"/>
      <c r="AA162" s="8"/>
      <c r="AB162" s="7"/>
      <c r="AC162" s="7"/>
      <c r="AD162" s="6"/>
      <c r="AE162" s="6"/>
      <c r="AF162" s="5"/>
      <c r="AG162" s="7"/>
      <c r="AH162" s="3"/>
      <c r="AI162" s="7"/>
      <c r="AJ162" s="7"/>
      <c r="AL162" s="3"/>
      <c r="AM162" s="3"/>
      <c r="AN162" s="3"/>
      <c r="AO162" s="3"/>
      <c r="AP162" s="9"/>
      <c r="AQ162" s="6"/>
    </row>
    <row r="163" spans="1:43" ht="15" customHeight="1" x14ac:dyDescent="0.3">
      <c r="A163" s="22"/>
      <c r="I163" s="21"/>
      <c r="J163" s="20"/>
      <c r="K163" s="3"/>
      <c r="L163" s="20"/>
      <c r="N163" s="12"/>
      <c r="O163" s="11"/>
      <c r="S163" s="10"/>
      <c r="U163" s="3"/>
      <c r="V163" s="3"/>
      <c r="X163" s="9"/>
      <c r="Z163" s="3"/>
      <c r="AA163" s="8"/>
      <c r="AB163" s="7"/>
      <c r="AC163" s="7"/>
      <c r="AD163" s="6"/>
      <c r="AE163" s="6"/>
      <c r="AF163" s="5"/>
      <c r="AG163" s="7"/>
      <c r="AH163" s="3"/>
      <c r="AI163" s="7"/>
      <c r="AJ163" s="7"/>
      <c r="AL163" s="3"/>
      <c r="AM163" s="3"/>
      <c r="AN163" s="3"/>
      <c r="AO163" s="3"/>
      <c r="AP163" s="9"/>
      <c r="AQ163" s="6"/>
    </row>
    <row r="164" spans="1:43" ht="15" customHeight="1" x14ac:dyDescent="0.3">
      <c r="A164" s="22"/>
      <c r="I164" s="21"/>
      <c r="J164" s="20"/>
      <c r="K164" s="3"/>
      <c r="L164" s="20"/>
      <c r="N164" s="12"/>
      <c r="O164" s="11"/>
      <c r="S164" s="10"/>
      <c r="U164" s="3"/>
      <c r="V164" s="3"/>
      <c r="X164" s="9"/>
      <c r="Z164" s="3"/>
      <c r="AA164" s="8"/>
      <c r="AB164" s="7"/>
      <c r="AC164" s="7"/>
      <c r="AD164" s="6"/>
      <c r="AE164" s="6"/>
      <c r="AF164" s="5"/>
      <c r="AG164" s="7"/>
      <c r="AH164" s="3"/>
      <c r="AI164" s="7"/>
      <c r="AJ164" s="7"/>
      <c r="AL164" s="3"/>
      <c r="AM164" s="3"/>
      <c r="AN164" s="3"/>
      <c r="AO164" s="3"/>
      <c r="AP164" s="9"/>
      <c r="AQ164" s="6"/>
    </row>
    <row r="165" spans="1:43" ht="15" customHeight="1" x14ac:dyDescent="0.3">
      <c r="A165" s="22"/>
      <c r="I165" s="21"/>
      <c r="J165" s="20"/>
      <c r="K165" s="3"/>
      <c r="L165" s="20"/>
      <c r="N165" s="12"/>
      <c r="O165" s="11"/>
      <c r="S165" s="10"/>
      <c r="U165" s="3"/>
      <c r="V165" s="3"/>
      <c r="X165" s="9"/>
      <c r="Z165" s="3"/>
      <c r="AA165" s="8"/>
      <c r="AB165" s="7"/>
      <c r="AC165" s="7"/>
      <c r="AD165" s="6"/>
      <c r="AE165" s="6"/>
      <c r="AF165" s="5"/>
      <c r="AG165" s="7"/>
      <c r="AH165" s="3"/>
      <c r="AI165" s="7"/>
      <c r="AJ165" s="7"/>
      <c r="AL165" s="3"/>
      <c r="AM165" s="3"/>
      <c r="AN165" s="3"/>
      <c r="AO165" s="3"/>
      <c r="AP165" s="9"/>
      <c r="AQ165" s="6"/>
    </row>
    <row r="166" spans="1:43" ht="15" customHeight="1" x14ac:dyDescent="0.3">
      <c r="A166" s="22"/>
      <c r="I166" s="21"/>
      <c r="J166" s="20"/>
      <c r="K166" s="3"/>
      <c r="L166" s="20"/>
      <c r="N166" s="12"/>
      <c r="O166" s="11"/>
      <c r="S166" s="10"/>
      <c r="U166" s="3"/>
      <c r="V166" s="3"/>
      <c r="X166" s="9"/>
      <c r="Z166" s="3"/>
      <c r="AA166" s="8"/>
      <c r="AB166" s="7"/>
      <c r="AC166" s="7"/>
      <c r="AD166" s="6"/>
      <c r="AE166" s="6"/>
      <c r="AF166" s="5"/>
      <c r="AG166" s="7"/>
      <c r="AH166" s="3"/>
      <c r="AI166" s="7"/>
      <c r="AJ166" s="7"/>
      <c r="AL166" s="3"/>
      <c r="AM166" s="3"/>
      <c r="AN166" s="3"/>
      <c r="AO166" s="3"/>
      <c r="AP166" s="9"/>
      <c r="AQ166" s="6"/>
    </row>
    <row r="167" spans="1:43" ht="15" customHeight="1" x14ac:dyDescent="0.3">
      <c r="A167" s="22"/>
      <c r="I167" s="21"/>
      <c r="J167" s="20"/>
      <c r="K167" s="3"/>
      <c r="L167" s="20"/>
      <c r="N167" s="12"/>
      <c r="O167" s="11"/>
      <c r="S167" s="10"/>
      <c r="U167" s="3"/>
      <c r="V167" s="3"/>
      <c r="X167" s="9"/>
      <c r="Z167" s="3"/>
      <c r="AA167" s="8"/>
      <c r="AB167" s="7"/>
      <c r="AC167" s="7"/>
      <c r="AD167" s="6"/>
      <c r="AE167" s="6"/>
      <c r="AF167" s="5"/>
      <c r="AG167" s="7"/>
      <c r="AH167" s="3"/>
      <c r="AI167" s="7"/>
      <c r="AJ167" s="7"/>
      <c r="AL167" s="3"/>
      <c r="AM167" s="3"/>
      <c r="AN167" s="3"/>
      <c r="AO167" s="3"/>
      <c r="AP167" s="9"/>
      <c r="AQ167" s="6"/>
    </row>
    <row r="168" spans="1:43" ht="15" customHeight="1" x14ac:dyDescent="0.3">
      <c r="A168" s="22"/>
      <c r="I168" s="21"/>
      <c r="J168" s="20"/>
      <c r="K168" s="3"/>
      <c r="L168" s="20"/>
      <c r="N168" s="12"/>
      <c r="O168" s="11"/>
      <c r="S168" s="10"/>
      <c r="U168" s="3"/>
      <c r="V168" s="3"/>
      <c r="X168" s="9"/>
      <c r="Z168" s="3"/>
      <c r="AA168" s="8"/>
      <c r="AB168" s="7"/>
      <c r="AC168" s="7"/>
      <c r="AD168" s="6"/>
      <c r="AE168" s="6"/>
      <c r="AF168" s="5"/>
      <c r="AG168" s="7"/>
      <c r="AH168" s="3"/>
      <c r="AI168" s="7"/>
      <c r="AJ168" s="7"/>
      <c r="AL168" s="3"/>
      <c r="AM168" s="3"/>
      <c r="AN168" s="3"/>
      <c r="AO168" s="3"/>
      <c r="AP168" s="9"/>
      <c r="AQ168" s="6"/>
    </row>
    <row r="169" spans="1:43" ht="15" customHeight="1" x14ac:dyDescent="0.3">
      <c r="A169" s="22"/>
      <c r="I169" s="21"/>
      <c r="J169" s="20"/>
      <c r="K169" s="3"/>
      <c r="L169" s="20"/>
      <c r="N169" s="12"/>
      <c r="O169" s="11"/>
      <c r="S169" s="10"/>
      <c r="U169" s="3"/>
      <c r="V169" s="3"/>
      <c r="X169" s="9"/>
      <c r="Z169" s="3"/>
      <c r="AA169" s="8"/>
      <c r="AB169" s="7"/>
      <c r="AC169" s="7"/>
      <c r="AD169" s="6"/>
      <c r="AE169" s="6"/>
      <c r="AF169" s="5"/>
      <c r="AG169" s="7"/>
      <c r="AH169" s="3"/>
      <c r="AI169" s="7"/>
      <c r="AJ169" s="7"/>
      <c r="AL169" s="3"/>
      <c r="AM169" s="3"/>
      <c r="AN169" s="3"/>
      <c r="AO169" s="3"/>
      <c r="AP169" s="9"/>
      <c r="AQ169" s="6"/>
    </row>
    <row r="170" spans="1:43" ht="15" customHeight="1" x14ac:dyDescent="0.3">
      <c r="A170" s="22"/>
      <c r="I170" s="21"/>
      <c r="J170" s="20"/>
      <c r="K170" s="3"/>
      <c r="L170" s="20"/>
      <c r="N170" s="12"/>
      <c r="O170" s="11"/>
      <c r="S170" s="10"/>
      <c r="U170" s="3"/>
      <c r="V170" s="3"/>
      <c r="X170" s="9"/>
      <c r="Z170" s="3"/>
      <c r="AA170" s="8"/>
      <c r="AB170" s="7"/>
      <c r="AC170" s="7"/>
      <c r="AD170" s="6"/>
      <c r="AE170" s="6"/>
      <c r="AF170" s="5"/>
      <c r="AG170" s="7"/>
      <c r="AH170" s="3"/>
      <c r="AI170" s="7"/>
      <c r="AJ170" s="7"/>
      <c r="AL170" s="3"/>
      <c r="AM170" s="3"/>
      <c r="AN170" s="3"/>
      <c r="AO170" s="3"/>
      <c r="AP170" s="9"/>
      <c r="AQ170" s="6"/>
    </row>
    <row r="171" spans="1:43" ht="15" customHeight="1" x14ac:dyDescent="0.3">
      <c r="A171" s="22"/>
      <c r="I171" s="21"/>
      <c r="J171" s="20"/>
      <c r="K171" s="3"/>
      <c r="L171" s="20"/>
      <c r="N171" s="12"/>
      <c r="O171" s="11"/>
      <c r="S171" s="10"/>
      <c r="U171" s="3"/>
      <c r="V171" s="3"/>
      <c r="X171" s="9"/>
      <c r="Z171" s="3"/>
      <c r="AA171" s="8"/>
      <c r="AB171" s="7"/>
      <c r="AC171" s="7"/>
      <c r="AD171" s="6"/>
      <c r="AE171" s="6"/>
      <c r="AF171" s="5"/>
      <c r="AG171" s="7"/>
      <c r="AH171" s="3"/>
      <c r="AI171" s="7"/>
      <c r="AJ171" s="7"/>
      <c r="AL171" s="3"/>
      <c r="AM171" s="3"/>
      <c r="AN171" s="3"/>
      <c r="AO171" s="3"/>
      <c r="AP171" s="9"/>
      <c r="AQ171" s="6"/>
    </row>
    <row r="172" spans="1:43" ht="15" customHeight="1" x14ac:dyDescent="0.3">
      <c r="A172" s="22"/>
      <c r="I172" s="21"/>
      <c r="J172" s="20"/>
      <c r="K172" s="3"/>
      <c r="L172" s="20"/>
      <c r="N172" s="12"/>
      <c r="O172" s="11"/>
      <c r="S172" s="10"/>
      <c r="U172" s="3"/>
      <c r="V172" s="3"/>
      <c r="X172" s="9"/>
      <c r="Z172" s="3"/>
      <c r="AA172" s="8"/>
      <c r="AB172" s="7"/>
      <c r="AC172" s="7"/>
      <c r="AD172" s="6"/>
      <c r="AE172" s="6"/>
      <c r="AF172" s="5"/>
      <c r="AG172" s="7"/>
      <c r="AH172" s="3"/>
      <c r="AI172" s="7"/>
      <c r="AJ172" s="7"/>
      <c r="AL172" s="3"/>
      <c r="AM172" s="3"/>
      <c r="AN172" s="3"/>
      <c r="AO172" s="3"/>
      <c r="AP172" s="9"/>
      <c r="AQ172" s="6"/>
    </row>
    <row r="173" spans="1:43" ht="15" customHeight="1" x14ac:dyDescent="0.3">
      <c r="A173" s="22"/>
      <c r="I173" s="21"/>
      <c r="J173" s="20"/>
      <c r="K173" s="3"/>
      <c r="L173" s="20"/>
      <c r="N173" s="12"/>
      <c r="O173" s="11"/>
      <c r="S173" s="10"/>
      <c r="U173" s="3"/>
      <c r="V173" s="3"/>
      <c r="X173" s="9"/>
      <c r="Z173" s="3"/>
      <c r="AA173" s="8"/>
      <c r="AB173" s="7"/>
      <c r="AC173" s="7"/>
      <c r="AD173" s="6"/>
      <c r="AE173" s="6"/>
      <c r="AF173" s="5"/>
      <c r="AG173" s="7"/>
      <c r="AH173" s="3"/>
      <c r="AI173" s="7"/>
      <c r="AJ173" s="7"/>
      <c r="AL173" s="3"/>
      <c r="AM173" s="3"/>
      <c r="AN173" s="3"/>
      <c r="AO173" s="3"/>
      <c r="AP173" s="9"/>
      <c r="AQ173" s="6"/>
    </row>
    <row r="174" spans="1:43" ht="15" customHeight="1" x14ac:dyDescent="0.3">
      <c r="A174" s="22"/>
      <c r="I174" s="21"/>
      <c r="J174" s="20"/>
      <c r="K174" s="3"/>
      <c r="L174" s="20"/>
      <c r="N174" s="12"/>
      <c r="O174" s="11"/>
      <c r="S174" s="10"/>
      <c r="U174" s="3"/>
      <c r="V174" s="3"/>
      <c r="X174" s="9"/>
      <c r="Z174" s="3"/>
      <c r="AA174" s="8"/>
      <c r="AB174" s="7"/>
      <c r="AC174" s="7"/>
      <c r="AD174" s="6"/>
      <c r="AE174" s="6"/>
      <c r="AF174" s="5"/>
      <c r="AG174" s="7"/>
      <c r="AH174" s="3"/>
      <c r="AI174" s="7"/>
      <c r="AJ174" s="7"/>
      <c r="AL174" s="3"/>
      <c r="AM174" s="3"/>
      <c r="AN174" s="3"/>
      <c r="AO174" s="3"/>
      <c r="AP174" s="9"/>
      <c r="AQ174" s="6"/>
    </row>
    <row r="175" spans="1:43" ht="15" customHeight="1" x14ac:dyDescent="0.3">
      <c r="A175" s="22"/>
      <c r="I175" s="21"/>
      <c r="J175" s="20"/>
      <c r="K175" s="3"/>
      <c r="L175" s="20"/>
      <c r="N175" s="12"/>
      <c r="O175" s="11"/>
      <c r="S175" s="10"/>
      <c r="U175" s="3"/>
      <c r="V175" s="3"/>
      <c r="X175" s="9"/>
      <c r="Z175" s="3"/>
      <c r="AA175" s="8"/>
      <c r="AB175" s="7"/>
      <c r="AC175" s="7"/>
      <c r="AD175" s="6"/>
      <c r="AE175" s="6"/>
      <c r="AF175" s="5"/>
      <c r="AG175" s="7"/>
      <c r="AH175" s="3"/>
      <c r="AI175" s="7"/>
      <c r="AJ175" s="7"/>
      <c r="AL175" s="3"/>
      <c r="AM175" s="3"/>
      <c r="AN175" s="3"/>
      <c r="AO175" s="3"/>
      <c r="AP175" s="9"/>
      <c r="AQ175" s="6"/>
    </row>
    <row r="176" spans="1:43" ht="15" customHeight="1" x14ac:dyDescent="0.3">
      <c r="A176" s="22"/>
      <c r="I176" s="21"/>
      <c r="J176" s="20"/>
      <c r="K176" s="3"/>
      <c r="L176" s="20"/>
      <c r="N176" s="12"/>
      <c r="O176" s="11"/>
      <c r="S176" s="10"/>
      <c r="U176" s="3"/>
      <c r="V176" s="3"/>
      <c r="X176" s="9"/>
      <c r="Z176" s="3"/>
      <c r="AA176" s="8"/>
      <c r="AB176" s="7"/>
      <c r="AC176" s="7"/>
      <c r="AD176" s="6"/>
      <c r="AE176" s="6"/>
      <c r="AF176" s="5"/>
      <c r="AG176" s="7"/>
      <c r="AH176" s="3"/>
      <c r="AI176" s="7"/>
      <c r="AJ176" s="7"/>
      <c r="AL176" s="3"/>
      <c r="AM176" s="3"/>
      <c r="AN176" s="3"/>
      <c r="AO176" s="3"/>
      <c r="AP176" s="9"/>
      <c r="AQ176" s="6"/>
    </row>
    <row r="177" spans="1:43" ht="15" customHeight="1" x14ac:dyDescent="0.3">
      <c r="A177" s="22"/>
      <c r="I177" s="21"/>
      <c r="J177" s="20"/>
      <c r="K177" s="3"/>
      <c r="L177" s="20"/>
      <c r="N177" s="12"/>
      <c r="O177" s="11"/>
      <c r="S177" s="10"/>
      <c r="U177" s="3"/>
      <c r="V177" s="3"/>
      <c r="X177" s="9"/>
      <c r="Z177" s="3"/>
      <c r="AA177" s="8"/>
      <c r="AB177" s="7"/>
      <c r="AC177" s="7"/>
      <c r="AD177" s="6"/>
      <c r="AE177" s="6"/>
      <c r="AF177" s="5"/>
      <c r="AG177" s="7"/>
      <c r="AH177" s="3"/>
      <c r="AI177" s="7"/>
      <c r="AJ177" s="7"/>
      <c r="AL177" s="3"/>
      <c r="AM177" s="3"/>
      <c r="AN177" s="3"/>
      <c r="AO177" s="3"/>
      <c r="AP177" s="9"/>
      <c r="AQ177" s="6"/>
    </row>
    <row r="178" spans="1:43" ht="15" customHeight="1" x14ac:dyDescent="0.3">
      <c r="A178" s="22"/>
      <c r="I178" s="21"/>
      <c r="J178" s="20"/>
      <c r="K178" s="3"/>
      <c r="L178" s="20"/>
      <c r="N178" s="12"/>
      <c r="O178" s="11"/>
      <c r="S178" s="10"/>
      <c r="U178" s="3"/>
      <c r="V178" s="3"/>
      <c r="X178" s="9"/>
      <c r="Z178" s="3"/>
      <c r="AA178" s="8"/>
      <c r="AB178" s="7"/>
      <c r="AC178" s="7"/>
      <c r="AD178" s="6"/>
      <c r="AE178" s="6"/>
      <c r="AF178" s="5"/>
      <c r="AG178" s="7"/>
      <c r="AH178" s="3"/>
      <c r="AI178" s="7"/>
      <c r="AJ178" s="7"/>
      <c r="AL178" s="3"/>
      <c r="AM178" s="3"/>
      <c r="AN178" s="3"/>
      <c r="AO178" s="3"/>
      <c r="AP178" s="9"/>
      <c r="AQ178" s="6"/>
    </row>
    <row r="179" spans="1:43" ht="15" customHeight="1" x14ac:dyDescent="0.3">
      <c r="A179" s="22"/>
      <c r="I179" s="21"/>
      <c r="J179" s="20"/>
      <c r="K179" s="3"/>
      <c r="L179" s="20"/>
      <c r="N179" s="12"/>
      <c r="O179" s="11"/>
      <c r="S179" s="10"/>
      <c r="U179" s="3"/>
      <c r="V179" s="3"/>
      <c r="X179" s="9"/>
      <c r="Z179" s="3"/>
      <c r="AA179" s="8"/>
      <c r="AB179" s="7"/>
      <c r="AC179" s="7"/>
      <c r="AD179" s="6"/>
      <c r="AE179" s="6"/>
      <c r="AF179" s="5"/>
      <c r="AG179" s="7"/>
      <c r="AH179" s="3"/>
      <c r="AI179" s="7"/>
      <c r="AJ179" s="7"/>
      <c r="AL179" s="3"/>
      <c r="AM179" s="3"/>
      <c r="AN179" s="3"/>
      <c r="AO179" s="3"/>
      <c r="AP179" s="9"/>
      <c r="AQ179" s="6"/>
    </row>
    <row r="180" spans="1:43" ht="15" customHeight="1" x14ac:dyDescent="0.3">
      <c r="A180" s="22"/>
      <c r="I180" s="21"/>
      <c r="J180" s="20"/>
      <c r="K180" s="3"/>
      <c r="L180" s="20"/>
      <c r="N180" s="12"/>
      <c r="O180" s="11"/>
      <c r="S180" s="10"/>
      <c r="U180" s="3"/>
      <c r="V180" s="3"/>
      <c r="X180" s="9"/>
      <c r="Z180" s="3"/>
      <c r="AA180" s="8"/>
      <c r="AB180" s="7"/>
      <c r="AC180" s="7"/>
      <c r="AD180" s="6"/>
      <c r="AE180" s="6"/>
      <c r="AF180" s="5"/>
      <c r="AG180" s="7"/>
      <c r="AH180" s="3"/>
      <c r="AI180" s="7"/>
      <c r="AJ180" s="7"/>
      <c r="AL180" s="3"/>
      <c r="AM180" s="3"/>
      <c r="AN180" s="3"/>
      <c r="AO180" s="3"/>
      <c r="AP180" s="9"/>
      <c r="AQ180" s="6"/>
    </row>
    <row r="181" spans="1:43" ht="15" customHeight="1" x14ac:dyDescent="0.3">
      <c r="A181" s="22"/>
      <c r="I181" s="21"/>
      <c r="J181" s="20"/>
      <c r="K181" s="3"/>
      <c r="L181" s="20"/>
      <c r="N181" s="12"/>
      <c r="O181" s="11"/>
      <c r="S181" s="10"/>
      <c r="U181" s="3"/>
      <c r="V181" s="3"/>
      <c r="X181" s="9"/>
      <c r="Z181" s="3"/>
      <c r="AA181" s="8"/>
      <c r="AB181" s="7"/>
      <c r="AC181" s="7"/>
      <c r="AD181" s="6"/>
      <c r="AE181" s="6"/>
      <c r="AF181" s="5"/>
      <c r="AG181" s="7"/>
      <c r="AH181" s="3"/>
      <c r="AI181" s="7"/>
      <c r="AJ181" s="7"/>
      <c r="AL181" s="3"/>
      <c r="AM181" s="3"/>
      <c r="AN181" s="3"/>
      <c r="AO181" s="3"/>
      <c r="AP181" s="9"/>
      <c r="AQ181" s="6"/>
    </row>
    <row r="182" spans="1:43" ht="15" customHeight="1" x14ac:dyDescent="0.3">
      <c r="A182" s="22"/>
      <c r="I182" s="21"/>
      <c r="J182" s="20"/>
      <c r="K182" s="3"/>
      <c r="L182" s="20"/>
      <c r="N182" s="12"/>
      <c r="O182" s="11"/>
      <c r="S182" s="10"/>
      <c r="U182" s="3"/>
      <c r="V182" s="3"/>
      <c r="X182" s="9"/>
      <c r="Z182" s="3"/>
      <c r="AA182" s="8"/>
      <c r="AB182" s="7"/>
      <c r="AC182" s="7"/>
      <c r="AD182" s="6"/>
      <c r="AE182" s="6"/>
      <c r="AF182" s="5"/>
      <c r="AG182" s="7"/>
      <c r="AH182" s="3"/>
      <c r="AI182" s="7"/>
      <c r="AJ182" s="7"/>
      <c r="AL182" s="3"/>
      <c r="AM182" s="3"/>
      <c r="AN182" s="3"/>
      <c r="AO182" s="3"/>
      <c r="AP182" s="9"/>
      <c r="AQ182" s="6"/>
    </row>
    <row r="183" spans="1:43" ht="15" customHeight="1" x14ac:dyDescent="0.3">
      <c r="A183" s="22"/>
      <c r="I183" s="21"/>
      <c r="J183" s="20"/>
      <c r="K183" s="3"/>
      <c r="L183" s="20"/>
      <c r="N183" s="12"/>
      <c r="O183" s="11"/>
      <c r="S183" s="10"/>
      <c r="U183" s="3"/>
      <c r="V183" s="3"/>
      <c r="X183" s="9"/>
      <c r="Z183" s="3"/>
      <c r="AA183" s="8"/>
      <c r="AB183" s="7"/>
      <c r="AC183" s="7"/>
      <c r="AD183" s="6"/>
      <c r="AE183" s="6"/>
      <c r="AF183" s="5"/>
      <c r="AG183" s="7"/>
      <c r="AH183" s="3"/>
      <c r="AI183" s="7"/>
      <c r="AJ183" s="7"/>
      <c r="AL183" s="3"/>
      <c r="AM183" s="3"/>
      <c r="AN183" s="3"/>
      <c r="AO183" s="3"/>
      <c r="AP183" s="9"/>
      <c r="AQ183" s="6"/>
    </row>
    <row r="184" spans="1:43" ht="15" customHeight="1" x14ac:dyDescent="0.3">
      <c r="A184" s="22"/>
      <c r="I184" s="21"/>
      <c r="J184" s="20"/>
      <c r="K184" s="3"/>
      <c r="L184" s="20"/>
      <c r="N184" s="12"/>
      <c r="O184" s="11"/>
      <c r="S184" s="10"/>
      <c r="U184" s="3"/>
      <c r="V184" s="3"/>
      <c r="X184" s="9"/>
      <c r="Z184" s="3"/>
      <c r="AA184" s="8"/>
      <c r="AB184" s="7"/>
      <c r="AC184" s="7"/>
      <c r="AD184" s="6"/>
      <c r="AE184" s="6"/>
      <c r="AF184" s="5"/>
      <c r="AG184" s="7"/>
      <c r="AH184" s="3"/>
      <c r="AI184" s="7"/>
      <c r="AJ184" s="7"/>
      <c r="AL184" s="3"/>
      <c r="AM184" s="3"/>
      <c r="AN184" s="3"/>
      <c r="AO184" s="3"/>
      <c r="AP184" s="9"/>
      <c r="AQ184" s="6"/>
    </row>
    <row r="185" spans="1:43" ht="15" customHeight="1" x14ac:dyDescent="0.3">
      <c r="A185" s="22"/>
      <c r="I185" s="21"/>
      <c r="J185" s="20"/>
      <c r="K185" s="3"/>
      <c r="L185" s="20"/>
      <c r="N185" s="12"/>
      <c r="O185" s="11"/>
      <c r="S185" s="10"/>
      <c r="U185" s="3"/>
      <c r="V185" s="3"/>
      <c r="X185" s="9"/>
      <c r="Z185" s="3"/>
      <c r="AA185" s="8"/>
      <c r="AB185" s="7"/>
      <c r="AC185" s="7"/>
      <c r="AD185" s="6"/>
      <c r="AE185" s="6"/>
      <c r="AF185" s="5"/>
      <c r="AG185" s="7"/>
      <c r="AH185" s="3"/>
      <c r="AI185" s="7"/>
      <c r="AJ185" s="7"/>
      <c r="AL185" s="3"/>
      <c r="AM185" s="3"/>
      <c r="AN185" s="3"/>
      <c r="AO185" s="3"/>
      <c r="AP185" s="9"/>
      <c r="AQ185" s="6"/>
    </row>
    <row r="186" spans="1:43" ht="15" customHeight="1" x14ac:dyDescent="0.3">
      <c r="A186" s="22"/>
      <c r="I186" s="21"/>
      <c r="J186" s="20"/>
      <c r="K186" s="3"/>
      <c r="L186" s="20"/>
      <c r="N186" s="12"/>
      <c r="O186" s="11"/>
      <c r="S186" s="10"/>
      <c r="U186" s="3"/>
      <c r="V186" s="3"/>
      <c r="X186" s="9"/>
      <c r="Z186" s="3"/>
      <c r="AA186" s="8"/>
      <c r="AB186" s="7"/>
      <c r="AC186" s="7"/>
      <c r="AD186" s="6"/>
      <c r="AE186" s="6"/>
      <c r="AF186" s="5"/>
      <c r="AG186" s="7"/>
      <c r="AH186" s="3"/>
      <c r="AI186" s="7"/>
      <c r="AJ186" s="7"/>
      <c r="AL186" s="3"/>
      <c r="AM186" s="3"/>
      <c r="AN186" s="3"/>
      <c r="AO186" s="3"/>
      <c r="AP186" s="9"/>
      <c r="AQ186" s="6"/>
    </row>
    <row r="187" spans="1:43" ht="15" customHeight="1" x14ac:dyDescent="0.3">
      <c r="A187" s="22"/>
      <c r="I187" s="21"/>
      <c r="J187" s="20"/>
      <c r="K187" s="3"/>
      <c r="L187" s="20"/>
      <c r="N187" s="12"/>
      <c r="O187" s="11"/>
      <c r="S187" s="10"/>
      <c r="U187" s="3"/>
      <c r="V187" s="3"/>
      <c r="X187" s="9"/>
      <c r="Z187" s="3"/>
      <c r="AA187" s="8"/>
      <c r="AB187" s="7"/>
      <c r="AC187" s="7"/>
      <c r="AD187" s="6"/>
      <c r="AE187" s="6"/>
      <c r="AF187" s="5"/>
      <c r="AG187" s="7"/>
      <c r="AH187" s="3"/>
      <c r="AI187" s="7"/>
      <c r="AJ187" s="7"/>
      <c r="AL187" s="3"/>
      <c r="AM187" s="3"/>
      <c r="AN187" s="3"/>
      <c r="AO187" s="3"/>
      <c r="AP187" s="9"/>
      <c r="AQ187" s="6"/>
    </row>
    <row r="188" spans="1:43" ht="15" customHeight="1" x14ac:dyDescent="0.3">
      <c r="A188" s="22"/>
      <c r="I188" s="21"/>
      <c r="J188" s="20"/>
      <c r="K188" s="3"/>
      <c r="L188" s="20"/>
      <c r="N188" s="12"/>
      <c r="O188" s="11"/>
      <c r="S188" s="10"/>
      <c r="U188" s="3"/>
      <c r="V188" s="3"/>
      <c r="X188" s="9"/>
      <c r="Z188" s="3"/>
      <c r="AA188" s="8"/>
      <c r="AB188" s="7"/>
      <c r="AC188" s="7"/>
      <c r="AD188" s="6"/>
      <c r="AE188" s="6"/>
      <c r="AF188" s="5"/>
      <c r="AG188" s="7"/>
      <c r="AH188" s="3"/>
      <c r="AI188" s="7"/>
      <c r="AJ188" s="7"/>
      <c r="AL188" s="3"/>
      <c r="AM188" s="3"/>
      <c r="AN188" s="3"/>
      <c r="AO188" s="3"/>
      <c r="AP188" s="9"/>
      <c r="AQ188" s="6"/>
    </row>
    <row r="189" spans="1:43" ht="15" customHeight="1" x14ac:dyDescent="0.3">
      <c r="A189" s="22"/>
      <c r="I189" s="21"/>
      <c r="J189" s="20"/>
      <c r="K189" s="3"/>
      <c r="L189" s="20"/>
      <c r="N189" s="12"/>
      <c r="O189" s="11"/>
      <c r="S189" s="10"/>
      <c r="U189" s="3"/>
      <c r="V189" s="3"/>
      <c r="X189" s="9"/>
      <c r="Z189" s="3"/>
      <c r="AA189" s="8"/>
      <c r="AB189" s="7"/>
      <c r="AC189" s="7"/>
      <c r="AD189" s="6"/>
      <c r="AE189" s="6"/>
      <c r="AF189" s="5"/>
      <c r="AG189" s="7"/>
      <c r="AH189" s="3"/>
      <c r="AI189" s="7"/>
      <c r="AJ189" s="7"/>
      <c r="AL189" s="3"/>
      <c r="AM189" s="3"/>
      <c r="AN189" s="3"/>
      <c r="AO189" s="3"/>
      <c r="AP189" s="9"/>
      <c r="AQ189" s="6"/>
    </row>
    <row r="190" spans="1:43" ht="15" customHeight="1" x14ac:dyDescent="0.3">
      <c r="A190" s="22"/>
      <c r="I190" s="21"/>
      <c r="J190" s="20"/>
      <c r="K190" s="3"/>
      <c r="L190" s="20"/>
      <c r="N190" s="12"/>
      <c r="O190" s="11"/>
      <c r="S190" s="10"/>
      <c r="U190" s="3"/>
      <c r="V190" s="3"/>
      <c r="X190" s="9"/>
      <c r="Z190" s="3"/>
      <c r="AA190" s="8"/>
      <c r="AB190" s="7"/>
      <c r="AC190" s="7"/>
      <c r="AD190" s="6"/>
      <c r="AE190" s="6"/>
      <c r="AF190" s="5"/>
      <c r="AG190" s="7"/>
      <c r="AH190" s="3"/>
      <c r="AI190" s="7"/>
      <c r="AJ190" s="7"/>
      <c r="AL190" s="3"/>
      <c r="AM190" s="3"/>
      <c r="AN190" s="3"/>
      <c r="AO190" s="3"/>
      <c r="AP190" s="9"/>
      <c r="AQ190" s="6"/>
    </row>
    <row r="191" spans="1:43" ht="15" customHeight="1" x14ac:dyDescent="0.3">
      <c r="A191" s="22"/>
      <c r="I191" s="21"/>
      <c r="J191" s="20"/>
      <c r="K191" s="3"/>
      <c r="L191" s="20"/>
      <c r="N191" s="12"/>
      <c r="O191" s="11"/>
      <c r="S191" s="10"/>
      <c r="U191" s="3"/>
      <c r="V191" s="3"/>
      <c r="X191" s="9"/>
      <c r="Z191" s="3"/>
      <c r="AA191" s="8"/>
      <c r="AB191" s="7"/>
      <c r="AC191" s="7"/>
      <c r="AD191" s="6"/>
      <c r="AE191" s="6"/>
      <c r="AF191" s="5"/>
      <c r="AG191" s="7"/>
      <c r="AH191" s="3"/>
      <c r="AI191" s="7"/>
      <c r="AJ191" s="7"/>
      <c r="AL191" s="3"/>
      <c r="AM191" s="3"/>
      <c r="AN191" s="3"/>
      <c r="AO191" s="3"/>
      <c r="AP191" s="9"/>
      <c r="AQ191" s="6"/>
    </row>
    <row r="192" spans="1:43" ht="15" customHeight="1" x14ac:dyDescent="0.3">
      <c r="A192" s="22"/>
      <c r="I192" s="21"/>
      <c r="J192" s="20"/>
      <c r="K192" s="3"/>
      <c r="L192" s="20"/>
      <c r="N192" s="12"/>
      <c r="O192" s="11"/>
      <c r="S192" s="10"/>
      <c r="U192" s="3"/>
      <c r="V192" s="3"/>
      <c r="X192" s="9"/>
      <c r="Z192" s="3"/>
      <c r="AA192" s="8"/>
      <c r="AB192" s="7"/>
      <c r="AC192" s="7"/>
      <c r="AD192" s="6"/>
      <c r="AE192" s="6"/>
      <c r="AF192" s="5"/>
      <c r="AG192" s="7"/>
      <c r="AH192" s="3"/>
      <c r="AI192" s="7"/>
      <c r="AJ192" s="7"/>
      <c r="AL192" s="3"/>
      <c r="AM192" s="3"/>
      <c r="AN192" s="3"/>
      <c r="AO192" s="3"/>
      <c r="AP192" s="9"/>
      <c r="AQ192" s="6"/>
    </row>
    <row r="193" spans="1:43" ht="15" customHeight="1" x14ac:dyDescent="0.3">
      <c r="A193" s="22"/>
      <c r="I193" s="21"/>
      <c r="J193" s="20"/>
      <c r="K193" s="3"/>
      <c r="L193" s="20"/>
      <c r="N193" s="12"/>
      <c r="O193" s="11"/>
      <c r="S193" s="10"/>
      <c r="U193" s="3"/>
      <c r="V193" s="3"/>
      <c r="X193" s="9"/>
      <c r="Z193" s="3"/>
      <c r="AA193" s="8"/>
      <c r="AB193" s="7"/>
      <c r="AC193" s="7"/>
      <c r="AD193" s="6"/>
      <c r="AE193" s="6"/>
      <c r="AF193" s="5"/>
      <c r="AG193" s="7"/>
      <c r="AH193" s="3"/>
      <c r="AI193" s="7"/>
      <c r="AJ193" s="7"/>
      <c r="AL193" s="3"/>
      <c r="AM193" s="3"/>
      <c r="AN193" s="3"/>
      <c r="AO193" s="3"/>
      <c r="AP193" s="9"/>
      <c r="AQ193" s="6"/>
    </row>
    <row r="194" spans="1:43" ht="15" customHeight="1" x14ac:dyDescent="0.3">
      <c r="A194" s="22"/>
      <c r="I194" s="21"/>
      <c r="J194" s="20"/>
      <c r="K194" s="3"/>
      <c r="L194" s="20"/>
      <c r="N194" s="12"/>
      <c r="O194" s="11"/>
      <c r="S194" s="10"/>
      <c r="U194" s="3"/>
      <c r="V194" s="3"/>
      <c r="X194" s="9"/>
      <c r="Z194" s="3"/>
      <c r="AA194" s="8"/>
      <c r="AB194" s="7"/>
      <c r="AC194" s="7"/>
      <c r="AD194" s="6"/>
      <c r="AE194" s="6"/>
      <c r="AF194" s="5"/>
      <c r="AG194" s="7"/>
      <c r="AH194" s="3"/>
      <c r="AI194" s="7"/>
      <c r="AJ194" s="7"/>
      <c r="AL194" s="3"/>
      <c r="AM194" s="3"/>
      <c r="AN194" s="3"/>
      <c r="AO194" s="3"/>
      <c r="AP194" s="9"/>
      <c r="AQ194" s="6"/>
    </row>
    <row r="195" spans="1:43" ht="15" customHeight="1" x14ac:dyDescent="0.3">
      <c r="A195" s="22"/>
      <c r="I195" s="21"/>
      <c r="J195" s="20"/>
      <c r="K195" s="3"/>
      <c r="L195" s="20"/>
      <c r="N195" s="12"/>
      <c r="O195" s="11"/>
      <c r="S195" s="10"/>
      <c r="U195" s="3"/>
      <c r="V195" s="3"/>
      <c r="X195" s="9"/>
      <c r="Z195" s="3"/>
      <c r="AA195" s="8"/>
      <c r="AB195" s="7"/>
      <c r="AC195" s="7"/>
      <c r="AD195" s="6"/>
      <c r="AE195" s="6"/>
      <c r="AF195" s="5"/>
      <c r="AG195" s="7"/>
      <c r="AH195" s="3"/>
      <c r="AI195" s="7"/>
      <c r="AJ195" s="7"/>
      <c r="AL195" s="3"/>
      <c r="AM195" s="3"/>
      <c r="AN195" s="3"/>
      <c r="AO195" s="3"/>
      <c r="AP195" s="9"/>
      <c r="AQ195" s="6"/>
    </row>
    <row r="196" spans="1:43" ht="15" customHeight="1" x14ac:dyDescent="0.3">
      <c r="A196" s="22"/>
      <c r="I196" s="21"/>
      <c r="J196" s="20"/>
      <c r="K196" s="3"/>
      <c r="L196" s="20"/>
      <c r="N196" s="12"/>
      <c r="O196" s="11"/>
      <c r="S196" s="10"/>
      <c r="U196" s="3"/>
      <c r="V196" s="3"/>
      <c r="X196" s="9"/>
      <c r="Z196" s="3"/>
      <c r="AA196" s="8"/>
      <c r="AB196" s="7"/>
      <c r="AC196" s="7"/>
      <c r="AD196" s="6"/>
      <c r="AE196" s="6"/>
      <c r="AF196" s="5"/>
      <c r="AG196" s="7"/>
      <c r="AH196" s="3"/>
      <c r="AI196" s="7"/>
      <c r="AJ196" s="7"/>
      <c r="AL196" s="3"/>
      <c r="AM196" s="3"/>
      <c r="AN196" s="3"/>
      <c r="AO196" s="3"/>
      <c r="AP196" s="9"/>
      <c r="AQ196" s="6"/>
    </row>
    <row r="197" spans="1:43" ht="15" customHeight="1" x14ac:dyDescent="0.3">
      <c r="A197" s="22"/>
      <c r="I197" s="21"/>
      <c r="J197" s="20"/>
      <c r="K197" s="3"/>
      <c r="L197" s="20"/>
      <c r="N197" s="12"/>
      <c r="O197" s="11"/>
      <c r="S197" s="10"/>
      <c r="U197" s="3"/>
      <c r="V197" s="3"/>
      <c r="X197" s="9"/>
      <c r="Z197" s="3"/>
      <c r="AA197" s="8"/>
      <c r="AB197" s="7"/>
      <c r="AC197" s="7"/>
      <c r="AD197" s="6"/>
      <c r="AE197" s="6"/>
      <c r="AF197" s="5"/>
      <c r="AG197" s="7"/>
      <c r="AH197" s="3"/>
      <c r="AI197" s="7"/>
      <c r="AJ197" s="7"/>
      <c r="AL197" s="3"/>
      <c r="AM197" s="3"/>
      <c r="AN197" s="3"/>
      <c r="AO197" s="3"/>
      <c r="AP197" s="9"/>
      <c r="AQ197" s="6"/>
    </row>
    <row r="198" spans="1:43" ht="15" customHeight="1" x14ac:dyDescent="0.3">
      <c r="A198" s="22"/>
      <c r="I198" s="21"/>
      <c r="J198" s="20"/>
      <c r="K198" s="3"/>
      <c r="L198" s="20"/>
      <c r="N198" s="12"/>
      <c r="O198" s="11"/>
      <c r="S198" s="10"/>
      <c r="U198" s="3"/>
      <c r="V198" s="3"/>
      <c r="X198" s="9"/>
      <c r="Z198" s="3"/>
      <c r="AA198" s="8"/>
      <c r="AB198" s="7"/>
      <c r="AC198" s="7"/>
      <c r="AD198" s="6"/>
      <c r="AE198" s="6"/>
      <c r="AF198" s="5"/>
      <c r="AG198" s="7"/>
      <c r="AH198" s="3"/>
      <c r="AI198" s="7"/>
      <c r="AJ198" s="7"/>
      <c r="AL198" s="3"/>
      <c r="AM198" s="3"/>
      <c r="AN198" s="3"/>
      <c r="AO198" s="3"/>
      <c r="AP198" s="9"/>
      <c r="AQ198" s="6"/>
    </row>
    <row r="199" spans="1:43" ht="15" customHeight="1" x14ac:dyDescent="0.3">
      <c r="A199" s="22"/>
      <c r="I199" s="21"/>
      <c r="J199" s="20"/>
      <c r="K199" s="3"/>
      <c r="L199" s="20"/>
      <c r="N199" s="12"/>
      <c r="O199" s="11"/>
      <c r="S199" s="10"/>
      <c r="U199" s="3"/>
      <c r="V199" s="3"/>
      <c r="X199" s="9"/>
      <c r="Z199" s="3"/>
      <c r="AA199" s="8"/>
      <c r="AB199" s="7"/>
      <c r="AC199" s="7"/>
      <c r="AD199" s="6"/>
      <c r="AE199" s="6"/>
      <c r="AF199" s="5"/>
      <c r="AG199" s="7"/>
      <c r="AH199" s="3"/>
      <c r="AI199" s="7"/>
      <c r="AJ199" s="7"/>
      <c r="AL199" s="3"/>
      <c r="AM199" s="3"/>
      <c r="AN199" s="3"/>
      <c r="AO199" s="3"/>
      <c r="AP199" s="9"/>
      <c r="AQ199" s="6"/>
    </row>
    <row r="200" spans="1:43" ht="15" customHeight="1" x14ac:dyDescent="0.3">
      <c r="A200" s="22"/>
      <c r="I200" s="21"/>
      <c r="J200" s="20"/>
      <c r="K200" s="3"/>
      <c r="L200" s="20"/>
      <c r="N200" s="12"/>
      <c r="O200" s="11"/>
      <c r="S200" s="10"/>
      <c r="U200" s="3"/>
      <c r="V200" s="3"/>
      <c r="X200" s="9"/>
      <c r="Z200" s="3"/>
      <c r="AA200" s="8"/>
      <c r="AB200" s="7"/>
      <c r="AC200" s="7"/>
      <c r="AD200" s="6"/>
      <c r="AE200" s="6"/>
      <c r="AF200" s="5"/>
      <c r="AG200" s="7"/>
      <c r="AH200" s="3"/>
      <c r="AI200" s="7"/>
      <c r="AJ200" s="7"/>
      <c r="AL200" s="3"/>
      <c r="AM200" s="3"/>
      <c r="AN200" s="3"/>
      <c r="AO200" s="3"/>
      <c r="AP200" s="9"/>
      <c r="AQ200" s="6"/>
    </row>
    <row r="201" spans="1:43" ht="15" customHeight="1" x14ac:dyDescent="0.3">
      <c r="A201" s="22"/>
      <c r="I201" s="21"/>
      <c r="J201" s="20"/>
      <c r="K201" s="3"/>
      <c r="L201" s="20"/>
      <c r="N201" s="12"/>
      <c r="O201" s="11"/>
      <c r="S201" s="10"/>
      <c r="U201" s="3"/>
      <c r="V201" s="3"/>
      <c r="X201" s="9"/>
      <c r="Z201" s="3"/>
      <c r="AA201" s="8"/>
      <c r="AB201" s="7"/>
      <c r="AC201" s="7"/>
      <c r="AD201" s="6"/>
      <c r="AE201" s="6"/>
      <c r="AF201" s="5"/>
      <c r="AG201" s="7"/>
      <c r="AH201" s="3"/>
      <c r="AI201" s="7"/>
      <c r="AJ201" s="7"/>
      <c r="AL201" s="3"/>
      <c r="AM201" s="3"/>
      <c r="AN201" s="3"/>
      <c r="AO201" s="3"/>
      <c r="AP201" s="9"/>
      <c r="AQ201" s="6"/>
    </row>
    <row r="202" spans="1:43" ht="15" customHeight="1" x14ac:dyDescent="0.3">
      <c r="A202" s="22"/>
      <c r="I202" s="21"/>
      <c r="J202" s="20"/>
      <c r="K202" s="3"/>
      <c r="L202" s="20"/>
      <c r="N202" s="12"/>
      <c r="O202" s="11"/>
      <c r="S202" s="10"/>
      <c r="U202" s="3"/>
      <c r="V202" s="3"/>
      <c r="X202" s="9"/>
      <c r="Z202" s="3"/>
      <c r="AA202" s="8"/>
      <c r="AB202" s="7"/>
      <c r="AC202" s="7"/>
      <c r="AD202" s="6"/>
      <c r="AE202" s="6"/>
      <c r="AF202" s="5"/>
      <c r="AG202" s="7"/>
      <c r="AH202" s="3"/>
      <c r="AI202" s="7"/>
      <c r="AJ202" s="7"/>
      <c r="AL202" s="3"/>
      <c r="AM202" s="3"/>
      <c r="AN202" s="3"/>
      <c r="AO202" s="3"/>
      <c r="AP202" s="9"/>
      <c r="AQ202" s="6"/>
    </row>
    <row r="203" spans="1:43" ht="15" customHeight="1" x14ac:dyDescent="0.3">
      <c r="A203" s="22"/>
      <c r="I203" s="21"/>
      <c r="J203" s="20"/>
      <c r="K203" s="3"/>
      <c r="L203" s="20"/>
      <c r="N203" s="12"/>
      <c r="O203" s="11"/>
      <c r="S203" s="10"/>
      <c r="U203" s="3"/>
      <c r="V203" s="3"/>
      <c r="X203" s="9"/>
      <c r="Z203" s="3"/>
      <c r="AA203" s="8"/>
      <c r="AB203" s="7"/>
      <c r="AC203" s="7"/>
      <c r="AD203" s="6"/>
      <c r="AE203" s="6"/>
      <c r="AF203" s="5"/>
      <c r="AG203" s="7"/>
      <c r="AH203" s="3"/>
      <c r="AI203" s="7"/>
      <c r="AJ203" s="7"/>
      <c r="AL203" s="3"/>
      <c r="AM203" s="3"/>
      <c r="AN203" s="3"/>
      <c r="AO203" s="3"/>
      <c r="AP203" s="9"/>
      <c r="AQ203" s="6"/>
    </row>
    <row r="204" spans="1:43" ht="15" customHeight="1" x14ac:dyDescent="0.3">
      <c r="A204" s="22"/>
      <c r="I204" s="21"/>
      <c r="J204" s="20"/>
      <c r="K204" s="3"/>
      <c r="L204" s="20"/>
      <c r="N204" s="12"/>
      <c r="O204" s="11"/>
      <c r="S204" s="10"/>
      <c r="U204" s="3"/>
      <c r="V204" s="3"/>
      <c r="X204" s="9"/>
      <c r="Z204" s="3"/>
      <c r="AA204" s="8"/>
      <c r="AB204" s="7"/>
      <c r="AC204" s="7"/>
      <c r="AD204" s="6"/>
      <c r="AE204" s="6"/>
      <c r="AF204" s="5"/>
      <c r="AG204" s="7"/>
      <c r="AH204" s="3"/>
      <c r="AI204" s="7"/>
      <c r="AJ204" s="7"/>
      <c r="AL204" s="3"/>
      <c r="AM204" s="3"/>
      <c r="AN204" s="3"/>
      <c r="AO204" s="3"/>
      <c r="AP204" s="9"/>
      <c r="AQ204" s="6"/>
    </row>
    <row r="205" spans="1:43" ht="15" customHeight="1" x14ac:dyDescent="0.3">
      <c r="A205" s="22"/>
      <c r="I205" s="21"/>
      <c r="J205" s="20"/>
      <c r="K205" s="3"/>
      <c r="L205" s="20"/>
      <c r="N205" s="12"/>
      <c r="O205" s="11"/>
      <c r="S205" s="10"/>
      <c r="U205" s="3"/>
      <c r="V205" s="3"/>
      <c r="X205" s="9"/>
      <c r="Z205" s="3"/>
      <c r="AA205" s="8"/>
      <c r="AB205" s="7"/>
      <c r="AC205" s="7"/>
      <c r="AD205" s="6"/>
      <c r="AE205" s="6"/>
      <c r="AF205" s="5"/>
      <c r="AG205" s="7"/>
      <c r="AH205" s="3"/>
      <c r="AI205" s="7"/>
      <c r="AJ205" s="7"/>
      <c r="AL205" s="3"/>
      <c r="AM205" s="3"/>
      <c r="AN205" s="3"/>
      <c r="AO205" s="3"/>
      <c r="AP205" s="9"/>
      <c r="AQ205" s="6"/>
    </row>
    <row r="206" spans="1:43" ht="15" customHeight="1" x14ac:dyDescent="0.3">
      <c r="A206" s="22"/>
      <c r="I206" s="21"/>
      <c r="J206" s="20"/>
      <c r="K206" s="3"/>
      <c r="L206" s="20"/>
      <c r="N206" s="12"/>
      <c r="O206" s="11"/>
      <c r="S206" s="10"/>
      <c r="U206" s="3"/>
      <c r="V206" s="3"/>
      <c r="X206" s="9"/>
      <c r="Z206" s="3"/>
      <c r="AA206" s="8"/>
      <c r="AB206" s="7"/>
      <c r="AC206" s="7"/>
      <c r="AD206" s="6"/>
      <c r="AE206" s="6"/>
      <c r="AF206" s="5"/>
      <c r="AG206" s="7"/>
      <c r="AH206" s="3"/>
      <c r="AI206" s="7"/>
      <c r="AJ206" s="7"/>
      <c r="AL206" s="3"/>
      <c r="AM206" s="3"/>
      <c r="AN206" s="3"/>
      <c r="AO206" s="3"/>
      <c r="AP206" s="9"/>
      <c r="AQ206" s="6"/>
    </row>
    <row r="207" spans="1:43" ht="15" customHeight="1" x14ac:dyDescent="0.3">
      <c r="A207" s="22"/>
      <c r="I207" s="21"/>
      <c r="J207" s="20"/>
      <c r="K207" s="3"/>
      <c r="L207" s="20"/>
      <c r="N207" s="12"/>
      <c r="O207" s="11"/>
      <c r="S207" s="10"/>
      <c r="U207" s="3"/>
      <c r="V207" s="3"/>
      <c r="X207" s="9"/>
      <c r="Z207" s="3"/>
      <c r="AA207" s="8"/>
      <c r="AB207" s="7"/>
      <c r="AC207" s="7"/>
      <c r="AD207" s="6"/>
      <c r="AE207" s="6"/>
      <c r="AF207" s="5"/>
      <c r="AG207" s="7"/>
      <c r="AH207" s="3"/>
      <c r="AI207" s="7"/>
      <c r="AJ207" s="7"/>
      <c r="AL207" s="3"/>
      <c r="AM207" s="3"/>
      <c r="AN207" s="3"/>
      <c r="AO207" s="3"/>
      <c r="AP207" s="9"/>
      <c r="AQ207" s="6"/>
    </row>
    <row r="208" spans="1:43" ht="15" customHeight="1" x14ac:dyDescent="0.3">
      <c r="A208" s="22"/>
      <c r="I208" s="21"/>
      <c r="J208" s="20"/>
      <c r="K208" s="3"/>
      <c r="L208" s="20"/>
      <c r="N208" s="12"/>
      <c r="O208" s="11"/>
      <c r="S208" s="10"/>
      <c r="U208" s="3"/>
      <c r="V208" s="3"/>
      <c r="X208" s="9"/>
      <c r="Z208" s="3"/>
      <c r="AA208" s="8"/>
      <c r="AB208" s="7"/>
      <c r="AC208" s="7"/>
      <c r="AD208" s="6"/>
      <c r="AE208" s="6"/>
      <c r="AF208" s="5"/>
      <c r="AG208" s="7"/>
      <c r="AH208" s="3"/>
      <c r="AI208" s="7"/>
      <c r="AJ208" s="7"/>
      <c r="AL208" s="3"/>
      <c r="AM208" s="3"/>
      <c r="AN208" s="3"/>
      <c r="AO208" s="3"/>
      <c r="AP208" s="9"/>
      <c r="AQ208" s="6"/>
    </row>
    <row r="209" spans="1:43" ht="15" customHeight="1" x14ac:dyDescent="0.3">
      <c r="A209" s="22"/>
      <c r="I209" s="21"/>
      <c r="J209" s="20"/>
      <c r="K209" s="3"/>
      <c r="L209" s="20"/>
      <c r="N209" s="12"/>
      <c r="O209" s="11"/>
      <c r="S209" s="10"/>
      <c r="U209" s="3"/>
      <c r="V209" s="3"/>
      <c r="X209" s="9"/>
      <c r="Z209" s="3"/>
      <c r="AA209" s="8"/>
      <c r="AB209" s="7"/>
      <c r="AC209" s="7"/>
      <c r="AD209" s="6"/>
      <c r="AE209" s="6"/>
      <c r="AF209" s="5"/>
      <c r="AG209" s="7"/>
      <c r="AH209" s="3"/>
      <c r="AI209" s="7"/>
      <c r="AJ209" s="7"/>
      <c r="AL209" s="3"/>
      <c r="AM209" s="3"/>
      <c r="AN209" s="3"/>
      <c r="AO209" s="3"/>
      <c r="AP209" s="9"/>
      <c r="AQ209" s="6"/>
    </row>
    <row r="210" spans="1:43" ht="15" customHeight="1" x14ac:dyDescent="0.3">
      <c r="A210" s="22"/>
      <c r="I210" s="21"/>
      <c r="J210" s="20"/>
      <c r="K210" s="3"/>
      <c r="L210" s="20"/>
      <c r="N210" s="12"/>
      <c r="O210" s="11"/>
      <c r="S210" s="10"/>
      <c r="U210" s="3"/>
      <c r="V210" s="3"/>
      <c r="X210" s="9"/>
      <c r="Z210" s="3"/>
      <c r="AA210" s="8"/>
      <c r="AB210" s="7"/>
      <c r="AC210" s="7"/>
      <c r="AD210" s="6"/>
      <c r="AE210" s="6"/>
      <c r="AF210" s="5"/>
      <c r="AG210" s="7"/>
      <c r="AH210" s="3"/>
      <c r="AI210" s="7"/>
      <c r="AJ210" s="7"/>
      <c r="AL210" s="3"/>
      <c r="AM210" s="3"/>
      <c r="AN210" s="3"/>
      <c r="AO210" s="3"/>
      <c r="AP210" s="9"/>
      <c r="AQ210" s="6"/>
    </row>
    <row r="211" spans="1:43" ht="15" customHeight="1" x14ac:dyDescent="0.3">
      <c r="A211" s="22"/>
      <c r="I211" s="21"/>
      <c r="J211" s="20"/>
      <c r="K211" s="3"/>
      <c r="L211" s="20"/>
      <c r="N211" s="12"/>
      <c r="O211" s="11"/>
      <c r="S211" s="10"/>
      <c r="U211" s="3"/>
      <c r="V211" s="3"/>
      <c r="X211" s="9"/>
      <c r="Z211" s="3"/>
      <c r="AA211" s="8"/>
      <c r="AB211" s="7"/>
      <c r="AC211" s="7"/>
      <c r="AD211" s="6"/>
      <c r="AE211" s="6"/>
      <c r="AF211" s="5"/>
      <c r="AG211" s="7"/>
      <c r="AH211" s="3"/>
      <c r="AI211" s="7"/>
      <c r="AJ211" s="7"/>
      <c r="AL211" s="3"/>
      <c r="AM211" s="3"/>
      <c r="AN211" s="3"/>
      <c r="AO211" s="3"/>
      <c r="AP211" s="9"/>
      <c r="AQ211" s="6"/>
    </row>
    <row r="212" spans="1:43" ht="15" customHeight="1" x14ac:dyDescent="0.3">
      <c r="A212" s="22"/>
      <c r="I212" s="21"/>
      <c r="J212" s="20"/>
      <c r="K212" s="3"/>
      <c r="L212" s="20"/>
      <c r="N212" s="12"/>
      <c r="O212" s="11"/>
      <c r="S212" s="10"/>
      <c r="U212" s="3"/>
      <c r="V212" s="3"/>
      <c r="X212" s="9"/>
      <c r="Z212" s="3"/>
      <c r="AA212" s="8"/>
      <c r="AB212" s="7"/>
      <c r="AC212" s="7"/>
      <c r="AD212" s="6"/>
      <c r="AE212" s="6"/>
      <c r="AF212" s="5"/>
      <c r="AG212" s="7"/>
      <c r="AH212" s="3"/>
      <c r="AI212" s="7"/>
      <c r="AJ212" s="7"/>
      <c r="AL212" s="3"/>
      <c r="AM212" s="3"/>
      <c r="AN212" s="3"/>
      <c r="AO212" s="3"/>
      <c r="AP212" s="9"/>
      <c r="AQ212" s="6"/>
    </row>
    <row r="213" spans="1:43" ht="15" customHeight="1" x14ac:dyDescent="0.3">
      <c r="A213" s="22"/>
      <c r="I213" s="21"/>
      <c r="J213" s="20"/>
      <c r="K213" s="3"/>
      <c r="L213" s="20"/>
      <c r="N213" s="12"/>
      <c r="O213" s="11"/>
      <c r="S213" s="10"/>
      <c r="U213" s="3"/>
      <c r="V213" s="3"/>
      <c r="X213" s="9"/>
      <c r="Z213" s="3"/>
      <c r="AA213" s="8"/>
      <c r="AB213" s="7"/>
      <c r="AC213" s="7"/>
      <c r="AD213" s="6"/>
      <c r="AE213" s="6"/>
      <c r="AF213" s="5"/>
      <c r="AG213" s="7"/>
      <c r="AH213" s="3"/>
      <c r="AI213" s="7"/>
      <c r="AJ213" s="7"/>
      <c r="AL213" s="3"/>
      <c r="AM213" s="3"/>
      <c r="AN213" s="3"/>
      <c r="AO213" s="3"/>
      <c r="AP213" s="9"/>
      <c r="AQ213" s="6"/>
    </row>
    <row r="214" spans="1:43" ht="15" customHeight="1" x14ac:dyDescent="0.3">
      <c r="A214" s="22"/>
      <c r="I214" s="21"/>
      <c r="J214" s="20"/>
      <c r="K214" s="3"/>
      <c r="L214" s="20"/>
      <c r="N214" s="12"/>
      <c r="O214" s="11"/>
      <c r="S214" s="10"/>
      <c r="U214" s="3"/>
      <c r="V214" s="3"/>
      <c r="X214" s="9"/>
      <c r="Z214" s="3"/>
      <c r="AA214" s="8"/>
      <c r="AB214" s="7"/>
      <c r="AC214" s="7"/>
      <c r="AD214" s="6"/>
      <c r="AE214" s="6"/>
      <c r="AF214" s="5"/>
      <c r="AG214" s="7"/>
      <c r="AH214" s="3"/>
      <c r="AI214" s="7"/>
      <c r="AJ214" s="7"/>
      <c r="AL214" s="3"/>
      <c r="AM214" s="3"/>
      <c r="AN214" s="3"/>
      <c r="AO214" s="3"/>
      <c r="AP214" s="9"/>
      <c r="AQ214" s="6"/>
    </row>
    <row r="215" spans="1:43" ht="15" customHeight="1" x14ac:dyDescent="0.3">
      <c r="A215" s="22"/>
      <c r="I215" s="21"/>
      <c r="J215" s="20"/>
      <c r="K215" s="3"/>
      <c r="L215" s="20"/>
      <c r="N215" s="12"/>
      <c r="O215" s="11"/>
      <c r="S215" s="10"/>
      <c r="U215" s="3"/>
      <c r="V215" s="3"/>
      <c r="X215" s="9"/>
      <c r="Z215" s="3"/>
      <c r="AA215" s="8"/>
      <c r="AB215" s="7"/>
      <c r="AC215" s="7"/>
      <c r="AD215" s="6"/>
      <c r="AE215" s="6"/>
      <c r="AF215" s="5"/>
      <c r="AG215" s="7"/>
      <c r="AH215" s="3"/>
      <c r="AI215" s="7"/>
      <c r="AJ215" s="7"/>
      <c r="AL215" s="3"/>
      <c r="AM215" s="3"/>
      <c r="AN215" s="3"/>
      <c r="AO215" s="3"/>
      <c r="AP215" s="9"/>
      <c r="AQ215" s="6"/>
    </row>
    <row r="216" spans="1:43" ht="15" customHeight="1" x14ac:dyDescent="0.3">
      <c r="A216" s="22"/>
      <c r="I216" s="21"/>
      <c r="J216" s="20"/>
      <c r="K216" s="3"/>
      <c r="L216" s="20"/>
      <c r="N216" s="12"/>
      <c r="O216" s="11"/>
      <c r="S216" s="10"/>
      <c r="U216" s="3"/>
      <c r="V216" s="3"/>
      <c r="X216" s="9"/>
      <c r="Z216" s="3"/>
      <c r="AA216" s="8"/>
      <c r="AB216" s="7"/>
      <c r="AC216" s="7"/>
      <c r="AD216" s="6"/>
      <c r="AE216" s="6"/>
      <c r="AF216" s="5"/>
      <c r="AG216" s="7"/>
      <c r="AH216" s="3"/>
      <c r="AI216" s="7"/>
      <c r="AJ216" s="7"/>
      <c r="AL216" s="3"/>
      <c r="AM216" s="3"/>
      <c r="AN216" s="3"/>
      <c r="AO216" s="3"/>
      <c r="AP216" s="9"/>
      <c r="AQ216" s="6"/>
    </row>
    <row r="217" spans="1:43" ht="15" customHeight="1" x14ac:dyDescent="0.3">
      <c r="A217" s="22"/>
      <c r="I217" s="21"/>
      <c r="J217" s="20"/>
      <c r="K217" s="3"/>
      <c r="L217" s="20"/>
      <c r="N217" s="12"/>
      <c r="O217" s="11"/>
      <c r="S217" s="10"/>
      <c r="U217" s="3"/>
      <c r="V217" s="3"/>
      <c r="X217" s="9"/>
      <c r="Z217" s="3"/>
      <c r="AA217" s="8"/>
      <c r="AB217" s="7"/>
      <c r="AC217" s="7"/>
      <c r="AD217" s="6"/>
      <c r="AE217" s="6"/>
      <c r="AF217" s="5"/>
      <c r="AG217" s="7"/>
      <c r="AH217" s="3"/>
      <c r="AI217" s="7"/>
      <c r="AJ217" s="7"/>
      <c r="AL217" s="3"/>
      <c r="AM217" s="3"/>
      <c r="AN217" s="3"/>
      <c r="AO217" s="3"/>
      <c r="AP217" s="9"/>
      <c r="AQ217" s="6"/>
    </row>
    <row r="218" spans="1:43" ht="15" customHeight="1" x14ac:dyDescent="0.3">
      <c r="A218" s="22"/>
      <c r="I218" s="21"/>
      <c r="J218" s="20"/>
      <c r="K218" s="3"/>
      <c r="L218" s="20"/>
      <c r="N218" s="12"/>
      <c r="O218" s="11"/>
      <c r="S218" s="10"/>
      <c r="U218" s="3"/>
      <c r="V218" s="3"/>
      <c r="X218" s="9"/>
      <c r="Z218" s="3"/>
      <c r="AA218" s="8"/>
      <c r="AB218" s="7"/>
      <c r="AC218" s="7"/>
      <c r="AD218" s="6"/>
      <c r="AE218" s="6"/>
      <c r="AF218" s="5"/>
      <c r="AG218" s="7"/>
      <c r="AH218" s="3"/>
      <c r="AI218" s="7"/>
      <c r="AJ218" s="7"/>
      <c r="AL218" s="3"/>
      <c r="AM218" s="3"/>
      <c r="AN218" s="3"/>
      <c r="AO218" s="3"/>
      <c r="AP218" s="9"/>
      <c r="AQ218" s="6"/>
    </row>
    <row r="219" spans="1:43" ht="15" customHeight="1" x14ac:dyDescent="0.3">
      <c r="A219" s="22"/>
      <c r="I219" s="21"/>
      <c r="J219" s="20"/>
      <c r="K219" s="3"/>
      <c r="L219" s="20"/>
      <c r="N219" s="12"/>
      <c r="O219" s="11"/>
      <c r="S219" s="10"/>
      <c r="U219" s="3"/>
      <c r="V219" s="3"/>
      <c r="X219" s="9"/>
      <c r="Z219" s="3"/>
      <c r="AA219" s="8"/>
      <c r="AB219" s="7"/>
      <c r="AC219" s="7"/>
      <c r="AD219" s="6"/>
      <c r="AE219" s="6"/>
      <c r="AF219" s="5"/>
      <c r="AG219" s="7"/>
      <c r="AH219" s="3"/>
      <c r="AI219" s="7"/>
      <c r="AJ219" s="7"/>
      <c r="AL219" s="3"/>
      <c r="AM219" s="3"/>
      <c r="AN219" s="3"/>
      <c r="AO219" s="3"/>
      <c r="AP219" s="9"/>
      <c r="AQ219" s="6"/>
    </row>
    <row r="220" spans="1:43" ht="15" customHeight="1" x14ac:dyDescent="0.3">
      <c r="A220" s="22"/>
      <c r="I220" s="21"/>
      <c r="J220" s="20"/>
      <c r="K220" s="3"/>
      <c r="L220" s="20"/>
      <c r="N220" s="12"/>
      <c r="O220" s="11"/>
      <c r="S220" s="10"/>
      <c r="U220" s="3"/>
      <c r="V220" s="3"/>
      <c r="X220" s="9"/>
      <c r="Z220" s="3"/>
      <c r="AA220" s="8"/>
      <c r="AB220" s="7"/>
      <c r="AC220" s="7"/>
      <c r="AD220" s="6"/>
      <c r="AE220" s="6"/>
      <c r="AF220" s="5"/>
      <c r="AG220" s="7"/>
      <c r="AH220" s="3"/>
      <c r="AI220" s="7"/>
      <c r="AJ220" s="7"/>
      <c r="AL220" s="3"/>
      <c r="AM220" s="3"/>
      <c r="AN220" s="3"/>
      <c r="AO220" s="3"/>
      <c r="AP220" s="9"/>
      <c r="AQ220" s="6"/>
    </row>
    <row r="221" spans="1:43" ht="15" customHeight="1" x14ac:dyDescent="0.3">
      <c r="A221" s="22"/>
      <c r="I221" s="21"/>
      <c r="J221" s="20"/>
      <c r="K221" s="3"/>
      <c r="L221" s="20"/>
      <c r="N221" s="12"/>
      <c r="O221" s="11"/>
      <c r="S221" s="10"/>
      <c r="U221" s="3"/>
      <c r="V221" s="3"/>
      <c r="X221" s="9"/>
      <c r="Z221" s="3"/>
      <c r="AA221" s="8"/>
      <c r="AB221" s="7"/>
      <c r="AC221" s="7"/>
      <c r="AD221" s="6"/>
      <c r="AE221" s="6"/>
      <c r="AF221" s="5"/>
      <c r="AG221" s="7"/>
      <c r="AH221" s="3"/>
      <c r="AI221" s="7"/>
      <c r="AJ221" s="7"/>
      <c r="AL221" s="3"/>
      <c r="AM221" s="3"/>
      <c r="AN221" s="3"/>
      <c r="AO221" s="3"/>
      <c r="AP221" s="9"/>
      <c r="AQ221" s="6"/>
    </row>
    <row r="222" spans="1:43" ht="15" customHeight="1" x14ac:dyDescent="0.3">
      <c r="A222" s="22"/>
      <c r="I222" s="21"/>
      <c r="J222" s="20"/>
      <c r="K222" s="3"/>
      <c r="L222" s="20"/>
      <c r="N222" s="12"/>
      <c r="O222" s="11"/>
      <c r="S222" s="10"/>
      <c r="U222" s="3"/>
      <c r="V222" s="3"/>
      <c r="X222" s="9"/>
      <c r="Z222" s="3"/>
      <c r="AA222" s="8"/>
      <c r="AB222" s="7"/>
      <c r="AC222" s="7"/>
      <c r="AD222" s="6"/>
      <c r="AE222" s="6"/>
      <c r="AF222" s="5"/>
      <c r="AG222" s="7"/>
      <c r="AH222" s="3"/>
      <c r="AI222" s="7"/>
      <c r="AJ222" s="7"/>
      <c r="AL222" s="3"/>
      <c r="AM222" s="3"/>
      <c r="AN222" s="3"/>
      <c r="AO222" s="3"/>
      <c r="AP222" s="9"/>
      <c r="AQ222" s="6"/>
    </row>
    <row r="223" spans="1:43" ht="15" customHeight="1" x14ac:dyDescent="0.3">
      <c r="A223" s="22"/>
      <c r="I223" s="21"/>
      <c r="J223" s="20"/>
      <c r="K223" s="3"/>
      <c r="L223" s="20"/>
      <c r="N223" s="12"/>
      <c r="O223" s="11"/>
      <c r="S223" s="10"/>
      <c r="U223" s="3"/>
      <c r="V223" s="3"/>
      <c r="X223" s="9"/>
      <c r="Z223" s="3"/>
      <c r="AA223" s="8"/>
      <c r="AB223" s="7"/>
      <c r="AC223" s="7"/>
      <c r="AD223" s="6"/>
      <c r="AE223" s="6"/>
      <c r="AF223" s="5"/>
      <c r="AG223" s="7"/>
      <c r="AH223" s="3"/>
      <c r="AI223" s="7"/>
      <c r="AJ223" s="7"/>
      <c r="AL223" s="3"/>
      <c r="AM223" s="3"/>
      <c r="AN223" s="3"/>
      <c r="AO223" s="3"/>
      <c r="AP223" s="9"/>
      <c r="AQ223" s="6"/>
    </row>
    <row r="224" spans="1:43" ht="15" customHeight="1" x14ac:dyDescent="0.3">
      <c r="A224" s="22"/>
      <c r="I224" s="21"/>
      <c r="J224" s="20"/>
      <c r="K224" s="3"/>
      <c r="L224" s="20"/>
      <c r="N224" s="12"/>
      <c r="O224" s="11"/>
      <c r="S224" s="10"/>
      <c r="U224" s="3"/>
      <c r="V224" s="3"/>
      <c r="X224" s="9"/>
      <c r="Z224" s="3"/>
      <c r="AA224" s="8"/>
      <c r="AB224" s="7"/>
      <c r="AC224" s="7"/>
      <c r="AD224" s="6"/>
      <c r="AE224" s="6"/>
      <c r="AF224" s="5"/>
      <c r="AG224" s="7"/>
      <c r="AH224" s="3"/>
      <c r="AI224" s="7"/>
      <c r="AJ224" s="7"/>
      <c r="AL224" s="3"/>
      <c r="AM224" s="3"/>
      <c r="AN224" s="3"/>
      <c r="AO224" s="3"/>
      <c r="AP224" s="9"/>
      <c r="AQ224" s="6"/>
    </row>
    <row r="225" spans="1:43" ht="15" customHeight="1" x14ac:dyDescent="0.3">
      <c r="A225" s="22"/>
      <c r="I225" s="21"/>
      <c r="J225" s="20"/>
      <c r="K225" s="3"/>
      <c r="L225" s="20"/>
      <c r="N225" s="12"/>
      <c r="O225" s="11"/>
      <c r="S225" s="10"/>
      <c r="U225" s="3"/>
      <c r="V225" s="3"/>
      <c r="X225" s="9"/>
      <c r="Z225" s="3"/>
      <c r="AA225" s="8"/>
      <c r="AB225" s="7"/>
      <c r="AC225" s="7"/>
      <c r="AD225" s="6"/>
      <c r="AE225" s="6"/>
      <c r="AF225" s="5"/>
      <c r="AG225" s="7"/>
      <c r="AH225" s="3"/>
      <c r="AI225" s="7"/>
      <c r="AJ225" s="7"/>
      <c r="AL225" s="3"/>
      <c r="AM225" s="3"/>
      <c r="AN225" s="3"/>
      <c r="AO225" s="3"/>
      <c r="AP225" s="9"/>
      <c r="AQ225" s="6"/>
    </row>
    <row r="226" spans="1:43" ht="15" customHeight="1" x14ac:dyDescent="0.3">
      <c r="A226" s="22"/>
      <c r="I226" s="21"/>
      <c r="J226" s="20"/>
      <c r="K226" s="3"/>
      <c r="L226" s="20"/>
      <c r="N226" s="12"/>
      <c r="O226" s="11"/>
      <c r="S226" s="10"/>
      <c r="U226" s="3"/>
      <c r="V226" s="3"/>
      <c r="X226" s="9"/>
      <c r="Z226" s="3"/>
      <c r="AA226" s="8"/>
      <c r="AB226" s="7"/>
      <c r="AC226" s="7"/>
      <c r="AD226" s="6"/>
      <c r="AE226" s="6"/>
      <c r="AF226" s="5"/>
      <c r="AG226" s="7"/>
      <c r="AH226" s="3"/>
      <c r="AI226" s="7"/>
      <c r="AJ226" s="7"/>
      <c r="AL226" s="3"/>
      <c r="AM226" s="3"/>
      <c r="AN226" s="3"/>
      <c r="AO226" s="3"/>
      <c r="AP226" s="9"/>
      <c r="AQ226" s="6"/>
    </row>
    <row r="227" spans="1:43" ht="15" customHeight="1" x14ac:dyDescent="0.3">
      <c r="A227" s="22"/>
      <c r="I227" s="21"/>
      <c r="J227" s="20"/>
      <c r="K227" s="3"/>
      <c r="L227" s="20"/>
      <c r="N227" s="12"/>
      <c r="O227" s="11"/>
      <c r="S227" s="10"/>
      <c r="U227" s="3"/>
      <c r="V227" s="3"/>
      <c r="X227" s="9"/>
      <c r="Z227" s="3"/>
      <c r="AA227" s="8"/>
      <c r="AB227" s="7"/>
      <c r="AC227" s="7"/>
      <c r="AD227" s="6"/>
      <c r="AE227" s="6"/>
      <c r="AF227" s="5"/>
      <c r="AG227" s="7"/>
      <c r="AH227" s="3"/>
      <c r="AI227" s="7"/>
      <c r="AJ227" s="7"/>
      <c r="AL227" s="3"/>
      <c r="AM227" s="3"/>
      <c r="AN227" s="3"/>
      <c r="AO227" s="3"/>
      <c r="AP227" s="9"/>
      <c r="AQ227" s="6"/>
    </row>
    <row r="228" spans="1:43" ht="15" customHeight="1" x14ac:dyDescent="0.3">
      <c r="A228" s="22"/>
      <c r="I228" s="21"/>
      <c r="J228" s="20"/>
      <c r="K228" s="3"/>
      <c r="L228" s="20"/>
      <c r="N228" s="12"/>
      <c r="O228" s="11"/>
      <c r="S228" s="10"/>
      <c r="U228" s="3"/>
      <c r="V228" s="3"/>
      <c r="X228" s="9"/>
      <c r="Z228" s="3"/>
      <c r="AA228" s="8"/>
      <c r="AB228" s="7"/>
      <c r="AC228" s="7"/>
      <c r="AD228" s="6"/>
      <c r="AE228" s="6"/>
      <c r="AF228" s="5"/>
      <c r="AG228" s="7"/>
      <c r="AH228" s="3"/>
      <c r="AI228" s="7"/>
      <c r="AJ228" s="7"/>
      <c r="AL228" s="3"/>
      <c r="AM228" s="3"/>
      <c r="AN228" s="3"/>
      <c r="AO228" s="3"/>
      <c r="AP228" s="9"/>
      <c r="AQ228" s="6"/>
    </row>
    <row r="229" spans="1:43" ht="15" customHeight="1" x14ac:dyDescent="0.3">
      <c r="A229" s="22"/>
      <c r="I229" s="21"/>
      <c r="J229" s="20"/>
      <c r="K229" s="3"/>
      <c r="L229" s="20"/>
      <c r="N229" s="12"/>
      <c r="O229" s="11"/>
      <c r="S229" s="10"/>
      <c r="U229" s="3"/>
      <c r="V229" s="3"/>
      <c r="X229" s="9"/>
      <c r="Z229" s="3"/>
      <c r="AA229" s="8"/>
      <c r="AB229" s="7"/>
      <c r="AC229" s="7"/>
      <c r="AD229" s="6"/>
      <c r="AE229" s="6"/>
      <c r="AF229" s="5"/>
      <c r="AG229" s="7"/>
      <c r="AH229" s="3"/>
      <c r="AI229" s="7"/>
      <c r="AJ229" s="7"/>
      <c r="AL229" s="3"/>
      <c r="AM229" s="3"/>
      <c r="AN229" s="3"/>
      <c r="AO229" s="3"/>
      <c r="AP229" s="9"/>
      <c r="AQ229" s="6"/>
    </row>
    <row r="230" spans="1:43" ht="15" customHeight="1" x14ac:dyDescent="0.3">
      <c r="A230" s="22"/>
      <c r="I230" s="21"/>
      <c r="J230" s="20"/>
      <c r="K230" s="3"/>
      <c r="L230" s="20"/>
      <c r="N230" s="12"/>
      <c r="O230" s="11"/>
      <c r="S230" s="10"/>
      <c r="U230" s="3"/>
      <c r="V230" s="3"/>
      <c r="X230" s="9"/>
      <c r="Z230" s="3"/>
      <c r="AA230" s="8"/>
      <c r="AB230" s="7"/>
      <c r="AC230" s="7"/>
      <c r="AD230" s="6"/>
      <c r="AE230" s="6"/>
      <c r="AF230" s="5"/>
      <c r="AG230" s="7"/>
      <c r="AH230" s="3"/>
      <c r="AI230" s="7"/>
      <c r="AJ230" s="7"/>
      <c r="AL230" s="3"/>
      <c r="AM230" s="3"/>
      <c r="AN230" s="3"/>
      <c r="AO230" s="3"/>
      <c r="AP230" s="9"/>
      <c r="AQ230" s="6"/>
    </row>
    <row r="231" spans="1:43" ht="15" customHeight="1" x14ac:dyDescent="0.3">
      <c r="A231" s="22"/>
      <c r="I231" s="21"/>
      <c r="J231" s="20"/>
      <c r="K231" s="3"/>
      <c r="L231" s="20"/>
      <c r="N231" s="12"/>
      <c r="O231" s="11"/>
      <c r="S231" s="10"/>
      <c r="U231" s="3"/>
      <c r="V231" s="3"/>
      <c r="X231" s="9"/>
      <c r="Z231" s="3"/>
      <c r="AA231" s="8"/>
      <c r="AB231" s="7"/>
      <c r="AC231" s="7"/>
      <c r="AD231" s="6"/>
      <c r="AE231" s="6"/>
      <c r="AF231" s="5"/>
      <c r="AG231" s="7"/>
      <c r="AH231" s="3"/>
      <c r="AI231" s="7"/>
      <c r="AJ231" s="7"/>
      <c r="AL231" s="3"/>
      <c r="AM231" s="3"/>
      <c r="AN231" s="3"/>
      <c r="AO231" s="3"/>
      <c r="AP231" s="9"/>
      <c r="AQ231" s="6"/>
    </row>
    <row r="232" spans="1:43" ht="15" customHeight="1" x14ac:dyDescent="0.3">
      <c r="A232" s="22"/>
      <c r="I232" s="21"/>
      <c r="J232" s="20"/>
      <c r="K232" s="3"/>
      <c r="L232" s="20"/>
      <c r="N232" s="12"/>
      <c r="O232" s="11"/>
      <c r="S232" s="10"/>
      <c r="U232" s="3"/>
      <c r="V232" s="3"/>
      <c r="X232" s="9"/>
      <c r="Z232" s="3"/>
      <c r="AA232" s="8"/>
      <c r="AB232" s="7"/>
      <c r="AC232" s="7"/>
      <c r="AD232" s="6"/>
      <c r="AE232" s="6"/>
      <c r="AF232" s="5"/>
      <c r="AG232" s="7"/>
      <c r="AH232" s="3"/>
      <c r="AI232" s="7"/>
      <c r="AJ232" s="7"/>
      <c r="AL232" s="3"/>
      <c r="AM232" s="3"/>
      <c r="AN232" s="3"/>
      <c r="AO232" s="3"/>
      <c r="AP232" s="9"/>
      <c r="AQ232" s="6"/>
    </row>
    <row r="233" spans="1:43" ht="15" customHeight="1" x14ac:dyDescent="0.3">
      <c r="A233" s="22"/>
      <c r="I233" s="21"/>
      <c r="J233" s="20"/>
      <c r="K233" s="3"/>
      <c r="L233" s="20"/>
      <c r="N233" s="12"/>
      <c r="O233" s="11"/>
      <c r="S233" s="10"/>
      <c r="U233" s="3"/>
      <c r="V233" s="3"/>
      <c r="X233" s="9"/>
      <c r="Z233" s="3"/>
      <c r="AA233" s="8"/>
      <c r="AB233" s="7"/>
      <c r="AC233" s="7"/>
      <c r="AD233" s="6"/>
      <c r="AE233" s="6"/>
      <c r="AF233" s="5"/>
      <c r="AG233" s="7"/>
      <c r="AH233" s="3"/>
      <c r="AI233" s="7"/>
      <c r="AJ233" s="7"/>
      <c r="AL233" s="3"/>
      <c r="AM233" s="3"/>
      <c r="AN233" s="3"/>
      <c r="AO233" s="3"/>
      <c r="AP233" s="9"/>
      <c r="AQ233" s="6"/>
    </row>
    <row r="234" spans="1:43" ht="15" customHeight="1" x14ac:dyDescent="0.3">
      <c r="A234" s="22"/>
      <c r="I234" s="21"/>
      <c r="J234" s="20"/>
      <c r="K234" s="3"/>
      <c r="L234" s="20"/>
      <c r="N234" s="12"/>
      <c r="O234" s="11"/>
      <c r="S234" s="10"/>
      <c r="U234" s="3"/>
      <c r="V234" s="3"/>
      <c r="X234" s="9"/>
      <c r="Z234" s="3"/>
      <c r="AA234" s="8"/>
      <c r="AB234" s="7"/>
      <c r="AC234" s="7"/>
      <c r="AD234" s="6"/>
      <c r="AE234" s="6"/>
      <c r="AF234" s="5"/>
      <c r="AG234" s="7"/>
      <c r="AH234" s="3"/>
      <c r="AI234" s="7"/>
      <c r="AJ234" s="7"/>
      <c r="AL234" s="3"/>
      <c r="AM234" s="3"/>
      <c r="AN234" s="3"/>
      <c r="AO234" s="3"/>
      <c r="AP234" s="9"/>
      <c r="AQ234" s="6"/>
    </row>
    <row r="235" spans="1:43" ht="15" customHeight="1" x14ac:dyDescent="0.3">
      <c r="A235" s="22"/>
      <c r="I235" s="21"/>
      <c r="J235" s="20"/>
      <c r="K235" s="3"/>
      <c r="L235" s="20"/>
      <c r="N235" s="12"/>
      <c r="O235" s="11"/>
      <c r="S235" s="10"/>
      <c r="U235" s="3"/>
      <c r="V235" s="3"/>
      <c r="X235" s="9"/>
      <c r="Z235" s="3"/>
      <c r="AA235" s="8"/>
      <c r="AB235" s="7"/>
      <c r="AC235" s="7"/>
      <c r="AD235" s="6"/>
      <c r="AE235" s="6"/>
      <c r="AF235" s="5"/>
      <c r="AG235" s="7"/>
      <c r="AH235" s="3"/>
      <c r="AI235" s="7"/>
      <c r="AJ235" s="7"/>
      <c r="AL235" s="3"/>
      <c r="AM235" s="3"/>
      <c r="AN235" s="3"/>
      <c r="AO235" s="3"/>
      <c r="AP235" s="9"/>
      <c r="AQ235" s="6"/>
    </row>
    <row r="236" spans="1:43" ht="15" customHeight="1" x14ac:dyDescent="0.3">
      <c r="A236" s="22"/>
      <c r="I236" s="21"/>
      <c r="J236" s="20"/>
      <c r="K236" s="3"/>
      <c r="L236" s="20"/>
      <c r="N236" s="12"/>
      <c r="O236" s="11"/>
      <c r="S236" s="10"/>
      <c r="U236" s="3"/>
      <c r="V236" s="3"/>
      <c r="X236" s="9"/>
      <c r="Z236" s="3"/>
      <c r="AA236" s="8"/>
      <c r="AB236" s="7"/>
      <c r="AC236" s="7"/>
      <c r="AD236" s="6"/>
      <c r="AE236" s="6"/>
      <c r="AF236" s="5"/>
      <c r="AG236" s="7"/>
      <c r="AH236" s="3"/>
      <c r="AI236" s="7"/>
      <c r="AJ236" s="7"/>
      <c r="AL236" s="3"/>
      <c r="AM236" s="3"/>
      <c r="AN236" s="3"/>
      <c r="AO236" s="3"/>
      <c r="AP236" s="9"/>
      <c r="AQ236" s="6"/>
    </row>
    <row r="237" spans="1:43" ht="15" customHeight="1" x14ac:dyDescent="0.3">
      <c r="A237" s="22"/>
      <c r="I237" s="21"/>
      <c r="J237" s="20"/>
      <c r="K237" s="3"/>
      <c r="L237" s="20"/>
      <c r="N237" s="12"/>
      <c r="O237" s="11"/>
      <c r="S237" s="10"/>
      <c r="U237" s="3"/>
      <c r="V237" s="3"/>
      <c r="X237" s="9"/>
      <c r="Z237" s="3"/>
      <c r="AA237" s="8"/>
      <c r="AB237" s="7"/>
      <c r="AC237" s="7"/>
      <c r="AD237" s="6"/>
      <c r="AE237" s="6"/>
      <c r="AF237" s="5"/>
      <c r="AG237" s="7"/>
      <c r="AH237" s="3"/>
      <c r="AI237" s="7"/>
      <c r="AJ237" s="7"/>
      <c r="AL237" s="3"/>
      <c r="AM237" s="3"/>
      <c r="AN237" s="3"/>
      <c r="AO237" s="3"/>
      <c r="AP237" s="9"/>
      <c r="AQ237" s="6"/>
    </row>
    <row r="238" spans="1:43" ht="15" customHeight="1" x14ac:dyDescent="0.3">
      <c r="A238" s="22"/>
      <c r="I238" s="21"/>
      <c r="J238" s="20"/>
      <c r="K238" s="3"/>
      <c r="L238" s="20"/>
      <c r="N238" s="12"/>
      <c r="O238" s="11"/>
      <c r="S238" s="10"/>
      <c r="U238" s="3"/>
      <c r="V238" s="3"/>
      <c r="X238" s="9"/>
      <c r="Z238" s="3"/>
      <c r="AA238" s="8"/>
      <c r="AB238" s="7"/>
      <c r="AC238" s="7"/>
      <c r="AD238" s="6"/>
      <c r="AE238" s="6"/>
      <c r="AF238" s="5"/>
      <c r="AG238" s="7"/>
      <c r="AH238" s="3"/>
      <c r="AI238" s="7"/>
      <c r="AJ238" s="7"/>
      <c r="AL238" s="3"/>
      <c r="AM238" s="3"/>
      <c r="AN238" s="3"/>
      <c r="AO238" s="3"/>
      <c r="AP238" s="9"/>
      <c r="AQ238" s="6"/>
    </row>
    <row r="239" spans="1:43" ht="15" customHeight="1" x14ac:dyDescent="0.3">
      <c r="A239" s="22"/>
      <c r="I239" s="21"/>
      <c r="J239" s="20"/>
      <c r="K239" s="3"/>
      <c r="L239" s="20"/>
      <c r="N239" s="12"/>
      <c r="O239" s="11"/>
      <c r="S239" s="10"/>
      <c r="U239" s="3"/>
      <c r="V239" s="3"/>
      <c r="X239" s="9"/>
      <c r="Z239" s="3"/>
      <c r="AA239" s="8"/>
      <c r="AB239" s="7"/>
      <c r="AC239" s="7"/>
      <c r="AD239" s="6"/>
      <c r="AE239" s="6"/>
      <c r="AF239" s="5"/>
      <c r="AG239" s="7"/>
      <c r="AH239" s="3"/>
      <c r="AI239" s="7"/>
      <c r="AJ239" s="7"/>
      <c r="AL239" s="3"/>
      <c r="AM239" s="3"/>
      <c r="AN239" s="3"/>
      <c r="AO239" s="3"/>
      <c r="AP239" s="9"/>
      <c r="AQ239" s="6"/>
    </row>
    <row r="240" spans="1:43" ht="15" customHeight="1" x14ac:dyDescent="0.3">
      <c r="A240" s="22"/>
      <c r="I240" s="21"/>
      <c r="J240" s="20"/>
      <c r="K240" s="3"/>
      <c r="L240" s="20"/>
      <c r="N240" s="12"/>
      <c r="O240" s="11"/>
      <c r="S240" s="10"/>
      <c r="U240" s="3"/>
      <c r="V240" s="3"/>
      <c r="X240" s="9"/>
      <c r="Z240" s="3"/>
      <c r="AA240" s="8"/>
      <c r="AB240" s="7"/>
      <c r="AC240" s="7"/>
      <c r="AD240" s="6"/>
      <c r="AE240" s="6"/>
      <c r="AF240" s="5"/>
      <c r="AG240" s="7"/>
      <c r="AH240" s="3"/>
      <c r="AI240" s="7"/>
      <c r="AJ240" s="7"/>
      <c r="AL240" s="3"/>
      <c r="AM240" s="3"/>
      <c r="AN240" s="3"/>
      <c r="AO240" s="3"/>
      <c r="AP240" s="9"/>
      <c r="AQ240" s="6"/>
    </row>
    <row r="241" spans="1:43" ht="15" customHeight="1" x14ac:dyDescent="0.3">
      <c r="A241" s="22"/>
      <c r="I241" s="21"/>
      <c r="J241" s="20"/>
      <c r="K241" s="3"/>
      <c r="L241" s="20"/>
      <c r="N241" s="12"/>
      <c r="O241" s="11"/>
      <c r="S241" s="10"/>
      <c r="U241" s="3"/>
      <c r="V241" s="3"/>
      <c r="X241" s="9"/>
      <c r="Z241" s="3"/>
      <c r="AA241" s="8"/>
      <c r="AB241" s="7"/>
      <c r="AC241" s="7"/>
      <c r="AD241" s="6"/>
      <c r="AE241" s="6"/>
      <c r="AF241" s="5"/>
      <c r="AG241" s="7"/>
      <c r="AH241" s="3"/>
      <c r="AI241" s="7"/>
      <c r="AJ241" s="7"/>
      <c r="AL241" s="3"/>
      <c r="AM241" s="3"/>
      <c r="AN241" s="3"/>
      <c r="AO241" s="3"/>
      <c r="AP241" s="9"/>
      <c r="AQ241" s="6"/>
    </row>
    <row r="242" spans="1:43" ht="15" customHeight="1" x14ac:dyDescent="0.3">
      <c r="A242" s="22"/>
      <c r="I242" s="21"/>
      <c r="J242" s="20"/>
      <c r="K242" s="3"/>
      <c r="L242" s="20"/>
      <c r="N242" s="12"/>
      <c r="O242" s="11"/>
      <c r="S242" s="10"/>
      <c r="U242" s="3"/>
      <c r="V242" s="3"/>
      <c r="X242" s="9"/>
      <c r="Z242" s="3"/>
      <c r="AA242" s="8"/>
      <c r="AB242" s="7"/>
      <c r="AC242" s="7"/>
      <c r="AD242" s="6"/>
      <c r="AE242" s="6"/>
      <c r="AF242" s="5"/>
      <c r="AG242" s="7"/>
      <c r="AH242" s="3"/>
      <c r="AI242" s="7"/>
      <c r="AJ242" s="7"/>
      <c r="AL242" s="3"/>
      <c r="AM242" s="3"/>
      <c r="AN242" s="3"/>
      <c r="AO242" s="3"/>
      <c r="AP242" s="9"/>
      <c r="AQ242" s="6"/>
    </row>
    <row r="243" spans="1:43" ht="15" customHeight="1" x14ac:dyDescent="0.3">
      <c r="A243" s="22"/>
      <c r="I243" s="21"/>
      <c r="J243" s="20"/>
      <c r="K243" s="3"/>
      <c r="L243" s="20"/>
      <c r="N243" s="12"/>
      <c r="O243" s="11"/>
      <c r="S243" s="10"/>
      <c r="U243" s="3"/>
      <c r="V243" s="3"/>
      <c r="X243" s="9"/>
      <c r="Z243" s="3"/>
      <c r="AA243" s="8"/>
      <c r="AB243" s="7"/>
      <c r="AC243" s="7"/>
      <c r="AD243" s="6"/>
      <c r="AE243" s="6"/>
      <c r="AF243" s="5"/>
      <c r="AG243" s="7"/>
      <c r="AH243" s="3"/>
      <c r="AI243" s="7"/>
      <c r="AJ243" s="7"/>
      <c r="AL243" s="3"/>
      <c r="AM243" s="3"/>
      <c r="AN243" s="3"/>
      <c r="AO243" s="3"/>
      <c r="AP243" s="9"/>
      <c r="AQ243" s="6"/>
    </row>
    <row r="244" spans="1:43" ht="15" customHeight="1" x14ac:dyDescent="0.3">
      <c r="A244" s="22"/>
      <c r="I244" s="21"/>
      <c r="J244" s="20"/>
      <c r="K244" s="3"/>
      <c r="L244" s="20"/>
      <c r="N244" s="12"/>
      <c r="O244" s="11"/>
      <c r="S244" s="10"/>
      <c r="U244" s="3"/>
      <c r="V244" s="3"/>
      <c r="X244" s="9"/>
      <c r="Z244" s="3"/>
      <c r="AA244" s="8"/>
      <c r="AB244" s="7"/>
      <c r="AC244" s="7"/>
      <c r="AD244" s="6"/>
      <c r="AE244" s="6"/>
      <c r="AF244" s="5"/>
      <c r="AG244" s="7"/>
      <c r="AH244" s="3"/>
      <c r="AI244" s="7"/>
      <c r="AJ244" s="7"/>
      <c r="AL244" s="3"/>
      <c r="AM244" s="3"/>
      <c r="AN244" s="3"/>
      <c r="AO244" s="3"/>
      <c r="AP244" s="9"/>
      <c r="AQ244" s="6"/>
    </row>
    <row r="245" spans="1:43" ht="15" customHeight="1" x14ac:dyDescent="0.3">
      <c r="A245" s="22"/>
      <c r="I245" s="21"/>
      <c r="J245" s="20"/>
      <c r="K245" s="3"/>
      <c r="L245" s="20"/>
      <c r="N245" s="12"/>
      <c r="O245" s="11"/>
      <c r="S245" s="10"/>
      <c r="U245" s="3"/>
      <c r="V245" s="3"/>
      <c r="X245" s="9"/>
      <c r="Z245" s="3"/>
      <c r="AA245" s="8"/>
      <c r="AB245" s="7"/>
      <c r="AC245" s="7"/>
      <c r="AD245" s="6"/>
      <c r="AE245" s="6"/>
      <c r="AF245" s="5"/>
      <c r="AG245" s="7"/>
      <c r="AH245" s="3"/>
      <c r="AI245" s="7"/>
      <c r="AJ245" s="7"/>
      <c r="AL245" s="3"/>
      <c r="AM245" s="3"/>
      <c r="AN245" s="3"/>
      <c r="AO245" s="3"/>
      <c r="AP245" s="9"/>
      <c r="AQ245" s="6"/>
    </row>
    <row r="246" spans="1:43" ht="15" customHeight="1" x14ac:dyDescent="0.3">
      <c r="A246" s="22"/>
      <c r="I246" s="21"/>
      <c r="J246" s="20"/>
      <c r="K246" s="3"/>
      <c r="L246" s="20"/>
      <c r="N246" s="12"/>
      <c r="O246" s="11"/>
      <c r="S246" s="10"/>
      <c r="U246" s="3"/>
      <c r="V246" s="3"/>
      <c r="X246" s="9"/>
      <c r="Z246" s="3"/>
      <c r="AA246" s="8"/>
      <c r="AB246" s="7"/>
      <c r="AC246" s="7"/>
      <c r="AD246" s="6"/>
      <c r="AE246" s="6"/>
      <c r="AF246" s="5"/>
      <c r="AG246" s="7"/>
      <c r="AH246" s="3"/>
      <c r="AI246" s="7"/>
      <c r="AJ246" s="7"/>
      <c r="AL246" s="3"/>
      <c r="AM246" s="3"/>
      <c r="AN246" s="3"/>
      <c r="AO246" s="3"/>
      <c r="AP246" s="9"/>
      <c r="AQ246" s="6"/>
    </row>
    <row r="247" spans="1:43" ht="15" customHeight="1" x14ac:dyDescent="0.3">
      <c r="A247" s="22"/>
      <c r="I247" s="21"/>
      <c r="J247" s="20"/>
      <c r="K247" s="3"/>
      <c r="L247" s="20"/>
      <c r="N247" s="12"/>
      <c r="O247" s="11"/>
      <c r="S247" s="10"/>
      <c r="U247" s="3"/>
      <c r="V247" s="3"/>
      <c r="X247" s="9"/>
      <c r="Z247" s="3"/>
      <c r="AA247" s="8"/>
      <c r="AB247" s="7"/>
      <c r="AC247" s="7"/>
      <c r="AD247" s="6"/>
      <c r="AE247" s="6"/>
      <c r="AF247" s="5"/>
      <c r="AG247" s="7"/>
      <c r="AH247" s="3"/>
      <c r="AI247" s="7"/>
      <c r="AJ247" s="7"/>
      <c r="AL247" s="3"/>
      <c r="AM247" s="3"/>
      <c r="AN247" s="3"/>
      <c r="AO247" s="3"/>
      <c r="AP247" s="9"/>
      <c r="AQ247" s="6"/>
    </row>
    <row r="248" spans="1:43" ht="15" customHeight="1" x14ac:dyDescent="0.3">
      <c r="A248" s="22"/>
      <c r="I248" s="21"/>
      <c r="J248" s="20"/>
      <c r="K248" s="3"/>
      <c r="L248" s="20"/>
      <c r="N248" s="12"/>
      <c r="O248" s="11"/>
      <c r="S248" s="10"/>
      <c r="U248" s="3"/>
      <c r="V248" s="3"/>
      <c r="X248" s="9"/>
      <c r="Z248" s="3"/>
      <c r="AA248" s="8"/>
      <c r="AB248" s="7"/>
      <c r="AC248" s="7"/>
      <c r="AD248" s="6"/>
      <c r="AE248" s="6"/>
      <c r="AF248" s="5"/>
      <c r="AG248" s="7"/>
      <c r="AH248" s="3"/>
      <c r="AI248" s="7"/>
      <c r="AJ248" s="7"/>
      <c r="AL248" s="3"/>
      <c r="AM248" s="3"/>
      <c r="AN248" s="3"/>
      <c r="AO248" s="3"/>
      <c r="AP248" s="9"/>
      <c r="AQ248" s="6"/>
    </row>
    <row r="249" spans="1:43" ht="15" customHeight="1" x14ac:dyDescent="0.3">
      <c r="A249" s="22"/>
      <c r="I249" s="21"/>
      <c r="J249" s="20"/>
      <c r="K249" s="3"/>
      <c r="L249" s="20"/>
      <c r="N249" s="12"/>
      <c r="O249" s="11"/>
      <c r="S249" s="10"/>
      <c r="U249" s="3"/>
      <c r="V249" s="3"/>
      <c r="X249" s="9"/>
      <c r="Z249" s="3"/>
      <c r="AA249" s="8"/>
      <c r="AB249" s="7"/>
      <c r="AC249" s="7"/>
      <c r="AD249" s="6"/>
      <c r="AE249" s="6"/>
      <c r="AF249" s="5"/>
      <c r="AG249" s="7"/>
      <c r="AH249" s="3"/>
      <c r="AI249" s="7"/>
      <c r="AJ249" s="7"/>
      <c r="AL249" s="3"/>
      <c r="AM249" s="3"/>
      <c r="AN249" s="3"/>
      <c r="AO249" s="3"/>
      <c r="AP249" s="9"/>
      <c r="AQ249" s="6"/>
    </row>
    <row r="250" spans="1:43" ht="15" customHeight="1" x14ac:dyDescent="0.3">
      <c r="A250" s="22"/>
      <c r="I250" s="21"/>
      <c r="J250" s="20"/>
      <c r="K250" s="3"/>
      <c r="L250" s="20"/>
      <c r="N250" s="12"/>
      <c r="O250" s="11"/>
      <c r="S250" s="10"/>
      <c r="U250" s="3"/>
      <c r="V250" s="3"/>
      <c r="X250" s="9"/>
      <c r="Z250" s="3"/>
      <c r="AA250" s="8"/>
      <c r="AB250" s="7"/>
      <c r="AC250" s="7"/>
      <c r="AD250" s="6"/>
      <c r="AE250" s="6"/>
      <c r="AF250" s="5"/>
      <c r="AG250" s="7"/>
      <c r="AH250" s="3"/>
      <c r="AI250" s="7"/>
      <c r="AJ250" s="7"/>
      <c r="AL250" s="3"/>
      <c r="AM250" s="3"/>
      <c r="AN250" s="3"/>
      <c r="AO250" s="3"/>
      <c r="AP250" s="9"/>
      <c r="AQ250" s="6"/>
    </row>
    <row r="251" spans="1:43" ht="15" customHeight="1" x14ac:dyDescent="0.3">
      <c r="A251" s="22"/>
      <c r="I251" s="21"/>
      <c r="J251" s="20"/>
      <c r="K251" s="3"/>
      <c r="L251" s="20"/>
      <c r="N251" s="12"/>
      <c r="O251" s="11"/>
      <c r="S251" s="10"/>
      <c r="U251" s="3"/>
      <c r="V251" s="3"/>
      <c r="X251" s="9"/>
      <c r="Z251" s="3"/>
      <c r="AA251" s="8"/>
      <c r="AB251" s="7"/>
      <c r="AC251" s="7"/>
      <c r="AD251" s="6"/>
      <c r="AE251" s="6"/>
      <c r="AF251" s="5"/>
      <c r="AG251" s="7"/>
      <c r="AH251" s="3"/>
      <c r="AI251" s="7"/>
      <c r="AJ251" s="7"/>
      <c r="AL251" s="3"/>
      <c r="AM251" s="3"/>
      <c r="AN251" s="3"/>
      <c r="AO251" s="3"/>
      <c r="AP251" s="9"/>
      <c r="AQ251" s="6"/>
    </row>
    <row r="252" spans="1:43" ht="15" customHeight="1" x14ac:dyDescent="0.3">
      <c r="A252" s="22"/>
      <c r="I252" s="21"/>
      <c r="J252" s="20"/>
      <c r="K252" s="3"/>
      <c r="L252" s="20"/>
      <c r="N252" s="12"/>
      <c r="O252" s="11"/>
      <c r="S252" s="10"/>
      <c r="U252" s="3"/>
      <c r="V252" s="3"/>
      <c r="X252" s="9"/>
      <c r="Z252" s="3"/>
      <c r="AA252" s="8"/>
      <c r="AB252" s="7"/>
      <c r="AC252" s="7"/>
      <c r="AD252" s="6"/>
      <c r="AE252" s="6"/>
      <c r="AF252" s="5"/>
      <c r="AG252" s="7"/>
      <c r="AH252" s="3"/>
      <c r="AI252" s="7"/>
      <c r="AJ252" s="7"/>
      <c r="AL252" s="3"/>
      <c r="AM252" s="3"/>
      <c r="AN252" s="3"/>
      <c r="AO252" s="3"/>
      <c r="AP252" s="9"/>
      <c r="AQ252" s="6"/>
    </row>
    <row r="253" spans="1:43" ht="15" customHeight="1" x14ac:dyDescent="0.3">
      <c r="A253" s="22"/>
      <c r="I253" s="21"/>
      <c r="J253" s="20"/>
      <c r="K253" s="3"/>
      <c r="L253" s="20"/>
      <c r="N253" s="12"/>
      <c r="O253" s="11"/>
      <c r="S253" s="10"/>
      <c r="U253" s="3"/>
      <c r="V253" s="3"/>
      <c r="X253" s="9"/>
      <c r="Z253" s="3"/>
      <c r="AA253" s="8"/>
      <c r="AB253" s="7"/>
      <c r="AC253" s="7"/>
      <c r="AD253" s="6"/>
      <c r="AE253" s="6"/>
      <c r="AF253" s="5"/>
      <c r="AG253" s="7"/>
      <c r="AH253" s="3"/>
      <c r="AI253" s="7"/>
      <c r="AJ253" s="7"/>
      <c r="AL253" s="3"/>
      <c r="AM253" s="3"/>
      <c r="AN253" s="3"/>
      <c r="AO253" s="3"/>
      <c r="AP253" s="9"/>
      <c r="AQ253" s="6"/>
    </row>
    <row r="254" spans="1:43" ht="15" customHeight="1" x14ac:dyDescent="0.3">
      <c r="A254" s="22"/>
      <c r="I254" s="21"/>
      <c r="J254" s="20"/>
      <c r="K254" s="3"/>
      <c r="L254" s="20"/>
      <c r="N254" s="12"/>
      <c r="O254" s="11"/>
      <c r="S254" s="10"/>
      <c r="U254" s="3"/>
      <c r="V254" s="3"/>
      <c r="X254" s="9"/>
      <c r="Z254" s="3"/>
      <c r="AA254" s="8"/>
      <c r="AB254" s="7"/>
      <c r="AC254" s="7"/>
      <c r="AD254" s="6"/>
      <c r="AE254" s="6"/>
      <c r="AF254" s="5"/>
      <c r="AG254" s="7"/>
      <c r="AH254" s="3"/>
      <c r="AI254" s="7"/>
      <c r="AJ254" s="7"/>
      <c r="AL254" s="3"/>
      <c r="AM254" s="3"/>
      <c r="AN254" s="3"/>
      <c r="AO254" s="3"/>
      <c r="AP254" s="9"/>
      <c r="AQ254" s="6"/>
    </row>
    <row r="255" spans="1:43" ht="15" customHeight="1" x14ac:dyDescent="0.3">
      <c r="A255" s="22"/>
      <c r="I255" s="21"/>
      <c r="J255" s="20"/>
      <c r="K255" s="3"/>
      <c r="L255" s="20"/>
      <c r="N255" s="12"/>
      <c r="O255" s="11"/>
      <c r="S255" s="10"/>
      <c r="U255" s="3"/>
      <c r="V255" s="3"/>
      <c r="X255" s="9"/>
      <c r="Z255" s="3"/>
      <c r="AA255" s="8"/>
      <c r="AB255" s="7"/>
      <c r="AC255" s="7"/>
      <c r="AD255" s="6"/>
      <c r="AE255" s="6"/>
      <c r="AF255" s="5"/>
      <c r="AG255" s="7"/>
      <c r="AH255" s="3"/>
      <c r="AI255" s="7"/>
      <c r="AJ255" s="7"/>
      <c r="AL255" s="3"/>
      <c r="AM255" s="3"/>
      <c r="AN255" s="3"/>
      <c r="AO255" s="3"/>
      <c r="AP255" s="9"/>
      <c r="AQ255" s="6"/>
    </row>
    <row r="256" spans="1:43" ht="15" customHeight="1" x14ac:dyDescent="0.3">
      <c r="A256" s="22"/>
      <c r="I256" s="21"/>
      <c r="J256" s="20"/>
      <c r="K256" s="3"/>
      <c r="L256" s="20"/>
      <c r="N256" s="12"/>
      <c r="O256" s="11"/>
      <c r="S256" s="10"/>
      <c r="U256" s="3"/>
      <c r="V256" s="3"/>
      <c r="X256" s="9"/>
      <c r="Z256" s="3"/>
      <c r="AA256" s="8"/>
      <c r="AB256" s="7"/>
      <c r="AC256" s="7"/>
      <c r="AD256" s="6"/>
      <c r="AE256" s="6"/>
      <c r="AF256" s="5"/>
      <c r="AG256" s="7"/>
      <c r="AH256" s="3"/>
      <c r="AI256" s="7"/>
      <c r="AJ256" s="7"/>
      <c r="AL256" s="3"/>
      <c r="AM256" s="3"/>
      <c r="AN256" s="3"/>
      <c r="AO256" s="3"/>
      <c r="AP256" s="9"/>
      <c r="AQ256" s="6"/>
    </row>
    <row r="257" spans="1:43" ht="15" customHeight="1" x14ac:dyDescent="0.3">
      <c r="A257" s="22"/>
      <c r="I257" s="21"/>
      <c r="J257" s="20"/>
      <c r="K257" s="3"/>
      <c r="L257" s="20"/>
      <c r="N257" s="12"/>
      <c r="O257" s="11"/>
      <c r="S257" s="10"/>
      <c r="U257" s="3"/>
      <c r="V257" s="3"/>
      <c r="X257" s="9"/>
      <c r="Z257" s="3"/>
      <c r="AA257" s="8"/>
      <c r="AB257" s="7"/>
      <c r="AC257" s="7"/>
      <c r="AD257" s="6"/>
      <c r="AE257" s="6"/>
      <c r="AF257" s="5"/>
      <c r="AG257" s="7"/>
      <c r="AH257" s="3"/>
      <c r="AI257" s="7"/>
      <c r="AJ257" s="7"/>
      <c r="AL257" s="3"/>
      <c r="AM257" s="3"/>
      <c r="AN257" s="3"/>
      <c r="AO257" s="3"/>
      <c r="AP257" s="9"/>
      <c r="AQ257" s="6"/>
    </row>
    <row r="258" spans="1:43" ht="15" customHeight="1" x14ac:dyDescent="0.3">
      <c r="A258" s="22"/>
      <c r="I258" s="21"/>
      <c r="J258" s="20"/>
      <c r="K258" s="3"/>
      <c r="L258" s="20"/>
      <c r="N258" s="12"/>
      <c r="O258" s="11"/>
      <c r="S258" s="10"/>
      <c r="U258" s="3"/>
      <c r="V258" s="3"/>
      <c r="X258" s="9"/>
      <c r="Z258" s="3"/>
      <c r="AA258" s="8"/>
      <c r="AB258" s="7"/>
      <c r="AC258" s="7"/>
      <c r="AD258" s="6"/>
      <c r="AE258" s="6"/>
      <c r="AF258" s="5"/>
      <c r="AG258" s="7"/>
      <c r="AH258" s="3"/>
      <c r="AI258" s="7"/>
      <c r="AJ258" s="7"/>
      <c r="AL258" s="3"/>
      <c r="AM258" s="3"/>
      <c r="AN258" s="3"/>
      <c r="AO258" s="3"/>
      <c r="AP258" s="9"/>
      <c r="AQ258" s="6"/>
    </row>
    <row r="259" spans="1:43" ht="15" customHeight="1" x14ac:dyDescent="0.3">
      <c r="A259" s="22"/>
      <c r="I259" s="21"/>
      <c r="J259" s="20"/>
      <c r="K259" s="3"/>
      <c r="L259" s="20"/>
      <c r="N259" s="12"/>
      <c r="O259" s="11"/>
      <c r="S259" s="10"/>
      <c r="U259" s="3"/>
      <c r="V259" s="3"/>
      <c r="X259" s="9"/>
      <c r="Z259" s="3"/>
      <c r="AA259" s="8"/>
      <c r="AB259" s="7"/>
      <c r="AC259" s="7"/>
      <c r="AD259" s="6"/>
      <c r="AE259" s="6"/>
      <c r="AF259" s="5"/>
      <c r="AG259" s="7"/>
      <c r="AH259" s="3"/>
      <c r="AI259" s="7"/>
      <c r="AJ259" s="7"/>
      <c r="AL259" s="3"/>
      <c r="AM259" s="3"/>
      <c r="AN259" s="3"/>
      <c r="AO259" s="3"/>
      <c r="AP259" s="9"/>
      <c r="AQ259" s="6"/>
    </row>
    <row r="260" spans="1:43" ht="15" customHeight="1" x14ac:dyDescent="0.3">
      <c r="A260" s="22"/>
      <c r="I260" s="21"/>
      <c r="J260" s="20"/>
      <c r="K260" s="3"/>
      <c r="L260" s="20"/>
      <c r="N260" s="12"/>
      <c r="O260" s="11"/>
      <c r="S260" s="10"/>
      <c r="U260" s="3"/>
      <c r="V260" s="3"/>
      <c r="X260" s="9"/>
      <c r="Z260" s="3"/>
      <c r="AA260" s="8"/>
      <c r="AB260" s="7"/>
      <c r="AC260" s="7"/>
      <c r="AD260" s="6"/>
      <c r="AE260" s="6"/>
      <c r="AF260" s="5"/>
      <c r="AG260" s="7"/>
      <c r="AH260" s="3"/>
      <c r="AI260" s="7"/>
      <c r="AJ260" s="7"/>
      <c r="AL260" s="3"/>
      <c r="AM260" s="3"/>
      <c r="AN260" s="3"/>
      <c r="AO260" s="3"/>
      <c r="AP260" s="9"/>
      <c r="AQ260" s="6"/>
    </row>
    <row r="261" spans="1:43" ht="15" customHeight="1" x14ac:dyDescent="0.3">
      <c r="A261" s="22"/>
      <c r="I261" s="21"/>
      <c r="J261" s="20"/>
      <c r="K261" s="3"/>
      <c r="L261" s="20"/>
      <c r="N261" s="12"/>
      <c r="O261" s="11"/>
      <c r="S261" s="10"/>
      <c r="U261" s="3"/>
      <c r="V261" s="3"/>
      <c r="X261" s="9"/>
      <c r="Z261" s="3"/>
      <c r="AA261" s="8"/>
      <c r="AB261" s="7"/>
      <c r="AC261" s="7"/>
      <c r="AD261" s="6"/>
      <c r="AE261" s="6"/>
      <c r="AF261" s="5"/>
      <c r="AG261" s="7"/>
      <c r="AH261" s="3"/>
      <c r="AI261" s="7"/>
      <c r="AJ261" s="7"/>
      <c r="AL261" s="3"/>
      <c r="AM261" s="3"/>
      <c r="AN261" s="3"/>
      <c r="AO261" s="3"/>
      <c r="AP261" s="9"/>
      <c r="AQ261" s="6"/>
    </row>
    <row r="262" spans="1:43" ht="15" customHeight="1" x14ac:dyDescent="0.3">
      <c r="A262" s="22"/>
      <c r="I262" s="21"/>
      <c r="J262" s="20"/>
      <c r="K262" s="3"/>
      <c r="L262" s="20"/>
      <c r="N262" s="12"/>
      <c r="O262" s="11"/>
      <c r="S262" s="10"/>
      <c r="U262" s="3"/>
      <c r="V262" s="3"/>
      <c r="X262" s="9"/>
      <c r="Z262" s="3"/>
      <c r="AA262" s="8"/>
      <c r="AB262" s="7"/>
      <c r="AC262" s="7"/>
      <c r="AD262" s="6"/>
      <c r="AE262" s="6"/>
      <c r="AF262" s="5"/>
      <c r="AG262" s="7"/>
      <c r="AH262" s="3"/>
      <c r="AI262" s="7"/>
      <c r="AJ262" s="7"/>
      <c r="AL262" s="3"/>
      <c r="AM262" s="3"/>
      <c r="AN262" s="3"/>
      <c r="AO262" s="3"/>
      <c r="AP262" s="9"/>
      <c r="AQ262" s="6"/>
    </row>
    <row r="263" spans="1:43" ht="15" customHeight="1" x14ac:dyDescent="0.3">
      <c r="A263" s="22"/>
      <c r="I263" s="21"/>
      <c r="J263" s="20"/>
      <c r="K263" s="3"/>
      <c r="L263" s="20"/>
      <c r="N263" s="12"/>
      <c r="O263" s="11"/>
      <c r="S263" s="10"/>
      <c r="U263" s="3"/>
      <c r="V263" s="3"/>
      <c r="X263" s="9"/>
      <c r="Z263" s="3"/>
      <c r="AA263" s="8"/>
      <c r="AB263" s="7"/>
      <c r="AC263" s="7"/>
      <c r="AD263" s="6"/>
      <c r="AE263" s="6"/>
      <c r="AF263" s="5"/>
      <c r="AG263" s="7"/>
      <c r="AH263" s="3"/>
      <c r="AI263" s="7"/>
      <c r="AJ263" s="7"/>
      <c r="AL263" s="3"/>
      <c r="AM263" s="3"/>
      <c r="AN263" s="3"/>
      <c r="AO263" s="3"/>
      <c r="AP263" s="9"/>
      <c r="AQ263" s="6"/>
    </row>
    <row r="264" spans="1:43" ht="15" customHeight="1" x14ac:dyDescent="0.3">
      <c r="A264" s="22"/>
      <c r="I264" s="21"/>
      <c r="J264" s="20"/>
      <c r="K264" s="3"/>
      <c r="L264" s="20"/>
      <c r="N264" s="12"/>
      <c r="O264" s="11"/>
      <c r="S264" s="10"/>
      <c r="U264" s="3"/>
      <c r="V264" s="3"/>
      <c r="X264" s="9"/>
      <c r="Z264" s="3"/>
      <c r="AA264" s="8"/>
      <c r="AB264" s="7"/>
      <c r="AC264" s="7"/>
      <c r="AD264" s="6"/>
      <c r="AE264" s="6"/>
      <c r="AF264" s="5"/>
      <c r="AG264" s="7"/>
      <c r="AH264" s="3"/>
      <c r="AI264" s="7"/>
      <c r="AJ264" s="7"/>
      <c r="AL264" s="3"/>
      <c r="AM264" s="3"/>
      <c r="AN264" s="3"/>
      <c r="AO264" s="3"/>
      <c r="AP264" s="9"/>
      <c r="AQ264" s="6"/>
    </row>
    <row r="265" spans="1:43" ht="15" customHeight="1" x14ac:dyDescent="0.3">
      <c r="A265" s="22"/>
      <c r="I265" s="21"/>
      <c r="J265" s="20"/>
      <c r="K265" s="3"/>
      <c r="L265" s="20"/>
      <c r="N265" s="12"/>
      <c r="O265" s="11"/>
      <c r="S265" s="10"/>
      <c r="U265" s="3"/>
      <c r="V265" s="3"/>
      <c r="X265" s="9"/>
      <c r="Z265" s="3"/>
      <c r="AA265" s="8"/>
      <c r="AB265" s="7"/>
      <c r="AC265" s="7"/>
      <c r="AD265" s="6"/>
      <c r="AE265" s="6"/>
      <c r="AF265" s="5"/>
      <c r="AG265" s="7"/>
      <c r="AH265" s="3"/>
      <c r="AI265" s="7"/>
      <c r="AJ265" s="7"/>
      <c r="AL265" s="3"/>
      <c r="AM265" s="3"/>
      <c r="AN265" s="3"/>
      <c r="AO265" s="3"/>
      <c r="AP265" s="9"/>
      <c r="AQ265" s="6"/>
    </row>
    <row r="266" spans="1:43" ht="15" customHeight="1" x14ac:dyDescent="0.3">
      <c r="A266" s="22"/>
      <c r="I266" s="21"/>
      <c r="J266" s="20"/>
      <c r="K266" s="3"/>
      <c r="L266" s="20"/>
      <c r="N266" s="12"/>
      <c r="O266" s="11"/>
      <c r="S266" s="10"/>
      <c r="U266" s="3"/>
      <c r="V266" s="3"/>
      <c r="X266" s="9"/>
      <c r="Z266" s="3"/>
      <c r="AA266" s="8"/>
      <c r="AB266" s="7"/>
      <c r="AC266" s="7"/>
      <c r="AD266" s="6"/>
      <c r="AE266" s="6"/>
      <c r="AF266" s="5"/>
      <c r="AG266" s="7"/>
      <c r="AH266" s="3"/>
      <c r="AI266" s="7"/>
      <c r="AJ266" s="7"/>
      <c r="AL266" s="3"/>
      <c r="AM266" s="3"/>
      <c r="AN266" s="3"/>
      <c r="AO266" s="3"/>
      <c r="AP266" s="9"/>
      <c r="AQ266" s="6"/>
    </row>
    <row r="267" spans="1:43" ht="15" customHeight="1" x14ac:dyDescent="0.3">
      <c r="A267" s="22"/>
      <c r="I267" s="21"/>
      <c r="J267" s="20"/>
      <c r="K267" s="3"/>
      <c r="L267" s="20"/>
      <c r="N267" s="12"/>
      <c r="O267" s="11"/>
      <c r="S267" s="10"/>
      <c r="U267" s="3"/>
      <c r="V267" s="3"/>
      <c r="X267" s="9"/>
      <c r="Z267" s="3"/>
      <c r="AA267" s="8"/>
      <c r="AB267" s="7"/>
      <c r="AC267" s="7"/>
      <c r="AD267" s="6"/>
      <c r="AE267" s="6"/>
      <c r="AF267" s="5"/>
      <c r="AG267" s="7"/>
      <c r="AH267" s="3"/>
      <c r="AI267" s="7"/>
      <c r="AJ267" s="7"/>
      <c r="AL267" s="3"/>
      <c r="AM267" s="3"/>
      <c r="AN267" s="3"/>
      <c r="AO267" s="3"/>
      <c r="AP267" s="9"/>
      <c r="AQ267" s="6"/>
    </row>
    <row r="268" spans="1:43" ht="15" customHeight="1" x14ac:dyDescent="0.3">
      <c r="A268" s="22"/>
      <c r="I268" s="21"/>
      <c r="J268" s="20"/>
      <c r="K268" s="3"/>
      <c r="L268" s="20"/>
      <c r="N268" s="12"/>
      <c r="O268" s="11"/>
      <c r="S268" s="10"/>
      <c r="U268" s="3"/>
      <c r="V268" s="3"/>
      <c r="X268" s="9"/>
      <c r="Z268" s="3"/>
      <c r="AA268" s="8"/>
      <c r="AB268" s="7"/>
      <c r="AC268" s="7"/>
      <c r="AD268" s="6"/>
      <c r="AE268" s="6"/>
      <c r="AF268" s="5"/>
      <c r="AG268" s="7"/>
      <c r="AH268" s="3"/>
      <c r="AI268" s="7"/>
      <c r="AJ268" s="7"/>
      <c r="AL268" s="3"/>
      <c r="AM268" s="3"/>
      <c r="AN268" s="3"/>
      <c r="AO268" s="3"/>
      <c r="AP268" s="9"/>
      <c r="AQ268" s="6"/>
    </row>
    <row r="269" spans="1:43" ht="15" customHeight="1" x14ac:dyDescent="0.3">
      <c r="A269" s="22"/>
      <c r="I269" s="21"/>
      <c r="J269" s="20"/>
      <c r="K269" s="3"/>
      <c r="L269" s="20"/>
      <c r="N269" s="12"/>
      <c r="O269" s="11"/>
      <c r="S269" s="10"/>
      <c r="U269" s="3"/>
      <c r="V269" s="3"/>
      <c r="X269" s="9"/>
      <c r="Z269" s="3"/>
      <c r="AA269" s="8"/>
      <c r="AB269" s="7"/>
      <c r="AC269" s="7"/>
      <c r="AD269" s="6"/>
      <c r="AE269" s="6"/>
      <c r="AF269" s="5"/>
      <c r="AG269" s="7"/>
      <c r="AH269" s="3"/>
      <c r="AI269" s="7"/>
      <c r="AJ269" s="7"/>
      <c r="AL269" s="3"/>
      <c r="AM269" s="3"/>
      <c r="AN269" s="3"/>
      <c r="AO269" s="3"/>
      <c r="AP269" s="9"/>
      <c r="AQ269" s="6"/>
    </row>
    <row r="270" spans="1:43" ht="15" customHeight="1" x14ac:dyDescent="0.3">
      <c r="A270" s="22"/>
      <c r="I270" s="21"/>
      <c r="J270" s="20"/>
      <c r="K270" s="3"/>
      <c r="L270" s="20"/>
      <c r="N270" s="12"/>
      <c r="O270" s="11"/>
      <c r="S270" s="10"/>
      <c r="U270" s="3"/>
      <c r="V270" s="3"/>
      <c r="X270" s="9"/>
      <c r="Z270" s="3"/>
      <c r="AA270" s="8"/>
      <c r="AB270" s="7"/>
      <c r="AC270" s="7"/>
      <c r="AD270" s="6"/>
      <c r="AE270" s="6"/>
      <c r="AF270" s="5"/>
      <c r="AG270" s="7"/>
      <c r="AH270" s="3"/>
      <c r="AI270" s="7"/>
      <c r="AJ270" s="7"/>
      <c r="AL270" s="3"/>
      <c r="AM270" s="3"/>
      <c r="AN270" s="3"/>
      <c r="AO270" s="3"/>
      <c r="AP270" s="9"/>
      <c r="AQ270" s="6"/>
    </row>
    <row r="271" spans="1:43" ht="15" customHeight="1" x14ac:dyDescent="0.3">
      <c r="A271" s="22"/>
      <c r="I271" s="21"/>
      <c r="J271" s="20"/>
      <c r="K271" s="3"/>
      <c r="L271" s="20"/>
      <c r="N271" s="12"/>
      <c r="O271" s="11"/>
      <c r="S271" s="10"/>
      <c r="U271" s="3"/>
      <c r="V271" s="3"/>
      <c r="X271" s="9"/>
      <c r="Z271" s="3"/>
      <c r="AA271" s="8"/>
      <c r="AB271" s="7"/>
      <c r="AC271" s="7"/>
      <c r="AD271" s="6"/>
      <c r="AE271" s="6"/>
      <c r="AF271" s="5"/>
      <c r="AG271" s="7"/>
      <c r="AH271" s="3"/>
      <c r="AI271" s="7"/>
      <c r="AJ271" s="7"/>
      <c r="AL271" s="3"/>
      <c r="AM271" s="3"/>
      <c r="AN271" s="3"/>
      <c r="AO271" s="3"/>
      <c r="AP271" s="9"/>
      <c r="AQ271" s="6"/>
    </row>
    <row r="272" spans="1:43" ht="15" customHeight="1" x14ac:dyDescent="0.3">
      <c r="A272" s="22"/>
      <c r="I272" s="21"/>
      <c r="J272" s="20"/>
      <c r="K272" s="3"/>
      <c r="L272" s="20"/>
      <c r="N272" s="12"/>
      <c r="O272" s="11"/>
      <c r="S272" s="10"/>
      <c r="U272" s="3"/>
      <c r="V272" s="3"/>
      <c r="X272" s="9"/>
      <c r="Z272" s="3"/>
      <c r="AA272" s="8"/>
      <c r="AB272" s="7"/>
      <c r="AC272" s="7"/>
      <c r="AD272" s="6"/>
      <c r="AE272" s="6"/>
      <c r="AF272" s="5"/>
      <c r="AG272" s="7"/>
      <c r="AH272" s="3"/>
      <c r="AI272" s="7"/>
      <c r="AJ272" s="7"/>
      <c r="AL272" s="3"/>
      <c r="AM272" s="3"/>
      <c r="AN272" s="3"/>
      <c r="AO272" s="3"/>
      <c r="AP272" s="9"/>
      <c r="AQ272" s="6"/>
    </row>
    <row r="273" spans="1:43" ht="15" customHeight="1" x14ac:dyDescent="0.3">
      <c r="A273" s="22"/>
      <c r="I273" s="21"/>
      <c r="J273" s="20"/>
      <c r="K273" s="3"/>
      <c r="L273" s="20"/>
      <c r="N273" s="12"/>
      <c r="O273" s="11"/>
      <c r="S273" s="10"/>
      <c r="U273" s="3"/>
      <c r="V273" s="3"/>
      <c r="X273" s="9"/>
      <c r="Z273" s="3"/>
      <c r="AA273" s="8"/>
      <c r="AB273" s="7"/>
      <c r="AC273" s="7"/>
      <c r="AD273" s="6"/>
      <c r="AE273" s="6"/>
      <c r="AF273" s="5"/>
      <c r="AG273" s="7"/>
      <c r="AH273" s="3"/>
      <c r="AI273" s="7"/>
      <c r="AJ273" s="7"/>
      <c r="AL273" s="3"/>
      <c r="AM273" s="3"/>
      <c r="AN273" s="3"/>
      <c r="AO273" s="3"/>
      <c r="AP273" s="9"/>
      <c r="AQ273" s="6"/>
    </row>
    <row r="274" spans="1:43" ht="15" customHeight="1" x14ac:dyDescent="0.3">
      <c r="A274" s="22"/>
      <c r="I274" s="21"/>
      <c r="J274" s="20"/>
      <c r="K274" s="3"/>
      <c r="L274" s="20"/>
      <c r="N274" s="12"/>
      <c r="O274" s="11"/>
      <c r="S274" s="10"/>
      <c r="U274" s="3"/>
      <c r="V274" s="3"/>
      <c r="X274" s="9"/>
      <c r="Z274" s="3"/>
      <c r="AA274" s="8"/>
      <c r="AB274" s="7"/>
      <c r="AC274" s="7"/>
      <c r="AD274" s="6"/>
      <c r="AE274" s="6"/>
      <c r="AF274" s="5"/>
      <c r="AG274" s="7"/>
      <c r="AH274" s="3"/>
      <c r="AI274" s="7"/>
      <c r="AJ274" s="7"/>
      <c r="AL274" s="3"/>
      <c r="AM274" s="3"/>
      <c r="AN274" s="3"/>
      <c r="AO274" s="3"/>
      <c r="AP274" s="9"/>
      <c r="AQ274" s="6"/>
    </row>
    <row r="275" spans="1:43" ht="15" customHeight="1" x14ac:dyDescent="0.3">
      <c r="A275" s="22"/>
      <c r="I275" s="21"/>
      <c r="J275" s="20"/>
      <c r="K275" s="3"/>
      <c r="L275" s="20"/>
      <c r="N275" s="12"/>
      <c r="O275" s="11"/>
      <c r="S275" s="10"/>
      <c r="U275" s="3"/>
      <c r="V275" s="3"/>
      <c r="X275" s="9"/>
      <c r="Z275" s="3"/>
      <c r="AA275" s="8"/>
      <c r="AB275" s="7"/>
      <c r="AC275" s="7"/>
      <c r="AD275" s="6"/>
      <c r="AE275" s="6"/>
      <c r="AF275" s="5"/>
      <c r="AG275" s="7"/>
      <c r="AH275" s="3"/>
      <c r="AI275" s="7"/>
      <c r="AJ275" s="7"/>
      <c r="AL275" s="3"/>
      <c r="AM275" s="3"/>
      <c r="AN275" s="3"/>
      <c r="AO275" s="3"/>
      <c r="AP275" s="9"/>
      <c r="AQ275" s="6"/>
    </row>
    <row r="276" spans="1:43" ht="15" customHeight="1" x14ac:dyDescent="0.3">
      <c r="A276" s="22"/>
      <c r="I276" s="21"/>
      <c r="J276" s="20"/>
      <c r="K276" s="3"/>
      <c r="L276" s="20"/>
      <c r="N276" s="12"/>
      <c r="O276" s="11"/>
      <c r="S276" s="10"/>
      <c r="U276" s="3"/>
      <c r="V276" s="3"/>
      <c r="X276" s="9"/>
      <c r="Z276" s="3"/>
      <c r="AA276" s="8"/>
      <c r="AB276" s="7"/>
      <c r="AC276" s="7"/>
      <c r="AD276" s="6"/>
      <c r="AE276" s="6"/>
      <c r="AF276" s="5"/>
      <c r="AG276" s="7"/>
      <c r="AH276" s="3"/>
      <c r="AI276" s="7"/>
      <c r="AJ276" s="7"/>
      <c r="AL276" s="3"/>
      <c r="AM276" s="3"/>
      <c r="AN276" s="3"/>
      <c r="AO276" s="3"/>
      <c r="AP276" s="9"/>
      <c r="AQ276" s="6"/>
    </row>
    <row r="277" spans="1:43" ht="15" customHeight="1" x14ac:dyDescent="0.3">
      <c r="A277" s="22"/>
      <c r="I277" s="21"/>
      <c r="J277" s="20"/>
      <c r="K277" s="3"/>
      <c r="L277" s="20"/>
      <c r="N277" s="12"/>
      <c r="O277" s="11"/>
      <c r="S277" s="10"/>
      <c r="U277" s="3"/>
      <c r="V277" s="3"/>
      <c r="X277" s="9"/>
      <c r="Z277" s="3"/>
      <c r="AA277" s="8"/>
      <c r="AB277" s="7"/>
      <c r="AC277" s="7"/>
      <c r="AD277" s="6"/>
      <c r="AE277" s="6"/>
      <c r="AF277" s="5"/>
      <c r="AG277" s="7"/>
      <c r="AH277" s="3"/>
      <c r="AI277" s="7"/>
      <c r="AJ277" s="7"/>
      <c r="AL277" s="3"/>
      <c r="AM277" s="3"/>
      <c r="AN277" s="3"/>
      <c r="AO277" s="3"/>
      <c r="AP277" s="9"/>
      <c r="AQ277" s="6"/>
    </row>
    <row r="278" spans="1:43" ht="15" customHeight="1" x14ac:dyDescent="0.3">
      <c r="A278" s="22"/>
      <c r="I278" s="21"/>
      <c r="J278" s="20"/>
      <c r="K278" s="3"/>
      <c r="L278" s="20"/>
      <c r="N278" s="12"/>
      <c r="O278" s="11"/>
      <c r="S278" s="10"/>
      <c r="U278" s="3"/>
      <c r="V278" s="3"/>
      <c r="X278" s="9"/>
      <c r="Z278" s="3"/>
      <c r="AA278" s="8"/>
      <c r="AB278" s="7"/>
      <c r="AC278" s="7"/>
      <c r="AD278" s="6"/>
      <c r="AE278" s="6"/>
      <c r="AF278" s="5"/>
      <c r="AG278" s="7"/>
      <c r="AH278" s="3"/>
      <c r="AI278" s="7"/>
      <c r="AJ278" s="7"/>
      <c r="AL278" s="3"/>
      <c r="AM278" s="3"/>
      <c r="AN278" s="3"/>
      <c r="AO278" s="3"/>
      <c r="AP278" s="9"/>
      <c r="AQ278" s="6"/>
    </row>
    <row r="279" spans="1:43" ht="15" customHeight="1" x14ac:dyDescent="0.3">
      <c r="A279" s="22"/>
      <c r="I279" s="21"/>
      <c r="J279" s="20"/>
      <c r="K279" s="3"/>
      <c r="L279" s="20"/>
      <c r="N279" s="12"/>
      <c r="O279" s="11"/>
      <c r="S279" s="10"/>
      <c r="U279" s="3"/>
      <c r="V279" s="3"/>
      <c r="X279" s="9"/>
      <c r="Z279" s="3"/>
      <c r="AA279" s="8"/>
      <c r="AB279" s="7"/>
      <c r="AC279" s="7"/>
      <c r="AD279" s="6"/>
      <c r="AE279" s="6"/>
      <c r="AF279" s="5"/>
      <c r="AG279" s="7"/>
      <c r="AH279" s="3"/>
      <c r="AI279" s="7"/>
      <c r="AJ279" s="7"/>
      <c r="AL279" s="3"/>
      <c r="AM279" s="3"/>
      <c r="AN279" s="3"/>
      <c r="AO279" s="3"/>
      <c r="AP279" s="9"/>
      <c r="AQ279" s="6"/>
    </row>
    <row r="280" spans="1:43" ht="15" customHeight="1" x14ac:dyDescent="0.3">
      <c r="A280" s="22"/>
      <c r="I280" s="21"/>
      <c r="J280" s="20"/>
      <c r="K280" s="3"/>
      <c r="L280" s="20"/>
      <c r="N280" s="12"/>
      <c r="O280" s="11"/>
      <c r="S280" s="10"/>
      <c r="U280" s="3"/>
      <c r="V280" s="3"/>
      <c r="X280" s="9"/>
      <c r="Z280" s="3"/>
      <c r="AA280" s="8"/>
      <c r="AB280" s="7"/>
      <c r="AC280" s="7"/>
      <c r="AD280" s="6"/>
      <c r="AE280" s="6"/>
      <c r="AF280" s="5"/>
      <c r="AG280" s="7"/>
      <c r="AH280" s="3"/>
      <c r="AI280" s="7"/>
      <c r="AJ280" s="7"/>
      <c r="AL280" s="3"/>
      <c r="AM280" s="3"/>
      <c r="AN280" s="3"/>
      <c r="AO280" s="3"/>
      <c r="AP280" s="9"/>
      <c r="AQ280" s="6"/>
    </row>
    <row r="281" spans="1:43" ht="15" customHeight="1" x14ac:dyDescent="0.3">
      <c r="A281" s="22"/>
      <c r="I281" s="21"/>
      <c r="J281" s="20"/>
      <c r="K281" s="3"/>
      <c r="L281" s="20"/>
      <c r="N281" s="12"/>
      <c r="O281" s="11"/>
      <c r="S281" s="10"/>
      <c r="U281" s="3"/>
      <c r="V281" s="3"/>
      <c r="X281" s="9"/>
      <c r="Z281" s="3"/>
      <c r="AA281" s="8"/>
      <c r="AB281" s="7"/>
      <c r="AC281" s="7"/>
      <c r="AD281" s="6"/>
      <c r="AE281" s="6"/>
      <c r="AF281" s="5"/>
      <c r="AG281" s="7"/>
      <c r="AH281" s="3"/>
      <c r="AI281" s="7"/>
      <c r="AJ281" s="7"/>
      <c r="AL281" s="3"/>
      <c r="AM281" s="3"/>
      <c r="AN281" s="3"/>
      <c r="AO281" s="3"/>
      <c r="AP281" s="9"/>
      <c r="AQ281" s="6"/>
    </row>
    <row r="282" spans="1:43" ht="15" customHeight="1" x14ac:dyDescent="0.3">
      <c r="A282" s="22"/>
      <c r="I282" s="21"/>
      <c r="J282" s="20"/>
      <c r="K282" s="3"/>
      <c r="L282" s="20"/>
      <c r="N282" s="12"/>
      <c r="O282" s="11"/>
      <c r="S282" s="10"/>
      <c r="U282" s="3"/>
      <c r="V282" s="3"/>
      <c r="X282" s="9"/>
      <c r="Z282" s="3"/>
      <c r="AA282" s="8"/>
      <c r="AB282" s="7"/>
      <c r="AC282" s="7"/>
      <c r="AD282" s="6"/>
      <c r="AE282" s="6"/>
      <c r="AF282" s="5"/>
      <c r="AG282" s="7"/>
      <c r="AH282" s="3"/>
      <c r="AI282" s="7"/>
      <c r="AJ282" s="7"/>
      <c r="AL282" s="3"/>
      <c r="AM282" s="3"/>
      <c r="AN282" s="3"/>
      <c r="AO282" s="3"/>
      <c r="AP282" s="9"/>
      <c r="AQ282" s="6"/>
    </row>
    <row r="283" spans="1:43" ht="15" customHeight="1" x14ac:dyDescent="0.3">
      <c r="A283" s="22"/>
      <c r="I283" s="21"/>
      <c r="J283" s="20"/>
      <c r="K283" s="3"/>
      <c r="L283" s="20"/>
      <c r="N283" s="12"/>
      <c r="O283" s="11"/>
      <c r="S283" s="10"/>
      <c r="U283" s="3"/>
      <c r="V283" s="3"/>
      <c r="X283" s="9"/>
      <c r="Z283" s="3"/>
      <c r="AA283" s="8"/>
      <c r="AB283" s="7"/>
      <c r="AC283" s="7"/>
      <c r="AD283" s="6"/>
      <c r="AE283" s="6"/>
      <c r="AF283" s="5"/>
      <c r="AG283" s="7"/>
      <c r="AH283" s="3"/>
      <c r="AI283" s="7"/>
      <c r="AJ283" s="7"/>
      <c r="AL283" s="3"/>
      <c r="AM283" s="3"/>
      <c r="AN283" s="3"/>
      <c r="AO283" s="3"/>
      <c r="AP283" s="9"/>
      <c r="AQ283" s="6"/>
    </row>
    <row r="284" spans="1:43" ht="15" customHeight="1" x14ac:dyDescent="0.3">
      <c r="A284" s="22"/>
      <c r="I284" s="21"/>
      <c r="J284" s="20"/>
      <c r="K284" s="3"/>
      <c r="L284" s="20"/>
      <c r="N284" s="12"/>
      <c r="O284" s="11"/>
      <c r="S284" s="10"/>
      <c r="U284" s="3"/>
      <c r="V284" s="3"/>
      <c r="X284" s="9"/>
      <c r="Z284" s="3"/>
      <c r="AA284" s="8"/>
      <c r="AB284" s="7"/>
      <c r="AC284" s="7"/>
      <c r="AD284" s="6"/>
      <c r="AE284" s="6"/>
      <c r="AF284" s="5"/>
      <c r="AG284" s="7"/>
      <c r="AH284" s="3"/>
      <c r="AI284" s="7"/>
      <c r="AJ284" s="7"/>
      <c r="AL284" s="3"/>
      <c r="AM284" s="3"/>
      <c r="AN284" s="3"/>
      <c r="AO284" s="3"/>
      <c r="AP284" s="9"/>
      <c r="AQ284" s="6"/>
    </row>
    <row r="285" spans="1:43" ht="15" customHeight="1" x14ac:dyDescent="0.3">
      <c r="A285" s="22"/>
      <c r="I285" s="21"/>
      <c r="J285" s="20"/>
      <c r="K285" s="3"/>
      <c r="L285" s="20"/>
      <c r="N285" s="12"/>
      <c r="O285" s="11"/>
      <c r="S285" s="10"/>
      <c r="U285" s="3"/>
      <c r="V285" s="3"/>
      <c r="X285" s="9"/>
      <c r="Z285" s="3"/>
      <c r="AA285" s="8"/>
      <c r="AB285" s="7"/>
      <c r="AC285" s="7"/>
      <c r="AD285" s="6"/>
      <c r="AE285" s="6"/>
      <c r="AF285" s="5"/>
      <c r="AG285" s="7"/>
      <c r="AH285" s="3"/>
      <c r="AI285" s="7"/>
      <c r="AJ285" s="7"/>
      <c r="AL285" s="3"/>
      <c r="AM285" s="3"/>
      <c r="AN285" s="3"/>
      <c r="AO285" s="3"/>
      <c r="AP285" s="9"/>
      <c r="AQ285" s="6"/>
    </row>
    <row r="286" spans="1:43" ht="15" customHeight="1" x14ac:dyDescent="0.3">
      <c r="A286" s="22"/>
      <c r="I286" s="21"/>
      <c r="J286" s="20"/>
      <c r="K286" s="3"/>
      <c r="L286" s="20"/>
      <c r="N286" s="12"/>
      <c r="O286" s="11"/>
      <c r="S286" s="10"/>
      <c r="U286" s="3"/>
      <c r="V286" s="3"/>
      <c r="X286" s="9"/>
      <c r="Z286" s="3"/>
      <c r="AA286" s="8"/>
      <c r="AB286" s="7"/>
      <c r="AC286" s="7"/>
      <c r="AD286" s="6"/>
      <c r="AE286" s="6"/>
      <c r="AF286" s="5"/>
      <c r="AG286" s="7"/>
      <c r="AH286" s="3"/>
      <c r="AI286" s="7"/>
      <c r="AJ286" s="7"/>
      <c r="AL286" s="3"/>
      <c r="AM286" s="3"/>
      <c r="AN286" s="3"/>
      <c r="AO286" s="3"/>
      <c r="AP286" s="9"/>
      <c r="AQ286" s="6"/>
    </row>
    <row r="287" spans="1:43" ht="15" customHeight="1" x14ac:dyDescent="0.3">
      <c r="A287" s="22"/>
      <c r="I287" s="21"/>
      <c r="J287" s="20"/>
      <c r="K287" s="3"/>
      <c r="L287" s="20"/>
      <c r="N287" s="12"/>
      <c r="O287" s="11"/>
      <c r="S287" s="10"/>
      <c r="U287" s="3"/>
      <c r="V287" s="3"/>
      <c r="X287" s="9"/>
      <c r="Z287" s="3"/>
      <c r="AA287" s="8"/>
      <c r="AB287" s="7"/>
      <c r="AC287" s="7"/>
      <c r="AD287" s="6"/>
      <c r="AE287" s="6"/>
      <c r="AF287" s="5"/>
      <c r="AG287" s="7"/>
      <c r="AH287" s="3"/>
      <c r="AI287" s="7"/>
      <c r="AJ287" s="7"/>
      <c r="AL287" s="3"/>
      <c r="AM287" s="3"/>
      <c r="AN287" s="3"/>
      <c r="AO287" s="3"/>
      <c r="AP287" s="9"/>
      <c r="AQ287" s="6"/>
    </row>
    <row r="288" spans="1:43" ht="15" customHeight="1" x14ac:dyDescent="0.3">
      <c r="A288" s="22"/>
      <c r="I288" s="21"/>
      <c r="J288" s="20"/>
      <c r="K288" s="3"/>
      <c r="L288" s="20"/>
      <c r="N288" s="12"/>
      <c r="O288" s="11"/>
      <c r="S288" s="10"/>
      <c r="U288" s="3"/>
      <c r="V288" s="3"/>
      <c r="X288" s="9"/>
      <c r="Z288" s="3"/>
      <c r="AA288" s="8"/>
      <c r="AB288" s="7"/>
      <c r="AC288" s="7"/>
      <c r="AD288" s="6"/>
      <c r="AE288" s="6"/>
      <c r="AF288" s="5"/>
      <c r="AG288" s="7"/>
      <c r="AH288" s="3"/>
      <c r="AI288" s="7"/>
      <c r="AJ288" s="7"/>
      <c r="AL288" s="3"/>
      <c r="AM288" s="3"/>
      <c r="AN288" s="3"/>
      <c r="AO288" s="3"/>
      <c r="AP288" s="9"/>
      <c r="AQ288" s="6"/>
    </row>
    <row r="289" spans="1:43" ht="15" customHeight="1" x14ac:dyDescent="0.3">
      <c r="A289" s="22"/>
      <c r="I289" s="21"/>
      <c r="J289" s="20"/>
      <c r="K289" s="3"/>
      <c r="L289" s="20"/>
      <c r="N289" s="12"/>
      <c r="O289" s="11"/>
      <c r="S289" s="10"/>
      <c r="U289" s="3"/>
      <c r="V289" s="3"/>
      <c r="X289" s="9"/>
      <c r="Z289" s="3"/>
      <c r="AA289" s="8"/>
      <c r="AB289" s="7"/>
      <c r="AC289" s="7"/>
      <c r="AD289" s="6"/>
      <c r="AE289" s="6"/>
      <c r="AF289" s="5"/>
      <c r="AG289" s="7"/>
      <c r="AH289" s="3"/>
      <c r="AI289" s="7"/>
      <c r="AJ289" s="7"/>
      <c r="AL289" s="3"/>
      <c r="AM289" s="3"/>
      <c r="AN289" s="3"/>
      <c r="AO289" s="3"/>
      <c r="AP289" s="9"/>
      <c r="AQ289" s="6"/>
    </row>
    <row r="290" spans="1:43" ht="15" customHeight="1" x14ac:dyDescent="0.3">
      <c r="A290" s="22"/>
      <c r="I290" s="21"/>
      <c r="J290" s="20"/>
      <c r="K290" s="3"/>
      <c r="L290" s="20"/>
      <c r="N290" s="12"/>
      <c r="O290" s="11"/>
      <c r="S290" s="10"/>
      <c r="U290" s="3"/>
      <c r="V290" s="3"/>
      <c r="X290" s="9"/>
      <c r="Z290" s="3"/>
      <c r="AA290" s="8"/>
      <c r="AB290" s="7"/>
      <c r="AC290" s="7"/>
      <c r="AD290" s="6"/>
      <c r="AE290" s="6"/>
      <c r="AF290" s="5"/>
      <c r="AG290" s="7"/>
      <c r="AH290" s="3"/>
      <c r="AI290" s="7"/>
      <c r="AJ290" s="7"/>
      <c r="AL290" s="3"/>
      <c r="AM290" s="3"/>
      <c r="AN290" s="3"/>
      <c r="AO290" s="3"/>
      <c r="AP290" s="9"/>
      <c r="AQ290" s="6"/>
    </row>
    <row r="291" spans="1:43" ht="15" customHeight="1" x14ac:dyDescent="0.3">
      <c r="A291" s="22"/>
      <c r="I291" s="21"/>
      <c r="J291" s="20"/>
      <c r="K291" s="3"/>
      <c r="L291" s="20"/>
      <c r="N291" s="12"/>
      <c r="O291" s="11"/>
      <c r="S291" s="10"/>
      <c r="U291" s="3"/>
      <c r="V291" s="3"/>
      <c r="X291" s="9"/>
      <c r="Z291" s="3"/>
      <c r="AA291" s="8"/>
      <c r="AB291" s="7"/>
      <c r="AC291" s="7"/>
      <c r="AD291" s="6"/>
      <c r="AE291" s="6"/>
      <c r="AF291" s="5"/>
      <c r="AG291" s="7"/>
      <c r="AH291" s="3"/>
      <c r="AI291" s="7"/>
      <c r="AJ291" s="7"/>
      <c r="AL291" s="3"/>
      <c r="AM291" s="3"/>
      <c r="AN291" s="3"/>
      <c r="AO291" s="3"/>
      <c r="AP291" s="9"/>
      <c r="AQ291" s="6"/>
    </row>
    <row r="292" spans="1:43" ht="15" customHeight="1" x14ac:dyDescent="0.3">
      <c r="A292" s="22"/>
      <c r="I292" s="21"/>
      <c r="J292" s="20"/>
      <c r="K292" s="3"/>
      <c r="L292" s="20"/>
      <c r="N292" s="12"/>
      <c r="O292" s="11"/>
      <c r="S292" s="10"/>
      <c r="U292" s="3"/>
      <c r="V292" s="3"/>
      <c r="X292" s="9"/>
      <c r="Z292" s="3"/>
      <c r="AA292" s="8"/>
      <c r="AB292" s="7"/>
      <c r="AC292" s="7"/>
      <c r="AD292" s="6"/>
      <c r="AE292" s="6"/>
      <c r="AF292" s="5"/>
      <c r="AG292" s="7"/>
      <c r="AH292" s="3"/>
      <c r="AI292" s="7"/>
      <c r="AJ292" s="7"/>
      <c r="AL292" s="3"/>
      <c r="AM292" s="3"/>
      <c r="AN292" s="3"/>
      <c r="AO292" s="3"/>
      <c r="AP292" s="9"/>
      <c r="AQ292" s="6"/>
    </row>
    <row r="293" spans="1:43" ht="15" customHeight="1" x14ac:dyDescent="0.3">
      <c r="A293" s="22"/>
      <c r="I293" s="21"/>
      <c r="J293" s="20"/>
      <c r="K293" s="3"/>
      <c r="L293" s="20"/>
      <c r="N293" s="12"/>
      <c r="O293" s="11"/>
      <c r="S293" s="10"/>
      <c r="U293" s="3"/>
      <c r="V293" s="3"/>
      <c r="X293" s="9"/>
      <c r="Z293" s="3"/>
      <c r="AA293" s="8"/>
      <c r="AB293" s="7"/>
      <c r="AC293" s="7"/>
      <c r="AD293" s="6"/>
      <c r="AE293" s="6"/>
      <c r="AF293" s="5"/>
      <c r="AG293" s="7"/>
      <c r="AH293" s="3"/>
      <c r="AI293" s="7"/>
      <c r="AJ293" s="7"/>
      <c r="AL293" s="3"/>
      <c r="AM293" s="3"/>
      <c r="AN293" s="3"/>
      <c r="AO293" s="3"/>
      <c r="AP293" s="9"/>
      <c r="AQ293" s="6"/>
    </row>
    <row r="294" spans="1:43" ht="15" customHeight="1" x14ac:dyDescent="0.3">
      <c r="A294" s="22"/>
      <c r="I294" s="21"/>
      <c r="J294" s="20"/>
      <c r="K294" s="3"/>
      <c r="L294" s="20"/>
      <c r="N294" s="12"/>
      <c r="O294" s="11"/>
      <c r="S294" s="10"/>
      <c r="U294" s="3"/>
      <c r="V294" s="3"/>
      <c r="X294" s="9"/>
      <c r="Z294" s="3"/>
      <c r="AA294" s="8"/>
      <c r="AB294" s="7"/>
      <c r="AC294" s="7"/>
      <c r="AD294" s="6"/>
      <c r="AE294" s="6"/>
      <c r="AF294" s="5"/>
      <c r="AG294" s="7"/>
      <c r="AH294" s="3"/>
      <c r="AI294" s="7"/>
      <c r="AJ294" s="7"/>
      <c r="AL294" s="3"/>
      <c r="AM294" s="3"/>
      <c r="AN294" s="3"/>
      <c r="AO294" s="3"/>
      <c r="AP294" s="9"/>
      <c r="AQ294" s="6"/>
    </row>
    <row r="295" spans="1:43" ht="15" customHeight="1" x14ac:dyDescent="0.3">
      <c r="A295" s="22"/>
      <c r="I295" s="21"/>
      <c r="J295" s="20"/>
      <c r="K295" s="3"/>
      <c r="L295" s="20"/>
      <c r="N295" s="12"/>
      <c r="O295" s="11"/>
      <c r="S295" s="10"/>
      <c r="U295" s="3"/>
      <c r="V295" s="3"/>
      <c r="X295" s="9"/>
      <c r="Z295" s="3"/>
      <c r="AA295" s="8"/>
      <c r="AB295" s="7"/>
      <c r="AC295" s="7"/>
      <c r="AD295" s="6"/>
      <c r="AE295" s="6"/>
      <c r="AF295" s="5"/>
      <c r="AG295" s="7"/>
      <c r="AH295" s="3"/>
      <c r="AI295" s="7"/>
      <c r="AJ295" s="7"/>
      <c r="AL295" s="3"/>
      <c r="AM295" s="3"/>
      <c r="AN295" s="3"/>
      <c r="AO295" s="3"/>
      <c r="AP295" s="9"/>
      <c r="AQ295" s="6"/>
    </row>
    <row r="296" spans="1:43" ht="15" customHeight="1" x14ac:dyDescent="0.3">
      <c r="A296" s="22"/>
      <c r="I296" s="21"/>
      <c r="J296" s="20"/>
      <c r="K296" s="3"/>
      <c r="L296" s="20"/>
      <c r="N296" s="12"/>
      <c r="O296" s="11"/>
      <c r="S296" s="10"/>
      <c r="U296" s="3"/>
      <c r="V296" s="3"/>
      <c r="X296" s="9"/>
      <c r="Z296" s="3"/>
      <c r="AA296" s="8"/>
      <c r="AB296" s="7"/>
      <c r="AC296" s="7"/>
      <c r="AD296" s="6"/>
      <c r="AE296" s="6"/>
      <c r="AF296" s="5"/>
      <c r="AG296" s="7"/>
      <c r="AH296" s="3"/>
      <c r="AI296" s="7"/>
      <c r="AJ296" s="7"/>
      <c r="AL296" s="3"/>
      <c r="AM296" s="3"/>
      <c r="AN296" s="3"/>
      <c r="AO296" s="3"/>
      <c r="AP296" s="9"/>
      <c r="AQ296" s="6"/>
    </row>
    <row r="297" spans="1:43" ht="15" customHeight="1" x14ac:dyDescent="0.3">
      <c r="A297" s="22"/>
      <c r="I297" s="21"/>
      <c r="J297" s="20"/>
      <c r="K297" s="3"/>
      <c r="L297" s="20"/>
      <c r="N297" s="12"/>
      <c r="O297" s="11"/>
      <c r="S297" s="10"/>
      <c r="U297" s="3"/>
      <c r="V297" s="3"/>
      <c r="X297" s="9"/>
      <c r="Z297" s="3"/>
      <c r="AA297" s="8"/>
      <c r="AB297" s="7"/>
      <c r="AC297" s="7"/>
      <c r="AD297" s="6"/>
      <c r="AE297" s="6"/>
      <c r="AF297" s="5"/>
      <c r="AG297" s="7"/>
      <c r="AH297" s="3"/>
      <c r="AI297" s="7"/>
      <c r="AJ297" s="7"/>
      <c r="AL297" s="3"/>
      <c r="AM297" s="3"/>
      <c r="AN297" s="3"/>
      <c r="AO297" s="3"/>
      <c r="AP297" s="9"/>
      <c r="AQ297" s="6"/>
    </row>
    <row r="298" spans="1:43" ht="15" customHeight="1" x14ac:dyDescent="0.3">
      <c r="A298" s="22"/>
      <c r="I298" s="21"/>
      <c r="J298" s="20"/>
      <c r="K298" s="3"/>
      <c r="L298" s="20"/>
      <c r="N298" s="12"/>
      <c r="O298" s="11"/>
      <c r="S298" s="10"/>
      <c r="U298" s="3"/>
      <c r="V298" s="3"/>
      <c r="X298" s="9"/>
      <c r="Z298" s="3"/>
      <c r="AA298" s="8"/>
      <c r="AB298" s="7"/>
      <c r="AC298" s="7"/>
      <c r="AD298" s="6"/>
      <c r="AE298" s="6"/>
      <c r="AF298" s="5"/>
      <c r="AG298" s="7"/>
      <c r="AH298" s="3"/>
      <c r="AI298" s="7"/>
      <c r="AJ298" s="7"/>
      <c r="AL298" s="3"/>
      <c r="AM298" s="3"/>
      <c r="AN298" s="3"/>
      <c r="AO298" s="3"/>
      <c r="AP298" s="9"/>
      <c r="AQ298" s="6"/>
    </row>
    <row r="299" spans="1:43" ht="15" customHeight="1" x14ac:dyDescent="0.3">
      <c r="A299" s="22"/>
      <c r="I299" s="21"/>
      <c r="J299" s="20"/>
      <c r="K299" s="3"/>
      <c r="L299" s="20"/>
      <c r="N299" s="12"/>
      <c r="O299" s="11"/>
      <c r="S299" s="10"/>
      <c r="U299" s="3"/>
      <c r="V299" s="3"/>
      <c r="X299" s="9"/>
      <c r="Z299" s="3"/>
      <c r="AA299" s="8"/>
      <c r="AB299" s="7"/>
      <c r="AC299" s="7"/>
      <c r="AD299" s="6"/>
      <c r="AE299" s="6"/>
      <c r="AF299" s="5"/>
      <c r="AG299" s="7"/>
      <c r="AH299" s="3"/>
      <c r="AI299" s="7"/>
      <c r="AJ299" s="7"/>
      <c r="AL299" s="3"/>
      <c r="AM299" s="3"/>
      <c r="AN299" s="3"/>
      <c r="AO299" s="3"/>
      <c r="AP299" s="9"/>
      <c r="AQ299" s="6"/>
    </row>
    <row r="300" spans="1:43" ht="15" customHeight="1" x14ac:dyDescent="0.3">
      <c r="A300" s="22"/>
      <c r="I300" s="21"/>
      <c r="J300" s="20"/>
      <c r="K300" s="3"/>
      <c r="L300" s="20"/>
      <c r="N300" s="12"/>
      <c r="O300" s="11"/>
      <c r="S300" s="10"/>
      <c r="U300" s="3"/>
      <c r="V300" s="3"/>
      <c r="X300" s="9"/>
      <c r="Z300" s="3"/>
      <c r="AA300" s="8"/>
      <c r="AB300" s="7"/>
      <c r="AC300" s="7"/>
      <c r="AD300" s="6"/>
      <c r="AE300" s="6"/>
      <c r="AF300" s="5"/>
      <c r="AG300" s="7"/>
      <c r="AH300" s="3"/>
      <c r="AI300" s="7"/>
      <c r="AJ300" s="7"/>
      <c r="AL300" s="3"/>
      <c r="AM300" s="3"/>
      <c r="AN300" s="3"/>
      <c r="AO300" s="3"/>
      <c r="AP300" s="9"/>
      <c r="AQ300" s="6"/>
    </row>
    <row r="301" spans="1:43" ht="15" customHeight="1" x14ac:dyDescent="0.3">
      <c r="A301" s="22"/>
      <c r="I301" s="21"/>
      <c r="J301" s="20"/>
      <c r="K301" s="3"/>
      <c r="L301" s="20"/>
      <c r="N301" s="12"/>
      <c r="O301" s="11"/>
      <c r="S301" s="10"/>
      <c r="U301" s="3"/>
      <c r="V301" s="3"/>
      <c r="X301" s="9"/>
      <c r="Z301" s="3"/>
      <c r="AA301" s="8"/>
      <c r="AB301" s="7"/>
      <c r="AC301" s="7"/>
      <c r="AD301" s="6"/>
      <c r="AE301" s="6"/>
      <c r="AF301" s="5"/>
      <c r="AG301" s="7"/>
      <c r="AH301" s="3"/>
      <c r="AI301" s="7"/>
      <c r="AJ301" s="7"/>
      <c r="AL301" s="3"/>
      <c r="AM301" s="3"/>
      <c r="AN301" s="3"/>
      <c r="AO301" s="3"/>
      <c r="AP301" s="9"/>
      <c r="AQ301" s="6"/>
    </row>
    <row r="302" spans="1:43" ht="15" customHeight="1" x14ac:dyDescent="0.3">
      <c r="A302" s="22"/>
      <c r="I302" s="21"/>
      <c r="J302" s="20"/>
      <c r="K302" s="3"/>
      <c r="L302" s="20"/>
      <c r="N302" s="12"/>
      <c r="O302" s="11"/>
      <c r="S302" s="10"/>
      <c r="U302" s="3"/>
      <c r="V302" s="3"/>
      <c r="X302" s="9"/>
      <c r="Z302" s="3"/>
      <c r="AA302" s="8"/>
      <c r="AB302" s="7"/>
      <c r="AC302" s="7"/>
      <c r="AD302" s="6"/>
      <c r="AE302" s="6"/>
      <c r="AF302" s="5"/>
      <c r="AG302" s="7"/>
      <c r="AH302" s="3"/>
      <c r="AI302" s="7"/>
      <c r="AJ302" s="7"/>
      <c r="AL302" s="3"/>
      <c r="AM302" s="3"/>
      <c r="AN302" s="3"/>
      <c r="AO302" s="3"/>
      <c r="AP302" s="9"/>
      <c r="AQ302" s="6"/>
    </row>
    <row r="303" spans="1:43" ht="15" customHeight="1" x14ac:dyDescent="0.3">
      <c r="A303" s="22"/>
      <c r="I303" s="21"/>
      <c r="J303" s="20"/>
      <c r="K303" s="3"/>
      <c r="L303" s="20"/>
      <c r="N303" s="12"/>
      <c r="O303" s="11"/>
      <c r="S303" s="10"/>
      <c r="U303" s="3"/>
      <c r="V303" s="3"/>
      <c r="X303" s="9"/>
      <c r="Z303" s="3"/>
      <c r="AA303" s="8"/>
      <c r="AB303" s="7"/>
      <c r="AC303" s="7"/>
      <c r="AD303" s="6"/>
      <c r="AE303" s="6"/>
      <c r="AF303" s="5"/>
      <c r="AG303" s="7"/>
      <c r="AH303" s="3"/>
      <c r="AI303" s="7"/>
      <c r="AJ303" s="7"/>
      <c r="AL303" s="3"/>
      <c r="AM303" s="3"/>
      <c r="AN303" s="3"/>
      <c r="AO303" s="3"/>
      <c r="AP303" s="9"/>
      <c r="AQ303" s="6"/>
    </row>
    <row r="304" spans="1:43" ht="15" customHeight="1" x14ac:dyDescent="0.3">
      <c r="A304" s="22"/>
      <c r="I304" s="21"/>
      <c r="J304" s="20"/>
      <c r="K304" s="3"/>
      <c r="L304" s="20"/>
      <c r="N304" s="12"/>
      <c r="O304" s="11"/>
      <c r="S304" s="10"/>
      <c r="U304" s="3"/>
      <c r="V304" s="3"/>
      <c r="X304" s="9"/>
      <c r="Z304" s="3"/>
      <c r="AA304" s="8"/>
      <c r="AB304" s="7"/>
      <c r="AC304" s="7"/>
      <c r="AD304" s="6"/>
      <c r="AE304" s="6"/>
      <c r="AF304" s="5"/>
      <c r="AG304" s="7"/>
      <c r="AH304" s="3"/>
      <c r="AI304" s="7"/>
      <c r="AJ304" s="7"/>
      <c r="AL304" s="3"/>
      <c r="AM304" s="3"/>
      <c r="AN304" s="3"/>
      <c r="AO304" s="3"/>
      <c r="AP304" s="9"/>
      <c r="AQ304" s="6"/>
    </row>
    <row r="305" spans="1:43" ht="15" customHeight="1" x14ac:dyDescent="0.3">
      <c r="A305" s="22"/>
      <c r="I305" s="21"/>
      <c r="J305" s="20"/>
      <c r="K305" s="3"/>
      <c r="L305" s="20"/>
      <c r="N305" s="12"/>
      <c r="O305" s="11"/>
      <c r="S305" s="10"/>
      <c r="U305" s="3"/>
      <c r="V305" s="3"/>
      <c r="X305" s="9"/>
      <c r="Z305" s="3"/>
      <c r="AA305" s="8"/>
      <c r="AB305" s="7"/>
      <c r="AC305" s="7"/>
      <c r="AD305" s="6"/>
      <c r="AE305" s="6"/>
      <c r="AF305" s="5"/>
      <c r="AG305" s="7"/>
      <c r="AH305" s="3"/>
      <c r="AI305" s="7"/>
      <c r="AJ305" s="7"/>
      <c r="AL305" s="3"/>
      <c r="AM305" s="3"/>
      <c r="AN305" s="3"/>
      <c r="AO305" s="3"/>
      <c r="AP305" s="9"/>
      <c r="AQ305" s="6"/>
    </row>
    <row r="306" spans="1:43" ht="15" customHeight="1" x14ac:dyDescent="0.3">
      <c r="A306" s="22"/>
      <c r="I306" s="21"/>
      <c r="J306" s="20"/>
      <c r="K306" s="3"/>
      <c r="L306" s="20"/>
      <c r="N306" s="12"/>
      <c r="O306" s="11"/>
      <c r="S306" s="10"/>
      <c r="U306" s="3"/>
      <c r="V306" s="3"/>
      <c r="X306" s="9"/>
      <c r="Z306" s="3"/>
      <c r="AA306" s="8"/>
      <c r="AB306" s="7"/>
      <c r="AC306" s="7"/>
      <c r="AD306" s="6"/>
      <c r="AE306" s="6"/>
      <c r="AF306" s="5"/>
      <c r="AG306" s="7"/>
      <c r="AH306" s="3"/>
      <c r="AI306" s="7"/>
      <c r="AJ306" s="7"/>
      <c r="AL306" s="3"/>
      <c r="AM306" s="3"/>
      <c r="AN306" s="3"/>
      <c r="AO306" s="3"/>
      <c r="AP306" s="9"/>
      <c r="AQ306" s="6"/>
    </row>
    <row r="307" spans="1:43" ht="15" customHeight="1" x14ac:dyDescent="0.3">
      <c r="A307" s="22"/>
      <c r="I307" s="21"/>
      <c r="J307" s="20"/>
      <c r="K307" s="3"/>
      <c r="L307" s="20"/>
      <c r="N307" s="12"/>
      <c r="O307" s="11"/>
      <c r="S307" s="10"/>
      <c r="U307" s="3"/>
      <c r="V307" s="3"/>
      <c r="X307" s="9"/>
      <c r="Z307" s="3"/>
      <c r="AA307" s="8"/>
      <c r="AB307" s="7"/>
      <c r="AC307" s="7"/>
      <c r="AD307" s="6"/>
      <c r="AE307" s="6"/>
      <c r="AF307" s="5"/>
      <c r="AG307" s="7"/>
      <c r="AH307" s="3"/>
      <c r="AI307" s="7"/>
      <c r="AJ307" s="7"/>
      <c r="AL307" s="3"/>
      <c r="AM307" s="3"/>
      <c r="AN307" s="3"/>
      <c r="AO307" s="3"/>
      <c r="AP307" s="9"/>
      <c r="AQ307" s="6"/>
    </row>
    <row r="308" spans="1:43" ht="15" customHeight="1" x14ac:dyDescent="0.3">
      <c r="A308" s="22"/>
      <c r="I308" s="21"/>
      <c r="J308" s="20"/>
      <c r="K308" s="3"/>
      <c r="L308" s="20"/>
      <c r="N308" s="12"/>
      <c r="O308" s="11"/>
      <c r="S308" s="10"/>
      <c r="U308" s="3"/>
      <c r="V308" s="3"/>
      <c r="X308" s="9"/>
      <c r="Z308" s="3"/>
      <c r="AA308" s="8"/>
      <c r="AB308" s="7"/>
      <c r="AC308" s="7"/>
      <c r="AD308" s="6"/>
      <c r="AE308" s="6"/>
      <c r="AF308" s="5"/>
      <c r="AG308" s="7"/>
      <c r="AH308" s="3"/>
      <c r="AI308" s="7"/>
      <c r="AJ308" s="7"/>
      <c r="AL308" s="3"/>
      <c r="AM308" s="3"/>
      <c r="AN308" s="3"/>
      <c r="AO308" s="3"/>
      <c r="AP308" s="9"/>
      <c r="AQ308" s="6"/>
    </row>
    <row r="309" spans="1:43" ht="15" customHeight="1" x14ac:dyDescent="0.3">
      <c r="A309" s="22"/>
      <c r="I309" s="21"/>
      <c r="J309" s="20"/>
      <c r="K309" s="3"/>
      <c r="L309" s="20"/>
      <c r="N309" s="12"/>
      <c r="O309" s="11"/>
      <c r="S309" s="10"/>
      <c r="U309" s="3"/>
      <c r="V309" s="3"/>
      <c r="X309" s="9"/>
      <c r="Z309" s="3"/>
      <c r="AA309" s="8"/>
      <c r="AB309" s="7"/>
      <c r="AC309" s="7"/>
      <c r="AD309" s="6"/>
      <c r="AE309" s="6"/>
      <c r="AF309" s="5"/>
      <c r="AG309" s="7"/>
      <c r="AH309" s="3"/>
      <c r="AI309" s="7"/>
      <c r="AJ309" s="7"/>
      <c r="AL309" s="3"/>
      <c r="AM309" s="3"/>
      <c r="AN309" s="3"/>
      <c r="AO309" s="3"/>
      <c r="AP309" s="9"/>
      <c r="AQ309" s="6"/>
    </row>
    <row r="310" spans="1:43" ht="15" customHeight="1" x14ac:dyDescent="0.3">
      <c r="A310" s="22"/>
      <c r="I310" s="21"/>
      <c r="J310" s="20"/>
      <c r="K310" s="3"/>
      <c r="L310" s="20"/>
      <c r="N310" s="12"/>
      <c r="O310" s="11"/>
      <c r="S310" s="10"/>
      <c r="U310" s="3"/>
      <c r="V310" s="3"/>
      <c r="X310" s="9"/>
      <c r="Z310" s="3"/>
      <c r="AA310" s="8"/>
      <c r="AB310" s="7"/>
      <c r="AC310" s="7"/>
      <c r="AD310" s="6"/>
      <c r="AE310" s="6"/>
      <c r="AF310" s="5"/>
      <c r="AG310" s="7"/>
      <c r="AH310" s="3"/>
      <c r="AI310" s="7"/>
      <c r="AJ310" s="7"/>
      <c r="AL310" s="3"/>
      <c r="AM310" s="3"/>
      <c r="AN310" s="3"/>
      <c r="AO310" s="3"/>
      <c r="AP310" s="9"/>
      <c r="AQ310" s="6"/>
    </row>
    <row r="311" spans="1:43" ht="15" customHeight="1" x14ac:dyDescent="0.3">
      <c r="A311" s="22"/>
      <c r="I311" s="21"/>
      <c r="J311" s="20"/>
      <c r="K311" s="3"/>
      <c r="L311" s="20"/>
      <c r="N311" s="12"/>
      <c r="O311" s="11"/>
      <c r="S311" s="10"/>
      <c r="U311" s="3"/>
      <c r="V311" s="3"/>
      <c r="X311" s="9"/>
      <c r="Z311" s="3"/>
      <c r="AA311" s="8"/>
      <c r="AB311" s="7"/>
      <c r="AC311" s="7"/>
      <c r="AD311" s="6"/>
      <c r="AE311" s="6"/>
      <c r="AF311" s="5"/>
      <c r="AG311" s="7"/>
      <c r="AH311" s="3"/>
      <c r="AI311" s="7"/>
      <c r="AJ311" s="7"/>
      <c r="AL311" s="3"/>
      <c r="AM311" s="3"/>
      <c r="AN311" s="3"/>
      <c r="AO311" s="3"/>
      <c r="AP311" s="9"/>
      <c r="AQ311" s="6"/>
    </row>
    <row r="312" spans="1:43" ht="15" customHeight="1" x14ac:dyDescent="0.3">
      <c r="A312" s="22"/>
      <c r="I312" s="21"/>
      <c r="J312" s="20"/>
      <c r="K312" s="3"/>
      <c r="L312" s="20"/>
      <c r="N312" s="12"/>
      <c r="O312" s="11"/>
      <c r="S312" s="10"/>
      <c r="U312" s="3"/>
      <c r="V312" s="3"/>
      <c r="X312" s="9"/>
      <c r="Z312" s="3"/>
      <c r="AA312" s="8"/>
      <c r="AB312" s="7"/>
      <c r="AC312" s="7"/>
      <c r="AD312" s="6"/>
      <c r="AE312" s="6"/>
      <c r="AF312" s="5"/>
      <c r="AG312" s="7"/>
      <c r="AH312" s="3"/>
      <c r="AI312" s="7"/>
      <c r="AJ312" s="7"/>
      <c r="AL312" s="3"/>
      <c r="AM312" s="3"/>
      <c r="AN312" s="3"/>
      <c r="AO312" s="3"/>
      <c r="AP312" s="9"/>
      <c r="AQ312" s="6"/>
    </row>
    <row r="313" spans="1:43" ht="15" customHeight="1" x14ac:dyDescent="0.3">
      <c r="A313" s="22"/>
      <c r="I313" s="21"/>
      <c r="J313" s="20"/>
      <c r="K313" s="3"/>
      <c r="L313" s="20"/>
      <c r="N313" s="12"/>
      <c r="O313" s="11"/>
      <c r="S313" s="10"/>
      <c r="U313" s="3"/>
      <c r="V313" s="3"/>
      <c r="X313" s="9"/>
      <c r="Z313" s="3"/>
      <c r="AA313" s="8"/>
      <c r="AB313" s="7"/>
      <c r="AC313" s="7"/>
      <c r="AD313" s="6"/>
      <c r="AE313" s="6"/>
      <c r="AF313" s="5"/>
      <c r="AG313" s="7"/>
      <c r="AH313" s="3"/>
      <c r="AI313" s="7"/>
      <c r="AJ313" s="7"/>
      <c r="AL313" s="3"/>
      <c r="AM313" s="3"/>
      <c r="AN313" s="3"/>
      <c r="AO313" s="3"/>
      <c r="AP313" s="9"/>
      <c r="AQ313" s="6"/>
    </row>
    <row r="314" spans="1:43" ht="15" customHeight="1" x14ac:dyDescent="0.3">
      <c r="A314" s="22"/>
      <c r="I314" s="21"/>
      <c r="J314" s="20"/>
      <c r="K314" s="3"/>
      <c r="L314" s="20"/>
      <c r="N314" s="12"/>
      <c r="O314" s="11"/>
      <c r="S314" s="10"/>
      <c r="U314" s="3"/>
      <c r="V314" s="3"/>
      <c r="X314" s="9"/>
      <c r="Z314" s="3"/>
      <c r="AA314" s="8"/>
      <c r="AB314" s="7"/>
      <c r="AC314" s="7"/>
      <c r="AD314" s="6"/>
      <c r="AE314" s="6"/>
      <c r="AF314" s="5"/>
      <c r="AG314" s="7"/>
      <c r="AH314" s="3"/>
      <c r="AI314" s="7"/>
      <c r="AJ314" s="7"/>
      <c r="AL314" s="3"/>
      <c r="AM314" s="3"/>
      <c r="AN314" s="3"/>
      <c r="AO314" s="3"/>
      <c r="AP314" s="9"/>
      <c r="AQ314" s="6"/>
    </row>
    <row r="315" spans="1:43" ht="15" customHeight="1" x14ac:dyDescent="0.3">
      <c r="A315" s="22"/>
      <c r="I315" s="21"/>
      <c r="J315" s="20"/>
      <c r="K315" s="3"/>
      <c r="L315" s="20"/>
      <c r="N315" s="12"/>
      <c r="O315" s="11"/>
      <c r="S315" s="10"/>
      <c r="U315" s="3"/>
      <c r="V315" s="3"/>
      <c r="X315" s="9"/>
      <c r="Z315" s="3"/>
      <c r="AA315" s="8"/>
      <c r="AB315" s="7"/>
      <c r="AC315" s="7"/>
      <c r="AD315" s="6"/>
      <c r="AE315" s="6"/>
      <c r="AF315" s="5"/>
      <c r="AG315" s="7"/>
      <c r="AH315" s="3"/>
      <c r="AI315" s="7"/>
      <c r="AJ315" s="7"/>
      <c r="AL315" s="3"/>
      <c r="AM315" s="3"/>
      <c r="AN315" s="3"/>
      <c r="AO315" s="3"/>
      <c r="AP315" s="9"/>
      <c r="AQ315" s="6"/>
    </row>
    <row r="316" spans="1:43" ht="15" customHeight="1" x14ac:dyDescent="0.3">
      <c r="A316" s="22"/>
      <c r="I316" s="21"/>
      <c r="J316" s="20"/>
      <c r="K316" s="3"/>
      <c r="L316" s="20"/>
      <c r="N316" s="12"/>
      <c r="O316" s="11"/>
      <c r="S316" s="10"/>
      <c r="U316" s="3"/>
      <c r="V316" s="3"/>
      <c r="X316" s="9"/>
      <c r="Z316" s="3"/>
      <c r="AA316" s="8"/>
      <c r="AB316" s="7"/>
      <c r="AC316" s="7"/>
      <c r="AD316" s="6"/>
      <c r="AE316" s="6"/>
      <c r="AF316" s="5"/>
      <c r="AG316" s="7"/>
      <c r="AH316" s="3"/>
      <c r="AI316" s="7"/>
      <c r="AJ316" s="7"/>
      <c r="AL316" s="3"/>
      <c r="AM316" s="3"/>
      <c r="AN316" s="3"/>
      <c r="AO316" s="3"/>
      <c r="AP316" s="9"/>
      <c r="AQ316" s="6"/>
    </row>
    <row r="317" spans="1:43" ht="15" customHeight="1" x14ac:dyDescent="0.3">
      <c r="A317" s="22"/>
      <c r="I317" s="21"/>
      <c r="J317" s="20"/>
      <c r="K317" s="3"/>
      <c r="L317" s="20"/>
      <c r="N317" s="12"/>
      <c r="O317" s="11"/>
      <c r="S317" s="10"/>
      <c r="U317" s="3"/>
      <c r="V317" s="3"/>
      <c r="X317" s="9"/>
      <c r="Z317" s="3"/>
      <c r="AA317" s="8"/>
      <c r="AB317" s="7"/>
      <c r="AC317" s="7"/>
      <c r="AD317" s="6"/>
      <c r="AE317" s="6"/>
      <c r="AF317" s="5"/>
      <c r="AG317" s="7"/>
      <c r="AH317" s="3"/>
      <c r="AI317" s="7"/>
      <c r="AJ317" s="7"/>
      <c r="AL317" s="3"/>
      <c r="AM317" s="3"/>
      <c r="AN317" s="3"/>
      <c r="AO317" s="3"/>
      <c r="AP317" s="9"/>
      <c r="AQ317" s="6"/>
    </row>
    <row r="318" spans="1:43" ht="15" customHeight="1" x14ac:dyDescent="0.3">
      <c r="A318" s="22"/>
      <c r="I318" s="21"/>
      <c r="J318" s="20"/>
      <c r="K318" s="3"/>
      <c r="L318" s="20"/>
      <c r="N318" s="12"/>
      <c r="O318" s="11"/>
      <c r="S318" s="10"/>
      <c r="U318" s="3"/>
      <c r="V318" s="3"/>
      <c r="X318" s="9"/>
      <c r="Z318" s="3"/>
      <c r="AA318" s="8"/>
      <c r="AB318" s="7"/>
      <c r="AC318" s="7"/>
      <c r="AD318" s="6"/>
      <c r="AE318" s="6"/>
      <c r="AF318" s="5"/>
      <c r="AG318" s="7"/>
      <c r="AH318" s="3"/>
      <c r="AI318" s="7"/>
      <c r="AJ318" s="7"/>
      <c r="AL318" s="3"/>
      <c r="AM318" s="3"/>
      <c r="AN318" s="3"/>
      <c r="AO318" s="3"/>
      <c r="AP318" s="9"/>
      <c r="AQ318" s="6"/>
    </row>
    <row r="319" spans="1:43" ht="15" customHeight="1" x14ac:dyDescent="0.3">
      <c r="A319" s="22"/>
      <c r="I319" s="21"/>
      <c r="J319" s="20"/>
      <c r="K319" s="3"/>
      <c r="L319" s="20"/>
      <c r="N319" s="12"/>
      <c r="O319" s="11"/>
      <c r="S319" s="10"/>
      <c r="U319" s="3"/>
      <c r="V319" s="3"/>
      <c r="X319" s="9"/>
      <c r="Z319" s="3"/>
      <c r="AA319" s="8"/>
      <c r="AB319" s="7"/>
      <c r="AC319" s="7"/>
      <c r="AD319" s="6"/>
      <c r="AE319" s="6"/>
      <c r="AF319" s="5"/>
      <c r="AG319" s="7"/>
      <c r="AH319" s="3"/>
      <c r="AI319" s="7"/>
      <c r="AJ319" s="7"/>
      <c r="AL319" s="3"/>
      <c r="AM319" s="3"/>
      <c r="AN319" s="3"/>
      <c r="AO319" s="3"/>
      <c r="AP319" s="9"/>
      <c r="AQ319" s="6"/>
    </row>
    <row r="320" spans="1:43" ht="15" customHeight="1" x14ac:dyDescent="0.3">
      <c r="A320" s="22"/>
      <c r="I320" s="21"/>
      <c r="J320" s="20"/>
      <c r="K320" s="3"/>
      <c r="L320" s="20"/>
      <c r="N320" s="12"/>
      <c r="O320" s="11"/>
      <c r="S320" s="10"/>
      <c r="U320" s="3"/>
      <c r="V320" s="3"/>
      <c r="X320" s="9"/>
      <c r="Z320" s="3"/>
      <c r="AA320" s="8"/>
      <c r="AB320" s="7"/>
      <c r="AC320" s="7"/>
      <c r="AD320" s="6"/>
      <c r="AE320" s="6"/>
      <c r="AF320" s="5"/>
      <c r="AG320" s="7"/>
      <c r="AH320" s="3"/>
      <c r="AI320" s="7"/>
      <c r="AJ320" s="7"/>
      <c r="AL320" s="3"/>
      <c r="AM320" s="3"/>
      <c r="AN320" s="3"/>
      <c r="AO320" s="3"/>
      <c r="AP320" s="9"/>
      <c r="AQ320" s="6"/>
    </row>
    <row r="321" spans="1:43" ht="15" customHeight="1" x14ac:dyDescent="0.3">
      <c r="A321" s="22"/>
      <c r="I321" s="21"/>
      <c r="J321" s="20"/>
      <c r="K321" s="3"/>
      <c r="L321" s="20"/>
      <c r="N321" s="12"/>
      <c r="O321" s="11"/>
      <c r="S321" s="10"/>
      <c r="U321" s="3"/>
      <c r="V321" s="3"/>
      <c r="X321" s="9"/>
      <c r="Z321" s="3"/>
      <c r="AA321" s="8"/>
      <c r="AB321" s="7"/>
      <c r="AC321" s="7"/>
      <c r="AD321" s="6"/>
      <c r="AE321" s="6"/>
      <c r="AF321" s="5"/>
      <c r="AG321" s="7"/>
      <c r="AH321" s="3"/>
      <c r="AI321" s="7"/>
      <c r="AJ321" s="7"/>
      <c r="AL321" s="3"/>
      <c r="AM321" s="3"/>
      <c r="AN321" s="3"/>
      <c r="AO321" s="3"/>
      <c r="AP321" s="9"/>
      <c r="AQ321" s="6"/>
    </row>
    <row r="322" spans="1:43" ht="15" customHeight="1" x14ac:dyDescent="0.3">
      <c r="A322" s="22"/>
      <c r="I322" s="21"/>
      <c r="J322" s="20"/>
      <c r="K322" s="3"/>
      <c r="L322" s="20"/>
      <c r="N322" s="12"/>
      <c r="O322" s="11"/>
      <c r="S322" s="10"/>
      <c r="U322" s="3"/>
      <c r="V322" s="3"/>
      <c r="X322" s="9"/>
      <c r="Z322" s="3"/>
      <c r="AA322" s="8"/>
      <c r="AB322" s="7"/>
      <c r="AC322" s="7"/>
      <c r="AD322" s="6"/>
      <c r="AE322" s="6"/>
      <c r="AF322" s="5"/>
      <c r="AG322" s="7"/>
      <c r="AH322" s="3"/>
      <c r="AI322" s="7"/>
      <c r="AJ322" s="7"/>
      <c r="AL322" s="3"/>
      <c r="AM322" s="3"/>
      <c r="AN322" s="3"/>
      <c r="AO322" s="3"/>
      <c r="AP322" s="9"/>
      <c r="AQ322" s="6"/>
    </row>
    <row r="323" spans="1:43" ht="15" customHeight="1" x14ac:dyDescent="0.3">
      <c r="A323" s="22"/>
      <c r="I323" s="21"/>
      <c r="J323" s="20"/>
      <c r="K323" s="3"/>
      <c r="L323" s="20"/>
      <c r="N323" s="12"/>
      <c r="O323" s="11"/>
      <c r="S323" s="10"/>
      <c r="U323" s="3"/>
      <c r="V323" s="3"/>
      <c r="X323" s="9"/>
      <c r="Z323" s="3"/>
      <c r="AA323" s="8"/>
      <c r="AB323" s="7"/>
      <c r="AC323" s="7"/>
      <c r="AD323" s="6"/>
      <c r="AE323" s="6"/>
      <c r="AF323" s="5"/>
      <c r="AG323" s="7"/>
      <c r="AH323" s="3"/>
      <c r="AI323" s="7"/>
      <c r="AJ323" s="7"/>
      <c r="AL323" s="3"/>
      <c r="AM323" s="3"/>
      <c r="AN323" s="3"/>
      <c r="AO323" s="3"/>
      <c r="AP323" s="9"/>
      <c r="AQ323" s="6"/>
    </row>
    <row r="324" spans="1:43" ht="15" customHeight="1" x14ac:dyDescent="0.3">
      <c r="A324" s="22"/>
      <c r="I324" s="21"/>
      <c r="J324" s="20"/>
      <c r="K324" s="3"/>
      <c r="L324" s="20"/>
      <c r="N324" s="12"/>
      <c r="O324" s="11"/>
      <c r="S324" s="10"/>
      <c r="U324" s="3"/>
      <c r="V324" s="3"/>
      <c r="X324" s="9"/>
      <c r="Z324" s="3"/>
      <c r="AA324" s="8"/>
      <c r="AB324" s="7"/>
      <c r="AC324" s="7"/>
      <c r="AD324" s="6"/>
      <c r="AE324" s="6"/>
      <c r="AF324" s="5"/>
      <c r="AG324" s="7"/>
      <c r="AH324" s="3"/>
      <c r="AI324" s="7"/>
      <c r="AJ324" s="7"/>
      <c r="AL324" s="3"/>
      <c r="AM324" s="3"/>
      <c r="AN324" s="3"/>
      <c r="AO324" s="3"/>
      <c r="AP324" s="9"/>
      <c r="AQ324" s="6"/>
    </row>
    <row r="325" spans="1:43" ht="15" customHeight="1" x14ac:dyDescent="0.3">
      <c r="A325" s="22"/>
      <c r="I325" s="21"/>
      <c r="J325" s="20"/>
      <c r="K325" s="3"/>
      <c r="L325" s="20"/>
      <c r="N325" s="12"/>
      <c r="O325" s="11"/>
      <c r="S325" s="10"/>
      <c r="U325" s="3"/>
      <c r="V325" s="3"/>
      <c r="X325" s="9"/>
      <c r="Z325" s="3"/>
      <c r="AA325" s="8"/>
      <c r="AB325" s="7"/>
      <c r="AC325" s="7"/>
      <c r="AD325" s="6"/>
      <c r="AE325" s="6"/>
      <c r="AF325" s="5"/>
      <c r="AG325" s="7"/>
      <c r="AH325" s="3"/>
      <c r="AI325" s="7"/>
      <c r="AJ325" s="7"/>
      <c r="AL325" s="3"/>
      <c r="AM325" s="3"/>
      <c r="AN325" s="3"/>
      <c r="AO325" s="3"/>
      <c r="AP325" s="9"/>
      <c r="AQ325" s="6"/>
    </row>
    <row r="326" spans="1:43" ht="15" customHeight="1" x14ac:dyDescent="0.3">
      <c r="A326" s="22"/>
      <c r="I326" s="21"/>
      <c r="J326" s="20"/>
      <c r="K326" s="3"/>
      <c r="L326" s="20"/>
      <c r="N326" s="12"/>
      <c r="O326" s="11"/>
      <c r="S326" s="10"/>
      <c r="U326" s="3"/>
      <c r="V326" s="3"/>
      <c r="X326" s="9"/>
      <c r="Z326" s="3"/>
      <c r="AA326" s="8"/>
      <c r="AB326" s="7"/>
      <c r="AC326" s="7"/>
      <c r="AD326" s="6"/>
      <c r="AE326" s="6"/>
      <c r="AF326" s="5"/>
      <c r="AG326" s="7"/>
      <c r="AH326" s="3"/>
      <c r="AI326" s="7"/>
      <c r="AJ326" s="7"/>
      <c r="AL326" s="3"/>
      <c r="AM326" s="3"/>
      <c r="AN326" s="3"/>
      <c r="AO326" s="3"/>
      <c r="AP326" s="9"/>
      <c r="AQ326" s="6"/>
    </row>
    <row r="327" spans="1:43" ht="15" customHeight="1" x14ac:dyDescent="0.3">
      <c r="A327" s="22"/>
      <c r="I327" s="21"/>
      <c r="J327" s="20"/>
      <c r="K327" s="3"/>
      <c r="L327" s="20"/>
      <c r="N327" s="12"/>
      <c r="O327" s="11"/>
      <c r="S327" s="10"/>
      <c r="U327" s="3"/>
      <c r="V327" s="3"/>
      <c r="X327" s="9"/>
      <c r="Z327" s="3"/>
      <c r="AA327" s="8"/>
      <c r="AB327" s="7"/>
      <c r="AC327" s="7"/>
      <c r="AD327" s="6"/>
      <c r="AE327" s="6"/>
      <c r="AF327" s="5"/>
      <c r="AG327" s="7"/>
      <c r="AH327" s="3"/>
      <c r="AI327" s="7"/>
      <c r="AJ327" s="7"/>
      <c r="AL327" s="3"/>
      <c r="AM327" s="3"/>
      <c r="AN327" s="3"/>
      <c r="AO327" s="3"/>
      <c r="AP327" s="9"/>
      <c r="AQ327" s="6"/>
    </row>
    <row r="328" spans="1:43" ht="15" customHeight="1" x14ac:dyDescent="0.3">
      <c r="A328" s="22"/>
      <c r="I328" s="21"/>
      <c r="J328" s="20"/>
      <c r="K328" s="3"/>
      <c r="L328" s="20"/>
      <c r="N328" s="12"/>
      <c r="O328" s="11"/>
      <c r="S328" s="10"/>
      <c r="U328" s="3"/>
      <c r="V328" s="3"/>
      <c r="X328" s="9"/>
      <c r="Z328" s="3"/>
      <c r="AA328" s="8"/>
      <c r="AB328" s="7"/>
      <c r="AC328" s="7"/>
      <c r="AD328" s="6"/>
      <c r="AE328" s="6"/>
      <c r="AF328" s="5"/>
      <c r="AG328" s="7"/>
      <c r="AH328" s="3"/>
      <c r="AI328" s="7"/>
      <c r="AJ328" s="7"/>
      <c r="AL328" s="3"/>
      <c r="AM328" s="3"/>
      <c r="AN328" s="3"/>
      <c r="AO328" s="3"/>
      <c r="AP328" s="9"/>
      <c r="AQ328" s="6"/>
    </row>
    <row r="329" spans="1:43" ht="15" customHeight="1" x14ac:dyDescent="0.3">
      <c r="A329" s="22"/>
      <c r="I329" s="21"/>
      <c r="J329" s="20"/>
      <c r="K329" s="3"/>
      <c r="L329" s="20"/>
      <c r="N329" s="12"/>
      <c r="O329" s="11"/>
      <c r="S329" s="10"/>
      <c r="U329" s="3"/>
      <c r="V329" s="3"/>
      <c r="X329" s="9"/>
      <c r="Z329" s="3"/>
      <c r="AA329" s="8"/>
      <c r="AB329" s="7"/>
      <c r="AC329" s="7"/>
      <c r="AD329" s="6"/>
      <c r="AE329" s="6"/>
      <c r="AF329" s="5"/>
      <c r="AG329" s="7"/>
      <c r="AH329" s="3"/>
      <c r="AI329" s="7"/>
      <c r="AJ329" s="7"/>
      <c r="AL329" s="3"/>
      <c r="AM329" s="3"/>
      <c r="AN329" s="3"/>
      <c r="AO329" s="3"/>
      <c r="AP329" s="9"/>
      <c r="AQ329" s="6"/>
    </row>
    <row r="330" spans="1:43" ht="15" customHeight="1" x14ac:dyDescent="0.3">
      <c r="A330" s="22"/>
      <c r="I330" s="21"/>
      <c r="J330" s="20"/>
      <c r="K330" s="3"/>
      <c r="L330" s="20"/>
      <c r="N330" s="12"/>
      <c r="O330" s="11"/>
      <c r="S330" s="10"/>
      <c r="U330" s="3"/>
      <c r="V330" s="3"/>
      <c r="X330" s="9"/>
      <c r="Z330" s="3"/>
      <c r="AA330" s="8"/>
      <c r="AB330" s="7"/>
      <c r="AC330" s="7"/>
      <c r="AD330" s="6"/>
      <c r="AE330" s="6"/>
      <c r="AF330" s="5"/>
      <c r="AG330" s="7"/>
      <c r="AH330" s="3"/>
      <c r="AI330" s="7"/>
      <c r="AJ330" s="7"/>
      <c r="AL330" s="3"/>
      <c r="AM330" s="3"/>
      <c r="AN330" s="3"/>
      <c r="AO330" s="3"/>
      <c r="AP330" s="9"/>
      <c r="AQ330" s="6"/>
    </row>
    <row r="331" spans="1:43" ht="15" customHeight="1" x14ac:dyDescent="0.3">
      <c r="A331" s="22"/>
      <c r="I331" s="21"/>
      <c r="J331" s="20"/>
      <c r="K331" s="3"/>
      <c r="L331" s="20"/>
      <c r="N331" s="12"/>
      <c r="O331" s="11"/>
      <c r="S331" s="10"/>
      <c r="U331" s="3"/>
      <c r="V331" s="3"/>
      <c r="X331" s="9"/>
      <c r="Z331" s="3"/>
      <c r="AA331" s="8"/>
      <c r="AB331" s="7"/>
      <c r="AC331" s="7"/>
      <c r="AD331" s="6"/>
      <c r="AE331" s="6"/>
      <c r="AF331" s="5"/>
      <c r="AG331" s="7"/>
      <c r="AH331" s="3"/>
      <c r="AI331" s="7"/>
      <c r="AJ331" s="7"/>
      <c r="AL331" s="3"/>
      <c r="AM331" s="3"/>
      <c r="AN331" s="3"/>
      <c r="AO331" s="3"/>
      <c r="AP331" s="9"/>
      <c r="AQ331" s="6"/>
    </row>
    <row r="332" spans="1:43" ht="15" customHeight="1" x14ac:dyDescent="0.3">
      <c r="A332" s="22"/>
      <c r="I332" s="21"/>
      <c r="J332" s="20"/>
      <c r="K332" s="3"/>
      <c r="L332" s="20"/>
      <c r="N332" s="12"/>
      <c r="O332" s="11"/>
      <c r="S332" s="10"/>
      <c r="U332" s="3"/>
      <c r="V332" s="3"/>
      <c r="X332" s="9"/>
      <c r="Z332" s="3"/>
      <c r="AA332" s="8"/>
      <c r="AB332" s="7"/>
      <c r="AC332" s="7"/>
      <c r="AD332" s="6"/>
      <c r="AE332" s="6"/>
      <c r="AF332" s="5"/>
      <c r="AG332" s="7"/>
      <c r="AH332" s="3"/>
      <c r="AI332" s="7"/>
      <c r="AJ332" s="7"/>
      <c r="AL332" s="3"/>
      <c r="AM332" s="3"/>
      <c r="AN332" s="3"/>
      <c r="AO332" s="3"/>
      <c r="AP332" s="9"/>
      <c r="AQ332" s="6"/>
    </row>
    <row r="333" spans="1:43" ht="15" customHeight="1" x14ac:dyDescent="0.3">
      <c r="A333" s="22"/>
      <c r="I333" s="21"/>
      <c r="J333" s="20"/>
      <c r="K333" s="3"/>
      <c r="L333" s="20"/>
      <c r="N333" s="12"/>
      <c r="O333" s="11"/>
      <c r="S333" s="10"/>
      <c r="U333" s="3"/>
      <c r="V333" s="3"/>
      <c r="X333" s="9"/>
      <c r="Z333" s="3"/>
      <c r="AA333" s="8"/>
      <c r="AB333" s="7"/>
      <c r="AC333" s="7"/>
      <c r="AD333" s="6"/>
      <c r="AE333" s="6"/>
      <c r="AF333" s="5"/>
      <c r="AG333" s="7"/>
      <c r="AH333" s="3"/>
      <c r="AI333" s="7"/>
      <c r="AJ333" s="7"/>
      <c r="AL333" s="3"/>
      <c r="AM333" s="3"/>
      <c r="AN333" s="3"/>
      <c r="AO333" s="3"/>
      <c r="AP333" s="9"/>
      <c r="AQ333" s="6"/>
    </row>
    <row r="334" spans="1:43" ht="15" customHeight="1" x14ac:dyDescent="0.3">
      <c r="A334" s="22"/>
      <c r="I334" s="21"/>
      <c r="J334" s="20"/>
      <c r="K334" s="3"/>
      <c r="L334" s="20"/>
      <c r="N334" s="12"/>
      <c r="O334" s="11"/>
      <c r="S334" s="10"/>
      <c r="U334" s="3"/>
      <c r="V334" s="3"/>
      <c r="X334" s="9"/>
      <c r="Z334" s="3"/>
      <c r="AA334" s="8"/>
      <c r="AB334" s="7"/>
      <c r="AC334" s="7"/>
      <c r="AD334" s="6"/>
      <c r="AE334" s="6"/>
      <c r="AF334" s="5"/>
      <c r="AG334" s="7"/>
      <c r="AH334" s="3"/>
      <c r="AI334" s="7"/>
      <c r="AJ334" s="7"/>
      <c r="AL334" s="3"/>
      <c r="AM334" s="3"/>
      <c r="AN334" s="3"/>
      <c r="AO334" s="3"/>
      <c r="AP334" s="9"/>
      <c r="AQ334" s="6"/>
    </row>
    <row r="335" spans="1:43" ht="15" customHeight="1" x14ac:dyDescent="0.3">
      <c r="A335" s="22"/>
      <c r="I335" s="21"/>
      <c r="J335" s="20"/>
      <c r="K335" s="3"/>
      <c r="L335" s="20"/>
      <c r="N335" s="12"/>
      <c r="O335" s="11"/>
      <c r="S335" s="10"/>
      <c r="U335" s="3"/>
      <c r="V335" s="3"/>
      <c r="X335" s="9"/>
      <c r="Z335" s="3"/>
      <c r="AA335" s="8"/>
      <c r="AB335" s="7"/>
      <c r="AC335" s="7"/>
      <c r="AD335" s="6"/>
      <c r="AE335" s="6"/>
      <c r="AF335" s="5"/>
      <c r="AG335" s="7"/>
      <c r="AH335" s="3"/>
      <c r="AI335" s="7"/>
      <c r="AJ335" s="7"/>
      <c r="AL335" s="3"/>
      <c r="AM335" s="3"/>
      <c r="AN335" s="3"/>
      <c r="AO335" s="3"/>
      <c r="AP335" s="9"/>
      <c r="AQ335" s="6"/>
    </row>
    <row r="336" spans="1:43" ht="15" customHeight="1" x14ac:dyDescent="0.3">
      <c r="A336" s="22"/>
      <c r="I336" s="21"/>
      <c r="J336" s="20"/>
      <c r="K336" s="3"/>
      <c r="L336" s="20"/>
      <c r="N336" s="12"/>
      <c r="O336" s="11"/>
      <c r="S336" s="10"/>
      <c r="U336" s="3"/>
      <c r="V336" s="3"/>
      <c r="X336" s="9"/>
      <c r="Z336" s="3"/>
      <c r="AA336" s="8"/>
      <c r="AB336" s="7"/>
      <c r="AC336" s="7"/>
      <c r="AD336" s="6"/>
      <c r="AE336" s="6"/>
      <c r="AF336" s="5"/>
      <c r="AG336" s="7"/>
      <c r="AH336" s="3"/>
      <c r="AI336" s="7"/>
      <c r="AJ336" s="7"/>
      <c r="AL336" s="3"/>
      <c r="AM336" s="3"/>
      <c r="AN336" s="3"/>
      <c r="AO336" s="3"/>
      <c r="AP336" s="9"/>
      <c r="AQ336" s="6"/>
    </row>
    <row r="337" spans="1:43" ht="15" customHeight="1" x14ac:dyDescent="0.3">
      <c r="A337" s="22"/>
      <c r="I337" s="21"/>
      <c r="J337" s="20"/>
      <c r="K337" s="3"/>
      <c r="L337" s="20"/>
      <c r="N337" s="12"/>
      <c r="O337" s="11"/>
      <c r="S337" s="10"/>
      <c r="U337" s="3"/>
      <c r="V337" s="3"/>
      <c r="X337" s="9"/>
      <c r="Z337" s="3"/>
      <c r="AA337" s="8"/>
      <c r="AB337" s="7"/>
      <c r="AC337" s="7"/>
      <c r="AD337" s="6"/>
      <c r="AE337" s="6"/>
      <c r="AF337" s="5"/>
      <c r="AG337" s="7"/>
      <c r="AH337" s="3"/>
      <c r="AI337" s="7"/>
      <c r="AJ337" s="7"/>
      <c r="AL337" s="3"/>
      <c r="AM337" s="3"/>
      <c r="AN337" s="3"/>
      <c r="AO337" s="3"/>
      <c r="AP337" s="9"/>
      <c r="AQ337" s="6"/>
    </row>
    <row r="338" spans="1:43" ht="15" customHeight="1" x14ac:dyDescent="0.3">
      <c r="A338" s="22"/>
      <c r="I338" s="21"/>
      <c r="J338" s="20"/>
      <c r="K338" s="3"/>
      <c r="L338" s="20"/>
      <c r="N338" s="12"/>
      <c r="O338" s="11"/>
      <c r="S338" s="10"/>
      <c r="U338" s="3"/>
      <c r="V338" s="3"/>
      <c r="X338" s="9"/>
      <c r="Z338" s="3"/>
      <c r="AA338" s="8"/>
      <c r="AB338" s="7"/>
      <c r="AC338" s="7"/>
      <c r="AD338" s="6"/>
      <c r="AE338" s="6"/>
      <c r="AF338" s="5"/>
      <c r="AG338" s="7"/>
      <c r="AH338" s="3"/>
      <c r="AI338" s="7"/>
      <c r="AJ338" s="7"/>
      <c r="AL338" s="3"/>
      <c r="AM338" s="3"/>
      <c r="AN338" s="3"/>
      <c r="AO338" s="3"/>
      <c r="AP338" s="9"/>
      <c r="AQ338" s="6"/>
    </row>
    <row r="339" spans="1:43" ht="15" customHeight="1" x14ac:dyDescent="0.3">
      <c r="A339" s="22"/>
      <c r="I339" s="21"/>
      <c r="J339" s="20"/>
      <c r="K339" s="3"/>
      <c r="L339" s="20"/>
      <c r="N339" s="12"/>
      <c r="O339" s="11"/>
      <c r="S339" s="10"/>
      <c r="U339" s="3"/>
      <c r="V339" s="3"/>
      <c r="X339" s="9"/>
      <c r="Z339" s="3"/>
      <c r="AA339" s="8"/>
      <c r="AB339" s="7"/>
      <c r="AC339" s="7"/>
      <c r="AD339" s="6"/>
      <c r="AE339" s="6"/>
      <c r="AF339" s="5"/>
      <c r="AG339" s="7"/>
      <c r="AH339" s="3"/>
      <c r="AI339" s="7"/>
      <c r="AJ339" s="7"/>
      <c r="AL339" s="3"/>
      <c r="AM339" s="3"/>
      <c r="AN339" s="3"/>
      <c r="AO339" s="3"/>
      <c r="AP339" s="9"/>
      <c r="AQ339" s="6"/>
    </row>
    <row r="340" spans="1:43" ht="15" customHeight="1" x14ac:dyDescent="0.3">
      <c r="A340" s="22"/>
      <c r="I340" s="21"/>
      <c r="J340" s="20"/>
      <c r="K340" s="3"/>
      <c r="L340" s="20"/>
      <c r="N340" s="12"/>
      <c r="O340" s="11"/>
      <c r="S340" s="10"/>
      <c r="U340" s="3"/>
      <c r="V340" s="3"/>
      <c r="X340" s="9"/>
      <c r="Z340" s="3"/>
      <c r="AA340" s="8"/>
      <c r="AB340" s="7"/>
      <c r="AC340" s="7"/>
      <c r="AD340" s="6"/>
      <c r="AE340" s="6"/>
      <c r="AF340" s="5"/>
      <c r="AG340" s="7"/>
      <c r="AH340" s="3"/>
      <c r="AI340" s="7"/>
      <c r="AJ340" s="7"/>
      <c r="AL340" s="3"/>
      <c r="AM340" s="3"/>
      <c r="AN340" s="3"/>
      <c r="AO340" s="3"/>
      <c r="AP340" s="9"/>
      <c r="AQ340" s="6"/>
    </row>
    <row r="341" spans="1:43" ht="15" customHeight="1" x14ac:dyDescent="0.3">
      <c r="A341" s="22"/>
      <c r="I341" s="21"/>
      <c r="J341" s="20"/>
      <c r="K341" s="3"/>
      <c r="L341" s="20"/>
      <c r="N341" s="12"/>
      <c r="O341" s="11"/>
      <c r="S341" s="10"/>
      <c r="U341" s="3"/>
      <c r="V341" s="3"/>
      <c r="X341" s="9"/>
      <c r="Z341" s="3"/>
      <c r="AA341" s="8"/>
      <c r="AB341" s="7"/>
      <c r="AC341" s="7"/>
      <c r="AD341" s="6"/>
      <c r="AE341" s="6"/>
      <c r="AF341" s="5"/>
      <c r="AG341" s="7"/>
      <c r="AH341" s="3"/>
      <c r="AI341" s="7"/>
      <c r="AJ341" s="7"/>
      <c r="AL341" s="3"/>
      <c r="AM341" s="3"/>
      <c r="AN341" s="3"/>
      <c r="AO341" s="3"/>
      <c r="AP341" s="9"/>
      <c r="AQ341" s="6"/>
    </row>
    <row r="342" spans="1:43" ht="15" customHeight="1" x14ac:dyDescent="0.3">
      <c r="A342" s="22"/>
      <c r="I342" s="21"/>
      <c r="J342" s="20"/>
      <c r="K342" s="3"/>
      <c r="L342" s="20"/>
      <c r="N342" s="12"/>
      <c r="O342" s="11"/>
      <c r="S342" s="10"/>
      <c r="U342" s="3"/>
      <c r="V342" s="3"/>
      <c r="X342" s="9"/>
      <c r="Z342" s="3"/>
      <c r="AA342" s="8"/>
      <c r="AB342" s="7"/>
      <c r="AC342" s="7"/>
      <c r="AD342" s="6"/>
      <c r="AE342" s="6"/>
      <c r="AF342" s="5"/>
      <c r="AG342" s="7"/>
      <c r="AH342" s="3"/>
      <c r="AI342" s="7"/>
      <c r="AJ342" s="7"/>
      <c r="AL342" s="3"/>
      <c r="AM342" s="3"/>
      <c r="AN342" s="3"/>
      <c r="AO342" s="3"/>
      <c r="AP342" s="9"/>
      <c r="AQ342" s="6"/>
    </row>
    <row r="343" spans="1:43" ht="15" customHeight="1" x14ac:dyDescent="0.3">
      <c r="A343" s="22"/>
      <c r="I343" s="21"/>
      <c r="J343" s="20"/>
      <c r="K343" s="3"/>
      <c r="L343" s="20"/>
      <c r="N343" s="12"/>
      <c r="O343" s="11"/>
      <c r="S343" s="10"/>
      <c r="U343" s="3"/>
      <c r="V343" s="3"/>
      <c r="X343" s="9"/>
      <c r="Z343" s="3"/>
      <c r="AA343" s="8"/>
      <c r="AB343" s="7"/>
      <c r="AC343" s="7"/>
      <c r="AD343" s="6"/>
      <c r="AE343" s="6"/>
      <c r="AF343" s="5"/>
      <c r="AG343" s="7"/>
      <c r="AH343" s="3"/>
      <c r="AI343" s="7"/>
      <c r="AJ343" s="7"/>
      <c r="AL343" s="3"/>
      <c r="AM343" s="3"/>
      <c r="AN343" s="3"/>
      <c r="AO343" s="3"/>
      <c r="AP343" s="9"/>
      <c r="AQ343" s="6"/>
    </row>
    <row r="344" spans="1:43" ht="15" customHeight="1" x14ac:dyDescent="0.3">
      <c r="A344" s="22"/>
      <c r="I344" s="21"/>
      <c r="J344" s="20"/>
      <c r="K344" s="3"/>
      <c r="L344" s="20"/>
      <c r="N344" s="12"/>
      <c r="O344" s="11"/>
      <c r="S344" s="10"/>
      <c r="U344" s="3"/>
      <c r="V344" s="3"/>
      <c r="X344" s="9"/>
      <c r="Z344" s="3"/>
      <c r="AA344" s="8"/>
      <c r="AB344" s="7"/>
      <c r="AC344" s="7"/>
      <c r="AD344" s="6"/>
      <c r="AE344" s="6"/>
      <c r="AF344" s="5"/>
      <c r="AG344" s="7"/>
      <c r="AH344" s="3"/>
      <c r="AI344" s="7"/>
      <c r="AJ344" s="7"/>
      <c r="AL344" s="3"/>
      <c r="AM344" s="3"/>
      <c r="AN344" s="3"/>
      <c r="AO344" s="3"/>
      <c r="AP344" s="9"/>
      <c r="AQ344" s="6"/>
    </row>
    <row r="345" spans="1:43" ht="15" customHeight="1" x14ac:dyDescent="0.3">
      <c r="A345" s="22"/>
      <c r="I345" s="21"/>
      <c r="J345" s="20"/>
      <c r="K345" s="3"/>
      <c r="L345" s="20"/>
      <c r="N345" s="12"/>
      <c r="O345" s="11"/>
      <c r="S345" s="10"/>
      <c r="U345" s="3"/>
      <c r="V345" s="3"/>
      <c r="X345" s="9"/>
      <c r="Z345" s="3"/>
      <c r="AA345" s="8"/>
      <c r="AB345" s="7"/>
      <c r="AC345" s="7"/>
      <c r="AD345" s="6"/>
      <c r="AE345" s="6"/>
      <c r="AF345" s="5"/>
      <c r="AG345" s="7"/>
      <c r="AH345" s="3"/>
      <c r="AI345" s="7"/>
      <c r="AJ345" s="7"/>
      <c r="AL345" s="3"/>
      <c r="AM345" s="3"/>
      <c r="AN345" s="3"/>
      <c r="AO345" s="3"/>
      <c r="AP345" s="9"/>
      <c r="AQ345" s="6"/>
    </row>
    <row r="346" spans="1:43" ht="15" customHeight="1" x14ac:dyDescent="0.3">
      <c r="A346" s="22"/>
      <c r="I346" s="21"/>
      <c r="J346" s="20"/>
      <c r="K346" s="3"/>
      <c r="L346" s="20"/>
      <c r="N346" s="12"/>
      <c r="O346" s="11"/>
      <c r="S346" s="10"/>
      <c r="U346" s="3"/>
      <c r="V346" s="3"/>
      <c r="X346" s="9"/>
      <c r="Z346" s="3"/>
      <c r="AA346" s="8"/>
      <c r="AB346" s="7"/>
      <c r="AC346" s="7"/>
      <c r="AD346" s="6"/>
      <c r="AE346" s="6"/>
      <c r="AF346" s="5"/>
      <c r="AG346" s="7"/>
      <c r="AH346" s="3"/>
      <c r="AI346" s="7"/>
      <c r="AJ346" s="7"/>
      <c r="AL346" s="3"/>
      <c r="AM346" s="3"/>
      <c r="AN346" s="3"/>
      <c r="AO346" s="3"/>
      <c r="AP346" s="9"/>
      <c r="AQ346" s="6"/>
    </row>
    <row r="347" spans="1:43" ht="15" customHeight="1" x14ac:dyDescent="0.3">
      <c r="A347" s="22"/>
      <c r="I347" s="21"/>
      <c r="J347" s="20"/>
      <c r="K347" s="3"/>
      <c r="L347" s="20"/>
      <c r="N347" s="12"/>
      <c r="O347" s="11"/>
      <c r="S347" s="10"/>
      <c r="U347" s="3"/>
      <c r="V347" s="3"/>
      <c r="X347" s="9"/>
      <c r="Z347" s="3"/>
      <c r="AA347" s="8"/>
      <c r="AB347" s="7"/>
      <c r="AC347" s="7"/>
      <c r="AD347" s="6"/>
      <c r="AE347" s="6"/>
      <c r="AF347" s="5"/>
      <c r="AG347" s="7"/>
      <c r="AH347" s="3"/>
      <c r="AI347" s="7"/>
      <c r="AJ347" s="7"/>
      <c r="AL347" s="3"/>
      <c r="AM347" s="3"/>
      <c r="AN347" s="3"/>
      <c r="AO347" s="3"/>
      <c r="AP347" s="9"/>
      <c r="AQ347" s="6"/>
    </row>
    <row r="348" spans="1:43" ht="15" customHeight="1" x14ac:dyDescent="0.3">
      <c r="A348" s="22"/>
      <c r="I348" s="21"/>
      <c r="J348" s="20"/>
      <c r="K348" s="3"/>
      <c r="L348" s="20"/>
      <c r="N348" s="12"/>
      <c r="O348" s="11"/>
      <c r="S348" s="10"/>
      <c r="U348" s="3"/>
      <c r="V348" s="3"/>
      <c r="X348" s="9"/>
      <c r="Z348" s="3"/>
      <c r="AA348" s="8"/>
      <c r="AB348" s="7"/>
      <c r="AC348" s="7"/>
      <c r="AD348" s="6"/>
      <c r="AE348" s="6"/>
      <c r="AF348" s="5"/>
      <c r="AG348" s="7"/>
      <c r="AH348" s="3"/>
      <c r="AI348" s="7"/>
      <c r="AJ348" s="7"/>
      <c r="AL348" s="3"/>
      <c r="AM348" s="3"/>
      <c r="AN348" s="3"/>
      <c r="AO348" s="3"/>
      <c r="AP348" s="9"/>
      <c r="AQ348" s="6"/>
    </row>
    <row r="349" spans="1:43" ht="15" customHeight="1" x14ac:dyDescent="0.3">
      <c r="A349" s="22"/>
      <c r="I349" s="21"/>
      <c r="J349" s="20"/>
      <c r="K349" s="3"/>
      <c r="L349" s="20"/>
      <c r="N349" s="12"/>
      <c r="O349" s="11"/>
      <c r="S349" s="10"/>
      <c r="U349" s="3"/>
      <c r="V349" s="3"/>
      <c r="X349" s="9"/>
      <c r="Z349" s="3"/>
      <c r="AA349" s="8"/>
      <c r="AB349" s="7"/>
      <c r="AC349" s="7"/>
      <c r="AD349" s="6"/>
      <c r="AE349" s="6"/>
      <c r="AF349" s="5"/>
      <c r="AG349" s="7"/>
      <c r="AH349" s="3"/>
      <c r="AI349" s="7"/>
      <c r="AJ349" s="7"/>
      <c r="AL349" s="3"/>
      <c r="AM349" s="3"/>
      <c r="AN349" s="3"/>
      <c r="AO349" s="3"/>
      <c r="AP349" s="9"/>
      <c r="AQ349" s="6"/>
    </row>
    <row r="350" spans="1:43" ht="15" customHeight="1" x14ac:dyDescent="0.3">
      <c r="A350" s="22"/>
      <c r="I350" s="21"/>
      <c r="J350" s="20"/>
      <c r="K350" s="3"/>
      <c r="L350" s="20"/>
      <c r="N350" s="12"/>
      <c r="O350" s="11"/>
      <c r="S350" s="10"/>
      <c r="U350" s="3"/>
      <c r="V350" s="3"/>
      <c r="X350" s="9"/>
      <c r="Z350" s="3"/>
      <c r="AA350" s="8"/>
      <c r="AB350" s="7"/>
      <c r="AC350" s="7"/>
      <c r="AD350" s="6"/>
      <c r="AE350" s="6"/>
      <c r="AF350" s="5"/>
      <c r="AG350" s="7"/>
      <c r="AH350" s="3"/>
      <c r="AI350" s="7"/>
      <c r="AJ350" s="7"/>
      <c r="AL350" s="3"/>
      <c r="AM350" s="3"/>
      <c r="AN350" s="3"/>
      <c r="AO350" s="3"/>
      <c r="AP350" s="9"/>
      <c r="AQ350" s="6"/>
    </row>
    <row r="351" spans="1:43" ht="15" customHeight="1" x14ac:dyDescent="0.3">
      <c r="A351" s="22"/>
      <c r="I351" s="21"/>
      <c r="J351" s="20"/>
      <c r="K351" s="3"/>
      <c r="L351" s="20"/>
      <c r="N351" s="12"/>
      <c r="O351" s="11"/>
      <c r="S351" s="10"/>
      <c r="U351" s="3"/>
      <c r="V351" s="3"/>
      <c r="X351" s="9"/>
      <c r="Z351" s="3"/>
      <c r="AA351" s="8"/>
      <c r="AB351" s="7"/>
      <c r="AC351" s="7"/>
      <c r="AD351" s="6"/>
      <c r="AE351" s="6"/>
      <c r="AF351" s="5"/>
      <c r="AG351" s="7"/>
      <c r="AH351" s="3"/>
      <c r="AI351" s="7"/>
      <c r="AJ351" s="7"/>
      <c r="AL351" s="3"/>
      <c r="AM351" s="3"/>
      <c r="AN351" s="3"/>
      <c r="AO351" s="3"/>
      <c r="AP351" s="9"/>
      <c r="AQ351" s="6"/>
    </row>
    <row r="352" spans="1:43" ht="15" customHeight="1" x14ac:dyDescent="0.3">
      <c r="A352" s="22"/>
      <c r="I352" s="21"/>
      <c r="J352" s="20"/>
      <c r="K352" s="3"/>
      <c r="L352" s="20"/>
      <c r="N352" s="12"/>
      <c r="O352" s="11"/>
      <c r="S352" s="10"/>
      <c r="U352" s="3"/>
      <c r="V352" s="3"/>
      <c r="X352" s="9"/>
      <c r="Z352" s="3"/>
      <c r="AA352" s="8"/>
      <c r="AB352" s="7"/>
      <c r="AC352" s="7"/>
      <c r="AD352" s="6"/>
      <c r="AE352" s="6"/>
      <c r="AF352" s="5"/>
      <c r="AG352" s="7"/>
      <c r="AH352" s="3"/>
      <c r="AI352" s="7"/>
      <c r="AJ352" s="7"/>
      <c r="AL352" s="3"/>
      <c r="AM352" s="3"/>
      <c r="AN352" s="3"/>
      <c r="AO352" s="3"/>
      <c r="AP352" s="9"/>
      <c r="AQ352" s="6"/>
    </row>
    <row r="353" spans="1:43" ht="15" customHeight="1" x14ac:dyDescent="0.3">
      <c r="A353" s="22"/>
      <c r="I353" s="21"/>
      <c r="J353" s="20"/>
      <c r="K353" s="3"/>
      <c r="L353" s="20"/>
      <c r="N353" s="12"/>
      <c r="O353" s="11"/>
      <c r="S353" s="10"/>
      <c r="U353" s="3"/>
      <c r="V353" s="3"/>
      <c r="X353" s="9"/>
      <c r="Z353" s="3"/>
      <c r="AA353" s="8"/>
      <c r="AB353" s="7"/>
      <c r="AC353" s="7"/>
      <c r="AD353" s="6"/>
      <c r="AE353" s="6"/>
      <c r="AF353" s="5"/>
      <c r="AG353" s="7"/>
      <c r="AH353" s="3"/>
      <c r="AI353" s="7"/>
      <c r="AJ353" s="7"/>
      <c r="AL353" s="3"/>
      <c r="AM353" s="3"/>
      <c r="AN353" s="3"/>
      <c r="AO353" s="3"/>
      <c r="AP353" s="9"/>
      <c r="AQ353" s="6"/>
    </row>
    <row r="354" spans="1:43" ht="15" customHeight="1" x14ac:dyDescent="0.3">
      <c r="A354" s="22"/>
      <c r="I354" s="21"/>
      <c r="J354" s="20"/>
      <c r="K354" s="3"/>
      <c r="L354" s="20"/>
      <c r="N354" s="12"/>
      <c r="O354" s="11"/>
      <c r="S354" s="10"/>
      <c r="U354" s="3"/>
      <c r="V354" s="3"/>
      <c r="X354" s="9"/>
      <c r="Z354" s="3"/>
      <c r="AA354" s="8"/>
      <c r="AB354" s="7"/>
      <c r="AC354" s="7"/>
      <c r="AD354" s="6"/>
      <c r="AE354" s="6"/>
      <c r="AF354" s="5"/>
      <c r="AG354" s="7"/>
      <c r="AH354" s="3"/>
      <c r="AI354" s="7"/>
      <c r="AJ354" s="7"/>
      <c r="AL354" s="3"/>
      <c r="AM354" s="3"/>
      <c r="AN354" s="3"/>
      <c r="AO354" s="3"/>
      <c r="AP354" s="9"/>
      <c r="AQ354" s="6"/>
    </row>
    <row r="355" spans="1:43" ht="15" customHeight="1" x14ac:dyDescent="0.3">
      <c r="A355" s="22"/>
      <c r="I355" s="21"/>
      <c r="J355" s="20"/>
      <c r="K355" s="3"/>
      <c r="L355" s="20"/>
      <c r="N355" s="12"/>
      <c r="O355" s="11"/>
      <c r="S355" s="10"/>
      <c r="U355" s="3"/>
      <c r="V355" s="3"/>
      <c r="X355" s="9"/>
      <c r="Z355" s="3"/>
      <c r="AA355" s="8"/>
      <c r="AB355" s="7"/>
      <c r="AC355" s="7"/>
      <c r="AD355" s="6"/>
      <c r="AE355" s="6"/>
      <c r="AF355" s="5"/>
      <c r="AG355" s="7"/>
      <c r="AH355" s="3"/>
      <c r="AI355" s="7"/>
      <c r="AJ355" s="7"/>
      <c r="AL355" s="3"/>
      <c r="AM355" s="3"/>
      <c r="AN355" s="3"/>
      <c r="AO355" s="3"/>
      <c r="AP355" s="9"/>
      <c r="AQ355" s="6"/>
    </row>
    <row r="356" spans="1:43" ht="15" customHeight="1" x14ac:dyDescent="0.3">
      <c r="A356" s="22"/>
      <c r="I356" s="21"/>
      <c r="J356" s="20"/>
      <c r="K356" s="3"/>
      <c r="L356" s="20"/>
      <c r="N356" s="12"/>
      <c r="O356" s="11"/>
      <c r="S356" s="10"/>
      <c r="U356" s="3"/>
      <c r="V356" s="3"/>
      <c r="X356" s="9"/>
      <c r="Z356" s="3"/>
      <c r="AA356" s="8"/>
      <c r="AB356" s="7"/>
      <c r="AC356" s="7"/>
      <c r="AD356" s="6"/>
      <c r="AE356" s="6"/>
      <c r="AF356" s="5"/>
      <c r="AG356" s="7"/>
      <c r="AH356" s="3"/>
      <c r="AI356" s="7"/>
      <c r="AJ356" s="7"/>
      <c r="AL356" s="3"/>
      <c r="AM356" s="3"/>
      <c r="AN356" s="3"/>
      <c r="AO356" s="3"/>
      <c r="AP356" s="9"/>
      <c r="AQ356" s="6"/>
    </row>
    <row r="357" spans="1:43" ht="15" customHeight="1" x14ac:dyDescent="0.3">
      <c r="A357" s="22"/>
      <c r="I357" s="21"/>
      <c r="J357" s="20"/>
      <c r="K357" s="3"/>
      <c r="L357" s="20"/>
      <c r="N357" s="12"/>
      <c r="O357" s="11"/>
      <c r="S357" s="10"/>
      <c r="U357" s="3"/>
      <c r="V357" s="3"/>
      <c r="X357" s="9"/>
      <c r="Z357" s="3"/>
      <c r="AA357" s="8"/>
      <c r="AB357" s="7"/>
      <c r="AC357" s="7"/>
      <c r="AD357" s="6"/>
      <c r="AE357" s="6"/>
      <c r="AF357" s="5"/>
      <c r="AG357" s="7"/>
      <c r="AH357" s="3"/>
      <c r="AI357" s="7"/>
      <c r="AJ357" s="7"/>
      <c r="AL357" s="3"/>
      <c r="AM357" s="3"/>
      <c r="AN357" s="3"/>
      <c r="AO357" s="3"/>
      <c r="AP357" s="9"/>
      <c r="AQ357" s="6"/>
    </row>
    <row r="358" spans="1:43" ht="15" customHeight="1" x14ac:dyDescent="0.3">
      <c r="A358" s="22"/>
      <c r="I358" s="21"/>
      <c r="J358" s="20"/>
      <c r="K358" s="3"/>
      <c r="L358" s="20"/>
      <c r="N358" s="12"/>
      <c r="O358" s="11"/>
      <c r="S358" s="10"/>
      <c r="U358" s="3"/>
      <c r="V358" s="3"/>
      <c r="X358" s="9"/>
      <c r="Z358" s="3"/>
      <c r="AA358" s="8"/>
      <c r="AB358" s="7"/>
      <c r="AC358" s="7"/>
      <c r="AD358" s="6"/>
      <c r="AE358" s="6"/>
      <c r="AF358" s="5"/>
      <c r="AG358" s="7"/>
      <c r="AH358" s="3"/>
      <c r="AI358" s="7"/>
      <c r="AJ358" s="7"/>
      <c r="AL358" s="3"/>
      <c r="AM358" s="3"/>
      <c r="AN358" s="3"/>
      <c r="AO358" s="3"/>
      <c r="AP358" s="9"/>
      <c r="AQ358" s="6"/>
    </row>
    <row r="359" spans="1:43" ht="15" customHeight="1" x14ac:dyDescent="0.3">
      <c r="A359" s="22"/>
      <c r="I359" s="21"/>
      <c r="J359" s="20"/>
      <c r="K359" s="3"/>
      <c r="L359" s="20"/>
      <c r="N359" s="12"/>
      <c r="O359" s="11"/>
      <c r="S359" s="10"/>
      <c r="U359" s="3"/>
      <c r="V359" s="3"/>
      <c r="X359" s="9"/>
      <c r="Z359" s="3"/>
      <c r="AA359" s="8"/>
      <c r="AB359" s="7"/>
      <c r="AC359" s="7"/>
      <c r="AD359" s="6"/>
      <c r="AE359" s="6"/>
      <c r="AF359" s="5"/>
      <c r="AG359" s="7"/>
      <c r="AH359" s="3"/>
      <c r="AI359" s="7"/>
      <c r="AJ359" s="7"/>
      <c r="AL359" s="3"/>
      <c r="AM359" s="3"/>
      <c r="AN359" s="3"/>
      <c r="AO359" s="3"/>
      <c r="AP359" s="9"/>
      <c r="AQ359" s="6"/>
    </row>
    <row r="360" spans="1:43" ht="15" customHeight="1" x14ac:dyDescent="0.3">
      <c r="A360" s="22"/>
      <c r="I360" s="21"/>
      <c r="J360" s="20"/>
      <c r="K360" s="3"/>
      <c r="L360" s="20"/>
      <c r="N360" s="12"/>
      <c r="O360" s="11"/>
      <c r="S360" s="10"/>
      <c r="U360" s="3"/>
      <c r="V360" s="3"/>
      <c r="X360" s="9"/>
      <c r="Z360" s="3"/>
      <c r="AA360" s="8"/>
      <c r="AB360" s="7"/>
      <c r="AC360" s="7"/>
      <c r="AD360" s="6"/>
      <c r="AE360" s="6"/>
      <c r="AF360" s="5"/>
      <c r="AG360" s="7"/>
      <c r="AH360" s="3"/>
      <c r="AI360" s="7"/>
      <c r="AJ360" s="7"/>
      <c r="AL360" s="3"/>
      <c r="AM360" s="3"/>
      <c r="AN360" s="3"/>
      <c r="AO360" s="3"/>
      <c r="AP360" s="9"/>
      <c r="AQ360" s="6"/>
    </row>
    <row r="361" spans="1:43" ht="15" customHeight="1" x14ac:dyDescent="0.3">
      <c r="A361" s="22"/>
      <c r="I361" s="21"/>
      <c r="J361" s="20"/>
      <c r="K361" s="3"/>
      <c r="L361" s="20"/>
      <c r="N361" s="12"/>
      <c r="O361" s="11"/>
      <c r="S361" s="10"/>
      <c r="U361" s="3"/>
      <c r="V361" s="3"/>
      <c r="X361" s="9"/>
      <c r="Z361" s="3"/>
      <c r="AA361" s="8"/>
      <c r="AB361" s="7"/>
      <c r="AC361" s="7"/>
      <c r="AD361" s="6"/>
      <c r="AE361" s="6"/>
      <c r="AF361" s="5"/>
      <c r="AG361" s="7"/>
      <c r="AH361" s="3"/>
      <c r="AI361" s="7"/>
      <c r="AJ361" s="7"/>
      <c r="AL361" s="3"/>
      <c r="AM361" s="3"/>
      <c r="AN361" s="3"/>
      <c r="AO361" s="3"/>
      <c r="AP361" s="9"/>
      <c r="AQ361" s="6"/>
    </row>
    <row r="362" spans="1:43" ht="15" customHeight="1" x14ac:dyDescent="0.3">
      <c r="A362" s="22"/>
      <c r="I362" s="21"/>
      <c r="J362" s="20"/>
      <c r="K362" s="3"/>
      <c r="L362" s="20"/>
      <c r="N362" s="12"/>
      <c r="O362" s="11"/>
      <c r="S362" s="10"/>
      <c r="U362" s="3"/>
      <c r="V362" s="3"/>
      <c r="X362" s="9"/>
      <c r="Z362" s="3"/>
      <c r="AA362" s="8"/>
      <c r="AB362" s="7"/>
      <c r="AC362" s="7"/>
      <c r="AD362" s="6"/>
      <c r="AE362" s="6"/>
      <c r="AF362" s="5"/>
      <c r="AG362" s="7"/>
      <c r="AH362" s="3"/>
      <c r="AI362" s="7"/>
      <c r="AJ362" s="7"/>
      <c r="AL362" s="3"/>
      <c r="AM362" s="3"/>
      <c r="AN362" s="3"/>
      <c r="AO362" s="3"/>
      <c r="AP362" s="9"/>
      <c r="AQ362" s="6"/>
    </row>
    <row r="363" spans="1:43" ht="15" customHeight="1" x14ac:dyDescent="0.3">
      <c r="A363" s="22"/>
      <c r="I363" s="21"/>
      <c r="J363" s="20"/>
      <c r="K363" s="3"/>
      <c r="L363" s="20"/>
      <c r="N363" s="12"/>
      <c r="O363" s="11"/>
      <c r="S363" s="10"/>
      <c r="U363" s="3"/>
      <c r="V363" s="3"/>
      <c r="X363" s="9"/>
      <c r="Z363" s="3"/>
      <c r="AA363" s="8"/>
      <c r="AB363" s="7"/>
      <c r="AC363" s="7"/>
      <c r="AD363" s="6"/>
      <c r="AE363" s="6"/>
      <c r="AF363" s="5"/>
      <c r="AG363" s="7"/>
      <c r="AH363" s="3"/>
      <c r="AI363" s="7"/>
      <c r="AJ363" s="7"/>
      <c r="AL363" s="3"/>
      <c r="AM363" s="3"/>
      <c r="AN363" s="3"/>
      <c r="AO363" s="3"/>
      <c r="AP363" s="9"/>
      <c r="AQ363" s="6"/>
    </row>
    <row r="364" spans="1:43" ht="15" customHeight="1" x14ac:dyDescent="0.3">
      <c r="A364" s="22"/>
      <c r="I364" s="21"/>
      <c r="J364" s="20"/>
      <c r="K364" s="3"/>
      <c r="L364" s="20"/>
      <c r="N364" s="12"/>
      <c r="O364" s="11"/>
      <c r="S364" s="10"/>
      <c r="U364" s="3"/>
      <c r="V364" s="3"/>
      <c r="X364" s="9"/>
      <c r="Z364" s="3"/>
      <c r="AA364" s="8"/>
      <c r="AB364" s="7"/>
      <c r="AC364" s="7"/>
      <c r="AD364" s="6"/>
      <c r="AE364" s="6"/>
      <c r="AF364" s="5"/>
      <c r="AG364" s="7"/>
      <c r="AH364" s="3"/>
      <c r="AI364" s="7"/>
      <c r="AJ364" s="7"/>
      <c r="AL364" s="3"/>
      <c r="AM364" s="3"/>
      <c r="AN364" s="3"/>
      <c r="AO364" s="3"/>
      <c r="AP364" s="9"/>
      <c r="AQ364" s="6"/>
    </row>
    <row r="365" spans="1:43" ht="15" customHeight="1" x14ac:dyDescent="0.3">
      <c r="A365" s="22"/>
      <c r="I365" s="21"/>
      <c r="J365" s="20"/>
      <c r="K365" s="3"/>
      <c r="L365" s="20"/>
      <c r="N365" s="12"/>
      <c r="O365" s="11"/>
      <c r="S365" s="10"/>
      <c r="U365" s="3"/>
      <c r="V365" s="3"/>
      <c r="X365" s="9"/>
      <c r="Z365" s="3"/>
      <c r="AA365" s="8"/>
      <c r="AB365" s="7"/>
      <c r="AC365" s="7"/>
      <c r="AD365" s="6"/>
      <c r="AE365" s="6"/>
      <c r="AF365" s="5"/>
      <c r="AG365" s="7"/>
      <c r="AH365" s="3"/>
      <c r="AI365" s="7"/>
      <c r="AJ365" s="7"/>
      <c r="AL365" s="3"/>
      <c r="AM365" s="3"/>
      <c r="AN365" s="3"/>
      <c r="AO365" s="3"/>
      <c r="AP365" s="9"/>
      <c r="AQ365" s="6"/>
    </row>
    <row r="366" spans="1:43" ht="15" customHeight="1" x14ac:dyDescent="0.3">
      <c r="A366" s="22"/>
      <c r="I366" s="21"/>
      <c r="J366" s="20"/>
      <c r="K366" s="3"/>
      <c r="L366" s="20"/>
      <c r="N366" s="12"/>
      <c r="O366" s="11"/>
      <c r="S366" s="10"/>
      <c r="U366" s="3"/>
      <c r="V366" s="3"/>
      <c r="X366" s="9"/>
      <c r="Z366" s="3"/>
      <c r="AA366" s="8"/>
      <c r="AB366" s="7"/>
      <c r="AC366" s="7"/>
      <c r="AD366" s="6"/>
      <c r="AE366" s="6"/>
      <c r="AF366" s="5"/>
      <c r="AG366" s="7"/>
      <c r="AH366" s="3"/>
      <c r="AI366" s="7"/>
      <c r="AJ366" s="7"/>
      <c r="AL366" s="3"/>
      <c r="AM366" s="3"/>
      <c r="AN366" s="3"/>
      <c r="AO366" s="3"/>
      <c r="AP366" s="9"/>
      <c r="AQ366" s="6"/>
    </row>
    <row r="367" spans="1:43" ht="15" customHeight="1" x14ac:dyDescent="0.3">
      <c r="A367" s="22"/>
      <c r="I367" s="21"/>
      <c r="J367" s="20"/>
      <c r="K367" s="3"/>
      <c r="L367" s="20"/>
      <c r="N367" s="12"/>
      <c r="O367" s="11"/>
      <c r="S367" s="10"/>
      <c r="U367" s="3"/>
      <c r="V367" s="3"/>
      <c r="X367" s="9"/>
      <c r="Z367" s="3"/>
      <c r="AA367" s="8"/>
      <c r="AB367" s="7"/>
      <c r="AC367" s="7"/>
      <c r="AD367" s="6"/>
      <c r="AE367" s="6"/>
      <c r="AF367" s="5"/>
      <c r="AG367" s="7"/>
      <c r="AH367" s="3"/>
      <c r="AI367" s="7"/>
      <c r="AJ367" s="7"/>
      <c r="AL367" s="3"/>
      <c r="AM367" s="3"/>
      <c r="AN367" s="3"/>
      <c r="AO367" s="3"/>
      <c r="AP367" s="9"/>
      <c r="AQ367" s="6"/>
    </row>
    <row r="368" spans="1:43" ht="15" customHeight="1" x14ac:dyDescent="0.3">
      <c r="A368" s="22"/>
      <c r="I368" s="21"/>
      <c r="J368" s="20"/>
      <c r="K368" s="3"/>
      <c r="L368" s="20"/>
      <c r="N368" s="12"/>
      <c r="O368" s="11"/>
      <c r="S368" s="10"/>
      <c r="U368" s="3"/>
      <c r="V368" s="3"/>
      <c r="X368" s="9"/>
      <c r="Z368" s="3"/>
      <c r="AA368" s="8"/>
      <c r="AB368" s="7"/>
      <c r="AC368" s="7"/>
      <c r="AD368" s="6"/>
      <c r="AE368" s="6"/>
      <c r="AF368" s="5"/>
      <c r="AG368" s="7"/>
      <c r="AH368" s="3"/>
      <c r="AI368" s="7"/>
      <c r="AJ368" s="7"/>
      <c r="AL368" s="3"/>
      <c r="AM368" s="3"/>
      <c r="AN368" s="3"/>
      <c r="AO368" s="3"/>
      <c r="AP368" s="9"/>
      <c r="AQ368" s="6"/>
    </row>
    <row r="369" spans="1:43" ht="15" customHeight="1" x14ac:dyDescent="0.3">
      <c r="A369" s="22"/>
      <c r="I369" s="21"/>
      <c r="J369" s="20"/>
      <c r="K369" s="3"/>
      <c r="L369" s="20"/>
      <c r="N369" s="12"/>
      <c r="O369" s="11"/>
      <c r="S369" s="10"/>
      <c r="U369" s="3"/>
      <c r="V369" s="3"/>
      <c r="X369" s="9"/>
      <c r="Z369" s="3"/>
      <c r="AA369" s="8"/>
      <c r="AB369" s="7"/>
      <c r="AC369" s="7"/>
      <c r="AD369" s="6"/>
      <c r="AE369" s="6"/>
      <c r="AF369" s="5"/>
      <c r="AG369" s="7"/>
      <c r="AH369" s="3"/>
      <c r="AI369" s="7"/>
      <c r="AJ369" s="7"/>
      <c r="AL369" s="3"/>
      <c r="AM369" s="3"/>
      <c r="AN369" s="3"/>
      <c r="AO369" s="3"/>
      <c r="AP369" s="9"/>
      <c r="AQ369" s="6"/>
    </row>
    <row r="370" spans="1:43" ht="15" customHeight="1" x14ac:dyDescent="0.3">
      <c r="A370" s="22"/>
      <c r="I370" s="21"/>
      <c r="J370" s="20"/>
      <c r="K370" s="3"/>
      <c r="L370" s="20"/>
      <c r="N370" s="12"/>
      <c r="O370" s="11"/>
      <c r="S370" s="10"/>
      <c r="U370" s="3"/>
      <c r="V370" s="3"/>
      <c r="X370" s="9"/>
      <c r="Z370" s="3"/>
      <c r="AA370" s="8"/>
      <c r="AB370" s="7"/>
      <c r="AC370" s="7"/>
      <c r="AD370" s="6"/>
      <c r="AE370" s="6"/>
      <c r="AF370" s="5"/>
      <c r="AG370" s="7"/>
      <c r="AH370" s="3"/>
      <c r="AI370" s="7"/>
      <c r="AJ370" s="7"/>
      <c r="AL370" s="3"/>
      <c r="AM370" s="3"/>
      <c r="AN370" s="3"/>
      <c r="AO370" s="3"/>
      <c r="AP370" s="9"/>
      <c r="AQ370" s="6"/>
    </row>
    <row r="371" spans="1:43" ht="15" customHeight="1" x14ac:dyDescent="0.3">
      <c r="A371" s="22"/>
      <c r="I371" s="21"/>
      <c r="J371" s="20"/>
      <c r="K371" s="3"/>
      <c r="L371" s="20"/>
      <c r="N371" s="12"/>
      <c r="O371" s="11"/>
      <c r="S371" s="10"/>
      <c r="U371" s="3"/>
      <c r="V371" s="3"/>
      <c r="X371" s="9"/>
      <c r="Z371" s="3"/>
      <c r="AA371" s="8"/>
      <c r="AB371" s="7"/>
      <c r="AC371" s="7"/>
      <c r="AD371" s="6"/>
      <c r="AE371" s="6"/>
      <c r="AF371" s="5"/>
      <c r="AG371" s="7"/>
      <c r="AH371" s="3"/>
      <c r="AI371" s="7"/>
      <c r="AJ371" s="7"/>
      <c r="AL371" s="3"/>
      <c r="AM371" s="3"/>
      <c r="AN371" s="3"/>
      <c r="AO371" s="3"/>
      <c r="AP371" s="9"/>
      <c r="AQ371" s="6"/>
    </row>
    <row r="372" spans="1:43" ht="15" customHeight="1" x14ac:dyDescent="0.3">
      <c r="A372" s="22"/>
      <c r="I372" s="21"/>
      <c r="J372" s="20"/>
      <c r="K372" s="3"/>
      <c r="L372" s="20"/>
      <c r="N372" s="12"/>
      <c r="O372" s="11"/>
      <c r="S372" s="10"/>
      <c r="U372" s="3"/>
      <c r="V372" s="3"/>
      <c r="X372" s="9"/>
      <c r="Z372" s="3"/>
      <c r="AA372" s="8"/>
      <c r="AB372" s="7"/>
      <c r="AC372" s="7"/>
      <c r="AD372" s="6"/>
      <c r="AE372" s="6"/>
      <c r="AF372" s="5"/>
      <c r="AG372" s="7"/>
      <c r="AH372" s="3"/>
      <c r="AI372" s="7"/>
      <c r="AJ372" s="7"/>
      <c r="AL372" s="3"/>
      <c r="AM372" s="3"/>
      <c r="AN372" s="3"/>
      <c r="AO372" s="3"/>
      <c r="AP372" s="9"/>
      <c r="AQ372" s="6"/>
    </row>
    <row r="373" spans="1:43" ht="15" customHeight="1" x14ac:dyDescent="0.3">
      <c r="A373" s="22"/>
      <c r="I373" s="21"/>
      <c r="J373" s="20"/>
      <c r="K373" s="3"/>
      <c r="L373" s="20"/>
      <c r="N373" s="12"/>
      <c r="O373" s="11"/>
      <c r="S373" s="10"/>
      <c r="U373" s="3"/>
      <c r="V373" s="3"/>
      <c r="X373" s="9"/>
      <c r="Z373" s="3"/>
      <c r="AA373" s="8"/>
      <c r="AB373" s="7"/>
      <c r="AC373" s="7"/>
      <c r="AD373" s="6"/>
      <c r="AE373" s="6"/>
      <c r="AF373" s="5"/>
      <c r="AG373" s="7"/>
      <c r="AH373" s="3"/>
      <c r="AI373" s="7"/>
      <c r="AJ373" s="7"/>
      <c r="AL373" s="3"/>
      <c r="AM373" s="3"/>
      <c r="AN373" s="3"/>
      <c r="AO373" s="3"/>
      <c r="AP373" s="9"/>
      <c r="AQ373" s="6"/>
    </row>
    <row r="374" spans="1:43" ht="15" customHeight="1" x14ac:dyDescent="0.3">
      <c r="A374" s="22"/>
      <c r="I374" s="21"/>
      <c r="J374" s="20"/>
      <c r="K374" s="3"/>
      <c r="L374" s="20"/>
      <c r="N374" s="12"/>
      <c r="O374" s="11"/>
      <c r="S374" s="10"/>
      <c r="U374" s="3"/>
      <c r="V374" s="3"/>
      <c r="X374" s="9"/>
      <c r="Z374" s="3"/>
      <c r="AA374" s="8"/>
      <c r="AB374" s="7"/>
      <c r="AC374" s="7"/>
      <c r="AD374" s="6"/>
      <c r="AE374" s="6"/>
      <c r="AF374" s="5"/>
      <c r="AG374" s="7"/>
      <c r="AH374" s="3"/>
      <c r="AI374" s="7"/>
      <c r="AJ374" s="7"/>
      <c r="AL374" s="3"/>
      <c r="AM374" s="3"/>
      <c r="AN374" s="3"/>
      <c r="AO374" s="3"/>
      <c r="AP374" s="9"/>
      <c r="AQ374" s="6"/>
    </row>
    <row r="375" spans="1:43" ht="15" customHeight="1" x14ac:dyDescent="0.3">
      <c r="A375" s="22"/>
      <c r="I375" s="21"/>
      <c r="J375" s="20"/>
      <c r="K375" s="3"/>
      <c r="L375" s="20"/>
      <c r="N375" s="12"/>
      <c r="O375" s="11"/>
      <c r="S375" s="10"/>
      <c r="U375" s="3"/>
      <c r="V375" s="3"/>
      <c r="X375" s="9"/>
      <c r="Z375" s="3"/>
      <c r="AA375" s="8"/>
      <c r="AB375" s="7"/>
      <c r="AC375" s="7"/>
      <c r="AD375" s="6"/>
      <c r="AE375" s="6"/>
      <c r="AF375" s="5"/>
      <c r="AG375" s="7"/>
      <c r="AH375" s="3"/>
      <c r="AI375" s="7"/>
      <c r="AJ375" s="7"/>
      <c r="AL375" s="3"/>
      <c r="AM375" s="3"/>
      <c r="AN375" s="3"/>
      <c r="AO375" s="3"/>
      <c r="AP375" s="9"/>
      <c r="AQ375" s="6"/>
    </row>
    <row r="376" spans="1:43" ht="15" customHeight="1" x14ac:dyDescent="0.3">
      <c r="A376" s="22"/>
      <c r="I376" s="21"/>
      <c r="J376" s="20"/>
      <c r="K376" s="3"/>
      <c r="L376" s="20"/>
      <c r="N376" s="12"/>
      <c r="O376" s="11"/>
      <c r="S376" s="10"/>
      <c r="U376" s="3"/>
      <c r="V376" s="3"/>
      <c r="X376" s="9"/>
      <c r="Z376" s="3"/>
      <c r="AA376" s="8"/>
      <c r="AB376" s="7"/>
      <c r="AC376" s="7"/>
      <c r="AD376" s="6"/>
      <c r="AE376" s="6"/>
      <c r="AF376" s="5"/>
      <c r="AG376" s="7"/>
      <c r="AH376" s="3"/>
      <c r="AI376" s="7"/>
      <c r="AJ376" s="7"/>
      <c r="AL376" s="3"/>
      <c r="AM376" s="3"/>
      <c r="AN376" s="3"/>
      <c r="AO376" s="3"/>
      <c r="AP376" s="9"/>
      <c r="AQ376" s="6"/>
    </row>
    <row r="377" spans="1:43" ht="15" customHeight="1" x14ac:dyDescent="0.3">
      <c r="A377" s="22"/>
      <c r="I377" s="21"/>
      <c r="J377" s="20"/>
      <c r="K377" s="3"/>
      <c r="L377" s="20"/>
      <c r="N377" s="12"/>
      <c r="O377" s="11"/>
      <c r="S377" s="10"/>
      <c r="U377" s="3"/>
      <c r="V377" s="3"/>
      <c r="X377" s="9"/>
      <c r="Z377" s="3"/>
      <c r="AA377" s="8"/>
      <c r="AB377" s="7"/>
      <c r="AC377" s="7"/>
      <c r="AD377" s="6"/>
      <c r="AE377" s="6"/>
      <c r="AF377" s="5"/>
      <c r="AG377" s="7"/>
      <c r="AH377" s="3"/>
      <c r="AI377" s="7"/>
      <c r="AJ377" s="7"/>
      <c r="AL377" s="3"/>
      <c r="AM377" s="3"/>
      <c r="AN377" s="3"/>
      <c r="AO377" s="3"/>
      <c r="AP377" s="9"/>
      <c r="AQ377" s="6"/>
    </row>
    <row r="378" spans="1:43" ht="15" customHeight="1" x14ac:dyDescent="0.3">
      <c r="A378" s="22"/>
      <c r="I378" s="21"/>
      <c r="J378" s="20"/>
      <c r="K378" s="3"/>
      <c r="L378" s="20"/>
      <c r="N378" s="12"/>
      <c r="O378" s="11"/>
      <c r="S378" s="10"/>
      <c r="U378" s="3"/>
      <c r="V378" s="3"/>
      <c r="X378" s="9"/>
      <c r="Z378" s="3"/>
      <c r="AA378" s="8"/>
      <c r="AB378" s="7"/>
      <c r="AC378" s="7"/>
      <c r="AD378" s="6"/>
      <c r="AE378" s="6"/>
      <c r="AF378" s="5"/>
      <c r="AG378" s="7"/>
      <c r="AH378" s="3"/>
      <c r="AI378" s="7"/>
      <c r="AJ378" s="7"/>
      <c r="AL378" s="3"/>
      <c r="AM378" s="3"/>
      <c r="AN378" s="3"/>
      <c r="AO378" s="3"/>
      <c r="AP378" s="9"/>
      <c r="AQ378" s="6"/>
    </row>
    <row r="379" spans="1:43" ht="15" customHeight="1" x14ac:dyDescent="0.3">
      <c r="A379" s="22"/>
      <c r="I379" s="21"/>
      <c r="J379" s="20"/>
      <c r="K379" s="3"/>
      <c r="L379" s="20"/>
      <c r="N379" s="12"/>
      <c r="O379" s="11"/>
      <c r="S379" s="10"/>
      <c r="U379" s="3"/>
      <c r="V379" s="3"/>
      <c r="X379" s="9"/>
      <c r="Z379" s="3"/>
      <c r="AA379" s="8"/>
      <c r="AB379" s="7"/>
      <c r="AC379" s="7"/>
      <c r="AD379" s="6"/>
      <c r="AE379" s="6"/>
      <c r="AF379" s="5"/>
      <c r="AG379" s="7"/>
      <c r="AH379" s="3"/>
      <c r="AI379" s="7"/>
      <c r="AJ379" s="7"/>
      <c r="AL379" s="3"/>
      <c r="AM379" s="3"/>
      <c r="AN379" s="3"/>
      <c r="AO379" s="3"/>
      <c r="AP379" s="9"/>
      <c r="AQ379" s="6"/>
    </row>
    <row r="380" spans="1:43" ht="15" customHeight="1" x14ac:dyDescent="0.3">
      <c r="A380" s="22"/>
      <c r="I380" s="21"/>
      <c r="J380" s="20"/>
      <c r="K380" s="3"/>
      <c r="L380" s="20"/>
      <c r="N380" s="12"/>
      <c r="O380" s="11"/>
      <c r="S380" s="10"/>
      <c r="U380" s="3"/>
      <c r="V380" s="3"/>
      <c r="X380" s="9"/>
      <c r="Z380" s="3"/>
      <c r="AA380" s="8"/>
      <c r="AB380" s="7"/>
      <c r="AC380" s="7"/>
      <c r="AD380" s="6"/>
      <c r="AE380" s="6"/>
      <c r="AF380" s="5"/>
      <c r="AG380" s="7"/>
      <c r="AH380" s="3"/>
      <c r="AI380" s="7"/>
      <c r="AJ380" s="7"/>
      <c r="AL380" s="3"/>
      <c r="AM380" s="3"/>
      <c r="AN380" s="3"/>
      <c r="AO380" s="3"/>
      <c r="AP380" s="9"/>
      <c r="AQ380" s="6"/>
    </row>
    <row r="381" spans="1:43" ht="15" customHeight="1" x14ac:dyDescent="0.3">
      <c r="A381" s="22"/>
      <c r="I381" s="21"/>
      <c r="J381" s="20"/>
      <c r="K381" s="3"/>
      <c r="L381" s="20"/>
      <c r="N381" s="12"/>
      <c r="O381" s="11"/>
      <c r="S381" s="10"/>
      <c r="U381" s="3"/>
      <c r="V381" s="3"/>
      <c r="X381" s="9"/>
      <c r="Z381" s="3"/>
      <c r="AA381" s="8"/>
      <c r="AB381" s="7"/>
      <c r="AC381" s="7"/>
      <c r="AD381" s="6"/>
      <c r="AE381" s="6"/>
      <c r="AF381" s="5"/>
      <c r="AG381" s="7"/>
      <c r="AH381" s="3"/>
      <c r="AI381" s="7"/>
      <c r="AJ381" s="7"/>
      <c r="AL381" s="3"/>
      <c r="AM381" s="3"/>
      <c r="AN381" s="3"/>
      <c r="AO381" s="3"/>
      <c r="AP381" s="9"/>
      <c r="AQ381" s="6"/>
    </row>
    <row r="382" spans="1:43" ht="15" customHeight="1" x14ac:dyDescent="0.3">
      <c r="A382" s="22"/>
      <c r="I382" s="21"/>
      <c r="J382" s="20"/>
      <c r="K382" s="3"/>
      <c r="L382" s="20"/>
      <c r="N382" s="12"/>
      <c r="O382" s="11"/>
      <c r="S382" s="10"/>
      <c r="U382" s="3"/>
      <c r="V382" s="3"/>
      <c r="X382" s="9"/>
      <c r="Z382" s="3"/>
      <c r="AA382" s="8"/>
      <c r="AB382" s="7"/>
      <c r="AC382" s="7"/>
      <c r="AD382" s="6"/>
      <c r="AE382" s="6"/>
      <c r="AF382" s="5"/>
      <c r="AG382" s="7"/>
      <c r="AH382" s="3"/>
      <c r="AI382" s="7"/>
      <c r="AJ382" s="7"/>
      <c r="AL382" s="3"/>
      <c r="AM382" s="3"/>
      <c r="AN382" s="3"/>
      <c r="AO382" s="3"/>
      <c r="AP382" s="9"/>
      <c r="AQ382" s="6"/>
    </row>
    <row r="383" spans="1:43" ht="15" customHeight="1" x14ac:dyDescent="0.3">
      <c r="A383" s="22"/>
      <c r="I383" s="21"/>
      <c r="J383" s="20"/>
      <c r="K383" s="3"/>
      <c r="L383" s="20"/>
      <c r="N383" s="12"/>
      <c r="O383" s="11"/>
      <c r="S383" s="10"/>
      <c r="U383" s="3"/>
      <c r="V383" s="3"/>
      <c r="X383" s="9"/>
      <c r="Z383" s="3"/>
      <c r="AA383" s="8"/>
      <c r="AB383" s="7"/>
      <c r="AC383" s="7"/>
      <c r="AD383" s="6"/>
      <c r="AE383" s="6"/>
      <c r="AF383" s="5"/>
      <c r="AG383" s="7"/>
      <c r="AH383" s="3"/>
      <c r="AI383" s="7"/>
      <c r="AJ383" s="7"/>
      <c r="AL383" s="3"/>
      <c r="AM383" s="3"/>
      <c r="AN383" s="3"/>
      <c r="AO383" s="3"/>
      <c r="AP383" s="9"/>
      <c r="AQ383" s="6"/>
    </row>
    <row r="384" spans="1:43" ht="15" customHeight="1" x14ac:dyDescent="0.3">
      <c r="A384" s="22"/>
      <c r="I384" s="21"/>
      <c r="J384" s="20"/>
      <c r="K384" s="3"/>
      <c r="L384" s="20"/>
      <c r="N384" s="12"/>
      <c r="O384" s="11"/>
      <c r="S384" s="10"/>
      <c r="U384" s="3"/>
      <c r="V384" s="3"/>
      <c r="X384" s="9"/>
      <c r="Z384" s="3"/>
      <c r="AA384" s="8"/>
      <c r="AB384" s="7"/>
      <c r="AC384" s="7"/>
      <c r="AD384" s="6"/>
      <c r="AE384" s="6"/>
      <c r="AF384" s="5"/>
      <c r="AG384" s="7"/>
      <c r="AH384" s="3"/>
      <c r="AI384" s="7"/>
      <c r="AJ384" s="7"/>
      <c r="AL384" s="3"/>
      <c r="AM384" s="3"/>
      <c r="AN384" s="3"/>
      <c r="AO384" s="3"/>
      <c r="AP384" s="9"/>
      <c r="AQ384" s="6"/>
    </row>
    <row r="385" spans="1:43" ht="15" customHeight="1" x14ac:dyDescent="0.3">
      <c r="A385" s="22"/>
      <c r="I385" s="21"/>
      <c r="J385" s="20"/>
      <c r="K385" s="3"/>
      <c r="L385" s="20"/>
      <c r="N385" s="12"/>
      <c r="O385" s="11"/>
      <c r="S385" s="10"/>
      <c r="U385" s="3"/>
      <c r="V385" s="3"/>
      <c r="X385" s="9"/>
      <c r="Z385" s="3"/>
      <c r="AA385" s="8"/>
      <c r="AB385" s="7"/>
      <c r="AC385" s="7"/>
      <c r="AD385" s="6"/>
      <c r="AE385" s="6"/>
      <c r="AF385" s="5"/>
      <c r="AG385" s="7"/>
      <c r="AH385" s="3"/>
      <c r="AI385" s="7"/>
      <c r="AJ385" s="7"/>
      <c r="AL385" s="3"/>
      <c r="AM385" s="3"/>
      <c r="AN385" s="3"/>
      <c r="AO385" s="3"/>
      <c r="AP385" s="9"/>
      <c r="AQ385" s="6"/>
    </row>
    <row r="386" spans="1:43" ht="15" customHeight="1" x14ac:dyDescent="0.3">
      <c r="A386" s="22"/>
      <c r="I386" s="21"/>
      <c r="J386" s="20"/>
      <c r="K386" s="3"/>
      <c r="L386" s="20"/>
      <c r="N386" s="12"/>
      <c r="O386" s="11"/>
      <c r="S386" s="10"/>
      <c r="U386" s="3"/>
      <c r="V386" s="3"/>
      <c r="X386" s="9"/>
      <c r="Z386" s="3"/>
      <c r="AA386" s="8"/>
      <c r="AB386" s="7"/>
      <c r="AC386" s="7"/>
      <c r="AD386" s="6"/>
      <c r="AE386" s="6"/>
      <c r="AF386" s="5"/>
      <c r="AG386" s="7"/>
      <c r="AH386" s="3"/>
      <c r="AI386" s="7"/>
      <c r="AJ386" s="7"/>
      <c r="AL386" s="3"/>
      <c r="AM386" s="3"/>
      <c r="AN386" s="3"/>
      <c r="AO386" s="3"/>
      <c r="AP386" s="9"/>
      <c r="AQ386" s="6"/>
    </row>
    <row r="387" spans="1:43" ht="15" customHeight="1" x14ac:dyDescent="0.3">
      <c r="A387" s="22"/>
      <c r="I387" s="21"/>
      <c r="J387" s="20"/>
      <c r="K387" s="3"/>
      <c r="L387" s="20"/>
      <c r="N387" s="12"/>
      <c r="O387" s="11"/>
      <c r="S387" s="10"/>
      <c r="U387" s="3"/>
      <c r="V387" s="3"/>
      <c r="X387" s="9"/>
      <c r="Z387" s="3"/>
      <c r="AA387" s="8"/>
      <c r="AB387" s="7"/>
      <c r="AC387" s="7"/>
      <c r="AD387" s="6"/>
      <c r="AE387" s="6"/>
      <c r="AF387" s="5"/>
      <c r="AG387" s="7"/>
      <c r="AH387" s="3"/>
      <c r="AI387" s="7"/>
      <c r="AJ387" s="7"/>
      <c r="AL387" s="3"/>
      <c r="AM387" s="3"/>
      <c r="AN387" s="3"/>
      <c r="AO387" s="3"/>
      <c r="AP387" s="9"/>
      <c r="AQ387" s="6"/>
    </row>
    <row r="388" spans="1:43" ht="15" customHeight="1" x14ac:dyDescent="0.3">
      <c r="A388" s="22"/>
      <c r="I388" s="21"/>
      <c r="J388" s="20"/>
      <c r="K388" s="3"/>
      <c r="L388" s="20"/>
      <c r="N388" s="12"/>
      <c r="O388" s="11"/>
      <c r="S388" s="10"/>
      <c r="U388" s="3"/>
      <c r="V388" s="3"/>
      <c r="X388" s="9"/>
      <c r="Z388" s="3"/>
      <c r="AA388" s="8"/>
      <c r="AB388" s="7"/>
      <c r="AC388" s="7"/>
      <c r="AD388" s="6"/>
      <c r="AE388" s="6"/>
      <c r="AF388" s="5"/>
      <c r="AG388" s="7"/>
      <c r="AH388" s="3"/>
      <c r="AI388" s="7"/>
      <c r="AJ388" s="7"/>
      <c r="AL388" s="3"/>
      <c r="AM388" s="3"/>
      <c r="AN388" s="3"/>
      <c r="AO388" s="3"/>
      <c r="AP388" s="9"/>
      <c r="AQ388" s="6"/>
    </row>
    <row r="389" spans="1:43" ht="15" customHeight="1" x14ac:dyDescent="0.3">
      <c r="A389" s="22"/>
      <c r="I389" s="21"/>
      <c r="J389" s="20"/>
      <c r="K389" s="3"/>
      <c r="L389" s="20"/>
      <c r="N389" s="12"/>
      <c r="O389" s="11"/>
      <c r="S389" s="10"/>
      <c r="U389" s="3"/>
      <c r="V389" s="3"/>
      <c r="X389" s="9"/>
      <c r="Z389" s="3"/>
      <c r="AA389" s="8"/>
      <c r="AB389" s="7"/>
      <c r="AC389" s="7"/>
      <c r="AD389" s="6"/>
      <c r="AE389" s="6"/>
      <c r="AF389" s="5"/>
      <c r="AG389" s="7"/>
      <c r="AH389" s="3"/>
      <c r="AI389" s="7"/>
      <c r="AJ389" s="7"/>
      <c r="AL389" s="3"/>
      <c r="AM389" s="3"/>
      <c r="AN389" s="3"/>
      <c r="AO389" s="3"/>
      <c r="AP389" s="9"/>
      <c r="AQ389" s="6"/>
    </row>
    <row r="390" spans="1:43" ht="15" customHeight="1" x14ac:dyDescent="0.3">
      <c r="A390" s="22"/>
      <c r="I390" s="21"/>
      <c r="J390" s="20"/>
      <c r="K390" s="3"/>
      <c r="L390" s="20"/>
      <c r="N390" s="12"/>
      <c r="O390" s="11"/>
      <c r="S390" s="10"/>
      <c r="U390" s="3"/>
      <c r="V390" s="3"/>
      <c r="X390" s="9"/>
      <c r="Z390" s="3"/>
      <c r="AA390" s="8"/>
      <c r="AB390" s="7"/>
      <c r="AC390" s="7"/>
      <c r="AD390" s="6"/>
      <c r="AE390" s="6"/>
      <c r="AF390" s="5"/>
      <c r="AG390" s="7"/>
      <c r="AH390" s="3"/>
      <c r="AI390" s="7"/>
      <c r="AJ390" s="7"/>
      <c r="AL390" s="3"/>
      <c r="AM390" s="3"/>
      <c r="AN390" s="3"/>
      <c r="AO390" s="3"/>
      <c r="AP390" s="9"/>
      <c r="AQ390" s="6"/>
    </row>
    <row r="391" spans="1:43" ht="15" customHeight="1" x14ac:dyDescent="0.3">
      <c r="A391" s="22"/>
      <c r="I391" s="21"/>
      <c r="J391" s="20"/>
      <c r="K391" s="3"/>
      <c r="L391" s="20"/>
      <c r="N391" s="12"/>
      <c r="O391" s="11"/>
      <c r="S391" s="10"/>
      <c r="U391" s="3"/>
      <c r="V391" s="3"/>
      <c r="X391" s="9"/>
      <c r="Z391" s="3"/>
      <c r="AA391" s="8"/>
      <c r="AB391" s="7"/>
      <c r="AC391" s="7"/>
      <c r="AD391" s="6"/>
      <c r="AE391" s="6"/>
      <c r="AF391" s="5"/>
      <c r="AG391" s="7"/>
      <c r="AH391" s="3"/>
      <c r="AI391" s="7"/>
      <c r="AJ391" s="7"/>
      <c r="AL391" s="3"/>
      <c r="AM391" s="3"/>
      <c r="AN391" s="3"/>
      <c r="AO391" s="3"/>
      <c r="AP391" s="9"/>
      <c r="AQ391" s="6"/>
    </row>
    <row r="392" spans="1:43" ht="15" customHeight="1" x14ac:dyDescent="0.3">
      <c r="A392" s="22"/>
      <c r="I392" s="21"/>
      <c r="J392" s="20"/>
      <c r="K392" s="3"/>
      <c r="L392" s="20"/>
      <c r="N392" s="12"/>
      <c r="O392" s="11"/>
      <c r="S392" s="10"/>
      <c r="U392" s="3"/>
      <c r="V392" s="3"/>
      <c r="X392" s="9"/>
      <c r="Z392" s="3"/>
      <c r="AA392" s="8"/>
      <c r="AB392" s="7"/>
      <c r="AC392" s="7"/>
      <c r="AD392" s="6"/>
      <c r="AE392" s="6"/>
      <c r="AF392" s="5"/>
      <c r="AG392" s="7"/>
      <c r="AH392" s="3"/>
      <c r="AI392" s="7"/>
      <c r="AJ392" s="7"/>
      <c r="AL392" s="3"/>
      <c r="AM392" s="3"/>
      <c r="AN392" s="3"/>
      <c r="AO392" s="3"/>
      <c r="AP392" s="9"/>
      <c r="AQ392" s="6"/>
    </row>
    <row r="393" spans="1:43" ht="15" customHeight="1" x14ac:dyDescent="0.3">
      <c r="A393" s="22"/>
      <c r="I393" s="21"/>
      <c r="J393" s="20"/>
      <c r="K393" s="3"/>
      <c r="L393" s="20"/>
      <c r="N393" s="12"/>
      <c r="O393" s="11"/>
      <c r="S393" s="10"/>
      <c r="U393" s="3"/>
      <c r="V393" s="3"/>
      <c r="X393" s="9"/>
      <c r="Z393" s="3"/>
      <c r="AA393" s="8"/>
      <c r="AB393" s="7"/>
      <c r="AC393" s="7"/>
      <c r="AD393" s="6"/>
      <c r="AE393" s="6"/>
      <c r="AF393" s="5"/>
      <c r="AG393" s="7"/>
      <c r="AH393" s="3"/>
      <c r="AI393" s="7"/>
      <c r="AJ393" s="7"/>
      <c r="AL393" s="3"/>
      <c r="AM393" s="3"/>
      <c r="AN393" s="3"/>
      <c r="AO393" s="3"/>
      <c r="AP393" s="9"/>
      <c r="AQ393" s="6"/>
    </row>
    <row r="394" spans="1:43" ht="15" customHeight="1" x14ac:dyDescent="0.3">
      <c r="A394" s="22"/>
      <c r="I394" s="21"/>
      <c r="J394" s="20"/>
      <c r="K394" s="3"/>
      <c r="L394" s="20"/>
      <c r="N394" s="12"/>
      <c r="O394" s="11"/>
      <c r="S394" s="10"/>
      <c r="U394" s="3"/>
      <c r="V394" s="3"/>
      <c r="X394" s="9"/>
      <c r="Z394" s="3"/>
      <c r="AA394" s="8"/>
      <c r="AB394" s="7"/>
      <c r="AC394" s="7"/>
      <c r="AD394" s="6"/>
      <c r="AE394" s="6"/>
      <c r="AF394" s="5"/>
      <c r="AG394" s="7"/>
      <c r="AH394" s="3"/>
      <c r="AI394" s="7"/>
      <c r="AJ394" s="7"/>
      <c r="AL394" s="3"/>
      <c r="AM394" s="3"/>
      <c r="AN394" s="3"/>
      <c r="AO394" s="3"/>
      <c r="AP394" s="9"/>
      <c r="AQ394" s="6"/>
    </row>
    <row r="395" spans="1:43" ht="15" customHeight="1" x14ac:dyDescent="0.3">
      <c r="A395" s="22"/>
      <c r="I395" s="21"/>
      <c r="J395" s="20"/>
      <c r="K395" s="3"/>
      <c r="L395" s="20"/>
      <c r="N395" s="12"/>
      <c r="O395" s="11"/>
      <c r="S395" s="10"/>
      <c r="U395" s="3"/>
      <c r="V395" s="3"/>
      <c r="X395" s="9"/>
      <c r="Z395" s="3"/>
      <c r="AA395" s="8"/>
      <c r="AB395" s="7"/>
      <c r="AC395" s="7"/>
      <c r="AD395" s="6"/>
      <c r="AE395" s="6"/>
      <c r="AF395" s="5"/>
      <c r="AG395" s="7"/>
      <c r="AH395" s="3"/>
      <c r="AI395" s="7"/>
      <c r="AJ395" s="7"/>
      <c r="AL395" s="3"/>
      <c r="AM395" s="3"/>
      <c r="AN395" s="3"/>
      <c r="AO395" s="3"/>
      <c r="AP395" s="9"/>
      <c r="AQ395" s="6"/>
    </row>
    <row r="396" spans="1:43" ht="15" customHeight="1" x14ac:dyDescent="0.3">
      <c r="A396" s="22"/>
      <c r="I396" s="21"/>
      <c r="J396" s="20"/>
      <c r="K396" s="3"/>
      <c r="L396" s="20"/>
      <c r="N396" s="12"/>
      <c r="O396" s="11"/>
      <c r="S396" s="10"/>
      <c r="U396" s="3"/>
      <c r="V396" s="3"/>
      <c r="X396" s="9"/>
      <c r="Z396" s="3"/>
      <c r="AA396" s="8"/>
      <c r="AB396" s="7"/>
      <c r="AC396" s="7"/>
      <c r="AD396" s="6"/>
      <c r="AE396" s="6"/>
      <c r="AF396" s="5"/>
      <c r="AG396" s="7"/>
      <c r="AH396" s="3"/>
      <c r="AI396" s="7"/>
      <c r="AJ396" s="7"/>
      <c r="AL396" s="3"/>
      <c r="AM396" s="3"/>
      <c r="AN396" s="3"/>
      <c r="AO396" s="3"/>
      <c r="AP396" s="9"/>
      <c r="AQ396" s="6"/>
    </row>
    <row r="397" spans="1:43" ht="15" customHeight="1" x14ac:dyDescent="0.3">
      <c r="A397" s="22"/>
      <c r="I397" s="21"/>
      <c r="J397" s="20"/>
      <c r="K397" s="3"/>
      <c r="L397" s="20"/>
      <c r="N397" s="12"/>
      <c r="O397" s="11"/>
      <c r="S397" s="10"/>
      <c r="U397" s="3"/>
      <c r="V397" s="3"/>
      <c r="X397" s="9"/>
      <c r="Z397" s="3"/>
      <c r="AA397" s="8"/>
      <c r="AB397" s="7"/>
      <c r="AC397" s="7"/>
      <c r="AD397" s="6"/>
      <c r="AE397" s="6"/>
      <c r="AF397" s="5"/>
      <c r="AG397" s="7"/>
      <c r="AH397" s="3"/>
      <c r="AI397" s="7"/>
      <c r="AJ397" s="7"/>
      <c r="AL397" s="3"/>
      <c r="AM397" s="3"/>
      <c r="AN397" s="3"/>
      <c r="AO397" s="3"/>
      <c r="AP397" s="9"/>
      <c r="AQ397" s="6"/>
    </row>
    <row r="398" spans="1:43" ht="15" customHeight="1" x14ac:dyDescent="0.3">
      <c r="A398" s="22"/>
      <c r="I398" s="21"/>
      <c r="J398" s="20"/>
      <c r="K398" s="3"/>
      <c r="L398" s="20"/>
      <c r="N398" s="12"/>
      <c r="O398" s="11"/>
      <c r="S398" s="10"/>
      <c r="U398" s="3"/>
      <c r="V398" s="3"/>
      <c r="X398" s="9"/>
      <c r="Z398" s="3"/>
      <c r="AA398" s="8"/>
      <c r="AB398" s="7"/>
      <c r="AC398" s="7"/>
      <c r="AD398" s="6"/>
      <c r="AE398" s="6"/>
      <c r="AF398" s="5"/>
      <c r="AG398" s="7"/>
      <c r="AH398" s="3"/>
      <c r="AI398" s="7"/>
      <c r="AJ398" s="7"/>
      <c r="AL398" s="3"/>
      <c r="AM398" s="3"/>
      <c r="AN398" s="3"/>
      <c r="AO398" s="3"/>
      <c r="AP398" s="9"/>
      <c r="AQ398" s="6"/>
    </row>
    <row r="399" spans="1:43" ht="15" customHeight="1" x14ac:dyDescent="0.3">
      <c r="A399" s="22"/>
      <c r="I399" s="21"/>
      <c r="J399" s="20"/>
      <c r="K399" s="3"/>
      <c r="L399" s="20"/>
      <c r="N399" s="12"/>
      <c r="O399" s="11"/>
      <c r="S399" s="10"/>
      <c r="U399" s="3"/>
      <c r="V399" s="3"/>
      <c r="X399" s="9"/>
      <c r="Z399" s="3"/>
      <c r="AA399" s="8"/>
      <c r="AB399" s="7"/>
      <c r="AC399" s="7"/>
      <c r="AD399" s="6"/>
      <c r="AE399" s="6"/>
      <c r="AF399" s="5"/>
      <c r="AG399" s="7"/>
      <c r="AH399" s="3"/>
      <c r="AI399" s="7"/>
      <c r="AJ399" s="7"/>
      <c r="AL399" s="3"/>
      <c r="AM399" s="3"/>
      <c r="AN399" s="3"/>
      <c r="AO399" s="3"/>
      <c r="AP399" s="9"/>
      <c r="AQ399" s="6"/>
    </row>
    <row r="400" spans="1:43" ht="15" customHeight="1" x14ac:dyDescent="0.3">
      <c r="A400" s="22"/>
      <c r="I400" s="21"/>
      <c r="J400" s="20"/>
      <c r="K400" s="3"/>
      <c r="L400" s="20"/>
      <c r="N400" s="12"/>
      <c r="O400" s="11"/>
      <c r="S400" s="10"/>
      <c r="U400" s="3"/>
      <c r="V400" s="3"/>
      <c r="X400" s="9"/>
      <c r="Z400" s="3"/>
      <c r="AA400" s="8"/>
      <c r="AB400" s="7"/>
      <c r="AC400" s="7"/>
      <c r="AD400" s="6"/>
      <c r="AE400" s="6"/>
      <c r="AF400" s="5"/>
      <c r="AG400" s="7"/>
      <c r="AH400" s="3"/>
      <c r="AI400" s="7"/>
      <c r="AJ400" s="7"/>
      <c r="AL400" s="3"/>
      <c r="AM400" s="3"/>
      <c r="AN400" s="3"/>
      <c r="AO400" s="3"/>
      <c r="AP400" s="9"/>
      <c r="AQ400" s="6"/>
    </row>
    <row r="401" spans="1:43" ht="15" customHeight="1" x14ac:dyDescent="0.3">
      <c r="A401" s="22"/>
      <c r="I401" s="21"/>
      <c r="J401" s="20"/>
      <c r="K401" s="3"/>
      <c r="L401" s="20"/>
      <c r="N401" s="12"/>
      <c r="O401" s="11"/>
      <c r="S401" s="10"/>
      <c r="U401" s="3"/>
      <c r="V401" s="3"/>
      <c r="X401" s="9"/>
      <c r="Z401" s="3"/>
      <c r="AA401" s="8"/>
      <c r="AB401" s="7"/>
      <c r="AC401" s="7"/>
      <c r="AD401" s="6"/>
      <c r="AE401" s="6"/>
      <c r="AF401" s="5"/>
      <c r="AG401" s="7"/>
      <c r="AH401" s="3"/>
      <c r="AI401" s="7"/>
      <c r="AJ401" s="7"/>
      <c r="AL401" s="3"/>
      <c r="AM401" s="3"/>
      <c r="AN401" s="3"/>
      <c r="AO401" s="3"/>
      <c r="AP401" s="9"/>
      <c r="AQ401" s="6"/>
    </row>
    <row r="402" spans="1:43" ht="15" customHeight="1" x14ac:dyDescent="0.3">
      <c r="A402" s="22"/>
      <c r="I402" s="21"/>
      <c r="J402" s="20"/>
      <c r="K402" s="3"/>
      <c r="L402" s="20"/>
      <c r="N402" s="12"/>
      <c r="O402" s="11"/>
      <c r="S402" s="10"/>
      <c r="U402" s="3"/>
      <c r="V402" s="3"/>
      <c r="X402" s="9"/>
      <c r="Z402" s="3"/>
      <c r="AA402" s="8"/>
      <c r="AB402" s="7"/>
      <c r="AC402" s="7"/>
      <c r="AD402" s="6"/>
      <c r="AE402" s="6"/>
      <c r="AF402" s="5"/>
      <c r="AG402" s="7"/>
      <c r="AH402" s="3"/>
      <c r="AI402" s="7"/>
      <c r="AJ402" s="7"/>
      <c r="AL402" s="3"/>
      <c r="AM402" s="3"/>
      <c r="AN402" s="3"/>
      <c r="AO402" s="3"/>
      <c r="AP402" s="9"/>
      <c r="AQ402" s="6"/>
    </row>
    <row r="403" spans="1:43" ht="15" customHeight="1" x14ac:dyDescent="0.3">
      <c r="A403" s="22"/>
      <c r="I403" s="21"/>
      <c r="J403" s="20"/>
      <c r="K403" s="3"/>
      <c r="L403" s="20"/>
      <c r="N403" s="12"/>
      <c r="O403" s="11"/>
      <c r="S403" s="10"/>
      <c r="U403" s="3"/>
      <c r="V403" s="3"/>
      <c r="X403" s="9"/>
      <c r="Z403" s="3"/>
      <c r="AA403" s="8"/>
      <c r="AB403" s="7"/>
      <c r="AC403" s="7"/>
      <c r="AD403" s="6"/>
      <c r="AE403" s="6"/>
      <c r="AF403" s="5"/>
      <c r="AG403" s="7"/>
      <c r="AH403" s="3"/>
      <c r="AI403" s="7"/>
      <c r="AJ403" s="7"/>
      <c r="AL403" s="3"/>
      <c r="AM403" s="3"/>
      <c r="AN403" s="3"/>
      <c r="AO403" s="3"/>
      <c r="AP403" s="9"/>
      <c r="AQ403" s="6"/>
    </row>
    <row r="404" spans="1:43" ht="15" customHeight="1" x14ac:dyDescent="0.3">
      <c r="A404" s="22"/>
      <c r="I404" s="21"/>
      <c r="J404" s="20"/>
      <c r="K404" s="3"/>
      <c r="L404" s="20"/>
      <c r="N404" s="12"/>
      <c r="O404" s="11"/>
      <c r="S404" s="10"/>
      <c r="U404" s="3"/>
      <c r="V404" s="3"/>
      <c r="X404" s="9"/>
      <c r="Z404" s="3"/>
      <c r="AA404" s="8"/>
      <c r="AB404" s="7"/>
      <c r="AC404" s="7"/>
      <c r="AD404" s="6"/>
      <c r="AE404" s="6"/>
      <c r="AF404" s="5"/>
      <c r="AG404" s="7"/>
      <c r="AH404" s="3"/>
      <c r="AI404" s="7"/>
      <c r="AJ404" s="7"/>
      <c r="AL404" s="3"/>
      <c r="AM404" s="3"/>
      <c r="AN404" s="3"/>
      <c r="AO404" s="3"/>
      <c r="AP404" s="9"/>
      <c r="AQ404" s="6"/>
    </row>
    <row r="405" spans="1:43" ht="15" customHeight="1" x14ac:dyDescent="0.3">
      <c r="A405" s="22"/>
      <c r="I405" s="21"/>
      <c r="J405" s="20"/>
      <c r="K405" s="3"/>
      <c r="L405" s="20"/>
      <c r="N405" s="12"/>
      <c r="O405" s="11"/>
      <c r="S405" s="10"/>
      <c r="U405" s="3"/>
      <c r="V405" s="3"/>
      <c r="X405" s="9"/>
      <c r="Z405" s="3"/>
      <c r="AA405" s="8"/>
      <c r="AB405" s="7"/>
      <c r="AC405" s="7"/>
      <c r="AD405" s="6"/>
      <c r="AE405" s="6"/>
      <c r="AF405" s="5"/>
      <c r="AG405" s="7"/>
      <c r="AH405" s="3"/>
      <c r="AI405" s="7"/>
      <c r="AJ405" s="7"/>
      <c r="AL405" s="3"/>
      <c r="AM405" s="3"/>
      <c r="AN405" s="3"/>
      <c r="AO405" s="3"/>
      <c r="AP405" s="9"/>
      <c r="AQ405" s="6"/>
    </row>
    <row r="406" spans="1:43" ht="15" customHeight="1" x14ac:dyDescent="0.3">
      <c r="A406" s="22"/>
      <c r="I406" s="21"/>
      <c r="J406" s="20"/>
      <c r="K406" s="3"/>
      <c r="L406" s="20"/>
      <c r="N406" s="12"/>
      <c r="O406" s="11"/>
      <c r="S406" s="10"/>
      <c r="U406" s="3"/>
      <c r="V406" s="3"/>
      <c r="X406" s="9"/>
      <c r="Z406" s="3"/>
      <c r="AA406" s="8"/>
      <c r="AB406" s="7"/>
      <c r="AC406" s="7"/>
      <c r="AD406" s="6"/>
      <c r="AE406" s="6"/>
      <c r="AF406" s="5"/>
      <c r="AG406" s="7"/>
      <c r="AH406" s="3"/>
      <c r="AI406" s="7"/>
      <c r="AJ406" s="7"/>
      <c r="AL406" s="3"/>
      <c r="AM406" s="3"/>
      <c r="AN406" s="3"/>
      <c r="AO406" s="3"/>
      <c r="AP406" s="9"/>
      <c r="AQ406" s="6"/>
    </row>
    <row r="407" spans="1:43" ht="15" customHeight="1" x14ac:dyDescent="0.3">
      <c r="A407" s="22"/>
      <c r="I407" s="21"/>
      <c r="J407" s="20"/>
      <c r="K407" s="3"/>
      <c r="L407" s="20"/>
      <c r="N407" s="12"/>
      <c r="O407" s="11"/>
      <c r="S407" s="10"/>
      <c r="U407" s="3"/>
      <c r="V407" s="3"/>
      <c r="X407" s="9"/>
      <c r="Z407" s="3"/>
      <c r="AA407" s="8"/>
      <c r="AB407" s="7"/>
      <c r="AC407" s="7"/>
      <c r="AD407" s="6"/>
      <c r="AE407" s="6"/>
      <c r="AF407" s="5"/>
      <c r="AG407" s="7"/>
      <c r="AH407" s="3"/>
      <c r="AI407" s="7"/>
      <c r="AJ407" s="7"/>
      <c r="AL407" s="3"/>
      <c r="AM407" s="3"/>
      <c r="AN407" s="3"/>
      <c r="AO407" s="3"/>
      <c r="AP407" s="9"/>
      <c r="AQ407" s="6"/>
    </row>
    <row r="408" spans="1:43" ht="15" customHeight="1" x14ac:dyDescent="0.3">
      <c r="A408" s="22"/>
      <c r="I408" s="21"/>
      <c r="J408" s="20"/>
      <c r="K408" s="3"/>
      <c r="L408" s="20"/>
      <c r="N408" s="12"/>
      <c r="O408" s="11"/>
      <c r="S408" s="10"/>
      <c r="U408" s="3"/>
      <c r="V408" s="3"/>
      <c r="X408" s="9"/>
      <c r="Z408" s="3"/>
      <c r="AA408" s="8"/>
      <c r="AB408" s="7"/>
      <c r="AC408" s="7"/>
      <c r="AD408" s="6"/>
      <c r="AE408" s="6"/>
      <c r="AF408" s="5"/>
      <c r="AG408" s="7"/>
      <c r="AH408" s="3"/>
      <c r="AI408" s="7"/>
      <c r="AJ408" s="7"/>
      <c r="AL408" s="3"/>
      <c r="AM408" s="3"/>
      <c r="AN408" s="3"/>
      <c r="AO408" s="3"/>
      <c r="AP408" s="9"/>
      <c r="AQ408" s="6"/>
    </row>
    <row r="409" spans="1:43" ht="15" customHeight="1" x14ac:dyDescent="0.3">
      <c r="A409" s="22"/>
      <c r="I409" s="21"/>
      <c r="J409" s="20"/>
      <c r="K409" s="3"/>
      <c r="L409" s="20"/>
      <c r="N409" s="12"/>
      <c r="O409" s="11"/>
      <c r="S409" s="10"/>
      <c r="U409" s="3"/>
      <c r="V409" s="3"/>
      <c r="X409" s="9"/>
      <c r="Z409" s="3"/>
      <c r="AA409" s="8"/>
      <c r="AB409" s="7"/>
      <c r="AC409" s="7"/>
      <c r="AD409" s="6"/>
      <c r="AE409" s="6"/>
      <c r="AF409" s="5"/>
      <c r="AG409" s="7"/>
      <c r="AH409" s="3"/>
      <c r="AI409" s="7"/>
      <c r="AJ409" s="7"/>
      <c r="AL409" s="3"/>
      <c r="AM409" s="3"/>
      <c r="AN409" s="3"/>
      <c r="AO409" s="3"/>
      <c r="AP409" s="9"/>
      <c r="AQ409" s="6"/>
    </row>
    <row r="410" spans="1:43" ht="15" customHeight="1" x14ac:dyDescent="0.3">
      <c r="A410" s="22"/>
      <c r="I410" s="21"/>
      <c r="J410" s="20"/>
      <c r="K410" s="3"/>
      <c r="L410" s="20"/>
      <c r="N410" s="12"/>
      <c r="O410" s="11"/>
      <c r="S410" s="10"/>
      <c r="U410" s="3"/>
      <c r="V410" s="3"/>
      <c r="X410" s="9"/>
      <c r="Z410" s="3"/>
      <c r="AA410" s="8"/>
      <c r="AB410" s="7"/>
      <c r="AC410" s="7"/>
      <c r="AD410" s="6"/>
      <c r="AE410" s="6"/>
      <c r="AF410" s="5"/>
      <c r="AG410" s="7"/>
      <c r="AH410" s="3"/>
      <c r="AI410" s="7"/>
      <c r="AJ410" s="7"/>
      <c r="AL410" s="3"/>
      <c r="AM410" s="3"/>
      <c r="AN410" s="3"/>
      <c r="AO410" s="3"/>
      <c r="AP410" s="9"/>
      <c r="AQ410" s="6"/>
    </row>
    <row r="411" spans="1:43" ht="15" customHeight="1" x14ac:dyDescent="0.3">
      <c r="A411" s="22"/>
      <c r="I411" s="21"/>
      <c r="J411" s="20"/>
      <c r="K411" s="3"/>
      <c r="L411" s="20"/>
      <c r="N411" s="12"/>
      <c r="O411" s="11"/>
      <c r="S411" s="10"/>
      <c r="U411" s="3"/>
      <c r="V411" s="3"/>
      <c r="X411" s="9"/>
      <c r="Z411" s="3"/>
      <c r="AA411" s="8"/>
      <c r="AB411" s="7"/>
      <c r="AC411" s="7"/>
      <c r="AD411" s="6"/>
      <c r="AE411" s="6"/>
      <c r="AF411" s="5"/>
      <c r="AG411" s="7"/>
      <c r="AH411" s="3"/>
      <c r="AI411" s="7"/>
      <c r="AJ411" s="7"/>
      <c r="AL411" s="3"/>
      <c r="AM411" s="3"/>
      <c r="AN411" s="3"/>
      <c r="AO411" s="3"/>
      <c r="AP411" s="9"/>
      <c r="AQ411" s="6"/>
    </row>
    <row r="412" spans="1:43" ht="15" customHeight="1" x14ac:dyDescent="0.3">
      <c r="A412" s="22"/>
      <c r="I412" s="21"/>
      <c r="J412" s="20"/>
      <c r="K412" s="3"/>
      <c r="L412" s="20"/>
      <c r="N412" s="12"/>
      <c r="O412" s="11"/>
      <c r="S412" s="10"/>
      <c r="U412" s="3"/>
      <c r="V412" s="3"/>
      <c r="X412" s="9"/>
      <c r="Z412" s="3"/>
      <c r="AA412" s="8"/>
      <c r="AB412" s="7"/>
      <c r="AC412" s="7"/>
      <c r="AD412" s="6"/>
      <c r="AE412" s="6"/>
      <c r="AF412" s="5"/>
      <c r="AG412" s="7"/>
      <c r="AH412" s="3"/>
      <c r="AI412" s="7"/>
      <c r="AJ412" s="7"/>
      <c r="AL412" s="3"/>
      <c r="AM412" s="3"/>
      <c r="AN412" s="3"/>
      <c r="AO412" s="3"/>
      <c r="AP412" s="9"/>
      <c r="AQ412" s="6"/>
    </row>
    <row r="413" spans="1:43" ht="15" customHeight="1" x14ac:dyDescent="0.3">
      <c r="A413" s="22"/>
      <c r="I413" s="21"/>
      <c r="J413" s="20"/>
      <c r="K413" s="3"/>
      <c r="L413" s="20"/>
      <c r="N413" s="12"/>
      <c r="O413" s="11"/>
      <c r="S413" s="10"/>
      <c r="U413" s="3"/>
      <c r="V413" s="3"/>
      <c r="X413" s="9"/>
      <c r="Z413" s="3"/>
      <c r="AA413" s="8"/>
      <c r="AB413" s="7"/>
      <c r="AC413" s="7"/>
      <c r="AD413" s="6"/>
      <c r="AE413" s="6"/>
      <c r="AF413" s="5"/>
      <c r="AG413" s="7"/>
      <c r="AH413" s="3"/>
      <c r="AI413" s="7"/>
      <c r="AJ413" s="7"/>
      <c r="AL413" s="3"/>
      <c r="AM413" s="3"/>
      <c r="AN413" s="3"/>
      <c r="AO413" s="3"/>
      <c r="AP413" s="9"/>
      <c r="AQ413" s="6"/>
    </row>
    <row r="414" spans="1:43" ht="15" customHeight="1" x14ac:dyDescent="0.3">
      <c r="A414" s="22"/>
      <c r="I414" s="21"/>
      <c r="J414" s="20"/>
      <c r="K414" s="3"/>
      <c r="L414" s="20"/>
      <c r="N414" s="12"/>
      <c r="O414" s="11"/>
      <c r="S414" s="10"/>
      <c r="U414" s="3"/>
      <c r="V414" s="3"/>
      <c r="X414" s="9"/>
      <c r="Z414" s="3"/>
      <c r="AA414" s="8"/>
      <c r="AB414" s="7"/>
      <c r="AC414" s="7"/>
      <c r="AD414" s="6"/>
      <c r="AE414" s="6"/>
      <c r="AF414" s="5"/>
      <c r="AG414" s="7"/>
      <c r="AH414" s="3"/>
      <c r="AI414" s="7"/>
      <c r="AJ414" s="7"/>
      <c r="AL414" s="3"/>
      <c r="AM414" s="3"/>
      <c r="AN414" s="3"/>
      <c r="AO414" s="3"/>
      <c r="AP414" s="9"/>
      <c r="AQ414" s="6"/>
    </row>
    <row r="415" spans="1:43" ht="15" customHeight="1" x14ac:dyDescent="0.3">
      <c r="A415" s="22"/>
      <c r="I415" s="21"/>
      <c r="J415" s="20"/>
      <c r="K415" s="3"/>
      <c r="L415" s="20"/>
      <c r="N415" s="12"/>
      <c r="O415" s="11"/>
      <c r="S415" s="10"/>
      <c r="U415" s="3"/>
      <c r="V415" s="3"/>
      <c r="X415" s="9"/>
      <c r="Z415" s="3"/>
      <c r="AA415" s="8"/>
      <c r="AB415" s="7"/>
      <c r="AC415" s="7"/>
      <c r="AD415" s="6"/>
      <c r="AE415" s="6"/>
      <c r="AF415" s="5"/>
      <c r="AG415" s="7"/>
      <c r="AH415" s="3"/>
      <c r="AI415" s="7"/>
      <c r="AJ415" s="7"/>
      <c r="AL415" s="3"/>
      <c r="AM415" s="3"/>
      <c r="AN415" s="3"/>
      <c r="AO415" s="3"/>
      <c r="AP415" s="9"/>
      <c r="AQ415" s="6"/>
    </row>
    <row r="416" spans="1:43" ht="15" customHeight="1" x14ac:dyDescent="0.3">
      <c r="A416" s="22"/>
      <c r="I416" s="21"/>
      <c r="J416" s="20"/>
      <c r="K416" s="3"/>
      <c r="L416" s="20"/>
      <c r="N416" s="12"/>
      <c r="O416" s="11"/>
      <c r="S416" s="10"/>
      <c r="U416" s="3"/>
      <c r="V416" s="3"/>
      <c r="X416" s="9"/>
      <c r="Z416" s="3"/>
      <c r="AA416" s="8"/>
      <c r="AB416" s="7"/>
      <c r="AC416" s="7"/>
      <c r="AD416" s="6"/>
      <c r="AE416" s="6"/>
      <c r="AF416" s="5"/>
      <c r="AG416" s="7"/>
      <c r="AH416" s="3"/>
      <c r="AI416" s="7"/>
      <c r="AJ416" s="7"/>
      <c r="AL416" s="3"/>
      <c r="AM416" s="3"/>
      <c r="AN416" s="3"/>
      <c r="AO416" s="3"/>
      <c r="AP416" s="9"/>
      <c r="AQ416" s="6"/>
    </row>
    <row r="417" spans="1:43" ht="15" customHeight="1" x14ac:dyDescent="0.3">
      <c r="A417" s="22"/>
      <c r="I417" s="21"/>
      <c r="J417" s="20"/>
      <c r="K417" s="3"/>
      <c r="L417" s="20"/>
      <c r="N417" s="12"/>
      <c r="O417" s="11"/>
      <c r="S417" s="10"/>
      <c r="U417" s="3"/>
      <c r="V417" s="3"/>
      <c r="X417" s="9"/>
      <c r="Z417" s="3"/>
      <c r="AA417" s="8"/>
      <c r="AB417" s="7"/>
      <c r="AC417" s="7"/>
      <c r="AD417" s="6"/>
      <c r="AE417" s="6"/>
      <c r="AF417" s="5"/>
      <c r="AG417" s="7"/>
      <c r="AH417" s="3"/>
      <c r="AI417" s="7"/>
      <c r="AJ417" s="7"/>
      <c r="AL417" s="3"/>
      <c r="AM417" s="3"/>
      <c r="AN417" s="3"/>
      <c r="AO417" s="3"/>
      <c r="AP417" s="9"/>
      <c r="AQ417" s="6"/>
    </row>
    <row r="418" spans="1:43" ht="15" customHeight="1" x14ac:dyDescent="0.3">
      <c r="A418" s="22"/>
      <c r="I418" s="21"/>
      <c r="J418" s="20"/>
      <c r="K418" s="3"/>
      <c r="L418" s="20"/>
      <c r="N418" s="12"/>
      <c r="O418" s="11"/>
      <c r="S418" s="10"/>
      <c r="U418" s="3"/>
      <c r="V418" s="3"/>
      <c r="X418" s="9"/>
      <c r="Z418" s="3"/>
      <c r="AA418" s="8"/>
      <c r="AB418" s="7"/>
      <c r="AC418" s="7"/>
      <c r="AD418" s="6"/>
      <c r="AE418" s="6"/>
      <c r="AF418" s="5"/>
      <c r="AG418" s="7"/>
      <c r="AH418" s="3"/>
      <c r="AI418" s="7"/>
      <c r="AJ418" s="7"/>
      <c r="AL418" s="3"/>
      <c r="AM418" s="3"/>
      <c r="AN418" s="3"/>
      <c r="AO418" s="3"/>
      <c r="AP418" s="9"/>
      <c r="AQ418" s="6"/>
    </row>
    <row r="419" spans="1:43" ht="15" customHeight="1" x14ac:dyDescent="0.3">
      <c r="A419" s="22"/>
      <c r="I419" s="21"/>
      <c r="J419" s="20"/>
      <c r="K419" s="3"/>
      <c r="L419" s="20"/>
      <c r="N419" s="12"/>
      <c r="O419" s="11"/>
      <c r="S419" s="10"/>
      <c r="U419" s="3"/>
      <c r="V419" s="3"/>
      <c r="X419" s="9"/>
      <c r="Z419" s="3"/>
      <c r="AA419" s="8"/>
      <c r="AB419" s="7"/>
      <c r="AC419" s="7"/>
      <c r="AD419" s="6"/>
      <c r="AE419" s="6"/>
      <c r="AF419" s="5"/>
      <c r="AG419" s="7"/>
      <c r="AH419" s="3"/>
      <c r="AI419" s="7"/>
      <c r="AJ419" s="7"/>
      <c r="AL419" s="3"/>
      <c r="AM419" s="3"/>
      <c r="AN419" s="3"/>
      <c r="AO419" s="3"/>
      <c r="AP419" s="9"/>
      <c r="AQ419" s="6"/>
    </row>
    <row r="420" spans="1:43" ht="15" customHeight="1" x14ac:dyDescent="0.3">
      <c r="A420" s="22"/>
      <c r="I420" s="21"/>
      <c r="J420" s="20"/>
      <c r="K420" s="3"/>
      <c r="L420" s="20"/>
      <c r="N420" s="12"/>
      <c r="O420" s="11"/>
      <c r="S420" s="10"/>
      <c r="U420" s="3"/>
      <c r="V420" s="3"/>
      <c r="X420" s="9"/>
      <c r="Z420" s="3"/>
      <c r="AA420" s="8"/>
      <c r="AB420" s="7"/>
      <c r="AC420" s="7"/>
      <c r="AD420" s="6"/>
      <c r="AE420" s="6"/>
      <c r="AF420" s="5"/>
      <c r="AG420" s="7"/>
      <c r="AH420" s="3"/>
      <c r="AI420" s="7"/>
      <c r="AJ420" s="7"/>
      <c r="AL420" s="3"/>
      <c r="AM420" s="3"/>
      <c r="AN420" s="3"/>
      <c r="AO420" s="3"/>
      <c r="AP420" s="9"/>
      <c r="AQ420" s="6"/>
    </row>
    <row r="421" spans="1:43" ht="15" customHeight="1" x14ac:dyDescent="0.3">
      <c r="A421" s="22"/>
      <c r="I421" s="21"/>
      <c r="J421" s="20"/>
      <c r="K421" s="3"/>
      <c r="L421" s="20"/>
      <c r="N421" s="12"/>
      <c r="O421" s="11"/>
      <c r="S421" s="10"/>
      <c r="U421" s="3"/>
      <c r="V421" s="3"/>
      <c r="X421" s="9"/>
      <c r="Z421" s="3"/>
      <c r="AA421" s="8"/>
      <c r="AB421" s="7"/>
      <c r="AC421" s="7"/>
      <c r="AD421" s="6"/>
      <c r="AE421" s="6"/>
      <c r="AF421" s="5"/>
      <c r="AG421" s="7"/>
      <c r="AH421" s="3"/>
      <c r="AI421" s="7"/>
      <c r="AJ421" s="7"/>
      <c r="AL421" s="3"/>
      <c r="AM421" s="3"/>
      <c r="AN421" s="3"/>
      <c r="AO421" s="3"/>
      <c r="AP421" s="9"/>
      <c r="AQ421" s="6"/>
    </row>
    <row r="422" spans="1:43" ht="15" customHeight="1" x14ac:dyDescent="0.3">
      <c r="A422" s="22"/>
      <c r="I422" s="21"/>
      <c r="J422" s="20"/>
      <c r="K422" s="3"/>
      <c r="L422" s="20"/>
      <c r="N422" s="12"/>
      <c r="O422" s="11"/>
      <c r="S422" s="10"/>
      <c r="U422" s="3"/>
      <c r="V422" s="3"/>
      <c r="X422" s="9"/>
      <c r="Z422" s="3"/>
      <c r="AA422" s="8"/>
      <c r="AB422" s="7"/>
      <c r="AC422" s="7"/>
      <c r="AD422" s="6"/>
      <c r="AE422" s="6"/>
      <c r="AF422" s="5"/>
      <c r="AG422" s="7"/>
      <c r="AH422" s="3"/>
      <c r="AI422" s="7"/>
      <c r="AJ422" s="7"/>
      <c r="AL422" s="3"/>
      <c r="AM422" s="3"/>
      <c r="AN422" s="3"/>
      <c r="AO422" s="3"/>
      <c r="AP422" s="9"/>
      <c r="AQ422" s="6"/>
    </row>
    <row r="423" spans="1:43" ht="15" customHeight="1" x14ac:dyDescent="0.3">
      <c r="A423" s="22"/>
      <c r="I423" s="21"/>
      <c r="J423" s="20"/>
      <c r="K423" s="3"/>
      <c r="L423" s="20"/>
      <c r="N423" s="12"/>
      <c r="O423" s="11"/>
      <c r="S423" s="10"/>
      <c r="U423" s="3"/>
      <c r="V423" s="3"/>
      <c r="X423" s="9"/>
      <c r="Z423" s="3"/>
      <c r="AA423" s="8"/>
      <c r="AB423" s="7"/>
      <c r="AC423" s="7"/>
      <c r="AD423" s="6"/>
      <c r="AE423" s="6"/>
      <c r="AF423" s="5"/>
      <c r="AG423" s="7"/>
      <c r="AH423" s="3"/>
      <c r="AI423" s="7"/>
      <c r="AJ423" s="7"/>
      <c r="AL423" s="3"/>
      <c r="AM423" s="3"/>
      <c r="AN423" s="3"/>
      <c r="AO423" s="3"/>
      <c r="AP423" s="9"/>
      <c r="AQ423" s="6"/>
    </row>
    <row r="424" spans="1:43" ht="15" customHeight="1" x14ac:dyDescent="0.3">
      <c r="A424" s="22"/>
      <c r="I424" s="21"/>
      <c r="J424" s="20"/>
      <c r="K424" s="3"/>
      <c r="L424" s="20"/>
      <c r="N424" s="12"/>
      <c r="O424" s="11"/>
      <c r="S424" s="10"/>
      <c r="U424" s="3"/>
      <c r="V424" s="3"/>
      <c r="X424" s="9"/>
      <c r="Z424" s="3"/>
      <c r="AA424" s="8"/>
      <c r="AB424" s="7"/>
      <c r="AC424" s="7"/>
      <c r="AD424" s="6"/>
      <c r="AE424" s="6"/>
      <c r="AF424" s="5"/>
      <c r="AG424" s="7"/>
      <c r="AH424" s="3"/>
      <c r="AI424" s="7"/>
      <c r="AJ424" s="7"/>
      <c r="AL424" s="3"/>
      <c r="AM424" s="3"/>
      <c r="AN424" s="3"/>
      <c r="AO424" s="3"/>
      <c r="AP424" s="9"/>
      <c r="AQ424" s="6"/>
    </row>
    <row r="425" spans="1:43" ht="15" customHeight="1" x14ac:dyDescent="0.3">
      <c r="A425" s="22"/>
      <c r="I425" s="21"/>
      <c r="J425" s="20"/>
      <c r="K425" s="3"/>
      <c r="L425" s="20"/>
      <c r="N425" s="12"/>
      <c r="O425" s="11"/>
      <c r="S425" s="10"/>
      <c r="U425" s="3"/>
      <c r="V425" s="3"/>
      <c r="X425" s="9"/>
      <c r="Z425" s="3"/>
      <c r="AA425" s="8"/>
      <c r="AB425" s="7"/>
      <c r="AC425" s="7"/>
      <c r="AD425" s="6"/>
      <c r="AE425" s="6"/>
      <c r="AF425" s="5"/>
      <c r="AG425" s="7"/>
      <c r="AH425" s="3"/>
      <c r="AI425" s="7"/>
      <c r="AJ425" s="7"/>
      <c r="AL425" s="3"/>
      <c r="AM425" s="3"/>
      <c r="AN425" s="3"/>
      <c r="AO425" s="3"/>
      <c r="AP425" s="9"/>
      <c r="AQ425" s="6"/>
    </row>
    <row r="426" spans="1:43" ht="15" customHeight="1" x14ac:dyDescent="0.3">
      <c r="A426" s="22"/>
      <c r="I426" s="21"/>
      <c r="J426" s="20"/>
      <c r="K426" s="3"/>
      <c r="L426" s="20"/>
      <c r="N426" s="12"/>
      <c r="O426" s="11"/>
      <c r="S426" s="10"/>
      <c r="U426" s="3"/>
      <c r="V426" s="3"/>
      <c r="X426" s="9"/>
      <c r="Z426" s="3"/>
      <c r="AA426" s="8"/>
      <c r="AB426" s="7"/>
      <c r="AC426" s="7"/>
      <c r="AD426" s="6"/>
      <c r="AE426" s="6"/>
      <c r="AF426" s="5"/>
      <c r="AG426" s="7"/>
      <c r="AH426" s="3"/>
      <c r="AI426" s="7"/>
      <c r="AJ426" s="7"/>
      <c r="AL426" s="3"/>
      <c r="AM426" s="3"/>
      <c r="AN426" s="3"/>
      <c r="AO426" s="3"/>
      <c r="AP426" s="9"/>
      <c r="AQ426" s="6"/>
    </row>
    <row r="427" spans="1:43" ht="15" customHeight="1" x14ac:dyDescent="0.3">
      <c r="A427" s="22"/>
      <c r="I427" s="21"/>
      <c r="J427" s="20"/>
      <c r="K427" s="3"/>
      <c r="L427" s="20"/>
      <c r="N427" s="12"/>
      <c r="O427" s="11"/>
      <c r="S427" s="10"/>
      <c r="U427" s="3"/>
      <c r="V427" s="3"/>
      <c r="X427" s="9"/>
      <c r="Z427" s="3"/>
      <c r="AA427" s="8"/>
      <c r="AB427" s="7"/>
      <c r="AC427" s="7"/>
      <c r="AD427" s="6"/>
      <c r="AE427" s="6"/>
      <c r="AF427" s="5"/>
      <c r="AG427" s="7"/>
      <c r="AH427" s="3"/>
      <c r="AI427" s="7"/>
      <c r="AJ427" s="7"/>
      <c r="AL427" s="3"/>
      <c r="AM427" s="3"/>
      <c r="AN427" s="3"/>
      <c r="AO427" s="3"/>
      <c r="AP427" s="9"/>
      <c r="AQ427" s="6"/>
    </row>
    <row r="428" spans="1:43" ht="15" customHeight="1" x14ac:dyDescent="0.3">
      <c r="A428" s="22"/>
      <c r="I428" s="21"/>
      <c r="J428" s="20"/>
      <c r="K428" s="3"/>
      <c r="L428" s="20"/>
      <c r="N428" s="12"/>
      <c r="O428" s="11"/>
      <c r="S428" s="10"/>
      <c r="U428" s="3"/>
      <c r="V428" s="3"/>
      <c r="X428" s="9"/>
      <c r="Z428" s="3"/>
      <c r="AA428" s="8"/>
      <c r="AB428" s="7"/>
      <c r="AC428" s="7"/>
      <c r="AD428" s="6"/>
      <c r="AE428" s="6"/>
      <c r="AF428" s="5"/>
      <c r="AG428" s="7"/>
      <c r="AH428" s="3"/>
      <c r="AI428" s="7"/>
      <c r="AJ428" s="7"/>
      <c r="AL428" s="3"/>
      <c r="AM428" s="3"/>
      <c r="AN428" s="3"/>
      <c r="AO428" s="3"/>
      <c r="AP428" s="9"/>
      <c r="AQ428" s="6"/>
    </row>
    <row r="429" spans="1:43" ht="15" customHeight="1" x14ac:dyDescent="0.3">
      <c r="A429" s="22"/>
      <c r="I429" s="21"/>
      <c r="J429" s="20"/>
      <c r="K429" s="3"/>
      <c r="L429" s="20"/>
      <c r="N429" s="12"/>
      <c r="O429" s="11"/>
      <c r="S429" s="10"/>
      <c r="U429" s="3"/>
      <c r="V429" s="3"/>
      <c r="X429" s="9"/>
      <c r="Z429" s="3"/>
      <c r="AA429" s="8"/>
      <c r="AB429" s="7"/>
      <c r="AC429" s="7"/>
      <c r="AD429" s="6"/>
      <c r="AE429" s="6"/>
      <c r="AF429" s="5"/>
      <c r="AG429" s="7"/>
      <c r="AH429" s="3"/>
      <c r="AI429" s="7"/>
      <c r="AJ429" s="7"/>
      <c r="AL429" s="3"/>
      <c r="AM429" s="3"/>
      <c r="AN429" s="3"/>
      <c r="AO429" s="3"/>
      <c r="AP429" s="9"/>
      <c r="AQ429" s="6"/>
    </row>
    <row r="430" spans="1:43" ht="15" customHeight="1" x14ac:dyDescent="0.3">
      <c r="A430" s="22"/>
      <c r="I430" s="21"/>
      <c r="J430" s="20"/>
      <c r="K430" s="3"/>
      <c r="L430" s="20"/>
      <c r="N430" s="12"/>
      <c r="O430" s="11"/>
      <c r="S430" s="10"/>
      <c r="U430" s="3"/>
      <c r="V430" s="3"/>
      <c r="X430" s="9"/>
      <c r="Z430" s="3"/>
      <c r="AA430" s="8"/>
      <c r="AB430" s="7"/>
      <c r="AC430" s="7"/>
      <c r="AD430" s="6"/>
      <c r="AE430" s="6"/>
      <c r="AF430" s="5"/>
      <c r="AG430" s="7"/>
      <c r="AH430" s="3"/>
      <c r="AI430" s="7"/>
      <c r="AJ430" s="7"/>
      <c r="AL430" s="3"/>
      <c r="AM430" s="3"/>
      <c r="AN430" s="3"/>
      <c r="AO430" s="3"/>
      <c r="AP430" s="9"/>
      <c r="AQ430" s="6"/>
    </row>
    <row r="431" spans="1:43" ht="15" customHeight="1" x14ac:dyDescent="0.3">
      <c r="A431" s="22"/>
      <c r="I431" s="21"/>
      <c r="J431" s="20"/>
      <c r="K431" s="3"/>
      <c r="L431" s="20"/>
      <c r="N431" s="12"/>
      <c r="O431" s="11"/>
      <c r="S431" s="10"/>
      <c r="U431" s="3"/>
      <c r="V431" s="3"/>
      <c r="X431" s="9"/>
      <c r="Z431" s="3"/>
      <c r="AA431" s="8"/>
      <c r="AB431" s="7"/>
      <c r="AC431" s="7"/>
      <c r="AD431" s="6"/>
      <c r="AE431" s="6"/>
      <c r="AF431" s="5"/>
      <c r="AG431" s="7"/>
      <c r="AH431" s="3"/>
      <c r="AI431" s="7"/>
      <c r="AJ431" s="7"/>
      <c r="AL431" s="3"/>
      <c r="AM431" s="3"/>
      <c r="AN431" s="3"/>
      <c r="AO431" s="3"/>
      <c r="AP431" s="9"/>
      <c r="AQ431" s="6"/>
    </row>
    <row r="432" spans="1:43" ht="15" customHeight="1" x14ac:dyDescent="0.3">
      <c r="A432" s="22"/>
      <c r="I432" s="21"/>
      <c r="J432" s="20"/>
      <c r="K432" s="3"/>
      <c r="L432" s="20"/>
      <c r="N432" s="12"/>
      <c r="O432" s="11"/>
      <c r="S432" s="10"/>
      <c r="U432" s="3"/>
      <c r="V432" s="3"/>
      <c r="X432" s="9"/>
      <c r="Z432" s="3"/>
      <c r="AA432" s="8"/>
      <c r="AB432" s="7"/>
      <c r="AC432" s="7"/>
      <c r="AD432" s="6"/>
      <c r="AE432" s="6"/>
      <c r="AF432" s="5"/>
      <c r="AG432" s="7"/>
      <c r="AH432" s="3"/>
      <c r="AI432" s="7"/>
      <c r="AJ432" s="7"/>
      <c r="AL432" s="3"/>
      <c r="AM432" s="3"/>
      <c r="AN432" s="3"/>
      <c r="AO432" s="3"/>
      <c r="AP432" s="9"/>
      <c r="AQ432" s="6"/>
    </row>
    <row r="433" spans="1:43" ht="15" customHeight="1" x14ac:dyDescent="0.3">
      <c r="A433" s="22"/>
      <c r="I433" s="21"/>
      <c r="J433" s="20"/>
      <c r="K433" s="3"/>
      <c r="L433" s="20"/>
      <c r="N433" s="12"/>
      <c r="O433" s="11"/>
      <c r="S433" s="10"/>
      <c r="U433" s="3"/>
      <c r="V433" s="3"/>
      <c r="X433" s="9"/>
      <c r="Z433" s="3"/>
      <c r="AA433" s="8"/>
      <c r="AB433" s="7"/>
      <c r="AC433" s="7"/>
      <c r="AD433" s="6"/>
      <c r="AE433" s="6"/>
      <c r="AF433" s="5"/>
      <c r="AG433" s="7"/>
      <c r="AH433" s="3"/>
      <c r="AI433" s="7"/>
      <c r="AJ433" s="7"/>
      <c r="AL433" s="3"/>
      <c r="AM433" s="3"/>
      <c r="AN433" s="3"/>
      <c r="AO433" s="3"/>
      <c r="AP433" s="9"/>
      <c r="AQ433" s="6"/>
    </row>
    <row r="434" spans="1:43" ht="15" customHeight="1" x14ac:dyDescent="0.3">
      <c r="A434" s="22"/>
      <c r="I434" s="21"/>
      <c r="J434" s="20"/>
      <c r="K434" s="3"/>
      <c r="L434" s="20"/>
      <c r="N434" s="12"/>
      <c r="O434" s="11"/>
      <c r="S434" s="10"/>
      <c r="U434" s="3"/>
      <c r="V434" s="3"/>
      <c r="X434" s="9"/>
      <c r="Z434" s="3"/>
      <c r="AA434" s="8"/>
      <c r="AB434" s="7"/>
      <c r="AC434" s="7"/>
      <c r="AD434" s="6"/>
      <c r="AE434" s="6"/>
      <c r="AF434" s="5"/>
      <c r="AG434" s="7"/>
      <c r="AH434" s="3"/>
      <c r="AI434" s="7"/>
      <c r="AJ434" s="7"/>
      <c r="AL434" s="3"/>
      <c r="AM434" s="3"/>
      <c r="AN434" s="3"/>
      <c r="AO434" s="3"/>
      <c r="AP434" s="9"/>
      <c r="AQ434" s="6"/>
    </row>
    <row r="435" spans="1:43" ht="15" customHeight="1" x14ac:dyDescent="0.3">
      <c r="A435" s="22"/>
      <c r="I435" s="21"/>
      <c r="J435" s="20"/>
      <c r="K435" s="3"/>
      <c r="L435" s="20"/>
      <c r="N435" s="12"/>
      <c r="O435" s="11"/>
      <c r="S435" s="10"/>
      <c r="U435" s="3"/>
      <c r="V435" s="3"/>
      <c r="X435" s="9"/>
      <c r="Z435" s="3"/>
      <c r="AA435" s="8"/>
      <c r="AB435" s="7"/>
      <c r="AC435" s="7"/>
      <c r="AD435" s="6"/>
      <c r="AE435" s="6"/>
      <c r="AF435" s="5"/>
      <c r="AG435" s="7"/>
      <c r="AH435" s="3"/>
      <c r="AI435" s="7"/>
      <c r="AJ435" s="7"/>
      <c r="AL435" s="3"/>
      <c r="AM435" s="3"/>
      <c r="AN435" s="3"/>
      <c r="AO435" s="3"/>
      <c r="AP435" s="9"/>
      <c r="AQ435" s="6"/>
    </row>
    <row r="436" spans="1:43" ht="15" customHeight="1" x14ac:dyDescent="0.3">
      <c r="A436" s="22"/>
      <c r="I436" s="21"/>
      <c r="J436" s="20"/>
      <c r="K436" s="3"/>
      <c r="L436" s="20"/>
      <c r="N436" s="12"/>
      <c r="O436" s="11"/>
      <c r="S436" s="10"/>
      <c r="U436" s="3"/>
      <c r="V436" s="3"/>
      <c r="X436" s="9"/>
      <c r="Z436" s="3"/>
      <c r="AA436" s="8"/>
      <c r="AB436" s="7"/>
      <c r="AC436" s="7"/>
      <c r="AD436" s="6"/>
      <c r="AE436" s="6"/>
      <c r="AF436" s="5"/>
      <c r="AG436" s="7"/>
      <c r="AH436" s="3"/>
      <c r="AI436" s="7"/>
      <c r="AJ436" s="7"/>
      <c r="AL436" s="3"/>
      <c r="AM436" s="3"/>
      <c r="AN436" s="3"/>
      <c r="AO436" s="3"/>
      <c r="AP436" s="9"/>
      <c r="AQ436" s="6"/>
    </row>
    <row r="437" spans="1:43" ht="15" customHeight="1" x14ac:dyDescent="0.3">
      <c r="A437" s="22"/>
      <c r="I437" s="21"/>
      <c r="J437" s="20"/>
      <c r="K437" s="3"/>
      <c r="L437" s="20"/>
      <c r="N437" s="12"/>
      <c r="O437" s="11"/>
      <c r="S437" s="10"/>
      <c r="U437" s="3"/>
      <c r="V437" s="3"/>
      <c r="X437" s="9"/>
      <c r="Z437" s="3"/>
      <c r="AA437" s="8"/>
      <c r="AB437" s="7"/>
      <c r="AC437" s="7"/>
      <c r="AD437" s="6"/>
      <c r="AE437" s="6"/>
      <c r="AF437" s="5"/>
      <c r="AG437" s="7"/>
      <c r="AH437" s="3"/>
      <c r="AI437" s="7"/>
      <c r="AJ437" s="7"/>
      <c r="AL437" s="3"/>
      <c r="AM437" s="3"/>
      <c r="AN437" s="3"/>
      <c r="AO437" s="3"/>
      <c r="AP437" s="9"/>
      <c r="AQ437" s="6"/>
    </row>
    <row r="438" spans="1:43" ht="15" customHeight="1" x14ac:dyDescent="0.3">
      <c r="A438" s="22"/>
      <c r="I438" s="21"/>
      <c r="J438" s="20"/>
      <c r="K438" s="3"/>
      <c r="L438" s="20"/>
      <c r="N438" s="12"/>
      <c r="O438" s="11"/>
      <c r="S438" s="10"/>
      <c r="U438" s="3"/>
      <c r="V438" s="3"/>
      <c r="X438" s="9"/>
      <c r="Z438" s="3"/>
      <c r="AA438" s="8"/>
      <c r="AB438" s="7"/>
      <c r="AC438" s="7"/>
      <c r="AD438" s="6"/>
      <c r="AE438" s="6"/>
      <c r="AF438" s="5"/>
      <c r="AG438" s="7"/>
      <c r="AH438" s="3"/>
      <c r="AI438" s="7"/>
      <c r="AJ438" s="7"/>
      <c r="AL438" s="3"/>
      <c r="AM438" s="3"/>
      <c r="AN438" s="3"/>
      <c r="AO438" s="3"/>
      <c r="AP438" s="9"/>
      <c r="AQ438" s="6"/>
    </row>
    <row r="439" spans="1:43" ht="15" customHeight="1" x14ac:dyDescent="0.3">
      <c r="A439" s="22"/>
      <c r="I439" s="21"/>
      <c r="J439" s="20"/>
      <c r="K439" s="3"/>
      <c r="L439" s="20"/>
      <c r="N439" s="12"/>
      <c r="O439" s="11"/>
      <c r="S439" s="10"/>
      <c r="U439" s="3"/>
      <c r="V439" s="3"/>
      <c r="X439" s="9"/>
      <c r="Z439" s="3"/>
      <c r="AA439" s="8"/>
      <c r="AB439" s="7"/>
      <c r="AC439" s="7"/>
      <c r="AD439" s="6"/>
      <c r="AE439" s="6"/>
      <c r="AF439" s="5"/>
      <c r="AG439" s="7"/>
      <c r="AH439" s="3"/>
      <c r="AI439" s="7"/>
      <c r="AJ439" s="7"/>
      <c r="AL439" s="3"/>
      <c r="AM439" s="3"/>
      <c r="AN439" s="3"/>
      <c r="AO439" s="3"/>
      <c r="AP439" s="9"/>
      <c r="AQ439" s="6"/>
    </row>
    <row r="440" spans="1:43" ht="15" customHeight="1" x14ac:dyDescent="0.3">
      <c r="A440" s="22"/>
      <c r="I440" s="21"/>
      <c r="J440" s="20"/>
      <c r="K440" s="3"/>
      <c r="L440" s="20"/>
      <c r="N440" s="12"/>
      <c r="O440" s="11"/>
      <c r="S440" s="10"/>
      <c r="U440" s="3"/>
      <c r="V440" s="3"/>
      <c r="X440" s="9"/>
      <c r="Z440" s="3"/>
      <c r="AA440" s="8"/>
      <c r="AB440" s="7"/>
      <c r="AC440" s="7"/>
      <c r="AD440" s="6"/>
      <c r="AE440" s="6"/>
      <c r="AF440" s="5"/>
      <c r="AG440" s="7"/>
      <c r="AH440" s="3"/>
      <c r="AI440" s="7"/>
      <c r="AJ440" s="7"/>
      <c r="AL440" s="3"/>
      <c r="AM440" s="3"/>
      <c r="AN440" s="3"/>
      <c r="AO440" s="3"/>
      <c r="AP440" s="9"/>
      <c r="AQ440" s="6"/>
    </row>
    <row r="441" spans="1:43" ht="15" customHeight="1" x14ac:dyDescent="0.3">
      <c r="A441" s="22"/>
      <c r="I441" s="21"/>
      <c r="J441" s="20"/>
      <c r="K441" s="3"/>
      <c r="L441" s="20"/>
      <c r="N441" s="12"/>
      <c r="O441" s="11"/>
      <c r="S441" s="10"/>
      <c r="U441" s="3"/>
      <c r="V441" s="3"/>
      <c r="X441" s="9"/>
      <c r="Z441" s="3"/>
      <c r="AA441" s="8"/>
      <c r="AB441" s="7"/>
      <c r="AC441" s="7"/>
      <c r="AD441" s="6"/>
      <c r="AE441" s="6"/>
      <c r="AF441" s="5"/>
      <c r="AG441" s="7"/>
      <c r="AH441" s="3"/>
      <c r="AI441" s="7"/>
      <c r="AJ441" s="7"/>
      <c r="AL441" s="3"/>
      <c r="AM441" s="3"/>
      <c r="AN441" s="3"/>
      <c r="AO441" s="3"/>
      <c r="AP441" s="9"/>
      <c r="AQ441" s="6"/>
    </row>
    <row r="442" spans="1:43" ht="15" customHeight="1" x14ac:dyDescent="0.3">
      <c r="A442" s="22"/>
      <c r="I442" s="21"/>
      <c r="J442" s="20"/>
      <c r="K442" s="3"/>
      <c r="L442" s="20"/>
      <c r="N442" s="12"/>
      <c r="O442" s="11"/>
      <c r="S442" s="10"/>
      <c r="U442" s="3"/>
      <c r="V442" s="3"/>
      <c r="X442" s="9"/>
      <c r="Z442" s="3"/>
      <c r="AA442" s="8"/>
      <c r="AB442" s="7"/>
      <c r="AC442" s="7"/>
      <c r="AD442" s="6"/>
      <c r="AE442" s="6"/>
      <c r="AF442" s="5"/>
      <c r="AG442" s="7"/>
      <c r="AH442" s="3"/>
      <c r="AI442" s="7"/>
      <c r="AJ442" s="7"/>
      <c r="AL442" s="3"/>
      <c r="AM442" s="3"/>
      <c r="AN442" s="3"/>
      <c r="AO442" s="3"/>
      <c r="AP442" s="9"/>
      <c r="AQ442" s="6"/>
    </row>
    <row r="443" spans="1:43" ht="15" customHeight="1" x14ac:dyDescent="0.3">
      <c r="A443" s="22"/>
      <c r="I443" s="21"/>
      <c r="J443" s="20"/>
      <c r="K443" s="3"/>
      <c r="L443" s="20"/>
      <c r="N443" s="12"/>
      <c r="O443" s="11"/>
      <c r="S443" s="10"/>
      <c r="U443" s="3"/>
      <c r="V443" s="3"/>
      <c r="X443" s="9"/>
      <c r="Z443" s="3"/>
      <c r="AA443" s="8"/>
      <c r="AB443" s="7"/>
      <c r="AC443" s="7"/>
      <c r="AD443" s="6"/>
      <c r="AE443" s="6"/>
      <c r="AF443" s="5"/>
      <c r="AG443" s="7"/>
      <c r="AH443" s="3"/>
      <c r="AI443" s="7"/>
      <c r="AJ443" s="7"/>
      <c r="AL443" s="3"/>
      <c r="AM443" s="3"/>
      <c r="AN443" s="3"/>
      <c r="AO443" s="3"/>
      <c r="AP443" s="9"/>
      <c r="AQ443" s="6"/>
    </row>
    <row r="444" spans="1:43" ht="15" customHeight="1" x14ac:dyDescent="0.3">
      <c r="A444" s="22"/>
      <c r="I444" s="21"/>
      <c r="J444" s="20"/>
      <c r="K444" s="3"/>
      <c r="L444" s="20"/>
      <c r="N444" s="12"/>
      <c r="O444" s="11"/>
      <c r="S444" s="10"/>
      <c r="U444" s="3"/>
      <c r="V444" s="3"/>
      <c r="X444" s="9"/>
      <c r="Z444" s="3"/>
      <c r="AA444" s="8"/>
      <c r="AB444" s="7"/>
      <c r="AC444" s="7"/>
      <c r="AD444" s="6"/>
      <c r="AE444" s="6"/>
      <c r="AF444" s="5"/>
      <c r="AG444" s="7"/>
      <c r="AH444" s="3"/>
      <c r="AI444" s="7"/>
      <c r="AJ444" s="7"/>
      <c r="AL444" s="3"/>
      <c r="AM444" s="3"/>
      <c r="AN444" s="3"/>
      <c r="AO444" s="3"/>
      <c r="AP444" s="9"/>
      <c r="AQ444" s="6"/>
    </row>
    <row r="445" spans="1:43" ht="15" customHeight="1" x14ac:dyDescent="0.3">
      <c r="A445" s="22"/>
      <c r="I445" s="21"/>
      <c r="J445" s="20"/>
      <c r="K445" s="3"/>
      <c r="L445" s="20"/>
      <c r="N445" s="12"/>
      <c r="O445" s="11"/>
      <c r="S445" s="10"/>
      <c r="U445" s="3"/>
      <c r="V445" s="3"/>
      <c r="X445" s="9"/>
      <c r="Z445" s="3"/>
      <c r="AA445" s="8"/>
      <c r="AB445" s="7"/>
      <c r="AC445" s="7"/>
      <c r="AD445" s="6"/>
      <c r="AE445" s="6"/>
      <c r="AF445" s="5"/>
      <c r="AG445" s="7"/>
      <c r="AH445" s="3"/>
      <c r="AI445" s="7"/>
      <c r="AJ445" s="7"/>
      <c r="AL445" s="3"/>
      <c r="AM445" s="3"/>
      <c r="AN445" s="3"/>
      <c r="AO445" s="3"/>
      <c r="AP445" s="9"/>
      <c r="AQ445" s="6"/>
    </row>
    <row r="446" spans="1:43" ht="15" customHeight="1" x14ac:dyDescent="0.3">
      <c r="A446" s="22"/>
      <c r="I446" s="21"/>
      <c r="J446" s="20"/>
      <c r="K446" s="3"/>
      <c r="L446" s="20"/>
      <c r="N446" s="12"/>
      <c r="O446" s="11"/>
      <c r="S446" s="10"/>
      <c r="U446" s="3"/>
      <c r="V446" s="3"/>
      <c r="X446" s="9"/>
      <c r="Z446" s="3"/>
      <c r="AA446" s="8"/>
      <c r="AB446" s="7"/>
      <c r="AC446" s="7"/>
      <c r="AD446" s="6"/>
      <c r="AE446" s="6"/>
      <c r="AF446" s="5"/>
      <c r="AG446" s="7"/>
      <c r="AH446" s="3"/>
      <c r="AI446" s="7"/>
      <c r="AJ446" s="7"/>
      <c r="AL446" s="3"/>
      <c r="AM446" s="3"/>
      <c r="AN446" s="3"/>
      <c r="AO446" s="3"/>
      <c r="AP446" s="9"/>
      <c r="AQ446" s="6"/>
    </row>
    <row r="447" spans="1:43" ht="15" customHeight="1" x14ac:dyDescent="0.3">
      <c r="A447" s="22"/>
      <c r="I447" s="21"/>
      <c r="J447" s="20"/>
      <c r="K447" s="3"/>
      <c r="L447" s="20"/>
      <c r="N447" s="12"/>
      <c r="O447" s="11"/>
      <c r="S447" s="10"/>
      <c r="U447" s="3"/>
      <c r="V447" s="3"/>
      <c r="X447" s="9"/>
      <c r="Z447" s="3"/>
      <c r="AA447" s="8"/>
      <c r="AB447" s="7"/>
      <c r="AC447" s="7"/>
      <c r="AD447" s="6"/>
      <c r="AE447" s="6"/>
      <c r="AF447" s="5"/>
      <c r="AG447" s="7"/>
      <c r="AH447" s="3"/>
      <c r="AI447" s="7"/>
      <c r="AJ447" s="7"/>
      <c r="AL447" s="3"/>
      <c r="AM447" s="3"/>
      <c r="AN447" s="3"/>
      <c r="AO447" s="3"/>
      <c r="AP447" s="9"/>
      <c r="AQ447" s="6"/>
    </row>
    <row r="448" spans="1:43" ht="15" customHeight="1" x14ac:dyDescent="0.3">
      <c r="A448" s="22"/>
      <c r="I448" s="21"/>
      <c r="J448" s="20"/>
      <c r="K448" s="3"/>
      <c r="L448" s="20"/>
      <c r="N448" s="12"/>
      <c r="O448" s="11"/>
      <c r="S448" s="10"/>
      <c r="U448" s="3"/>
      <c r="V448" s="3"/>
      <c r="X448" s="9"/>
      <c r="Z448" s="3"/>
      <c r="AA448" s="8"/>
      <c r="AB448" s="7"/>
      <c r="AC448" s="7"/>
      <c r="AD448" s="6"/>
      <c r="AE448" s="6"/>
      <c r="AF448" s="5"/>
      <c r="AG448" s="7"/>
      <c r="AH448" s="3"/>
      <c r="AI448" s="7"/>
      <c r="AJ448" s="7"/>
      <c r="AL448" s="3"/>
      <c r="AM448" s="3"/>
      <c r="AN448" s="3"/>
      <c r="AO448" s="3"/>
      <c r="AP448" s="9"/>
      <c r="AQ448" s="6"/>
    </row>
    <row r="449" spans="1:43" ht="15" customHeight="1" x14ac:dyDescent="0.3">
      <c r="A449" s="22"/>
      <c r="I449" s="21"/>
      <c r="J449" s="20"/>
      <c r="K449" s="3"/>
      <c r="L449" s="20"/>
      <c r="N449" s="12"/>
      <c r="O449" s="11"/>
      <c r="S449" s="10"/>
      <c r="U449" s="3"/>
      <c r="V449" s="3"/>
      <c r="X449" s="9"/>
      <c r="Z449" s="3"/>
      <c r="AA449" s="8"/>
      <c r="AB449" s="7"/>
      <c r="AC449" s="7"/>
      <c r="AD449" s="6"/>
      <c r="AE449" s="6"/>
      <c r="AF449" s="5"/>
      <c r="AG449" s="7"/>
      <c r="AH449" s="3"/>
      <c r="AI449" s="7"/>
      <c r="AJ449" s="7"/>
      <c r="AL449" s="3"/>
      <c r="AM449" s="3"/>
      <c r="AN449" s="3"/>
      <c r="AO449" s="3"/>
      <c r="AP449" s="9"/>
      <c r="AQ449" s="6"/>
    </row>
    <row r="450" spans="1:43" ht="15" customHeight="1" x14ac:dyDescent="0.3">
      <c r="A450" s="22"/>
      <c r="I450" s="21"/>
      <c r="J450" s="20"/>
      <c r="K450" s="3"/>
      <c r="L450" s="20"/>
      <c r="N450" s="12"/>
      <c r="O450" s="11"/>
      <c r="S450" s="10"/>
      <c r="U450" s="3"/>
      <c r="V450" s="3"/>
      <c r="X450" s="9"/>
      <c r="Z450" s="3"/>
      <c r="AA450" s="8"/>
      <c r="AB450" s="7"/>
      <c r="AC450" s="7"/>
      <c r="AD450" s="6"/>
      <c r="AE450" s="6"/>
      <c r="AF450" s="5"/>
      <c r="AG450" s="7"/>
      <c r="AH450" s="3"/>
      <c r="AI450" s="7"/>
      <c r="AJ450" s="7"/>
      <c r="AL450" s="3"/>
      <c r="AM450" s="3"/>
      <c r="AN450" s="3"/>
      <c r="AO450" s="3"/>
      <c r="AP450" s="9"/>
      <c r="AQ450" s="6"/>
    </row>
    <row r="451" spans="1:43" ht="15" customHeight="1" x14ac:dyDescent="0.3">
      <c r="A451" s="22"/>
      <c r="I451" s="21"/>
      <c r="J451" s="20"/>
      <c r="K451" s="3"/>
      <c r="L451" s="20"/>
      <c r="N451" s="12"/>
      <c r="O451" s="11"/>
      <c r="S451" s="10"/>
      <c r="U451" s="3"/>
      <c r="V451" s="3"/>
      <c r="X451" s="9"/>
      <c r="Z451" s="3"/>
      <c r="AA451" s="8"/>
      <c r="AB451" s="7"/>
      <c r="AC451" s="7"/>
      <c r="AD451" s="6"/>
      <c r="AE451" s="6"/>
      <c r="AF451" s="5"/>
      <c r="AG451" s="7"/>
      <c r="AH451" s="3"/>
      <c r="AI451" s="7"/>
      <c r="AJ451" s="7"/>
      <c r="AL451" s="3"/>
      <c r="AM451" s="3"/>
      <c r="AN451" s="3"/>
      <c r="AO451" s="3"/>
      <c r="AP451" s="9"/>
      <c r="AQ451" s="6"/>
    </row>
    <row r="452" spans="1:43" ht="15" customHeight="1" x14ac:dyDescent="0.3">
      <c r="A452" s="22"/>
      <c r="I452" s="21"/>
      <c r="J452" s="20"/>
      <c r="K452" s="3"/>
      <c r="L452" s="20"/>
      <c r="N452" s="12"/>
      <c r="O452" s="11"/>
      <c r="S452" s="10"/>
      <c r="U452" s="3"/>
      <c r="V452" s="3"/>
      <c r="X452" s="9"/>
      <c r="Z452" s="3"/>
      <c r="AA452" s="8"/>
      <c r="AB452" s="7"/>
      <c r="AC452" s="7"/>
      <c r="AD452" s="6"/>
      <c r="AE452" s="6"/>
      <c r="AF452" s="5"/>
      <c r="AG452" s="7"/>
      <c r="AH452" s="3"/>
      <c r="AI452" s="7"/>
      <c r="AJ452" s="7"/>
      <c r="AL452" s="3"/>
      <c r="AM452" s="3"/>
      <c r="AN452" s="3"/>
      <c r="AO452" s="3"/>
      <c r="AP452" s="9"/>
      <c r="AQ452" s="6"/>
    </row>
    <row r="453" spans="1:43" ht="15" customHeight="1" x14ac:dyDescent="0.3">
      <c r="A453" s="22"/>
      <c r="I453" s="21"/>
      <c r="J453" s="20"/>
      <c r="K453" s="3"/>
      <c r="L453" s="20"/>
      <c r="N453" s="12"/>
      <c r="O453" s="11"/>
      <c r="S453" s="10"/>
      <c r="U453" s="3"/>
      <c r="V453" s="3"/>
      <c r="X453" s="9"/>
      <c r="Z453" s="3"/>
      <c r="AA453" s="8"/>
      <c r="AB453" s="7"/>
      <c r="AC453" s="7"/>
      <c r="AD453" s="6"/>
      <c r="AE453" s="6"/>
      <c r="AF453" s="5"/>
      <c r="AG453" s="7"/>
      <c r="AH453" s="3"/>
      <c r="AI453" s="7"/>
      <c r="AJ453" s="7"/>
      <c r="AL453" s="3"/>
      <c r="AM453" s="3"/>
      <c r="AN453" s="3"/>
      <c r="AO453" s="3"/>
      <c r="AP453" s="9"/>
      <c r="AQ453" s="6"/>
    </row>
    <row r="454" spans="1:43" ht="15" customHeight="1" x14ac:dyDescent="0.3">
      <c r="A454" s="22"/>
      <c r="I454" s="21"/>
      <c r="J454" s="20"/>
      <c r="K454" s="3"/>
      <c r="L454" s="20"/>
      <c r="N454" s="12"/>
      <c r="O454" s="11"/>
      <c r="S454" s="10"/>
      <c r="U454" s="3"/>
      <c r="V454" s="3"/>
      <c r="X454" s="9"/>
      <c r="Z454" s="3"/>
      <c r="AA454" s="8"/>
      <c r="AB454" s="7"/>
      <c r="AC454" s="7"/>
      <c r="AD454" s="6"/>
      <c r="AE454" s="6"/>
      <c r="AF454" s="5"/>
      <c r="AG454" s="7"/>
      <c r="AH454" s="3"/>
      <c r="AI454" s="7"/>
      <c r="AJ454" s="7"/>
      <c r="AL454" s="3"/>
      <c r="AM454" s="3"/>
      <c r="AN454" s="3"/>
      <c r="AO454" s="3"/>
      <c r="AP454" s="9"/>
      <c r="AQ454" s="6"/>
    </row>
    <row r="455" spans="1:43" ht="15" customHeight="1" x14ac:dyDescent="0.3">
      <c r="A455" s="22"/>
      <c r="I455" s="21"/>
      <c r="J455" s="20"/>
      <c r="K455" s="3"/>
      <c r="L455" s="20"/>
      <c r="N455" s="12"/>
      <c r="O455" s="11"/>
      <c r="S455" s="10"/>
      <c r="U455" s="3"/>
      <c r="V455" s="3"/>
      <c r="X455" s="9"/>
      <c r="Z455" s="3"/>
      <c r="AA455" s="8"/>
      <c r="AB455" s="7"/>
      <c r="AC455" s="7"/>
      <c r="AD455" s="6"/>
      <c r="AE455" s="6"/>
      <c r="AF455" s="5"/>
      <c r="AG455" s="7"/>
      <c r="AH455" s="3"/>
      <c r="AI455" s="7"/>
      <c r="AJ455" s="7"/>
      <c r="AL455" s="3"/>
      <c r="AM455" s="3"/>
      <c r="AN455" s="3"/>
      <c r="AO455" s="3"/>
      <c r="AP455" s="9"/>
      <c r="AQ455" s="6"/>
    </row>
    <row r="456" spans="1:43" ht="15" customHeight="1" x14ac:dyDescent="0.3">
      <c r="A456" s="22"/>
      <c r="I456" s="21"/>
      <c r="J456" s="20"/>
      <c r="K456" s="3"/>
      <c r="L456" s="20"/>
      <c r="N456" s="12"/>
      <c r="O456" s="11"/>
      <c r="S456" s="10"/>
      <c r="U456" s="3"/>
      <c r="V456" s="3"/>
      <c r="X456" s="9"/>
      <c r="Z456" s="3"/>
      <c r="AA456" s="8"/>
      <c r="AB456" s="7"/>
      <c r="AC456" s="7"/>
      <c r="AD456" s="6"/>
      <c r="AE456" s="6"/>
      <c r="AF456" s="5"/>
      <c r="AG456" s="7"/>
      <c r="AH456" s="3"/>
      <c r="AI456" s="7"/>
      <c r="AJ456" s="7"/>
      <c r="AL456" s="3"/>
      <c r="AM456" s="3"/>
      <c r="AN456" s="3"/>
      <c r="AO456" s="3"/>
      <c r="AP456" s="9"/>
      <c r="AQ456" s="6"/>
    </row>
    <row r="457" spans="1:43" ht="15" customHeight="1" x14ac:dyDescent="0.3">
      <c r="A457" s="22"/>
      <c r="I457" s="21"/>
      <c r="J457" s="20"/>
      <c r="K457" s="3"/>
      <c r="L457" s="20"/>
      <c r="N457" s="12"/>
      <c r="O457" s="11"/>
      <c r="S457" s="10"/>
      <c r="U457" s="3"/>
      <c r="V457" s="3"/>
      <c r="X457" s="9"/>
      <c r="Z457" s="3"/>
      <c r="AA457" s="8"/>
      <c r="AB457" s="7"/>
      <c r="AC457" s="7"/>
      <c r="AD457" s="6"/>
      <c r="AE457" s="6"/>
      <c r="AF457" s="5"/>
      <c r="AG457" s="7"/>
      <c r="AH457" s="3"/>
      <c r="AI457" s="7"/>
      <c r="AJ457" s="7"/>
      <c r="AL457" s="3"/>
      <c r="AM457" s="3"/>
      <c r="AN457" s="3"/>
      <c r="AO457" s="3"/>
      <c r="AP457" s="9"/>
      <c r="AQ457" s="6"/>
    </row>
    <row r="458" spans="1:43" ht="15" customHeight="1" x14ac:dyDescent="0.3">
      <c r="A458" s="22"/>
      <c r="I458" s="21"/>
      <c r="J458" s="20"/>
      <c r="K458" s="3"/>
      <c r="L458" s="20"/>
      <c r="N458" s="12"/>
      <c r="O458" s="11"/>
      <c r="S458" s="10"/>
      <c r="U458" s="3"/>
      <c r="V458" s="3"/>
      <c r="X458" s="9"/>
      <c r="Z458" s="3"/>
      <c r="AA458" s="8"/>
      <c r="AB458" s="7"/>
      <c r="AC458" s="7"/>
      <c r="AD458" s="6"/>
      <c r="AE458" s="6"/>
      <c r="AF458" s="5"/>
      <c r="AG458" s="7"/>
      <c r="AH458" s="3"/>
      <c r="AI458" s="7"/>
      <c r="AJ458" s="7"/>
      <c r="AL458" s="3"/>
      <c r="AM458" s="3"/>
      <c r="AN458" s="3"/>
      <c r="AO458" s="3"/>
      <c r="AP458" s="9"/>
      <c r="AQ458" s="6"/>
    </row>
    <row r="459" spans="1:43" ht="15" customHeight="1" x14ac:dyDescent="0.3">
      <c r="A459" s="22"/>
      <c r="I459" s="21"/>
      <c r="J459" s="20"/>
      <c r="K459" s="3"/>
      <c r="L459" s="20"/>
      <c r="N459" s="12"/>
      <c r="O459" s="11"/>
      <c r="S459" s="10"/>
      <c r="U459" s="3"/>
      <c r="V459" s="3"/>
      <c r="X459" s="9"/>
      <c r="Z459" s="3"/>
      <c r="AA459" s="8"/>
      <c r="AB459" s="7"/>
      <c r="AC459" s="7"/>
      <c r="AD459" s="6"/>
      <c r="AE459" s="6"/>
      <c r="AF459" s="5"/>
      <c r="AG459" s="7"/>
      <c r="AH459" s="3"/>
      <c r="AI459" s="7"/>
      <c r="AJ459" s="7"/>
      <c r="AL459" s="3"/>
      <c r="AM459" s="3"/>
      <c r="AN459" s="3"/>
      <c r="AO459" s="3"/>
      <c r="AP459" s="9"/>
      <c r="AQ459" s="6"/>
    </row>
    <row r="460" spans="1:43" ht="15" customHeight="1" x14ac:dyDescent="0.3">
      <c r="A460" s="22"/>
      <c r="I460" s="21"/>
      <c r="J460" s="20"/>
      <c r="K460" s="3"/>
      <c r="L460" s="20"/>
      <c r="N460" s="12"/>
      <c r="O460" s="11"/>
      <c r="S460" s="10"/>
      <c r="U460" s="3"/>
      <c r="V460" s="3"/>
      <c r="X460" s="9"/>
      <c r="Z460" s="3"/>
      <c r="AA460" s="8"/>
      <c r="AB460" s="7"/>
      <c r="AC460" s="7"/>
      <c r="AD460" s="6"/>
      <c r="AE460" s="6"/>
      <c r="AF460" s="5"/>
      <c r="AG460" s="7"/>
      <c r="AH460" s="3"/>
      <c r="AI460" s="7"/>
      <c r="AJ460" s="7"/>
      <c r="AL460" s="3"/>
      <c r="AM460" s="3"/>
      <c r="AN460" s="3"/>
      <c r="AO460" s="3"/>
      <c r="AP460" s="9"/>
      <c r="AQ460" s="6"/>
    </row>
    <row r="461" spans="1:43" ht="15" customHeight="1" x14ac:dyDescent="0.3">
      <c r="A461" s="22"/>
      <c r="I461" s="21"/>
      <c r="J461" s="20"/>
      <c r="K461" s="3"/>
      <c r="L461" s="20"/>
      <c r="N461" s="12"/>
      <c r="O461" s="11"/>
      <c r="S461" s="10"/>
      <c r="U461" s="3"/>
      <c r="V461" s="3"/>
      <c r="X461" s="9"/>
      <c r="Z461" s="3"/>
      <c r="AA461" s="8"/>
      <c r="AB461" s="7"/>
      <c r="AC461" s="7"/>
      <c r="AD461" s="6"/>
      <c r="AE461" s="6"/>
      <c r="AF461" s="5"/>
      <c r="AG461" s="7"/>
      <c r="AH461" s="3"/>
      <c r="AI461" s="7"/>
      <c r="AJ461" s="7"/>
      <c r="AL461" s="3"/>
      <c r="AM461" s="3"/>
      <c r="AN461" s="3"/>
      <c r="AO461" s="3"/>
      <c r="AP461" s="9"/>
      <c r="AQ461" s="6"/>
    </row>
    <row r="462" spans="1:43" ht="15" customHeight="1" x14ac:dyDescent="0.3">
      <c r="A462" s="22"/>
      <c r="I462" s="21"/>
      <c r="J462" s="20"/>
      <c r="K462" s="3"/>
      <c r="L462" s="20"/>
      <c r="N462" s="12"/>
      <c r="O462" s="11"/>
      <c r="S462" s="10"/>
      <c r="U462" s="3"/>
      <c r="V462" s="3"/>
      <c r="X462" s="9"/>
      <c r="Z462" s="3"/>
      <c r="AA462" s="8"/>
      <c r="AB462" s="7"/>
      <c r="AC462" s="7"/>
      <c r="AD462" s="6"/>
      <c r="AE462" s="6"/>
      <c r="AF462" s="5"/>
      <c r="AG462" s="7"/>
      <c r="AH462" s="3"/>
      <c r="AI462" s="7"/>
      <c r="AJ462" s="7"/>
      <c r="AL462" s="3"/>
      <c r="AM462" s="3"/>
      <c r="AN462" s="3"/>
      <c r="AO462" s="3"/>
      <c r="AP462" s="9"/>
      <c r="AQ462" s="6"/>
    </row>
    <row r="463" spans="1:43" ht="15" customHeight="1" x14ac:dyDescent="0.3">
      <c r="A463" s="22"/>
      <c r="I463" s="21"/>
      <c r="J463" s="20"/>
      <c r="K463" s="3"/>
      <c r="L463" s="20"/>
      <c r="N463" s="12"/>
      <c r="O463" s="11"/>
      <c r="S463" s="10"/>
      <c r="U463" s="3"/>
      <c r="V463" s="3"/>
      <c r="X463" s="9"/>
      <c r="Z463" s="3"/>
      <c r="AA463" s="8"/>
      <c r="AB463" s="7"/>
      <c r="AC463" s="7"/>
      <c r="AD463" s="6"/>
      <c r="AE463" s="6"/>
      <c r="AF463" s="5"/>
      <c r="AG463" s="7"/>
      <c r="AH463" s="3"/>
      <c r="AI463" s="7"/>
      <c r="AJ463" s="7"/>
      <c r="AL463" s="3"/>
      <c r="AM463" s="3"/>
      <c r="AN463" s="3"/>
      <c r="AO463" s="3"/>
      <c r="AP463" s="9"/>
      <c r="AQ463" s="6"/>
    </row>
    <row r="464" spans="1:43" ht="15" customHeight="1" x14ac:dyDescent="0.3">
      <c r="A464" s="22"/>
      <c r="I464" s="21"/>
      <c r="J464" s="20"/>
      <c r="K464" s="3"/>
      <c r="L464" s="20"/>
      <c r="N464" s="12"/>
      <c r="O464" s="11"/>
      <c r="S464" s="10"/>
      <c r="U464" s="3"/>
      <c r="V464" s="3"/>
      <c r="X464" s="9"/>
      <c r="Z464" s="3"/>
      <c r="AA464" s="8"/>
      <c r="AB464" s="7"/>
      <c r="AC464" s="7"/>
      <c r="AD464" s="6"/>
      <c r="AE464" s="6"/>
      <c r="AF464" s="5"/>
      <c r="AG464" s="7"/>
      <c r="AH464" s="3"/>
      <c r="AI464" s="7"/>
      <c r="AJ464" s="7"/>
      <c r="AL464" s="3"/>
      <c r="AM464" s="3"/>
      <c r="AN464" s="3"/>
      <c r="AO464" s="3"/>
      <c r="AP464" s="9"/>
      <c r="AQ464" s="6"/>
    </row>
    <row r="465" spans="1:43" ht="15" customHeight="1" x14ac:dyDescent="0.3">
      <c r="A465" s="22"/>
      <c r="I465" s="21"/>
      <c r="J465" s="20"/>
      <c r="K465" s="3"/>
      <c r="L465" s="20"/>
      <c r="N465" s="12"/>
      <c r="O465" s="11"/>
      <c r="S465" s="10"/>
      <c r="U465" s="3"/>
      <c r="V465" s="3"/>
      <c r="X465" s="9"/>
      <c r="Z465" s="3"/>
      <c r="AA465" s="8"/>
      <c r="AB465" s="7"/>
      <c r="AC465" s="7"/>
      <c r="AD465" s="6"/>
      <c r="AE465" s="6"/>
      <c r="AF465" s="5"/>
      <c r="AG465" s="7"/>
      <c r="AH465" s="3"/>
      <c r="AI465" s="7"/>
      <c r="AJ465" s="7"/>
      <c r="AL465" s="3"/>
      <c r="AM465" s="3"/>
      <c r="AN465" s="3"/>
      <c r="AO465" s="3"/>
      <c r="AP465" s="9"/>
      <c r="AQ465" s="6"/>
    </row>
    <row r="466" spans="1:43" ht="15" customHeight="1" x14ac:dyDescent="0.3">
      <c r="A466" s="22"/>
      <c r="I466" s="21"/>
      <c r="J466" s="20"/>
      <c r="K466" s="3"/>
      <c r="L466" s="20"/>
      <c r="N466" s="12"/>
      <c r="O466" s="11"/>
      <c r="S466" s="10"/>
      <c r="U466" s="3"/>
      <c r="V466" s="3"/>
      <c r="X466" s="9"/>
      <c r="Z466" s="3"/>
      <c r="AA466" s="8"/>
      <c r="AB466" s="7"/>
      <c r="AC466" s="7"/>
      <c r="AD466" s="6"/>
      <c r="AE466" s="6"/>
      <c r="AF466" s="5"/>
      <c r="AG466" s="7"/>
      <c r="AH466" s="3"/>
      <c r="AI466" s="7"/>
      <c r="AJ466" s="7"/>
      <c r="AL466" s="3"/>
      <c r="AM466" s="3"/>
      <c r="AN466" s="3"/>
      <c r="AO466" s="3"/>
      <c r="AP466" s="9"/>
      <c r="AQ466" s="6"/>
    </row>
    <row r="467" spans="1:43" ht="15" customHeight="1" x14ac:dyDescent="0.3">
      <c r="A467" s="22"/>
      <c r="I467" s="21"/>
      <c r="J467" s="20"/>
      <c r="K467" s="3"/>
      <c r="L467" s="20"/>
      <c r="N467" s="12"/>
      <c r="O467" s="11"/>
      <c r="S467" s="10"/>
      <c r="U467" s="3"/>
      <c r="V467" s="3"/>
      <c r="X467" s="9"/>
      <c r="Z467" s="3"/>
      <c r="AA467" s="8"/>
      <c r="AB467" s="7"/>
      <c r="AC467" s="7"/>
      <c r="AD467" s="6"/>
      <c r="AE467" s="6"/>
      <c r="AF467" s="5"/>
      <c r="AG467" s="7"/>
      <c r="AH467" s="3"/>
      <c r="AI467" s="7"/>
      <c r="AJ467" s="7"/>
      <c r="AL467" s="3"/>
      <c r="AM467" s="3"/>
      <c r="AN467" s="3"/>
      <c r="AO467" s="3"/>
      <c r="AP467" s="9"/>
      <c r="AQ467" s="6"/>
    </row>
    <row r="468" spans="1:43" ht="15" customHeight="1" x14ac:dyDescent="0.3">
      <c r="A468" s="22"/>
      <c r="I468" s="21"/>
      <c r="J468" s="20"/>
      <c r="K468" s="3"/>
      <c r="L468" s="20"/>
      <c r="N468" s="12"/>
      <c r="O468" s="11"/>
      <c r="S468" s="10"/>
      <c r="U468" s="3"/>
      <c r="V468" s="3"/>
      <c r="X468" s="9"/>
      <c r="Z468" s="3"/>
      <c r="AA468" s="8"/>
      <c r="AB468" s="7"/>
      <c r="AC468" s="7"/>
      <c r="AD468" s="6"/>
      <c r="AE468" s="6"/>
      <c r="AF468" s="5"/>
      <c r="AG468" s="7"/>
      <c r="AH468" s="3"/>
      <c r="AI468" s="7"/>
      <c r="AJ468" s="7"/>
      <c r="AL468" s="3"/>
      <c r="AM468" s="3"/>
      <c r="AN468" s="3"/>
      <c r="AO468" s="3"/>
      <c r="AP468" s="9"/>
      <c r="AQ468" s="6"/>
    </row>
    <row r="469" spans="1:43" ht="15" customHeight="1" x14ac:dyDescent="0.3">
      <c r="A469" s="22"/>
      <c r="I469" s="21"/>
      <c r="J469" s="20"/>
      <c r="K469" s="3"/>
      <c r="L469" s="20"/>
      <c r="N469" s="12"/>
      <c r="O469" s="11"/>
      <c r="S469" s="10"/>
      <c r="U469" s="3"/>
      <c r="V469" s="3"/>
      <c r="X469" s="9"/>
      <c r="Z469" s="3"/>
      <c r="AA469" s="8"/>
      <c r="AB469" s="7"/>
      <c r="AC469" s="7"/>
      <c r="AD469" s="6"/>
      <c r="AE469" s="6"/>
      <c r="AF469" s="5"/>
      <c r="AG469" s="7"/>
      <c r="AH469" s="3"/>
      <c r="AI469" s="7"/>
      <c r="AJ469" s="7"/>
      <c r="AL469" s="3"/>
      <c r="AM469" s="3"/>
      <c r="AN469" s="3"/>
      <c r="AO469" s="3"/>
      <c r="AP469" s="9"/>
      <c r="AQ469" s="6"/>
    </row>
    <row r="470" spans="1:43" ht="15" customHeight="1" x14ac:dyDescent="0.3">
      <c r="A470" s="22"/>
      <c r="I470" s="21"/>
      <c r="J470" s="20"/>
      <c r="K470" s="3"/>
      <c r="L470" s="20"/>
      <c r="N470" s="12"/>
      <c r="O470" s="11"/>
      <c r="S470" s="10"/>
      <c r="U470" s="3"/>
      <c r="V470" s="3"/>
      <c r="X470" s="9"/>
      <c r="Z470" s="3"/>
      <c r="AA470" s="8"/>
      <c r="AB470" s="7"/>
      <c r="AC470" s="7"/>
      <c r="AD470" s="6"/>
      <c r="AE470" s="6"/>
      <c r="AF470" s="5"/>
      <c r="AG470" s="7"/>
      <c r="AH470" s="3"/>
      <c r="AI470" s="7"/>
      <c r="AJ470" s="7"/>
      <c r="AL470" s="3"/>
      <c r="AM470" s="3"/>
      <c r="AN470" s="3"/>
      <c r="AO470" s="3"/>
      <c r="AP470" s="9"/>
      <c r="AQ470" s="6"/>
    </row>
    <row r="471" spans="1:43" ht="15" customHeight="1" x14ac:dyDescent="0.3">
      <c r="A471" s="22"/>
      <c r="I471" s="21"/>
      <c r="J471" s="20"/>
      <c r="K471" s="3"/>
      <c r="L471" s="20"/>
      <c r="N471" s="12"/>
      <c r="O471" s="11"/>
      <c r="S471" s="10"/>
      <c r="U471" s="3"/>
      <c r="V471" s="3"/>
      <c r="X471" s="9"/>
      <c r="Z471" s="3"/>
      <c r="AA471" s="8"/>
      <c r="AB471" s="7"/>
      <c r="AC471" s="7"/>
      <c r="AD471" s="6"/>
      <c r="AE471" s="6"/>
      <c r="AF471" s="5"/>
      <c r="AG471" s="7"/>
      <c r="AH471" s="3"/>
      <c r="AI471" s="7"/>
      <c r="AJ471" s="7"/>
      <c r="AL471" s="3"/>
      <c r="AM471" s="3"/>
      <c r="AN471" s="3"/>
      <c r="AO471" s="3"/>
      <c r="AP471" s="9"/>
      <c r="AQ471" s="6"/>
    </row>
    <row r="472" spans="1:43" ht="15" customHeight="1" x14ac:dyDescent="0.3">
      <c r="A472" s="22"/>
      <c r="I472" s="21"/>
      <c r="J472" s="20"/>
      <c r="K472" s="3"/>
      <c r="L472" s="20"/>
      <c r="N472" s="12"/>
      <c r="O472" s="11"/>
      <c r="S472" s="10"/>
      <c r="U472" s="3"/>
      <c r="V472" s="3"/>
      <c r="X472" s="9"/>
      <c r="Z472" s="3"/>
      <c r="AA472" s="8"/>
      <c r="AB472" s="7"/>
      <c r="AC472" s="7"/>
      <c r="AD472" s="6"/>
      <c r="AE472" s="6"/>
      <c r="AF472" s="5"/>
      <c r="AG472" s="7"/>
      <c r="AH472" s="3"/>
      <c r="AI472" s="7"/>
      <c r="AJ472" s="7"/>
      <c r="AL472" s="3"/>
      <c r="AM472" s="3"/>
      <c r="AN472" s="3"/>
      <c r="AO472" s="3"/>
      <c r="AP472" s="9"/>
      <c r="AQ472" s="6"/>
    </row>
    <row r="473" spans="1:43" ht="15" customHeight="1" x14ac:dyDescent="0.3">
      <c r="A473" s="22"/>
      <c r="I473" s="21"/>
      <c r="J473" s="20"/>
      <c r="K473" s="3"/>
      <c r="L473" s="20"/>
      <c r="N473" s="12"/>
      <c r="O473" s="11"/>
      <c r="S473" s="10"/>
      <c r="U473" s="3"/>
      <c r="V473" s="3"/>
      <c r="X473" s="9"/>
      <c r="Z473" s="3"/>
      <c r="AA473" s="8"/>
      <c r="AB473" s="7"/>
      <c r="AC473" s="7"/>
      <c r="AD473" s="6"/>
      <c r="AE473" s="6"/>
      <c r="AF473" s="5"/>
      <c r="AG473" s="7"/>
      <c r="AH473" s="3"/>
      <c r="AI473" s="7"/>
      <c r="AJ473" s="7"/>
      <c r="AL473" s="3"/>
      <c r="AM473" s="3"/>
      <c r="AN473" s="3"/>
      <c r="AO473" s="3"/>
      <c r="AP473" s="9"/>
      <c r="AQ473" s="6"/>
    </row>
    <row r="474" spans="1:43" ht="15" customHeight="1" x14ac:dyDescent="0.3">
      <c r="A474" s="22"/>
      <c r="I474" s="21"/>
      <c r="J474" s="20"/>
      <c r="K474" s="3"/>
      <c r="L474" s="20"/>
      <c r="N474" s="12"/>
      <c r="O474" s="11"/>
      <c r="S474" s="10"/>
      <c r="U474" s="3"/>
      <c r="V474" s="3"/>
      <c r="X474" s="9"/>
      <c r="Z474" s="3"/>
      <c r="AA474" s="8"/>
      <c r="AB474" s="7"/>
      <c r="AC474" s="7"/>
      <c r="AD474" s="6"/>
      <c r="AE474" s="6"/>
      <c r="AF474" s="5"/>
      <c r="AG474" s="7"/>
      <c r="AH474" s="3"/>
      <c r="AI474" s="7"/>
      <c r="AJ474" s="7"/>
      <c r="AL474" s="3"/>
      <c r="AM474" s="3"/>
      <c r="AN474" s="3"/>
      <c r="AO474" s="3"/>
      <c r="AP474" s="9"/>
      <c r="AQ474" s="6"/>
    </row>
    <row r="475" spans="1:43" ht="15" customHeight="1" x14ac:dyDescent="0.3">
      <c r="A475" s="22"/>
      <c r="I475" s="21"/>
      <c r="J475" s="20"/>
      <c r="K475" s="3"/>
      <c r="L475" s="20"/>
      <c r="N475" s="12"/>
      <c r="O475" s="11"/>
      <c r="S475" s="10"/>
      <c r="U475" s="3"/>
      <c r="V475" s="3"/>
      <c r="X475" s="9"/>
      <c r="Z475" s="3"/>
      <c r="AA475" s="8"/>
      <c r="AB475" s="7"/>
      <c r="AC475" s="7"/>
      <c r="AD475" s="6"/>
      <c r="AE475" s="6"/>
      <c r="AF475" s="5"/>
      <c r="AG475" s="7"/>
      <c r="AH475" s="3"/>
      <c r="AI475" s="7"/>
      <c r="AJ475" s="7"/>
      <c r="AL475" s="3"/>
      <c r="AM475" s="3"/>
      <c r="AN475" s="3"/>
      <c r="AO475" s="3"/>
      <c r="AP475" s="9"/>
      <c r="AQ475" s="6"/>
    </row>
    <row r="476" spans="1:43" ht="15" customHeight="1" x14ac:dyDescent="0.3">
      <c r="A476" s="22"/>
      <c r="I476" s="21"/>
      <c r="J476" s="20"/>
      <c r="K476" s="3"/>
      <c r="L476" s="20"/>
      <c r="N476" s="12"/>
      <c r="O476" s="11"/>
      <c r="S476" s="10"/>
      <c r="U476" s="3"/>
      <c r="V476" s="3"/>
      <c r="X476" s="9"/>
      <c r="Z476" s="3"/>
      <c r="AA476" s="8"/>
      <c r="AB476" s="7"/>
      <c r="AC476" s="7"/>
      <c r="AD476" s="6"/>
      <c r="AE476" s="6"/>
      <c r="AF476" s="5"/>
      <c r="AG476" s="7"/>
      <c r="AH476" s="3"/>
      <c r="AI476" s="7"/>
      <c r="AJ476" s="7"/>
      <c r="AL476" s="3"/>
      <c r="AM476" s="3"/>
      <c r="AN476" s="3"/>
      <c r="AO476" s="3"/>
      <c r="AP476" s="9"/>
      <c r="AQ476" s="6"/>
    </row>
    <row r="477" spans="1:43" ht="15" customHeight="1" x14ac:dyDescent="0.3">
      <c r="A477" s="22"/>
      <c r="I477" s="21"/>
      <c r="J477" s="20"/>
      <c r="K477" s="3"/>
      <c r="L477" s="20"/>
      <c r="N477" s="12"/>
      <c r="O477" s="11"/>
      <c r="S477" s="10"/>
      <c r="U477" s="3"/>
      <c r="V477" s="3"/>
      <c r="X477" s="9"/>
      <c r="Z477" s="3"/>
      <c r="AA477" s="8"/>
      <c r="AB477" s="7"/>
      <c r="AC477" s="7"/>
      <c r="AD477" s="6"/>
      <c r="AE477" s="6"/>
      <c r="AF477" s="5"/>
      <c r="AG477" s="7"/>
      <c r="AH477" s="3"/>
      <c r="AI477" s="7"/>
      <c r="AJ477" s="7"/>
      <c r="AL477" s="3"/>
      <c r="AM477" s="3"/>
      <c r="AN477" s="3"/>
      <c r="AO477" s="3"/>
      <c r="AP477" s="9"/>
      <c r="AQ477" s="6"/>
    </row>
    <row r="478" spans="1:43" ht="15" customHeight="1" x14ac:dyDescent="0.3">
      <c r="A478" s="22"/>
      <c r="I478" s="21"/>
      <c r="J478" s="20"/>
      <c r="K478" s="3"/>
      <c r="L478" s="20"/>
      <c r="N478" s="12"/>
      <c r="O478" s="11"/>
      <c r="S478" s="10"/>
      <c r="U478" s="3"/>
      <c r="V478" s="3"/>
      <c r="X478" s="9"/>
      <c r="Z478" s="3"/>
      <c r="AA478" s="8"/>
      <c r="AB478" s="7"/>
      <c r="AC478" s="7"/>
      <c r="AD478" s="6"/>
      <c r="AE478" s="6"/>
      <c r="AF478" s="5"/>
      <c r="AG478" s="7"/>
      <c r="AH478" s="3"/>
      <c r="AI478" s="7"/>
      <c r="AJ478" s="7"/>
      <c r="AL478" s="3"/>
      <c r="AM478" s="3"/>
      <c r="AN478" s="3"/>
      <c r="AO478" s="3"/>
      <c r="AP478" s="9"/>
      <c r="AQ478" s="6"/>
    </row>
    <row r="479" spans="1:43" ht="15" customHeight="1" x14ac:dyDescent="0.3">
      <c r="A479" s="22"/>
      <c r="I479" s="21"/>
      <c r="J479" s="20"/>
      <c r="K479" s="3"/>
      <c r="L479" s="20"/>
      <c r="N479" s="12"/>
      <c r="O479" s="11"/>
      <c r="S479" s="10"/>
      <c r="U479" s="3"/>
      <c r="V479" s="3"/>
      <c r="X479" s="9"/>
      <c r="Z479" s="3"/>
      <c r="AA479" s="8"/>
      <c r="AB479" s="7"/>
      <c r="AC479" s="7"/>
      <c r="AD479" s="6"/>
      <c r="AE479" s="6"/>
      <c r="AF479" s="5"/>
      <c r="AG479" s="7"/>
      <c r="AH479" s="3"/>
      <c r="AI479" s="7"/>
      <c r="AJ479" s="7"/>
      <c r="AL479" s="3"/>
      <c r="AM479" s="3"/>
      <c r="AN479" s="3"/>
      <c r="AO479" s="3"/>
      <c r="AP479" s="9"/>
      <c r="AQ479" s="6"/>
    </row>
    <row r="480" spans="1:43" ht="15" customHeight="1" x14ac:dyDescent="0.3">
      <c r="A480" s="22"/>
      <c r="I480" s="21"/>
      <c r="J480" s="20"/>
      <c r="K480" s="3"/>
      <c r="L480" s="20"/>
      <c r="N480" s="12"/>
      <c r="O480" s="11"/>
      <c r="S480" s="10"/>
      <c r="U480" s="3"/>
      <c r="V480" s="3"/>
      <c r="X480" s="9"/>
      <c r="Z480" s="3"/>
      <c r="AA480" s="8"/>
      <c r="AB480" s="7"/>
      <c r="AC480" s="7"/>
      <c r="AD480" s="6"/>
      <c r="AE480" s="6"/>
      <c r="AF480" s="5"/>
      <c r="AG480" s="7"/>
      <c r="AH480" s="3"/>
      <c r="AI480" s="7"/>
      <c r="AJ480" s="7"/>
      <c r="AL480" s="3"/>
      <c r="AM480" s="3"/>
      <c r="AN480" s="3"/>
      <c r="AO480" s="3"/>
      <c r="AP480" s="9"/>
      <c r="AQ480" s="6"/>
    </row>
    <row r="481" spans="1:43" ht="15" customHeight="1" x14ac:dyDescent="0.3">
      <c r="A481" s="22"/>
      <c r="I481" s="21"/>
      <c r="J481" s="20"/>
      <c r="K481" s="3"/>
      <c r="L481" s="20"/>
      <c r="N481" s="12"/>
      <c r="O481" s="11"/>
      <c r="S481" s="10"/>
      <c r="U481" s="3"/>
      <c r="V481" s="3"/>
      <c r="X481" s="9"/>
      <c r="Z481" s="3"/>
      <c r="AA481" s="8"/>
      <c r="AB481" s="7"/>
      <c r="AC481" s="7"/>
      <c r="AD481" s="6"/>
      <c r="AE481" s="6"/>
      <c r="AF481" s="5"/>
      <c r="AG481" s="7"/>
      <c r="AH481" s="3"/>
      <c r="AI481" s="7"/>
      <c r="AJ481" s="7"/>
      <c r="AL481" s="3"/>
      <c r="AM481" s="3"/>
      <c r="AN481" s="3"/>
      <c r="AO481" s="3"/>
      <c r="AP481" s="9"/>
      <c r="AQ481" s="6"/>
    </row>
    <row r="482" spans="1:43" ht="15" customHeight="1" x14ac:dyDescent="0.3">
      <c r="A482" s="22"/>
      <c r="I482" s="21"/>
      <c r="J482" s="20"/>
      <c r="K482" s="3"/>
      <c r="L482" s="20"/>
      <c r="N482" s="12"/>
      <c r="O482" s="11"/>
      <c r="S482" s="10"/>
      <c r="U482" s="3"/>
      <c r="V482" s="3"/>
      <c r="X482" s="9"/>
      <c r="Z482" s="3"/>
      <c r="AA482" s="8"/>
      <c r="AB482" s="7"/>
      <c r="AC482" s="7"/>
      <c r="AD482" s="6"/>
      <c r="AE482" s="6"/>
      <c r="AF482" s="5"/>
      <c r="AG482" s="7"/>
      <c r="AH482" s="3"/>
      <c r="AI482" s="7"/>
      <c r="AJ482" s="7"/>
      <c r="AL482" s="3"/>
      <c r="AM482" s="3"/>
      <c r="AN482" s="3"/>
      <c r="AO482" s="3"/>
      <c r="AP482" s="9"/>
      <c r="AQ482" s="6"/>
    </row>
    <row r="483" spans="1:43" ht="15" customHeight="1" x14ac:dyDescent="0.3">
      <c r="A483" s="22"/>
      <c r="I483" s="21"/>
      <c r="J483" s="20"/>
      <c r="K483" s="3"/>
      <c r="L483" s="20"/>
      <c r="N483" s="12"/>
      <c r="O483" s="11"/>
      <c r="S483" s="10"/>
      <c r="U483" s="3"/>
      <c r="V483" s="3"/>
      <c r="X483" s="9"/>
      <c r="Z483" s="3"/>
      <c r="AA483" s="8"/>
      <c r="AB483" s="7"/>
      <c r="AC483" s="7"/>
      <c r="AD483" s="6"/>
      <c r="AE483" s="6"/>
      <c r="AF483" s="5"/>
      <c r="AG483" s="7"/>
      <c r="AH483" s="3"/>
      <c r="AI483" s="7"/>
      <c r="AJ483" s="7"/>
      <c r="AL483" s="3"/>
      <c r="AM483" s="3"/>
      <c r="AN483" s="3"/>
      <c r="AO483" s="3"/>
      <c r="AP483" s="9"/>
      <c r="AQ483" s="6"/>
    </row>
    <row r="484" spans="1:43" ht="15" customHeight="1" x14ac:dyDescent="0.3">
      <c r="A484" s="22"/>
      <c r="I484" s="21"/>
      <c r="J484" s="20"/>
      <c r="K484" s="3"/>
      <c r="L484" s="20"/>
      <c r="N484" s="12"/>
      <c r="O484" s="11"/>
      <c r="S484" s="10"/>
      <c r="U484" s="3"/>
      <c r="V484" s="3"/>
      <c r="X484" s="9"/>
      <c r="Z484" s="3"/>
      <c r="AA484" s="8"/>
      <c r="AB484" s="7"/>
      <c r="AC484" s="7"/>
      <c r="AD484" s="6"/>
      <c r="AE484" s="6"/>
      <c r="AF484" s="5"/>
      <c r="AG484" s="7"/>
      <c r="AH484" s="3"/>
      <c r="AI484" s="7"/>
      <c r="AJ484" s="7"/>
      <c r="AL484" s="3"/>
      <c r="AM484" s="3"/>
      <c r="AN484" s="3"/>
      <c r="AO484" s="3"/>
      <c r="AP484" s="9"/>
      <c r="AQ484" s="6"/>
    </row>
    <row r="485" spans="1:43" ht="15" customHeight="1" x14ac:dyDescent="0.3">
      <c r="A485" s="22"/>
      <c r="I485" s="21"/>
      <c r="J485" s="20"/>
      <c r="K485" s="3"/>
      <c r="L485" s="20"/>
      <c r="N485" s="12"/>
      <c r="O485" s="11"/>
      <c r="S485" s="10"/>
      <c r="U485" s="3"/>
      <c r="V485" s="3"/>
      <c r="X485" s="9"/>
      <c r="Z485" s="3"/>
      <c r="AA485" s="8"/>
      <c r="AB485" s="7"/>
      <c r="AC485" s="7"/>
      <c r="AD485" s="6"/>
      <c r="AE485" s="6"/>
      <c r="AF485" s="5"/>
      <c r="AG485" s="7"/>
      <c r="AH485" s="3"/>
      <c r="AI485" s="7"/>
      <c r="AJ485" s="7"/>
      <c r="AL485" s="3"/>
      <c r="AM485" s="3"/>
      <c r="AN485" s="3"/>
      <c r="AO485" s="3"/>
      <c r="AP485" s="9"/>
      <c r="AQ485" s="6"/>
    </row>
    <row r="486" spans="1:43" ht="15" customHeight="1" x14ac:dyDescent="0.3">
      <c r="A486" s="22"/>
      <c r="I486" s="21"/>
      <c r="J486" s="20"/>
      <c r="K486" s="3"/>
      <c r="L486" s="20"/>
      <c r="N486" s="12"/>
      <c r="O486" s="11"/>
      <c r="S486" s="10"/>
      <c r="U486" s="3"/>
      <c r="V486" s="3"/>
      <c r="X486" s="9"/>
      <c r="Z486" s="3"/>
      <c r="AA486" s="8"/>
      <c r="AB486" s="7"/>
      <c r="AC486" s="7"/>
      <c r="AD486" s="6"/>
      <c r="AE486" s="6"/>
      <c r="AF486" s="5"/>
      <c r="AG486" s="7"/>
      <c r="AH486" s="3"/>
      <c r="AI486" s="7"/>
      <c r="AJ486" s="7"/>
      <c r="AL486" s="3"/>
      <c r="AM486" s="3"/>
      <c r="AN486" s="3"/>
      <c r="AO486" s="3"/>
      <c r="AP486" s="9"/>
      <c r="AQ486" s="6"/>
    </row>
    <row r="487" spans="1:43" ht="15" customHeight="1" x14ac:dyDescent="0.3">
      <c r="A487" s="22"/>
      <c r="I487" s="21"/>
      <c r="J487" s="20"/>
      <c r="K487" s="3"/>
      <c r="L487" s="20"/>
      <c r="N487" s="12"/>
      <c r="O487" s="11"/>
      <c r="S487" s="10"/>
      <c r="U487" s="3"/>
      <c r="V487" s="3"/>
      <c r="X487" s="9"/>
      <c r="Z487" s="3"/>
      <c r="AA487" s="8"/>
      <c r="AB487" s="7"/>
      <c r="AC487" s="7"/>
      <c r="AD487" s="6"/>
      <c r="AE487" s="6"/>
      <c r="AF487" s="5"/>
      <c r="AG487" s="7"/>
      <c r="AH487" s="3"/>
      <c r="AI487" s="7"/>
      <c r="AJ487" s="7"/>
      <c r="AL487" s="3"/>
      <c r="AM487" s="3"/>
      <c r="AN487" s="3"/>
      <c r="AO487" s="3"/>
      <c r="AP487" s="9"/>
      <c r="AQ487" s="6"/>
    </row>
    <row r="488" spans="1:43" ht="15" customHeight="1" x14ac:dyDescent="0.3">
      <c r="A488" s="22"/>
      <c r="I488" s="21"/>
      <c r="J488" s="20"/>
      <c r="K488" s="3"/>
      <c r="L488" s="20"/>
      <c r="N488" s="12"/>
      <c r="O488" s="11"/>
      <c r="S488" s="10"/>
      <c r="U488" s="3"/>
      <c r="V488" s="3"/>
      <c r="X488" s="9"/>
      <c r="Z488" s="3"/>
      <c r="AA488" s="8"/>
      <c r="AB488" s="7"/>
      <c r="AC488" s="7"/>
      <c r="AD488" s="6"/>
      <c r="AE488" s="6"/>
      <c r="AF488" s="5"/>
      <c r="AG488" s="7"/>
      <c r="AH488" s="3"/>
      <c r="AI488" s="7"/>
      <c r="AJ488" s="7"/>
      <c r="AL488" s="3"/>
      <c r="AM488" s="3"/>
      <c r="AN488" s="3"/>
      <c r="AO488" s="3"/>
      <c r="AP488" s="9"/>
      <c r="AQ488" s="6"/>
    </row>
    <row r="489" spans="1:43" ht="15" customHeight="1" x14ac:dyDescent="0.3">
      <c r="A489" s="22"/>
      <c r="I489" s="21"/>
      <c r="J489" s="20"/>
      <c r="K489" s="3"/>
      <c r="L489" s="20"/>
      <c r="N489" s="12"/>
      <c r="O489" s="11"/>
      <c r="S489" s="10"/>
      <c r="U489" s="3"/>
      <c r="V489" s="3"/>
      <c r="X489" s="9"/>
      <c r="Z489" s="3"/>
      <c r="AA489" s="8"/>
      <c r="AB489" s="7"/>
      <c r="AC489" s="7"/>
      <c r="AD489" s="6"/>
      <c r="AE489" s="6"/>
      <c r="AF489" s="5"/>
      <c r="AG489" s="7"/>
      <c r="AH489" s="3"/>
      <c r="AI489" s="7"/>
      <c r="AJ489" s="7"/>
      <c r="AL489" s="3"/>
      <c r="AM489" s="3"/>
      <c r="AN489" s="3"/>
      <c r="AO489" s="3"/>
      <c r="AP489" s="9"/>
      <c r="AQ489" s="6"/>
    </row>
    <row r="490" spans="1:43" ht="15" customHeight="1" x14ac:dyDescent="0.3">
      <c r="A490" s="22"/>
      <c r="I490" s="21"/>
      <c r="J490" s="20"/>
      <c r="K490" s="3"/>
      <c r="L490" s="20"/>
      <c r="N490" s="12"/>
      <c r="O490" s="11"/>
      <c r="S490" s="10"/>
      <c r="U490" s="3"/>
      <c r="V490" s="3"/>
      <c r="X490" s="9"/>
      <c r="Z490" s="3"/>
      <c r="AA490" s="8"/>
      <c r="AB490" s="7"/>
      <c r="AC490" s="7"/>
      <c r="AD490" s="6"/>
      <c r="AE490" s="6"/>
      <c r="AF490" s="5"/>
      <c r="AG490" s="7"/>
      <c r="AH490" s="3"/>
      <c r="AI490" s="7"/>
      <c r="AJ490" s="7"/>
      <c r="AL490" s="3"/>
      <c r="AM490" s="3"/>
      <c r="AN490" s="3"/>
      <c r="AO490" s="3"/>
      <c r="AP490" s="9"/>
      <c r="AQ490" s="6"/>
    </row>
    <row r="491" spans="1:43" ht="15" customHeight="1" x14ac:dyDescent="0.3">
      <c r="A491" s="22"/>
      <c r="I491" s="21"/>
      <c r="J491" s="20"/>
      <c r="K491" s="3"/>
      <c r="L491" s="20"/>
      <c r="N491" s="12"/>
      <c r="O491" s="11"/>
      <c r="S491" s="10"/>
      <c r="U491" s="3"/>
      <c r="V491" s="3"/>
      <c r="X491" s="9"/>
      <c r="Z491" s="3"/>
      <c r="AA491" s="8"/>
      <c r="AB491" s="7"/>
      <c r="AC491" s="7"/>
      <c r="AD491" s="6"/>
      <c r="AE491" s="6"/>
      <c r="AF491" s="5"/>
      <c r="AG491" s="7"/>
      <c r="AH491" s="3"/>
      <c r="AI491" s="7"/>
      <c r="AJ491" s="7"/>
      <c r="AL491" s="3"/>
      <c r="AM491" s="3"/>
      <c r="AN491" s="3"/>
      <c r="AO491" s="3"/>
      <c r="AP491" s="9"/>
      <c r="AQ491" s="6"/>
    </row>
    <row r="492" spans="1:43" ht="15" customHeight="1" x14ac:dyDescent="0.3">
      <c r="A492" s="22"/>
      <c r="I492" s="21"/>
      <c r="J492" s="20"/>
      <c r="K492" s="3"/>
      <c r="L492" s="20"/>
      <c r="N492" s="12"/>
      <c r="O492" s="11"/>
      <c r="S492" s="10"/>
      <c r="U492" s="3"/>
      <c r="V492" s="3"/>
      <c r="X492" s="9"/>
      <c r="Z492" s="3"/>
      <c r="AA492" s="8"/>
      <c r="AB492" s="7"/>
      <c r="AC492" s="7"/>
      <c r="AD492" s="6"/>
      <c r="AE492" s="6"/>
      <c r="AF492" s="5"/>
      <c r="AG492" s="7"/>
      <c r="AH492" s="3"/>
      <c r="AI492" s="7"/>
      <c r="AJ492" s="7"/>
      <c r="AL492" s="3"/>
      <c r="AM492" s="3"/>
      <c r="AN492" s="3"/>
      <c r="AO492" s="3"/>
      <c r="AP492" s="9"/>
      <c r="AQ492" s="6"/>
    </row>
    <row r="493" spans="1:43" ht="15" customHeight="1" x14ac:dyDescent="0.3">
      <c r="A493" s="22"/>
      <c r="I493" s="21"/>
      <c r="J493" s="20"/>
      <c r="K493" s="3"/>
      <c r="L493" s="20"/>
      <c r="N493" s="12"/>
      <c r="O493" s="11"/>
      <c r="S493" s="10"/>
      <c r="U493" s="3"/>
      <c r="V493" s="3"/>
      <c r="X493" s="9"/>
      <c r="Z493" s="3"/>
      <c r="AA493" s="8"/>
      <c r="AB493" s="7"/>
      <c r="AC493" s="7"/>
      <c r="AD493" s="6"/>
      <c r="AE493" s="6"/>
      <c r="AF493" s="5"/>
      <c r="AG493" s="7"/>
      <c r="AH493" s="3"/>
      <c r="AI493" s="7"/>
      <c r="AJ493" s="7"/>
      <c r="AL493" s="3"/>
      <c r="AM493" s="3"/>
      <c r="AN493" s="3"/>
      <c r="AO493" s="3"/>
      <c r="AP493" s="9"/>
      <c r="AQ493" s="6"/>
    </row>
    <row r="494" spans="1:43" ht="15" customHeight="1" x14ac:dyDescent="0.3">
      <c r="A494" s="22"/>
      <c r="I494" s="21"/>
      <c r="J494" s="20"/>
      <c r="K494" s="3"/>
      <c r="L494" s="20"/>
      <c r="N494" s="12"/>
      <c r="O494" s="11"/>
      <c r="S494" s="10"/>
      <c r="U494" s="3"/>
      <c r="V494" s="3"/>
      <c r="X494" s="9"/>
      <c r="Z494" s="3"/>
      <c r="AA494" s="8"/>
      <c r="AB494" s="7"/>
      <c r="AC494" s="7"/>
      <c r="AD494" s="6"/>
      <c r="AE494" s="6"/>
      <c r="AF494" s="5"/>
      <c r="AG494" s="7"/>
      <c r="AH494" s="3"/>
      <c r="AI494" s="7"/>
      <c r="AJ494" s="7"/>
      <c r="AL494" s="3"/>
      <c r="AM494" s="3"/>
      <c r="AN494" s="3"/>
      <c r="AO494" s="3"/>
      <c r="AP494" s="9"/>
      <c r="AQ494" s="6"/>
    </row>
    <row r="495" spans="1:43" ht="15" customHeight="1" x14ac:dyDescent="0.3">
      <c r="A495" s="22"/>
      <c r="I495" s="21"/>
      <c r="J495" s="20"/>
      <c r="K495" s="3"/>
      <c r="L495" s="20"/>
      <c r="N495" s="12"/>
      <c r="O495" s="11"/>
      <c r="S495" s="10"/>
      <c r="U495" s="3"/>
      <c r="V495" s="3"/>
      <c r="X495" s="9"/>
      <c r="Z495" s="3"/>
      <c r="AA495" s="8"/>
      <c r="AB495" s="7"/>
      <c r="AC495" s="7"/>
      <c r="AD495" s="6"/>
      <c r="AE495" s="6"/>
      <c r="AF495" s="5"/>
      <c r="AG495" s="7"/>
      <c r="AH495" s="3"/>
      <c r="AI495" s="7"/>
      <c r="AJ495" s="7"/>
      <c r="AL495" s="3"/>
      <c r="AM495" s="3"/>
      <c r="AN495" s="3"/>
      <c r="AO495" s="3"/>
      <c r="AP495" s="9"/>
      <c r="AQ495" s="6"/>
    </row>
    <row r="496" spans="1:43" ht="15" customHeight="1" x14ac:dyDescent="0.3">
      <c r="A496" s="13" t="s">
        <v>16</v>
      </c>
      <c r="B496" s="1">
        <v>1</v>
      </c>
      <c r="C496" s="1">
        <v>26</v>
      </c>
      <c r="D496" s="1">
        <v>0</v>
      </c>
      <c r="E496" s="5">
        <v>1</v>
      </c>
      <c r="F496" s="3">
        <f>E496</f>
        <v>1</v>
      </c>
      <c r="G496" s="5">
        <v>2</v>
      </c>
      <c r="H496" s="3">
        <f>PI()*(G496^2)/4</f>
        <v>3.1415926535897931</v>
      </c>
      <c r="I496" s="21"/>
      <c r="J496" s="20"/>
      <c r="K496" s="3"/>
      <c r="L496" s="20"/>
      <c r="N496" s="12">
        <f>I496/H496</f>
        <v>0</v>
      </c>
      <c r="O496" s="11">
        <f>I496*10000</f>
        <v>0</v>
      </c>
      <c r="P496" s="1">
        <v>10</v>
      </c>
      <c r="Q496" s="1">
        <v>1</v>
      </c>
      <c r="R496" s="3">
        <f>Q496*VLOOKUP(P496,[1]Datos!$A$2:$D$14,2)</f>
        <v>8.19</v>
      </c>
      <c r="S496" s="10">
        <f>ROUNDUP(O496/R496,0)</f>
        <v>0</v>
      </c>
      <c r="T496" s="2">
        <v>39</v>
      </c>
      <c r="U496" s="3">
        <f>ROUNDDOWN(PI()*(G496-0.185)/T496,2)</f>
        <v>0.14000000000000001</v>
      </c>
      <c r="V496" s="3"/>
      <c r="W496" s="1">
        <v>280</v>
      </c>
      <c r="X496" s="9">
        <v>2</v>
      </c>
      <c r="Y496" s="1">
        <v>6</v>
      </c>
      <c r="Z496" s="3">
        <f>X496*VLOOKUP(Y496,[1]Datos!$A$2:$D$14,2)</f>
        <v>5.68</v>
      </c>
      <c r="AA496" s="8">
        <v>7.4999999999999997E-2</v>
      </c>
      <c r="AB496" s="7">
        <f>IF(D496=0,0.9,0.5)*0.9*0.53*SQRT(W496)*G496*MAX(0.72*G496,0.9*((G496/2)+((G496-0.11)/PI())))*10</f>
        <v>207.09423574274689</v>
      </c>
      <c r="AC496" s="7">
        <f>0.9*Z496*4220*MAX(0.72*G496,0.9*((G496/2)+((G496-0.11)/PI())))/AA496/1000</f>
        <v>414.61035434434268</v>
      </c>
      <c r="AD496" s="6" t="str">
        <f>+IF(AC496&gt;K496-AB496,"Cumple","No Cumple")</f>
        <v>Cumple</v>
      </c>
      <c r="AE496" s="6"/>
      <c r="AF496" s="5">
        <v>22</v>
      </c>
      <c r="AG496" s="7">
        <f>ROUNDUP(MAX(0.45,G496,AF496/6),0)</f>
        <v>4</v>
      </c>
      <c r="AH496" s="3">
        <f>PI()*(G496-0.15)^2/4</f>
        <v>2.6880252142277672</v>
      </c>
      <c r="AI496" s="7">
        <f>G496-0.15-VLOOKUP(Y496,[1]Datos!$A$2:$D$14,3)/100</f>
        <v>1.8309000000000002</v>
      </c>
      <c r="AJ496" s="7">
        <f>SQRT((PI()*AI496)^2+AA496^2)</f>
        <v>5.7524309339691264</v>
      </c>
      <c r="AK496" s="1">
        <v>0.12</v>
      </c>
      <c r="AL496" s="16">
        <f>MAX(0.45*(H496/AH496-1),AK496)*(W496/4220)</f>
        <v>7.9620853080568724E-3</v>
      </c>
      <c r="AM496" s="7">
        <f>AG496*(AJ496/AA496)</f>
        <v>306.79631647835345</v>
      </c>
      <c r="AN496" s="17">
        <f>AM496*Z496/X496/10000</f>
        <v>8.7130153879852373E-2</v>
      </c>
      <c r="AO496" s="17">
        <f>AH496*AG496</f>
        <v>10.752100856911069</v>
      </c>
      <c r="AP496" s="16">
        <f>AN496/AO496</f>
        <v>8.1035469290495175E-3</v>
      </c>
      <c r="AQ496" s="6" t="str">
        <f>+IF(AP496&gt;AL496,"Cumple","No Cumple")</f>
        <v>Cumple</v>
      </c>
    </row>
    <row r="497" spans="1:43" ht="15" customHeight="1" x14ac:dyDescent="0.3">
      <c r="A497" s="13"/>
      <c r="B497" s="1">
        <v>2</v>
      </c>
      <c r="C497" s="1">
        <v>27</v>
      </c>
      <c r="D497" s="1">
        <v>0</v>
      </c>
      <c r="E497" s="5">
        <v>1</v>
      </c>
      <c r="F497" s="3">
        <f>F496+E497</f>
        <v>2</v>
      </c>
      <c r="G497" s="5">
        <v>2</v>
      </c>
      <c r="H497" s="3">
        <f>PI()*(G497^2)/4</f>
        <v>3.1415926535897931</v>
      </c>
      <c r="I497" s="21">
        <v>3.1415999999999999E-2</v>
      </c>
      <c r="J497" s="20"/>
      <c r="K497" s="3">
        <v>106.65030476487162</v>
      </c>
      <c r="L497" s="20">
        <v>501.45478000000003</v>
      </c>
      <c r="M497" s="3">
        <v>208.61619999999999</v>
      </c>
      <c r="N497" s="12">
        <f>I497/H497</f>
        <v>1.0000023384349969E-2</v>
      </c>
      <c r="O497" s="11">
        <f>I497*10000</f>
        <v>314.15999999999997</v>
      </c>
      <c r="P497" s="1">
        <v>10</v>
      </c>
      <c r="Q497" s="1">
        <v>1</v>
      </c>
      <c r="R497" s="3">
        <f>Q497*VLOOKUP(P497,[1]Datos!$A$2:$D$14,2)</f>
        <v>8.19</v>
      </c>
      <c r="S497" s="10">
        <f>ROUNDUP(O497/R497,0)</f>
        <v>39</v>
      </c>
      <c r="T497" s="2">
        <v>39</v>
      </c>
      <c r="U497" s="3">
        <f>ROUNDDOWN(PI()*(G497-0.185)/T497,2)</f>
        <v>0.14000000000000001</v>
      </c>
      <c r="V497" s="3"/>
      <c r="W497" s="1">
        <v>280</v>
      </c>
      <c r="X497" s="9">
        <v>2</v>
      </c>
      <c r="Y497" s="1">
        <v>6</v>
      </c>
      <c r="Z497" s="3">
        <f>X497*VLOOKUP(Y497,[1]Datos!$A$2:$D$14,2)</f>
        <v>5.68</v>
      </c>
      <c r="AA497" s="8">
        <v>7.4999999999999997E-2</v>
      </c>
      <c r="AB497" s="7">
        <f>IF(D497=0,0.9,0.5)*0.9*0.53*SQRT(W497)*G497*MAX(0.72*G497,0.9*((G497/2)+((G497-0.11)/PI())))*10</f>
        <v>207.09423574274689</v>
      </c>
      <c r="AC497" s="7">
        <f>0.9*Z497*4220*MAX(0.72*G497,0.9*((G497/2)+((G497-0.11)/PI())))/AA497/1000</f>
        <v>414.61035434434268</v>
      </c>
      <c r="AD497" s="6" t="str">
        <f>+IF(AC497&gt;K497-AB497,"Cumple","No Cumple")</f>
        <v>Cumple</v>
      </c>
      <c r="AE497" s="6"/>
      <c r="AF497" s="5">
        <v>22</v>
      </c>
      <c r="AG497" s="7">
        <f>ROUNDUP(MAX(0.45,G497,AF497/6),0)</f>
        <v>4</v>
      </c>
      <c r="AH497" s="3">
        <f>PI()*(G497-0.15)^2/4</f>
        <v>2.6880252142277672</v>
      </c>
      <c r="AI497" s="7">
        <f>G497-0.15-VLOOKUP(Y497,[1]Datos!$A$2:$D$14,3)/100</f>
        <v>1.8309000000000002</v>
      </c>
      <c r="AJ497" s="7">
        <f>SQRT((PI()*AI497)^2+AA497^2)</f>
        <v>5.7524309339691264</v>
      </c>
      <c r="AK497" s="1">
        <v>0.12</v>
      </c>
      <c r="AL497" s="16">
        <f>MAX(0.45*(H497/AH497-1),AK497)*(W497/4220)</f>
        <v>7.9620853080568724E-3</v>
      </c>
      <c r="AM497" s="7">
        <f>AG497*(AJ497/AA497)</f>
        <v>306.79631647835345</v>
      </c>
      <c r="AN497" s="17">
        <f>AM497*Z497/X497/10000</f>
        <v>8.7130153879852373E-2</v>
      </c>
      <c r="AO497" s="17">
        <f>AH497*AG497</f>
        <v>10.752100856911069</v>
      </c>
      <c r="AP497" s="16">
        <f>AN497/AO497</f>
        <v>8.1035469290495175E-3</v>
      </c>
      <c r="AQ497" s="6" t="str">
        <f>+IF(AP497&gt;AL497,"Cumple","No Cumple")</f>
        <v>Cumple</v>
      </c>
    </row>
    <row r="498" spans="1:43" ht="15" customHeight="1" x14ac:dyDescent="0.3">
      <c r="A498" s="13"/>
      <c r="B498" s="1">
        <v>3</v>
      </c>
      <c r="C498" s="1">
        <v>28</v>
      </c>
      <c r="D498" s="1">
        <v>0</v>
      </c>
      <c r="E498" s="5">
        <v>1</v>
      </c>
      <c r="F498" s="3">
        <f>F497+E498</f>
        <v>3</v>
      </c>
      <c r="G498" s="5">
        <v>2</v>
      </c>
      <c r="H498" s="3">
        <f>PI()*(G498^2)/4</f>
        <v>3.1415926535897931</v>
      </c>
      <c r="I498" s="21">
        <v>3.1415999999999999E-2</v>
      </c>
      <c r="J498" s="20"/>
      <c r="K498" s="3">
        <v>106.65049729354288</v>
      </c>
      <c r="L498" s="20">
        <v>465.84415999999999</v>
      </c>
      <c r="M498" s="3">
        <v>278.19447000000002</v>
      </c>
      <c r="N498" s="12">
        <f>I498/H498</f>
        <v>1.0000023384349969E-2</v>
      </c>
      <c r="O498" s="11">
        <f>I498*10000</f>
        <v>314.15999999999997</v>
      </c>
      <c r="P498" s="1">
        <v>10</v>
      </c>
      <c r="Q498" s="1">
        <v>1</v>
      </c>
      <c r="R498" s="3">
        <f>Q498*VLOOKUP(P498,[1]Datos!$A$2:$D$14,2)</f>
        <v>8.19</v>
      </c>
      <c r="S498" s="10">
        <f>ROUNDUP(O498/R498,0)</f>
        <v>39</v>
      </c>
      <c r="T498" s="2">
        <v>39</v>
      </c>
      <c r="U498" s="3">
        <f>ROUNDDOWN(PI()*(G498-0.185)/T498,2)</f>
        <v>0.14000000000000001</v>
      </c>
      <c r="V498" s="3"/>
      <c r="W498" s="1">
        <v>280</v>
      </c>
      <c r="X498" s="9">
        <v>2</v>
      </c>
      <c r="Y498" s="1">
        <v>6</v>
      </c>
      <c r="Z498" s="3">
        <f>X498*VLOOKUP(Y498,[1]Datos!$A$2:$D$14,2)</f>
        <v>5.68</v>
      </c>
      <c r="AA498" s="8">
        <v>7.4999999999999997E-2</v>
      </c>
      <c r="AB498" s="7">
        <f>IF(D498=0,0.9,0.5)*0.9*0.53*SQRT(W498)*G498*MAX(0.72*G498,0.9*((G498/2)+((G498-0.11)/PI())))*10</f>
        <v>207.09423574274689</v>
      </c>
      <c r="AC498" s="7">
        <f>0.9*Z498*4220*MAX(0.72*G498,0.9*((G498/2)+((G498-0.11)/PI())))/AA498/1000</f>
        <v>414.61035434434268</v>
      </c>
      <c r="AD498" s="6" t="str">
        <f>+IF(AC498&gt;K498-AB498,"Cumple","No Cumple")</f>
        <v>Cumple</v>
      </c>
      <c r="AE498" s="6"/>
      <c r="AF498" s="5">
        <v>22</v>
      </c>
      <c r="AG498" s="7">
        <f>ROUNDUP(MAX(0.45,G498,AF498/6),0)</f>
        <v>4</v>
      </c>
      <c r="AH498" s="3">
        <f>PI()*(G498-0.15)^2/4</f>
        <v>2.6880252142277672</v>
      </c>
      <c r="AI498" s="7">
        <f>G498-0.15-VLOOKUP(Y498,[1]Datos!$A$2:$D$14,3)/100</f>
        <v>1.8309000000000002</v>
      </c>
      <c r="AJ498" s="7">
        <f>SQRT((PI()*AI498)^2+AA498^2)</f>
        <v>5.7524309339691264</v>
      </c>
      <c r="AK498" s="1">
        <v>0.12</v>
      </c>
      <c r="AL498" s="16">
        <f>MAX(0.45*(H498/AH498-1),AK498)*(W498/4220)</f>
        <v>7.9620853080568724E-3</v>
      </c>
      <c r="AM498" s="7">
        <f>AG498*(AJ498/AA498)</f>
        <v>306.79631647835345</v>
      </c>
      <c r="AN498" s="17">
        <f>AM498*Z498/X498/10000</f>
        <v>8.7130153879852373E-2</v>
      </c>
      <c r="AO498" s="17">
        <f>AH498*AG498</f>
        <v>10.752100856911069</v>
      </c>
      <c r="AP498" s="16">
        <f>AN498/AO498</f>
        <v>8.1035469290495175E-3</v>
      </c>
      <c r="AQ498" s="6" t="str">
        <f>+IF(AP498&gt;AL498,"Cumple","No Cumple")</f>
        <v>Cumple</v>
      </c>
    </row>
    <row r="499" spans="1:43" ht="15" customHeight="1" x14ac:dyDescent="0.3">
      <c r="A499" s="13"/>
      <c r="B499" s="1">
        <v>4</v>
      </c>
      <c r="C499" s="1">
        <v>29</v>
      </c>
      <c r="D499" s="1">
        <v>0</v>
      </c>
      <c r="E499" s="5">
        <v>1</v>
      </c>
      <c r="F499" s="3">
        <f>F498+E499</f>
        <v>4</v>
      </c>
      <c r="G499" s="5">
        <v>2</v>
      </c>
      <c r="H499" s="3">
        <f>PI()*(G499^2)/4</f>
        <v>3.1415926535897931</v>
      </c>
      <c r="I499" s="21">
        <v>3.1415999999999999E-2</v>
      </c>
      <c r="J499" s="20"/>
      <c r="K499" s="3">
        <v>106.65078608660134</v>
      </c>
      <c r="L499" s="20">
        <v>430.20517000000001</v>
      </c>
      <c r="M499" s="3">
        <v>348.11482000000001</v>
      </c>
      <c r="N499" s="12">
        <f>I499/H499</f>
        <v>1.0000023384349969E-2</v>
      </c>
      <c r="O499" s="11">
        <f>I499*10000</f>
        <v>314.15999999999997</v>
      </c>
      <c r="P499" s="1">
        <v>10</v>
      </c>
      <c r="Q499" s="1">
        <v>1</v>
      </c>
      <c r="R499" s="3">
        <f>Q499*VLOOKUP(P499,[1]Datos!$A$2:$D$14,2)</f>
        <v>8.19</v>
      </c>
      <c r="S499" s="10">
        <f>ROUNDUP(O499/R499,0)</f>
        <v>39</v>
      </c>
      <c r="T499" s="2">
        <v>39</v>
      </c>
      <c r="U499" s="3">
        <f>ROUNDDOWN(PI()*(G499-0.185)/T499,2)</f>
        <v>0.14000000000000001</v>
      </c>
      <c r="V499" s="3"/>
      <c r="W499" s="1">
        <v>280</v>
      </c>
      <c r="X499" s="9">
        <v>2</v>
      </c>
      <c r="Y499" s="1">
        <v>6</v>
      </c>
      <c r="Z499" s="3">
        <f>X499*VLOOKUP(Y499,[1]Datos!$A$2:$D$14,2)</f>
        <v>5.68</v>
      </c>
      <c r="AA499" s="8">
        <v>7.4999999999999997E-2</v>
      </c>
      <c r="AB499" s="7">
        <f>IF(D499=0,0.9,0.5)*0.9*0.53*SQRT(W499)*G499*MAX(0.72*G499,0.9*((G499/2)+((G499-0.11)/PI())))*10</f>
        <v>207.09423574274689</v>
      </c>
      <c r="AC499" s="7">
        <f>0.9*Z499*4220*MAX(0.72*G499,0.9*((G499/2)+((G499-0.11)/PI())))/AA499/1000</f>
        <v>414.61035434434268</v>
      </c>
      <c r="AD499" s="6" t="str">
        <f>+IF(AC499&gt;K499-AB499,"Cumple","No Cumple")</f>
        <v>Cumple</v>
      </c>
      <c r="AE499" s="6"/>
      <c r="AF499" s="5">
        <v>22</v>
      </c>
      <c r="AG499" s="7">
        <f>ROUNDUP(MAX(0.45,G499,AF499/6),0)</f>
        <v>4</v>
      </c>
      <c r="AH499" s="3">
        <f>PI()*(G499-0.15)^2/4</f>
        <v>2.6880252142277672</v>
      </c>
      <c r="AI499" s="7">
        <f>G499-0.15-VLOOKUP(Y499,[1]Datos!$A$2:$D$14,3)/100</f>
        <v>1.8309000000000002</v>
      </c>
      <c r="AJ499" s="7">
        <f>SQRT((PI()*AI499)^2+AA499^2)</f>
        <v>5.7524309339691264</v>
      </c>
      <c r="AK499" s="1">
        <v>0.12</v>
      </c>
      <c r="AL499" s="16">
        <f>MAX(0.45*(H499/AH499-1),AK499)*(W499/4220)</f>
        <v>7.9620853080568724E-3</v>
      </c>
      <c r="AM499" s="7">
        <f>AG499*(AJ499/AA499)</f>
        <v>306.79631647835345</v>
      </c>
      <c r="AN499" s="17">
        <f>AM499*Z499/X499/10000</f>
        <v>8.7130153879852373E-2</v>
      </c>
      <c r="AO499" s="17">
        <f>AH499*AG499</f>
        <v>10.752100856911069</v>
      </c>
      <c r="AP499" s="16">
        <f>AN499/AO499</f>
        <v>8.1035469290495175E-3</v>
      </c>
      <c r="AQ499" s="6" t="str">
        <f>+IF(AP499&gt;AL499,"Cumple","No Cumple")</f>
        <v>Cumple</v>
      </c>
    </row>
    <row r="500" spans="1:43" ht="15" customHeight="1" x14ac:dyDescent="0.3">
      <c r="A500" s="13"/>
      <c r="B500" s="1">
        <v>5</v>
      </c>
      <c r="C500" s="1">
        <v>30</v>
      </c>
      <c r="D500" s="1">
        <v>0</v>
      </c>
      <c r="E500" s="5">
        <v>1</v>
      </c>
      <c r="F500" s="3">
        <f>F499+E500</f>
        <v>5</v>
      </c>
      <c r="G500" s="5">
        <v>2</v>
      </c>
      <c r="H500" s="3">
        <f>PI()*(G500^2)/4</f>
        <v>3.1415926535897931</v>
      </c>
      <c r="I500" s="21">
        <v>3.1415999999999999E-2</v>
      </c>
      <c r="J500" s="20"/>
      <c r="K500" s="3">
        <v>106.65107487972168</v>
      </c>
      <c r="L500" s="20">
        <v>394.55205000000001</v>
      </c>
      <c r="M500" s="3">
        <v>418.23876999999999</v>
      </c>
      <c r="N500" s="12">
        <f>I500/H500</f>
        <v>1.0000023384349969E-2</v>
      </c>
      <c r="O500" s="11">
        <f>I500*10000</f>
        <v>314.15999999999997</v>
      </c>
      <c r="P500" s="1">
        <v>10</v>
      </c>
      <c r="Q500" s="1">
        <v>1</v>
      </c>
      <c r="R500" s="3">
        <f>Q500*VLOOKUP(P500,[1]Datos!$A$2:$D$14,2)</f>
        <v>8.19</v>
      </c>
      <c r="S500" s="10">
        <f>ROUNDUP(O500/R500,0)</f>
        <v>39</v>
      </c>
      <c r="T500" s="2">
        <v>39</v>
      </c>
      <c r="U500" s="3">
        <f>ROUNDDOWN(PI()*(G500-0.185)/T500,2)</f>
        <v>0.14000000000000001</v>
      </c>
      <c r="V500" s="3"/>
      <c r="W500" s="1">
        <v>280</v>
      </c>
      <c r="X500" s="9">
        <v>2</v>
      </c>
      <c r="Y500" s="1">
        <v>4</v>
      </c>
      <c r="Z500" s="3">
        <f>X500*VLOOKUP(Y500,[1]Datos!$A$2:$D$14,2)</f>
        <v>2.58</v>
      </c>
      <c r="AA500" s="8">
        <v>0.3</v>
      </c>
      <c r="AB500" s="7">
        <f>IF(D500=0,0.9,0.5)*0.9*0.53*SQRT(W500)*G500*MAX(0.72*G500,0.9*((G500/2)+((G500-0.11)/PI())))*10</f>
        <v>207.09423574274689</v>
      </c>
      <c r="AC500" s="7">
        <f>0.9*Z500*4220*MAX(0.72*G500,0.9*((G500/2)+((G500-0.11)/PI())))/AA500/1000</f>
        <v>47.081633547905106</v>
      </c>
      <c r="AD500" s="6" t="str">
        <f>+IF(AC500&gt;K500-AB500,"Cumple","No Cumple")</f>
        <v>Cumple</v>
      </c>
      <c r="AE500" s="6"/>
      <c r="AF500" s="5"/>
      <c r="AG500" s="7"/>
      <c r="AH500" s="3"/>
      <c r="AI500" s="7"/>
      <c r="AJ500" s="7"/>
      <c r="AL500" s="3"/>
      <c r="AM500" s="3"/>
      <c r="AN500" s="3"/>
      <c r="AO500" s="3"/>
      <c r="AP500" s="9"/>
      <c r="AQ500" s="6"/>
    </row>
    <row r="501" spans="1:43" ht="15" customHeight="1" x14ac:dyDescent="0.3">
      <c r="A501" s="13"/>
      <c r="B501" s="1">
        <v>6</v>
      </c>
      <c r="C501" s="1">
        <v>31</v>
      </c>
      <c r="D501" s="1">
        <v>0</v>
      </c>
      <c r="E501" s="5">
        <v>1</v>
      </c>
      <c r="F501" s="3">
        <f>F500+E501</f>
        <v>6</v>
      </c>
      <c r="G501" s="5">
        <v>2</v>
      </c>
      <c r="H501" s="3">
        <f>PI()*(G501^2)/4</f>
        <v>3.1415926535897931</v>
      </c>
      <c r="I501" s="21">
        <v>3.1415999999999999E-2</v>
      </c>
      <c r="J501" s="20"/>
      <c r="K501" s="3">
        <v>106.65148701434032</v>
      </c>
      <c r="L501" s="20">
        <v>358.90140000000002</v>
      </c>
      <c r="M501" s="3">
        <v>488.47739999999999</v>
      </c>
      <c r="N501" s="12">
        <f>I501/H501</f>
        <v>1.0000023384349969E-2</v>
      </c>
      <c r="O501" s="11">
        <f>I501*10000</f>
        <v>314.15999999999997</v>
      </c>
      <c r="P501" s="1">
        <v>10</v>
      </c>
      <c r="Q501" s="1">
        <v>1</v>
      </c>
      <c r="R501" s="3">
        <f>Q501*VLOOKUP(P501,[1]Datos!$A$2:$D$14,2)</f>
        <v>8.19</v>
      </c>
      <c r="S501" s="10">
        <f>ROUNDUP(O501/R501,0)</f>
        <v>39</v>
      </c>
      <c r="T501" s="2">
        <v>39</v>
      </c>
      <c r="U501" s="3">
        <f>ROUNDDOWN(PI()*(G501-0.185)/T501,2)</f>
        <v>0.14000000000000001</v>
      </c>
      <c r="V501" s="3"/>
      <c r="W501" s="1">
        <v>280</v>
      </c>
      <c r="X501" s="9">
        <v>2</v>
      </c>
      <c r="Y501" s="1">
        <v>4</v>
      </c>
      <c r="Z501" s="3">
        <f>X501*VLOOKUP(Y501,[1]Datos!$A$2:$D$14,2)</f>
        <v>2.58</v>
      </c>
      <c r="AA501" s="8">
        <v>0.3</v>
      </c>
      <c r="AB501" s="7">
        <f>IF(D501=0,0.9,0.5)*0.9*0.53*SQRT(W501)*G501*MAX(0.72*G501,0.9*((G501/2)+((G501-0.11)/PI())))*10</f>
        <v>207.09423574274689</v>
      </c>
      <c r="AC501" s="7">
        <f>0.9*Z501*4220*MAX(0.72*G501,0.9*((G501/2)+((G501-0.11)/PI())))/AA501/1000</f>
        <v>47.081633547905106</v>
      </c>
      <c r="AD501" s="6" t="str">
        <f>+IF(AC501&gt;K501-AB501,"Cumple","No Cumple")</f>
        <v>Cumple</v>
      </c>
      <c r="AE501" s="6"/>
      <c r="AF501" s="5"/>
      <c r="AG501" s="7"/>
      <c r="AH501" s="3"/>
      <c r="AI501" s="7"/>
      <c r="AJ501" s="7"/>
      <c r="AL501" s="3"/>
      <c r="AM501" s="3"/>
      <c r="AN501" s="3"/>
      <c r="AO501" s="3"/>
      <c r="AP501" s="9"/>
      <c r="AQ501" s="6"/>
    </row>
    <row r="502" spans="1:43" ht="15" customHeight="1" x14ac:dyDescent="0.3">
      <c r="A502" s="13"/>
      <c r="B502" s="1">
        <v>7</v>
      </c>
      <c r="C502" s="1">
        <v>32</v>
      </c>
      <c r="D502" s="1">
        <v>0</v>
      </c>
      <c r="E502" s="5">
        <v>1</v>
      </c>
      <c r="F502" s="3">
        <f>F501+E502</f>
        <v>7</v>
      </c>
      <c r="G502" s="5">
        <v>2</v>
      </c>
      <c r="H502" s="3">
        <f>PI()*(G502^2)/4</f>
        <v>3.1415926535897931</v>
      </c>
      <c r="I502" s="21">
        <v>3.1415999999999999E-2</v>
      </c>
      <c r="J502" s="20"/>
      <c r="K502" s="3">
        <v>106.65177580753168</v>
      </c>
      <c r="L502" s="20">
        <v>323.27249</v>
      </c>
      <c r="M502" s="3">
        <v>558.76999000000001</v>
      </c>
      <c r="N502" s="12">
        <f>I502/H502</f>
        <v>1.0000023384349969E-2</v>
      </c>
      <c r="O502" s="11">
        <f>I502*10000</f>
        <v>314.15999999999997</v>
      </c>
      <c r="P502" s="1">
        <v>10</v>
      </c>
      <c r="Q502" s="19">
        <v>1</v>
      </c>
      <c r="R502" s="3">
        <f>Q502*VLOOKUP(P502,[1]Datos!$A$2:$D$14,2)</f>
        <v>8.19</v>
      </c>
      <c r="S502" s="10">
        <f>ROUNDUP(O502/R502,0)</f>
        <v>39</v>
      </c>
      <c r="T502" s="18">
        <v>39</v>
      </c>
      <c r="U502" s="3">
        <f>ROUNDDOWN(PI()*(G502-0.185)/T502,2)</f>
        <v>0.14000000000000001</v>
      </c>
      <c r="V502" s="3"/>
      <c r="W502" s="1">
        <v>280</v>
      </c>
      <c r="X502" s="9">
        <v>2</v>
      </c>
      <c r="Y502" s="1">
        <v>4</v>
      </c>
      <c r="Z502" s="3">
        <f>X502*VLOOKUP(Y502,[1]Datos!$A$2:$D$14,2)</f>
        <v>2.58</v>
      </c>
      <c r="AA502" s="8">
        <v>0.3</v>
      </c>
      <c r="AB502" s="7">
        <f>IF(D502=0,0.9,0.5)*0.9*0.53*SQRT(W502)*G502*MAX(0.72*G502,0.9*((G502/2)+((G502-0.11)/PI())))*10</f>
        <v>207.09423574274689</v>
      </c>
      <c r="AC502" s="7">
        <f>0.9*Z502*4220*MAX(0.72*G502,0.9*((G502/2)+((G502-0.11)/PI())))/AA502/1000</f>
        <v>47.081633547905106</v>
      </c>
      <c r="AD502" s="6" t="str">
        <f>+IF(AC502&gt;K502-AB502,"Cumple","No Cumple")</f>
        <v>Cumple</v>
      </c>
      <c r="AE502" s="6"/>
      <c r="AF502" s="5"/>
      <c r="AG502" s="7"/>
      <c r="AH502" s="3"/>
      <c r="AI502" s="7"/>
      <c r="AJ502" s="7"/>
      <c r="AL502" s="3"/>
      <c r="AM502" s="3"/>
      <c r="AN502" s="3"/>
      <c r="AO502" s="3"/>
      <c r="AP502" s="9"/>
      <c r="AQ502" s="6"/>
    </row>
    <row r="503" spans="1:43" ht="15" customHeight="1" x14ac:dyDescent="0.3">
      <c r="A503" s="13"/>
      <c r="B503" s="1">
        <v>8</v>
      </c>
      <c r="C503" s="1">
        <v>33</v>
      </c>
      <c r="D503" s="1">
        <v>0</v>
      </c>
      <c r="E503" s="5">
        <v>1</v>
      </c>
      <c r="F503" s="3">
        <f>F502+E503</f>
        <v>8</v>
      </c>
      <c r="G503" s="5">
        <v>2</v>
      </c>
      <c r="H503" s="3">
        <f>PI()*(G503^2)/4</f>
        <v>3.1415926535897931</v>
      </c>
      <c r="I503" s="21">
        <v>3.1415999999999999E-2</v>
      </c>
      <c r="J503" s="20"/>
      <c r="K503" s="3">
        <v>106.65225712965479</v>
      </c>
      <c r="L503" s="20">
        <v>287.68725999999998</v>
      </c>
      <c r="M503" s="3">
        <v>629.07344000000001</v>
      </c>
      <c r="N503" s="12">
        <f>I503/H503</f>
        <v>1.0000023384349969E-2</v>
      </c>
      <c r="O503" s="11">
        <f>I503*10000</f>
        <v>314.15999999999997</v>
      </c>
      <c r="P503" s="1">
        <v>10</v>
      </c>
      <c r="Q503" s="19">
        <v>1</v>
      </c>
      <c r="R503" s="3">
        <f>Q503*VLOOKUP(P503,[1]Datos!$A$2:$D$14,2)</f>
        <v>8.19</v>
      </c>
      <c r="S503" s="10">
        <f>ROUNDUP(O503/R503,0)</f>
        <v>39</v>
      </c>
      <c r="T503" s="18">
        <v>39</v>
      </c>
      <c r="U503" s="3">
        <f>ROUNDDOWN(PI()*(G503-0.185)/T503,2)</f>
        <v>0.14000000000000001</v>
      </c>
      <c r="V503" s="3"/>
      <c r="W503" s="1">
        <v>280</v>
      </c>
      <c r="X503" s="9">
        <v>2</v>
      </c>
      <c r="Y503" s="1">
        <v>4</v>
      </c>
      <c r="Z503" s="3">
        <f>X503*VLOOKUP(Y503,[1]Datos!$A$2:$D$14,2)</f>
        <v>2.58</v>
      </c>
      <c r="AA503" s="8">
        <v>0.3</v>
      </c>
      <c r="AB503" s="7">
        <f>IF(D503=0,0.9,0.5)*0.9*0.53*SQRT(W503)*G503*MAX(0.72*G503,0.9*((G503/2)+((G503-0.11)/PI())))*10</f>
        <v>207.09423574274689</v>
      </c>
      <c r="AC503" s="7">
        <f>0.9*Z503*4220*MAX(0.72*G503,0.9*((G503/2)+((G503-0.11)/PI())))/AA503/1000</f>
        <v>47.081633547905106</v>
      </c>
      <c r="AD503" s="6" t="str">
        <f>+IF(AC503&gt;K503-AB503,"Cumple","No Cumple")</f>
        <v>Cumple</v>
      </c>
      <c r="AE503" s="6"/>
      <c r="AF503" s="5"/>
      <c r="AG503" s="7"/>
      <c r="AH503" s="3"/>
      <c r="AI503" s="7"/>
      <c r="AJ503" s="7"/>
      <c r="AL503" s="3"/>
      <c r="AM503" s="3"/>
      <c r="AN503" s="3"/>
      <c r="AO503" s="3"/>
      <c r="AP503" s="9"/>
      <c r="AQ503" s="6"/>
    </row>
    <row r="504" spans="1:43" ht="15" customHeight="1" x14ac:dyDescent="0.3">
      <c r="A504" s="13"/>
      <c r="B504" s="1">
        <v>9</v>
      </c>
      <c r="C504" s="1">
        <v>34</v>
      </c>
      <c r="D504" s="1">
        <v>0</v>
      </c>
      <c r="E504" s="5">
        <v>1</v>
      </c>
      <c r="F504" s="3">
        <f>F503+E504</f>
        <v>9</v>
      </c>
      <c r="G504" s="5">
        <v>2</v>
      </c>
      <c r="H504" s="3">
        <f>PI()*(G504^2)/4</f>
        <v>3.1415926535897931</v>
      </c>
      <c r="I504" s="4">
        <v>3.1415999999999999E-2</v>
      </c>
      <c r="K504" s="3">
        <v>106.652642187477</v>
      </c>
      <c r="L504" s="3">
        <v>252.16961000000001</v>
      </c>
      <c r="M504" s="3">
        <v>699.35594000000003</v>
      </c>
      <c r="N504" s="12">
        <f>I504/H504</f>
        <v>1.0000023384349969E-2</v>
      </c>
      <c r="O504" s="11">
        <f>I504*10000</f>
        <v>314.15999999999997</v>
      </c>
      <c r="P504" s="1">
        <v>10</v>
      </c>
      <c r="Q504" s="19">
        <v>1</v>
      </c>
      <c r="R504" s="3">
        <f>Q504*VLOOKUP(P504,[1]Datos!$A$2:$D$14,2)</f>
        <v>8.19</v>
      </c>
      <c r="S504" s="10">
        <f>ROUNDUP(O504/R504,0)</f>
        <v>39</v>
      </c>
      <c r="T504" s="18">
        <v>39</v>
      </c>
      <c r="U504" s="3">
        <f>ROUNDDOWN(PI()*(G504-0.185)/T504,2)</f>
        <v>0.14000000000000001</v>
      </c>
      <c r="V504" s="3"/>
      <c r="W504" s="1">
        <v>280</v>
      </c>
      <c r="X504" s="9">
        <v>2</v>
      </c>
      <c r="Y504" s="1">
        <v>4</v>
      </c>
      <c r="Z504" s="3">
        <f>X504*VLOOKUP(Y504,[1]Datos!$A$2:$D$14,2)</f>
        <v>2.58</v>
      </c>
      <c r="AA504" s="8">
        <v>0.3</v>
      </c>
      <c r="AB504" s="7">
        <f>IF(D504=0,0.9,0.5)*0.9*0.53*SQRT(W504)*G504*MAX(0.72*G504,0.9*((G504/2)+((G504-0.11)/PI())))*10</f>
        <v>207.09423574274689</v>
      </c>
      <c r="AC504" s="7">
        <f>0.9*Z504*4220*MAX(0.72*G504,0.9*((G504/2)+((G504-0.11)/PI())))/AA504/1000</f>
        <v>47.081633547905106</v>
      </c>
      <c r="AD504" s="6" t="str">
        <f>+IF(AC504&gt;K504-AB504,"Cumple","No Cumple")</f>
        <v>Cumple</v>
      </c>
      <c r="AE504" s="6"/>
      <c r="AF504" s="5"/>
      <c r="AG504" s="7"/>
      <c r="AH504" s="3"/>
      <c r="AI504" s="7"/>
      <c r="AJ504" s="7"/>
      <c r="AL504" s="3"/>
      <c r="AM504" s="3"/>
      <c r="AN504" s="3"/>
      <c r="AO504" s="3"/>
      <c r="AP504" s="9"/>
      <c r="AQ504" s="6"/>
    </row>
    <row r="505" spans="1:43" ht="15" customHeight="1" x14ac:dyDescent="0.3">
      <c r="A505" s="13"/>
      <c r="B505" s="1">
        <v>10</v>
      </c>
      <c r="C505" s="1">
        <v>35</v>
      </c>
      <c r="D505" s="1">
        <v>0</v>
      </c>
      <c r="E505" s="5">
        <v>1</v>
      </c>
      <c r="F505" s="3">
        <f>F504+E505</f>
        <v>10</v>
      </c>
      <c r="G505" s="5">
        <v>2</v>
      </c>
      <c r="H505" s="3">
        <f>PI()*(G505^2)/4</f>
        <v>3.1415926535897931</v>
      </c>
      <c r="I505" s="4">
        <v>3.1415999999999999E-2</v>
      </c>
      <c r="K505" s="3">
        <v>106.65315058660948</v>
      </c>
      <c r="L505" s="3">
        <v>216.74569</v>
      </c>
      <c r="M505" s="3">
        <v>769.59285</v>
      </c>
      <c r="N505" s="12">
        <f>I505/H505</f>
        <v>1.0000023384349969E-2</v>
      </c>
      <c r="O505" s="11">
        <f>I505*10000</f>
        <v>314.15999999999997</v>
      </c>
      <c r="P505" s="1">
        <v>10</v>
      </c>
      <c r="Q505" s="1">
        <v>1</v>
      </c>
      <c r="R505" s="3">
        <f>Q505*VLOOKUP(P505,[1]Datos!$A$2:$D$14,2)</f>
        <v>8.19</v>
      </c>
      <c r="S505" s="10">
        <f>ROUNDUP(O505/R505,0)</f>
        <v>39</v>
      </c>
      <c r="T505" s="2">
        <v>39</v>
      </c>
      <c r="U505" s="3">
        <f>ROUNDDOWN(PI()*(G505-0.185)/T505,2)</f>
        <v>0.14000000000000001</v>
      </c>
      <c r="V505" s="3"/>
      <c r="W505" s="1">
        <v>280</v>
      </c>
      <c r="X505" s="9">
        <v>2</v>
      </c>
      <c r="Y505" s="1">
        <v>4</v>
      </c>
      <c r="Z505" s="3">
        <f>X505*VLOOKUP(Y505,[1]Datos!$A$2:$D$14,2)</f>
        <v>2.58</v>
      </c>
      <c r="AA505" s="8">
        <v>0.3</v>
      </c>
      <c r="AB505" s="7">
        <f>IF(D505=0,0.9,0.5)*0.9*0.53*SQRT(W505)*G505*MAX(0.72*G505,0.9*((G505/2)+((G505-0.11)/PI())))*10</f>
        <v>207.09423574274689</v>
      </c>
      <c r="AC505" s="7">
        <f>0.9*Z505*4220*MAX(0.72*G505,0.9*((G505/2)+((G505-0.11)/PI())))/AA505/1000</f>
        <v>47.081633547905106</v>
      </c>
      <c r="AD505" s="6" t="str">
        <f>+IF(AC505&gt;K505-AB505,"Cumple","No Cumple")</f>
        <v>Cumple</v>
      </c>
      <c r="AE505" s="6"/>
      <c r="AH505" s="3"/>
    </row>
    <row r="506" spans="1:43" ht="15" customHeight="1" x14ac:dyDescent="0.3">
      <c r="A506" s="13"/>
      <c r="B506" s="1">
        <v>11</v>
      </c>
      <c r="C506" s="1">
        <v>36</v>
      </c>
      <c r="D506" s="1">
        <v>0</v>
      </c>
      <c r="E506" s="5">
        <v>1</v>
      </c>
      <c r="F506" s="3">
        <f>F505+E506</f>
        <v>11</v>
      </c>
      <c r="G506" s="5">
        <v>2</v>
      </c>
      <c r="H506" s="3">
        <f>PI()*(G506^2)/4</f>
        <v>3.1415926535897931</v>
      </c>
      <c r="I506" s="4">
        <v>3.1415999999999999E-2</v>
      </c>
      <c r="K506" s="3">
        <v>106.6536319090916</v>
      </c>
      <c r="L506" s="3">
        <v>181.43916999999999</v>
      </c>
      <c r="M506" s="3">
        <v>839.76421000000005</v>
      </c>
      <c r="N506" s="12">
        <f>I506/H506</f>
        <v>1.0000023384349969E-2</v>
      </c>
      <c r="O506" s="11">
        <f>I506*10000</f>
        <v>314.15999999999997</v>
      </c>
      <c r="P506" s="1">
        <v>10</v>
      </c>
      <c r="Q506" s="1">
        <v>1</v>
      </c>
      <c r="R506" s="3">
        <f>Q506*VLOOKUP(P506,[1]Datos!$A$2:$D$14,2)</f>
        <v>8.19</v>
      </c>
      <c r="S506" s="10">
        <f>ROUNDUP(O506/R506,0)</f>
        <v>39</v>
      </c>
      <c r="T506" s="2">
        <v>39</v>
      </c>
      <c r="U506" s="3">
        <f>ROUNDDOWN(PI()*(G506-0.185)/T506,2)</f>
        <v>0.14000000000000001</v>
      </c>
      <c r="V506" s="3"/>
      <c r="W506" s="1">
        <v>280</v>
      </c>
      <c r="X506" s="9">
        <v>2</v>
      </c>
      <c r="Y506" s="1">
        <v>4</v>
      </c>
      <c r="Z506" s="3">
        <f>X506*VLOOKUP(Y506,[1]Datos!$A$2:$D$14,2)</f>
        <v>2.58</v>
      </c>
      <c r="AA506" s="8">
        <v>0.3</v>
      </c>
      <c r="AB506" s="7">
        <f>IF(D506=0,0.9,0.5)*0.9*0.53*SQRT(W506)*G506*MAX(0.72*G506,0.9*((G506/2)+((G506-0.11)/PI())))*10</f>
        <v>207.09423574274689</v>
      </c>
      <c r="AC506" s="7">
        <f>0.9*Z506*4220*MAX(0.72*G506,0.9*((G506/2)+((G506-0.11)/PI())))/AA506/1000</f>
        <v>47.081633547905106</v>
      </c>
      <c r="AD506" s="6" t="str">
        <f>+IF(AC506&gt;K506-AB506,"Cumple","No Cumple")</f>
        <v>Cumple</v>
      </c>
      <c r="AE506" s="6"/>
      <c r="AH506" s="3"/>
    </row>
    <row r="507" spans="1:43" ht="15" customHeight="1" x14ac:dyDescent="0.3">
      <c r="A507" s="13"/>
      <c r="B507" s="1">
        <v>12</v>
      </c>
      <c r="C507" s="1">
        <v>37</v>
      </c>
      <c r="D507" s="1">
        <v>0</v>
      </c>
      <c r="E507" s="5">
        <v>1</v>
      </c>
      <c r="F507" s="3">
        <f>F506+E507</f>
        <v>12</v>
      </c>
      <c r="G507" s="5">
        <v>2</v>
      </c>
      <c r="H507" s="3">
        <f>PI()*(G507^2)/4</f>
        <v>3.1415926535897931</v>
      </c>
      <c r="I507" s="4">
        <v>3.1415999999999999E-2</v>
      </c>
      <c r="K507" s="3">
        <v>106.65411323174555</v>
      </c>
      <c r="L507" s="3">
        <v>146.30649</v>
      </c>
      <c r="M507" s="3">
        <v>909.85320000000002</v>
      </c>
      <c r="N507" s="12">
        <f>I507/H507</f>
        <v>1.0000023384349969E-2</v>
      </c>
      <c r="O507" s="11">
        <f>I507*10000</f>
        <v>314.15999999999997</v>
      </c>
      <c r="P507" s="1">
        <v>10</v>
      </c>
      <c r="Q507" s="1">
        <v>1</v>
      </c>
      <c r="R507" s="3">
        <f>Q507*VLOOKUP(P507,[1]Datos!$A$2:$D$14,2)</f>
        <v>8.19</v>
      </c>
      <c r="S507" s="10">
        <f>ROUNDUP(O507/R507,0)</f>
        <v>39</v>
      </c>
      <c r="T507" s="2">
        <v>39</v>
      </c>
      <c r="U507" s="3">
        <f>ROUNDDOWN(PI()*(G507-0.185)/T507,2)</f>
        <v>0.14000000000000001</v>
      </c>
      <c r="V507" s="3"/>
      <c r="W507" s="1">
        <v>280</v>
      </c>
      <c r="X507" s="9">
        <v>2</v>
      </c>
      <c r="Y507" s="1">
        <v>4</v>
      </c>
      <c r="Z507" s="3">
        <f>X507*VLOOKUP(Y507,[1]Datos!$A$2:$D$14,2)</f>
        <v>2.58</v>
      </c>
      <c r="AA507" s="8">
        <v>0.3</v>
      </c>
      <c r="AB507" s="7">
        <f>IF(D507=0,0.9,0.5)*0.9*0.53*SQRT(W507)*G507*MAX(0.72*G507,0.9*((G507/2)+((G507-0.11)/PI())))*10</f>
        <v>207.09423574274689</v>
      </c>
      <c r="AC507" s="7">
        <f>0.9*Z507*4220*MAX(0.72*G507,0.9*((G507/2)+((G507-0.11)/PI())))/AA507/1000</f>
        <v>47.081633547905106</v>
      </c>
      <c r="AD507" s="6" t="str">
        <f>+IF(AC507&gt;K507-AB507,"Cumple","No Cumple")</f>
        <v>Cumple</v>
      </c>
      <c r="AE507" s="6"/>
      <c r="AH507" s="3"/>
    </row>
    <row r="508" spans="1:43" ht="15" customHeight="1" x14ac:dyDescent="0.3">
      <c r="A508" s="13"/>
      <c r="B508" s="1">
        <v>13</v>
      </c>
      <c r="C508" s="1">
        <v>38</v>
      </c>
      <c r="D508" s="1">
        <v>0</v>
      </c>
      <c r="E508" s="5">
        <v>1</v>
      </c>
      <c r="F508" s="3">
        <f>F507+E508</f>
        <v>13</v>
      </c>
      <c r="G508" s="5">
        <v>2</v>
      </c>
      <c r="H508" s="3">
        <f>PI()*(G508^2)/4</f>
        <v>3.1415926535897931</v>
      </c>
      <c r="I508" s="4">
        <v>3.1415999999999999E-2</v>
      </c>
      <c r="K508" s="3">
        <v>106.65469081915712</v>
      </c>
      <c r="L508" s="3">
        <v>111.41806</v>
      </c>
      <c r="M508" s="3">
        <v>979.84506999999996</v>
      </c>
      <c r="N508" s="12">
        <f>I508/H508</f>
        <v>1.0000023384349969E-2</v>
      </c>
      <c r="O508" s="11">
        <f>I508*10000</f>
        <v>314.15999999999997</v>
      </c>
      <c r="P508" s="1">
        <v>10</v>
      </c>
      <c r="Q508" s="1">
        <v>1</v>
      </c>
      <c r="R508" s="3">
        <f>Q508*VLOOKUP(P508,[1]Datos!$A$2:$D$14,2)</f>
        <v>8.19</v>
      </c>
      <c r="S508" s="10">
        <f>ROUNDUP(O508/R508,0)</f>
        <v>39</v>
      </c>
      <c r="T508" s="2">
        <v>39</v>
      </c>
      <c r="U508" s="3">
        <f>ROUNDDOWN(PI()*(G508-0.185)/T508,2)</f>
        <v>0.14000000000000001</v>
      </c>
      <c r="V508" s="3"/>
      <c r="W508" s="1">
        <v>280</v>
      </c>
      <c r="X508" s="9">
        <v>2</v>
      </c>
      <c r="Y508" s="1">
        <v>4</v>
      </c>
      <c r="Z508" s="3">
        <f>X508*VLOOKUP(Y508,[1]Datos!$A$2:$D$14,2)</f>
        <v>2.58</v>
      </c>
      <c r="AA508" s="8">
        <v>0.3</v>
      </c>
      <c r="AB508" s="7">
        <f>IF(D508=0,0.9,0.5)*0.9*0.53*SQRT(W508)*G508*MAX(0.72*G508,0.9*((G508/2)+((G508-0.11)/PI())))*10</f>
        <v>207.09423574274689</v>
      </c>
      <c r="AC508" s="7">
        <f>0.9*Z508*4220*MAX(0.72*G508,0.9*((G508/2)+((G508-0.11)/PI())))/AA508/1000</f>
        <v>47.081633547905106</v>
      </c>
      <c r="AD508" s="6" t="str">
        <f>+IF(AC508&gt;K508-AB508,"Cumple","No Cumple")</f>
        <v>Cumple</v>
      </c>
      <c r="AE508" s="6"/>
      <c r="AH508" s="3"/>
    </row>
    <row r="509" spans="1:43" ht="15" customHeight="1" x14ac:dyDescent="0.3">
      <c r="A509" s="13"/>
      <c r="B509" s="1">
        <v>14</v>
      </c>
      <c r="C509" s="1">
        <v>39</v>
      </c>
      <c r="D509" s="1">
        <v>0</v>
      </c>
      <c r="E509" s="5">
        <v>1</v>
      </c>
      <c r="F509" s="3">
        <f>F508+E509</f>
        <v>14</v>
      </c>
      <c r="G509" s="5">
        <v>2</v>
      </c>
      <c r="H509" s="3">
        <f>PI()*(G509^2)/4</f>
        <v>3.1415926535897931</v>
      </c>
      <c r="I509" s="4">
        <v>3.1415999999999999E-2</v>
      </c>
      <c r="K509" s="3">
        <v>106.65529548306546</v>
      </c>
      <c r="L509" s="3">
        <v>76.856070000000003</v>
      </c>
      <c r="M509" s="3">
        <v>1049.7265400000001</v>
      </c>
      <c r="N509" s="12">
        <f>I509/H509</f>
        <v>1.0000023384349969E-2</v>
      </c>
      <c r="O509" s="11">
        <f>I509*10000</f>
        <v>314.15999999999997</v>
      </c>
      <c r="P509" s="1">
        <v>10</v>
      </c>
      <c r="Q509" s="1">
        <v>1</v>
      </c>
      <c r="R509" s="3">
        <f>Q509*VLOOKUP(P509,[1]Datos!$A$2:$D$14,2)</f>
        <v>8.19</v>
      </c>
      <c r="S509" s="10">
        <f>ROUNDUP(O509/R509,0)</f>
        <v>39</v>
      </c>
      <c r="T509" s="2">
        <v>39</v>
      </c>
      <c r="U509" s="3">
        <f>ROUNDDOWN(PI()*(G509-0.185)/T509,2)</f>
        <v>0.14000000000000001</v>
      </c>
      <c r="V509" s="3"/>
      <c r="W509" s="1">
        <v>280</v>
      </c>
      <c r="X509" s="9">
        <v>2</v>
      </c>
      <c r="Y509" s="1">
        <v>4</v>
      </c>
      <c r="Z509" s="3">
        <f>X509*VLOOKUP(Y509,[1]Datos!$A$2:$D$14,2)</f>
        <v>2.58</v>
      </c>
      <c r="AA509" s="8">
        <v>0.3</v>
      </c>
      <c r="AB509" s="7">
        <f>IF(D509=0,0.9,0.5)*0.9*0.53*SQRT(W509)*G509*MAX(0.72*G509,0.9*((G509/2)+((G509-0.11)/PI())))*10</f>
        <v>207.09423574274689</v>
      </c>
      <c r="AC509" s="7">
        <f>0.9*Z509*4220*MAX(0.72*G509,0.9*((G509/2)+((G509-0.11)/PI())))/AA509/1000</f>
        <v>47.081633547905106</v>
      </c>
      <c r="AD509" s="6" t="str">
        <f>+IF(AC509&gt;K509-AB509,"Cumple","No Cumple")</f>
        <v>Cumple</v>
      </c>
      <c r="AE509" s="6"/>
      <c r="AH509" s="3"/>
    </row>
    <row r="510" spans="1:43" ht="15" customHeight="1" x14ac:dyDescent="0.3">
      <c r="A510" s="13"/>
      <c r="B510" s="1">
        <v>15</v>
      </c>
      <c r="C510" s="1">
        <v>40</v>
      </c>
      <c r="D510" s="1">
        <v>0</v>
      </c>
      <c r="E510" s="5">
        <v>1</v>
      </c>
      <c r="F510" s="3">
        <f>F509+E510</f>
        <v>15</v>
      </c>
      <c r="G510" s="5">
        <v>2</v>
      </c>
      <c r="H510" s="3">
        <f>PI()*(G510^2)/4</f>
        <v>3.1415926535897931</v>
      </c>
      <c r="I510" s="4">
        <v>3.1415999999999999E-2</v>
      </c>
      <c r="K510" s="3">
        <v>106.65587307082531</v>
      </c>
      <c r="L510" s="3">
        <v>54.711869999999998</v>
      </c>
      <c r="M510" s="3">
        <v>1119.4853599999999</v>
      </c>
      <c r="N510" s="12">
        <f>I510/H510</f>
        <v>1.0000023384349969E-2</v>
      </c>
      <c r="O510" s="11">
        <f>I510*10000</f>
        <v>314.15999999999997</v>
      </c>
      <c r="P510" s="1">
        <v>10</v>
      </c>
      <c r="Q510" s="1">
        <v>1</v>
      </c>
      <c r="R510" s="3">
        <f>Q510*VLOOKUP(P510,[1]Datos!$A$2:$D$14,2)</f>
        <v>8.19</v>
      </c>
      <c r="S510" s="10">
        <f>ROUNDUP(O510/R510,0)</f>
        <v>39</v>
      </c>
      <c r="T510" s="2">
        <v>39</v>
      </c>
      <c r="U510" s="3">
        <f>ROUNDDOWN(PI()*(G510-0.185)/T510,2)</f>
        <v>0.14000000000000001</v>
      </c>
      <c r="V510" s="3"/>
      <c r="W510" s="1">
        <v>280</v>
      </c>
      <c r="X510" s="9">
        <v>2</v>
      </c>
      <c r="Y510" s="1">
        <v>4</v>
      </c>
      <c r="Z510" s="3">
        <f>X510*VLOOKUP(Y510,[1]Datos!$A$2:$D$14,2)</f>
        <v>2.58</v>
      </c>
      <c r="AA510" s="8">
        <v>0.3</v>
      </c>
      <c r="AB510" s="7">
        <f>IF(D510=0,0.9,0.5)*0.9*0.53*SQRT(W510)*G510*MAX(0.72*G510,0.9*((G510/2)+((G510-0.11)/PI())))*10</f>
        <v>207.09423574274689</v>
      </c>
      <c r="AC510" s="7">
        <f>0.9*Z510*4220*MAX(0.72*G510,0.9*((G510/2)+((G510-0.11)/PI())))/AA510/1000</f>
        <v>47.081633547905106</v>
      </c>
      <c r="AD510" s="6" t="str">
        <f>+IF(AC510&gt;K510-AB510,"Cumple","No Cumple")</f>
        <v>Cumple</v>
      </c>
      <c r="AE510" s="6"/>
      <c r="AF510" s="5"/>
      <c r="AG510" s="7"/>
      <c r="AH510" s="3"/>
      <c r="AI510" s="7"/>
      <c r="AJ510" s="7"/>
      <c r="AL510" s="3"/>
      <c r="AM510" s="3"/>
      <c r="AN510" s="3"/>
      <c r="AO510" s="3"/>
      <c r="AP510" s="9"/>
      <c r="AQ510" s="6"/>
    </row>
    <row r="511" spans="1:43" ht="15" customHeight="1" x14ac:dyDescent="0.3">
      <c r="A511" s="13"/>
      <c r="B511" s="1">
        <v>16</v>
      </c>
      <c r="C511" s="1">
        <v>41</v>
      </c>
      <c r="D511" s="1">
        <v>0</v>
      </c>
      <c r="E511" s="5">
        <v>1</v>
      </c>
      <c r="F511" s="3">
        <f>F510+E511</f>
        <v>16</v>
      </c>
      <c r="G511" s="5">
        <v>2</v>
      </c>
      <c r="H511" s="3">
        <f>PI()*(G511^2)/4</f>
        <v>3.1415926535897931</v>
      </c>
      <c r="I511" s="4">
        <v>3.1415999999999999E-2</v>
      </c>
      <c r="K511" s="3">
        <v>106.65654692352457</v>
      </c>
      <c r="L511" s="3">
        <v>91.727069999999998</v>
      </c>
      <c r="M511" s="3">
        <v>1189.1100300000001</v>
      </c>
      <c r="N511" s="12">
        <f>I511/H511</f>
        <v>1.0000023384349969E-2</v>
      </c>
      <c r="O511" s="11">
        <f>I511*10000</f>
        <v>314.15999999999997</v>
      </c>
      <c r="P511" s="1">
        <v>10</v>
      </c>
      <c r="Q511" s="19">
        <v>1</v>
      </c>
      <c r="R511" s="3">
        <f>Q511*VLOOKUP(P511,[1]Datos!$A$2:$D$14,2)</f>
        <v>8.19</v>
      </c>
      <c r="S511" s="10">
        <f>ROUNDUP(O511/R511,0)</f>
        <v>39</v>
      </c>
      <c r="T511" s="18">
        <v>50</v>
      </c>
      <c r="U511" s="3">
        <f>ROUNDDOWN(PI()*(G511-0.185)/T511,2)</f>
        <v>0.11</v>
      </c>
      <c r="V511" s="3"/>
      <c r="W511" s="1">
        <v>280</v>
      </c>
      <c r="X511" s="9">
        <v>2</v>
      </c>
      <c r="Y511" s="1">
        <v>4</v>
      </c>
      <c r="Z511" s="3">
        <f>X511*VLOOKUP(Y511,[1]Datos!$A$2:$D$14,2)</f>
        <v>2.58</v>
      </c>
      <c r="AA511" s="8">
        <v>0.3</v>
      </c>
      <c r="AB511" s="7">
        <f>IF(D511=0,0.9,0.5)*0.9*0.53*SQRT(W511)*G511*MAX(0.72*G511,0.9*((G511/2)+((G511-0.11)/PI())))*10</f>
        <v>207.09423574274689</v>
      </c>
      <c r="AC511" s="7">
        <f>0.9*Z511*4220*MAX(0.72*G511,0.9*((G511/2)+((G511-0.11)/PI())))/AA511/1000</f>
        <v>47.081633547905106</v>
      </c>
      <c r="AD511" s="6" t="str">
        <f>+IF(AC511&gt;K511-AB511,"Cumple","No Cumple")</f>
        <v>Cumple</v>
      </c>
      <c r="AE511" s="6"/>
      <c r="AH511" s="3"/>
    </row>
    <row r="512" spans="1:43" x14ac:dyDescent="0.3">
      <c r="A512" s="13"/>
      <c r="B512" s="1">
        <v>17</v>
      </c>
      <c r="C512" s="1">
        <v>42</v>
      </c>
      <c r="D512" s="1">
        <v>0</v>
      </c>
      <c r="E512" s="5">
        <v>1</v>
      </c>
      <c r="F512" s="3">
        <f>F511+E512</f>
        <v>17</v>
      </c>
      <c r="G512" s="5">
        <v>2</v>
      </c>
      <c r="H512" s="3">
        <f>PI()*(G512^2)/4</f>
        <v>3.1415926535897931</v>
      </c>
      <c r="I512" s="4">
        <v>3.1415999999999999E-2</v>
      </c>
      <c r="K512" s="3">
        <v>106.65724785240803</v>
      </c>
      <c r="L512" s="3">
        <v>130.06859</v>
      </c>
      <c r="M512" s="3">
        <v>1258.5895800000001</v>
      </c>
      <c r="N512" s="12">
        <f>I512/H512</f>
        <v>1.0000023384349969E-2</v>
      </c>
      <c r="O512" s="11">
        <f>I512*10000</f>
        <v>314.15999999999997</v>
      </c>
      <c r="P512" s="1">
        <v>10</v>
      </c>
      <c r="Q512" s="19">
        <v>1</v>
      </c>
      <c r="R512" s="3">
        <f>Q512*VLOOKUP(P512,[1]Datos!$A$2:$D$14,2)</f>
        <v>8.19</v>
      </c>
      <c r="S512" s="10">
        <f>ROUNDUP(O512/R512,0)</f>
        <v>39</v>
      </c>
      <c r="T512" s="18">
        <v>50</v>
      </c>
      <c r="U512" s="3">
        <f>ROUNDDOWN(PI()*(G512-0.185)/T512,2)</f>
        <v>0.11</v>
      </c>
      <c r="V512" s="3"/>
      <c r="W512" s="1">
        <v>280</v>
      </c>
      <c r="X512" s="9">
        <v>2</v>
      </c>
      <c r="Y512" s="1">
        <v>4</v>
      </c>
      <c r="Z512" s="3">
        <f>X512*VLOOKUP(Y512,[1]Datos!$A$2:$D$14,2)</f>
        <v>2.58</v>
      </c>
      <c r="AA512" s="8">
        <v>0.3</v>
      </c>
      <c r="AB512" s="7">
        <f>IF(D512=0,0.9,0.5)*0.9*0.53*SQRT(W512)*G512*MAX(0.72*G512,0.9*((G512/2)+((G512-0.11)/PI())))*10</f>
        <v>207.09423574274689</v>
      </c>
      <c r="AC512" s="7">
        <f>0.9*Z512*4220*MAX(0.72*G512,0.9*((G512/2)+((G512-0.11)/PI())))/AA512/1000</f>
        <v>47.081633547905106</v>
      </c>
      <c r="AD512" s="6" t="str">
        <f>+IF(AC512&gt;K512-AB512,"Cumple","No Cumple")</f>
        <v>Cumple</v>
      </c>
      <c r="AE512" s="6"/>
      <c r="AH512" s="3"/>
    </row>
    <row r="513" spans="1:43" x14ac:dyDescent="0.3">
      <c r="A513" s="13"/>
      <c r="B513" s="1">
        <v>18</v>
      </c>
      <c r="C513" s="1">
        <v>43</v>
      </c>
      <c r="D513" s="1">
        <v>0</v>
      </c>
      <c r="E513" s="5">
        <v>1</v>
      </c>
      <c r="F513" s="3">
        <f>F512+E513</f>
        <v>18</v>
      </c>
      <c r="G513" s="5">
        <v>2</v>
      </c>
      <c r="H513" s="3">
        <f>PI()*(G513^2)/4</f>
        <v>3.1415926535897931</v>
      </c>
      <c r="I513" s="4">
        <v>3.3666000000000001E-2</v>
      </c>
      <c r="K513" s="3">
        <v>106.65792170560985</v>
      </c>
      <c r="L513" s="3">
        <v>168.59640999999999</v>
      </c>
      <c r="M513" s="3">
        <v>1327.9134799999999</v>
      </c>
      <c r="N513" s="12">
        <f>I513/H513</f>
        <v>1.0716220628263497E-2</v>
      </c>
      <c r="O513" s="11">
        <f>I513*10000</f>
        <v>336.66</v>
      </c>
      <c r="P513" s="1">
        <v>10</v>
      </c>
      <c r="Q513" s="19">
        <v>1</v>
      </c>
      <c r="R513" s="3">
        <f>Q513*VLOOKUP(P513,[1]Datos!$A$2:$D$14,2)</f>
        <v>8.19</v>
      </c>
      <c r="S513" s="10">
        <f>ROUNDUP(O513/R513,0)</f>
        <v>42</v>
      </c>
      <c r="T513" s="18">
        <v>50</v>
      </c>
      <c r="U513" s="3">
        <f>ROUNDDOWN(PI()*(G513-0.185)/T513,2)</f>
        <v>0.11</v>
      </c>
      <c r="V513" s="3"/>
      <c r="W513" s="1">
        <v>280</v>
      </c>
      <c r="X513" s="9">
        <v>2</v>
      </c>
      <c r="Y513" s="1">
        <v>4</v>
      </c>
      <c r="Z513" s="3">
        <f>X513*VLOOKUP(Y513,[1]Datos!$A$2:$D$14,2)</f>
        <v>2.58</v>
      </c>
      <c r="AA513" s="8">
        <v>0.3</v>
      </c>
      <c r="AB513" s="7">
        <f>IF(D513=0,0.9,0.5)*0.9*0.53*SQRT(W513)*G513*MAX(0.72*G513,0.9*((G513/2)+((G513-0.11)/PI())))*10</f>
        <v>207.09423574274689</v>
      </c>
      <c r="AC513" s="7">
        <f>0.9*Z513*4220*MAX(0.72*G513,0.9*((G513/2)+((G513-0.11)/PI())))/AA513/1000</f>
        <v>47.081633547905106</v>
      </c>
      <c r="AD513" s="6" t="str">
        <f>+IF(AC513&gt;K513-AB513,"Cumple","No Cumple")</f>
        <v>Cumple</v>
      </c>
      <c r="AE513" s="6"/>
      <c r="AH513" s="3"/>
    </row>
    <row r="514" spans="1:43" x14ac:dyDescent="0.3">
      <c r="A514" s="13"/>
      <c r="B514" s="1">
        <v>19</v>
      </c>
      <c r="C514" s="1">
        <v>44</v>
      </c>
      <c r="D514" s="1">
        <v>0</v>
      </c>
      <c r="E514" s="5">
        <v>1</v>
      </c>
      <c r="F514" s="3">
        <f>F513+E514</f>
        <v>19</v>
      </c>
      <c r="G514" s="5">
        <v>2</v>
      </c>
      <c r="H514" s="3">
        <f>PI()*(G514^2)/4</f>
        <v>3.1415926535897931</v>
      </c>
      <c r="I514" s="4">
        <v>3.7280000000000001E-2</v>
      </c>
      <c r="K514" s="3">
        <v>106.65859555914844</v>
      </c>
      <c r="L514" s="3">
        <v>207.19480999999999</v>
      </c>
      <c r="M514" s="3">
        <v>1397.0715</v>
      </c>
      <c r="N514" s="12">
        <f>I514/H514</f>
        <v>1.1866592556931716E-2</v>
      </c>
      <c r="O514" s="11">
        <f>I514*10000</f>
        <v>372.8</v>
      </c>
      <c r="P514" s="1">
        <v>10</v>
      </c>
      <c r="Q514" s="1">
        <v>1</v>
      </c>
      <c r="R514" s="3">
        <f>Q514*VLOOKUP(P514,[1]Datos!$A$2:$D$14,2)</f>
        <v>8.19</v>
      </c>
      <c r="S514" s="10">
        <f>ROUNDUP(O514/R514,0)</f>
        <v>46</v>
      </c>
      <c r="T514" s="2">
        <v>50</v>
      </c>
      <c r="U514" s="3">
        <f>ROUNDDOWN(PI()*(G514-0.185)/T514,2)</f>
        <v>0.11</v>
      </c>
      <c r="V514" s="3"/>
      <c r="W514" s="1">
        <v>280</v>
      </c>
      <c r="X514" s="9">
        <v>2</v>
      </c>
      <c r="Y514" s="1">
        <v>6</v>
      </c>
      <c r="Z514" s="3">
        <f>X514*VLOOKUP(Y514,[1]Datos!$A$2:$D$14,2)</f>
        <v>5.68</v>
      </c>
      <c r="AA514" s="8">
        <v>7.4999999999999997E-2</v>
      </c>
      <c r="AB514" s="7">
        <f>IF(D514=0,0.9,0.5)*0.9*0.53*SQRT(W514)*G514*MAX(0.72*G514,0.9*((G514/2)+((G514-0.11)/PI())))*10</f>
        <v>207.09423574274689</v>
      </c>
      <c r="AC514" s="7">
        <f>0.9*Z514*4220*MAX(0.72*G514,0.9*((G514/2)+((G514-0.11)/PI())))/AA514/1000</f>
        <v>414.61035434434268</v>
      </c>
      <c r="AD514" s="6" t="str">
        <f>+IF(AC514&gt;K514-AB514,"Cumple","No Cumple")</f>
        <v>Cumple</v>
      </c>
      <c r="AE514" s="6"/>
      <c r="AF514" s="5">
        <v>22</v>
      </c>
      <c r="AG514" s="7">
        <f>ROUNDUP(MAX(0.45,G514,AF514/6),0)</f>
        <v>4</v>
      </c>
      <c r="AH514" s="3">
        <f>PI()*(G514-0.15)^2/4</f>
        <v>2.6880252142277672</v>
      </c>
      <c r="AI514" s="7">
        <f>G514-0.15-VLOOKUP(Y514,[1]Datos!$A$2:$D$14,3)/100</f>
        <v>1.8309000000000002</v>
      </c>
      <c r="AJ514" s="7">
        <f>SQRT((PI()*AI514)^2+AA514^2)</f>
        <v>5.7524309339691264</v>
      </c>
      <c r="AK514" s="1">
        <v>0.12</v>
      </c>
      <c r="AL514" s="16">
        <f>MAX(0.45*(H514/AH514-1),AK514)*(W514/4220)</f>
        <v>7.9620853080568724E-3</v>
      </c>
      <c r="AM514" s="7">
        <f>AG514*(AJ514/AA514)</f>
        <v>306.79631647835345</v>
      </c>
      <c r="AN514" s="17">
        <f>AM514*Z514/X514/10000</f>
        <v>8.7130153879852373E-2</v>
      </c>
      <c r="AO514" s="17">
        <f>AH514*AG514</f>
        <v>10.752100856911069</v>
      </c>
      <c r="AP514" s="16">
        <f>AN514/AO514</f>
        <v>8.1035469290495175E-3</v>
      </c>
      <c r="AQ514" s="6" t="str">
        <f>+IF(AP514&gt;AL514,"Cumple","No Cumple")</f>
        <v>Cumple</v>
      </c>
    </row>
    <row r="515" spans="1:43" x14ac:dyDescent="0.3">
      <c r="A515" s="13"/>
      <c r="B515" s="1">
        <v>20</v>
      </c>
      <c r="C515" s="1">
        <v>45</v>
      </c>
      <c r="D515" s="1">
        <v>0</v>
      </c>
      <c r="E515" s="5">
        <v>1</v>
      </c>
      <c r="F515" s="3">
        <f>F514+E515</f>
        <v>20</v>
      </c>
      <c r="G515" s="5">
        <v>2</v>
      </c>
      <c r="H515" s="3">
        <f>PI()*(G515^2)/4</f>
        <v>3.1415926535897931</v>
      </c>
      <c r="I515" s="4">
        <v>4.0445000000000002E-2</v>
      </c>
      <c r="K515" s="3">
        <v>106.65929648844492</v>
      </c>
      <c r="L515" s="3">
        <v>245.82141999999999</v>
      </c>
      <c r="M515" s="3">
        <v>1466.05366</v>
      </c>
      <c r="N515" s="12">
        <f>I515/H515</f>
        <v>1.2874043346703414E-2</v>
      </c>
      <c r="O515" s="11">
        <f>I515*10000</f>
        <v>404.45000000000005</v>
      </c>
      <c r="P515" s="1">
        <v>10</v>
      </c>
      <c r="Q515" s="1">
        <v>1</v>
      </c>
      <c r="R515" s="3">
        <f>Q515*VLOOKUP(P515,[1]Datos!$A$2:$D$14,2)</f>
        <v>8.19</v>
      </c>
      <c r="S515" s="10">
        <f>ROUNDUP(O515/R515,0)</f>
        <v>50</v>
      </c>
      <c r="T515" s="2">
        <v>50</v>
      </c>
      <c r="U515" s="3">
        <f>ROUNDDOWN(PI()*(G515-0.185)/T515,2)</f>
        <v>0.11</v>
      </c>
      <c r="V515" s="3"/>
      <c r="W515" s="1">
        <v>280</v>
      </c>
      <c r="X515" s="9">
        <v>2</v>
      </c>
      <c r="Y515" s="1">
        <v>6</v>
      </c>
      <c r="Z515" s="3">
        <f>X515*VLOOKUP(Y515,[1]Datos!$A$2:$D$14,2)</f>
        <v>5.68</v>
      </c>
      <c r="AA515" s="8">
        <v>7.4999999999999997E-2</v>
      </c>
      <c r="AB515" s="7">
        <f>IF(D515=0,0.9,0.5)*0.9*0.53*SQRT(W515)*G515*MAX(0.72*G515,0.9*((G515/2)+((G515-0.11)/PI())))*10</f>
        <v>207.09423574274689</v>
      </c>
      <c r="AC515" s="7">
        <f>0.9*Z515*4220*MAX(0.72*G515,0.9*((G515/2)+((G515-0.11)/PI())))/AA515/1000</f>
        <v>414.61035434434268</v>
      </c>
      <c r="AD515" s="6" t="str">
        <f>+IF(AC515&gt;K515-AB515,"Cumple","No Cumple")</f>
        <v>Cumple</v>
      </c>
      <c r="AE515" s="6"/>
      <c r="AF515" s="5">
        <v>22</v>
      </c>
      <c r="AG515" s="7">
        <f>ROUNDUP(MAX(0.45,G515,AF515/6),0)</f>
        <v>4</v>
      </c>
      <c r="AH515" s="3">
        <f>PI()*(G515-0.15)^2/4</f>
        <v>2.6880252142277672</v>
      </c>
      <c r="AI515" s="7">
        <f>G515-0.15-VLOOKUP(Y515,[1]Datos!$A$2:$D$14,3)/100</f>
        <v>1.8309000000000002</v>
      </c>
      <c r="AJ515" s="7">
        <f>SQRT((PI()*AI515)^2+AA515^2)</f>
        <v>5.7524309339691264</v>
      </c>
      <c r="AK515" s="1">
        <v>0.12</v>
      </c>
      <c r="AL515" s="16">
        <f>MAX(0.45*(H515/AH515-1),AK515)*(W515/4220)</f>
        <v>7.9620853080568724E-3</v>
      </c>
      <c r="AM515" s="7">
        <f>AG515*(AJ515/AA515)</f>
        <v>306.79631647835345</v>
      </c>
      <c r="AN515" s="17">
        <f>AM515*Z515/X515/10000</f>
        <v>8.7130153879852373E-2</v>
      </c>
      <c r="AO515" s="17">
        <f>AH515*AG515</f>
        <v>10.752100856911069</v>
      </c>
      <c r="AP515" s="16">
        <f>AN515/AO515</f>
        <v>8.1035469290495175E-3</v>
      </c>
      <c r="AQ515" s="6" t="str">
        <f>+IF(AP515&gt;AL515,"Cumple","No Cumple")</f>
        <v>Cumple</v>
      </c>
    </row>
    <row r="516" spans="1:43" x14ac:dyDescent="0.3">
      <c r="A516" s="13"/>
      <c r="B516" s="1">
        <v>21</v>
      </c>
      <c r="C516" s="1">
        <v>46</v>
      </c>
      <c r="D516" s="1">
        <v>0</v>
      </c>
      <c r="E516" s="5">
        <v>1</v>
      </c>
      <c r="F516" s="3">
        <f>F515+E516</f>
        <v>21</v>
      </c>
      <c r="G516" s="5">
        <v>2</v>
      </c>
      <c r="H516" s="3">
        <f>PI()*(G516^2)/4</f>
        <v>3.1415926535897931</v>
      </c>
      <c r="I516" s="4">
        <v>4.3240000000000001E-2</v>
      </c>
      <c r="K516" s="3">
        <v>106.66006660737654</v>
      </c>
      <c r="L516" s="3">
        <v>284.45323000000002</v>
      </c>
      <c r="M516" s="3">
        <v>1534.8501699999999</v>
      </c>
      <c r="N516" s="12">
        <f>I516/H516</f>
        <v>1.376371947858711E-2</v>
      </c>
      <c r="O516" s="11">
        <f>I516*10000</f>
        <v>432.40000000000003</v>
      </c>
      <c r="P516" s="1">
        <v>10</v>
      </c>
      <c r="Q516" s="19">
        <v>2</v>
      </c>
      <c r="R516" s="3">
        <f>Q516*VLOOKUP(P516,[1]Datos!$A$2:$D$14,2)</f>
        <v>16.38</v>
      </c>
      <c r="S516" s="10">
        <f>ROUNDUP(O516/R516,0)</f>
        <v>27</v>
      </c>
      <c r="T516" s="18">
        <v>55</v>
      </c>
      <c r="U516" s="3">
        <f>ROUNDDOWN(PI()*(G516-0.185)/T516,2)</f>
        <v>0.1</v>
      </c>
      <c r="V516" s="3"/>
      <c r="W516" s="1">
        <v>280</v>
      </c>
      <c r="X516" s="9">
        <v>2</v>
      </c>
      <c r="Y516" s="1">
        <v>6</v>
      </c>
      <c r="Z516" s="3">
        <f>X516*VLOOKUP(Y516,[1]Datos!$A$2:$D$14,2)</f>
        <v>5.68</v>
      </c>
      <c r="AA516" s="8">
        <v>7.4999999999999997E-2</v>
      </c>
      <c r="AB516" s="7">
        <f>IF(D516=0,0.9,0.5)*0.9*0.53*SQRT(W516)*G516*MAX(0.72*G516,0.9*((G516/2)+((G516-0.11)/PI())))*10</f>
        <v>207.09423574274689</v>
      </c>
      <c r="AC516" s="7">
        <f>0.9*Z516*4220*MAX(0.72*G516,0.9*((G516/2)+((G516-0.11)/PI())))/AA516/1000</f>
        <v>414.61035434434268</v>
      </c>
      <c r="AD516" s="6" t="str">
        <f>+IF(AC516&gt;K516-AB516,"Cumple","No Cumple")</f>
        <v>Cumple</v>
      </c>
      <c r="AE516" s="6"/>
      <c r="AF516" s="5">
        <v>22</v>
      </c>
      <c r="AG516" s="7">
        <f>ROUNDUP(MAX(0.45,G516,AF516/6),0)</f>
        <v>4</v>
      </c>
      <c r="AH516" s="3">
        <f>PI()*(G516-0.15)^2/4</f>
        <v>2.6880252142277672</v>
      </c>
      <c r="AI516" s="7">
        <f>G516-0.15-VLOOKUP(Y516,[1]Datos!$A$2:$D$14,3)/100</f>
        <v>1.8309000000000002</v>
      </c>
      <c r="AJ516" s="7">
        <f>SQRT((PI()*AI516)^2+AA516^2)</f>
        <v>5.7524309339691264</v>
      </c>
      <c r="AK516" s="1">
        <v>0.12</v>
      </c>
      <c r="AL516" s="16">
        <f>MAX(0.45*(H516/AH516-1),AK516)*(W516/4220)</f>
        <v>7.9620853080568724E-3</v>
      </c>
      <c r="AM516" s="7">
        <f>AG516*(AJ516/AA516)</f>
        <v>306.79631647835345</v>
      </c>
      <c r="AN516" s="17">
        <f>AM516*Z516/X516/10000</f>
        <v>8.7130153879852373E-2</v>
      </c>
      <c r="AO516" s="17">
        <f>AH516*AG516</f>
        <v>10.752100856911069</v>
      </c>
      <c r="AP516" s="16">
        <f>AN516/AO516</f>
        <v>8.1035469290495175E-3</v>
      </c>
      <c r="AQ516" s="6" t="str">
        <f>+IF(AP516&gt;AL516,"Cumple","No Cumple")</f>
        <v>Cumple</v>
      </c>
    </row>
    <row r="517" spans="1:43" x14ac:dyDescent="0.3">
      <c r="A517" s="13"/>
      <c r="B517" s="1">
        <v>22</v>
      </c>
      <c r="C517" s="1">
        <v>47</v>
      </c>
      <c r="D517" s="1">
        <v>0</v>
      </c>
      <c r="E517" s="5">
        <v>1</v>
      </c>
      <c r="F517" s="3">
        <f>F516+E517</f>
        <v>22</v>
      </c>
      <c r="G517" s="5">
        <v>2</v>
      </c>
      <c r="H517" s="3">
        <f>PI()*(G517^2)/4</f>
        <v>3.1415926535897931</v>
      </c>
      <c r="I517" s="4">
        <v>4.5726000000000003E-2</v>
      </c>
      <c r="K517" s="3">
        <v>106.66083672674803</v>
      </c>
      <c r="L517" s="3">
        <v>323.07463999999999</v>
      </c>
      <c r="M517" s="3">
        <v>1603.4514099999999</v>
      </c>
      <c r="N517" s="12">
        <f>I517/H517</f>
        <v>1.4555037855640014E-2</v>
      </c>
      <c r="O517" s="11">
        <f>I517*10000</f>
        <v>457.26000000000005</v>
      </c>
      <c r="P517" s="1">
        <v>10</v>
      </c>
      <c r="Q517" s="19">
        <v>2</v>
      </c>
      <c r="R517" s="3">
        <f>Q517*VLOOKUP(P517,[1]Datos!$A$2:$D$14,2)</f>
        <v>16.38</v>
      </c>
      <c r="S517" s="10">
        <f>ROUNDUP(O517/R517,0)</f>
        <v>28</v>
      </c>
      <c r="T517" s="18">
        <v>55</v>
      </c>
      <c r="U517" s="3">
        <f>ROUNDDOWN(PI()*(G517-0.185)/T517,2)</f>
        <v>0.1</v>
      </c>
      <c r="V517" s="3"/>
      <c r="W517" s="1">
        <v>280</v>
      </c>
      <c r="X517" s="9">
        <v>2</v>
      </c>
      <c r="Y517" s="1">
        <v>6</v>
      </c>
      <c r="Z517" s="3">
        <f>X517*VLOOKUP(Y517,[1]Datos!$A$2:$D$14,2)</f>
        <v>5.68</v>
      </c>
      <c r="AA517" s="8">
        <v>7.4999999999999997E-2</v>
      </c>
      <c r="AB517" s="7">
        <f>IF(D517=0,0.9,0.5)*0.9*0.53*SQRT(W517)*G517*MAX(0.72*G517,0.9*((G517/2)+((G517-0.11)/PI())))*10</f>
        <v>207.09423574274689</v>
      </c>
      <c r="AC517" s="7">
        <f>0.9*Z517*4220*MAX(0.72*G517,0.9*((G517/2)+((G517-0.11)/PI())))/AA517/1000</f>
        <v>414.61035434434268</v>
      </c>
      <c r="AD517" s="6" t="str">
        <f>+IF(AC517&gt;K517-AB517,"Cumple","No Cumple")</f>
        <v>Cumple</v>
      </c>
      <c r="AE517" s="6"/>
      <c r="AF517" s="5">
        <v>22</v>
      </c>
      <c r="AG517" s="7">
        <f>ROUNDUP(MAX(0.45,G517,AF517/6),0)</f>
        <v>4</v>
      </c>
      <c r="AH517" s="3">
        <f>PI()*(G517-0.15)^2/4</f>
        <v>2.6880252142277672</v>
      </c>
      <c r="AI517" s="7">
        <f>G517-0.15-VLOOKUP(Y517,[1]Datos!$A$2:$D$14,3)/100</f>
        <v>1.8309000000000002</v>
      </c>
      <c r="AJ517" s="7">
        <f>SQRT((PI()*AI517)^2+AA517^2)</f>
        <v>5.7524309339691264</v>
      </c>
      <c r="AK517" s="1">
        <v>0.12</v>
      </c>
      <c r="AL517" s="16">
        <f>MAX(0.45*(H517/AH517-1),AK517)*(W517/4220)</f>
        <v>7.9620853080568724E-3</v>
      </c>
      <c r="AM517" s="7">
        <f>AG517*(AJ517/AA517)</f>
        <v>306.79631647835345</v>
      </c>
      <c r="AN517" s="17">
        <f>AM517*Z517/X517/10000</f>
        <v>8.7130153879852373E-2</v>
      </c>
      <c r="AO517" s="17">
        <f>AH517*AG517</f>
        <v>10.752100856911069</v>
      </c>
      <c r="AP517" s="16">
        <f>AN517/AO517</f>
        <v>8.1035469290495175E-3</v>
      </c>
      <c r="AQ517" s="6" t="str">
        <f>+IF(AP517&gt;AL517,"Cumple","No Cumple")</f>
        <v>Cumple</v>
      </c>
    </row>
    <row r="518" spans="1:43" x14ac:dyDescent="0.3">
      <c r="A518" s="13"/>
      <c r="B518" s="1">
        <v>23</v>
      </c>
      <c r="C518" s="1">
        <v>208</v>
      </c>
      <c r="D518" s="1">
        <v>1</v>
      </c>
      <c r="E518" s="5">
        <v>1</v>
      </c>
      <c r="F518" s="3">
        <f>F517+E518</f>
        <v>23</v>
      </c>
      <c r="G518" s="5">
        <v>2</v>
      </c>
      <c r="H518" s="3">
        <f>PI()*(G518^2)/4</f>
        <v>3.1415926535897931</v>
      </c>
      <c r="I518" s="4">
        <v>8.8201000000000002E-2</v>
      </c>
      <c r="K518" s="3">
        <v>106.67847053182756</v>
      </c>
      <c r="L518" s="3">
        <v>690.55106999999998</v>
      </c>
      <c r="M518" s="3">
        <v>2576.7695899999999</v>
      </c>
      <c r="N518" s="12">
        <f>I518/H518</f>
        <v>2.8075250271296523E-2</v>
      </c>
      <c r="O518" s="11">
        <f>I518*10000</f>
        <v>882.01</v>
      </c>
      <c r="P518" s="1">
        <v>10</v>
      </c>
      <c r="Q518" s="19">
        <v>2</v>
      </c>
      <c r="R518" s="3">
        <f>Q518*VLOOKUP(P518,[1]Datos!$A$2:$D$14,2)</f>
        <v>16.38</v>
      </c>
      <c r="S518" s="10">
        <f>ROUNDUP(O518/R518,0)</f>
        <v>54</v>
      </c>
      <c r="T518" s="18">
        <v>55</v>
      </c>
      <c r="U518" s="3">
        <f>ROUNDDOWN(PI()*(G518-0.185)/T518,2)</f>
        <v>0.1</v>
      </c>
      <c r="V518" s="3"/>
      <c r="W518" s="1">
        <v>280</v>
      </c>
      <c r="X518" s="9">
        <v>2</v>
      </c>
      <c r="Y518" s="1">
        <v>6</v>
      </c>
      <c r="Z518" s="3">
        <f>X518*VLOOKUP(Y518,[1]Datos!$A$2:$D$14,2)</f>
        <v>5.68</v>
      </c>
      <c r="AA518" s="8">
        <v>7.4999999999999997E-2</v>
      </c>
      <c r="AB518" s="7">
        <f>IF(D518=0,0.9,0.5)*0.9*0.53*SQRT(W518)*G518*MAX(0.72*G518,0.9*((G518/2)+((G518-0.11)/PI())))*10</f>
        <v>115.05235319041492</v>
      </c>
      <c r="AC518" s="7">
        <f>0.9*Z518*4220*MAX(0.72*G518,0.9*((G518/2)+((G518-0.11)/PI())))/AA518/1000</f>
        <v>414.61035434434268</v>
      </c>
      <c r="AD518" s="6" t="str">
        <f>+IF(AC518&gt;K518-AB518,"Cumple","No Cumple")</f>
        <v>Cumple</v>
      </c>
      <c r="AE518" s="6"/>
      <c r="AG518" s="7">
        <f>ROUNDUP(MAX(0.45,3*G518,),0)</f>
        <v>6</v>
      </c>
      <c r="AH518" s="3">
        <f>PI()*(G518-0.15)^2/4</f>
        <v>2.6880252142277672</v>
      </c>
      <c r="AI518" s="7">
        <f>G518-0.15-VLOOKUP(Y518,[1]Datos!$A$2:$D$14,3)/100</f>
        <v>1.8309000000000002</v>
      </c>
      <c r="AJ518" s="7">
        <f>SQRT((PI()*AI518)^2+AA518^2)</f>
        <v>5.7524309339691264</v>
      </c>
      <c r="AK518" s="1">
        <v>0.12</v>
      </c>
      <c r="AL518" s="16">
        <f>MAX(0.45*(H518/AH518-1),AK518)*(W518/4220)</f>
        <v>7.9620853080568724E-3</v>
      </c>
      <c r="AM518" s="7">
        <f>AG518*(AJ518/AA518)</f>
        <v>460.19447471753017</v>
      </c>
      <c r="AN518" s="17">
        <f>AM518*Z518/X518/10000</f>
        <v>0.13069523081977857</v>
      </c>
      <c r="AO518" s="17">
        <f>AH518*AG518</f>
        <v>16.128151285366602</v>
      </c>
      <c r="AP518" s="16">
        <f>AN518/AO518</f>
        <v>8.1035469290495193E-3</v>
      </c>
      <c r="AQ518" s="6" t="str">
        <f>+IF(AP518&gt;AL518,"Cumple","No Cumple")</f>
        <v>Cumple</v>
      </c>
    </row>
    <row r="519" spans="1:43" x14ac:dyDescent="0.3">
      <c r="A519" s="13"/>
      <c r="B519" s="1">
        <v>24</v>
      </c>
      <c r="C519" s="1">
        <v>209</v>
      </c>
      <c r="D519" s="1">
        <v>1</v>
      </c>
      <c r="E519" s="5">
        <v>1</v>
      </c>
      <c r="F519" s="3">
        <f>F518+E519</f>
        <v>24</v>
      </c>
      <c r="G519" s="5">
        <v>2</v>
      </c>
      <c r="H519" s="3">
        <f>PI()*(G519^2)/4</f>
        <v>3.1415926535897931</v>
      </c>
      <c r="I519" s="4">
        <v>8.9964000000000002E-2</v>
      </c>
      <c r="K519" s="3">
        <v>69.971709466397911</v>
      </c>
      <c r="L519" s="3">
        <v>750.27355999999997</v>
      </c>
      <c r="M519" s="3">
        <v>2638.3467300000002</v>
      </c>
      <c r="N519" s="12">
        <f>I519/H519</f>
        <v>2.8636430600638547E-2</v>
      </c>
      <c r="O519" s="11">
        <f>I519*10000</f>
        <v>899.64</v>
      </c>
      <c r="P519" s="1">
        <v>10</v>
      </c>
      <c r="Q519" s="1">
        <v>2</v>
      </c>
      <c r="R519" s="3">
        <f>Q519*VLOOKUP(P519,[1]Datos!$A$2:$D$14,2)</f>
        <v>16.38</v>
      </c>
      <c r="S519" s="10">
        <f>ROUNDUP(O519/R519,0)</f>
        <v>55</v>
      </c>
      <c r="T519" s="2">
        <v>55</v>
      </c>
      <c r="U519" s="3">
        <f>ROUNDDOWN(PI()*(G519-0.185)/T519,2)</f>
        <v>0.1</v>
      </c>
      <c r="V519" s="3"/>
      <c r="W519" s="1">
        <v>280</v>
      </c>
      <c r="X519" s="9">
        <v>2</v>
      </c>
      <c r="Y519" s="1">
        <v>6</v>
      </c>
      <c r="Z519" s="3">
        <f>X519*VLOOKUP(Y519,[1]Datos!$A$2:$D$14,2)</f>
        <v>5.68</v>
      </c>
      <c r="AA519" s="8">
        <v>7.4999999999999997E-2</v>
      </c>
      <c r="AB519" s="7">
        <f>IF(D519=0,0.9,0.5)*0.9*0.53*SQRT(W519)*G519*MAX(0.72*G519,0.9*((G519/2)+((G519-0.11)/PI())))*10</f>
        <v>115.05235319041492</v>
      </c>
      <c r="AC519" s="7">
        <f>0.9*Z519*4220*MAX(0.72*G519,0.9*((G519/2)+((G519-0.11)/PI())))/AA519/1000</f>
        <v>414.61035434434268</v>
      </c>
      <c r="AD519" s="6" t="str">
        <f>+IF(AC519&gt;K519-AB519,"Cumple","No Cumple")</f>
        <v>Cumple</v>
      </c>
      <c r="AE519" s="6"/>
      <c r="AG519" s="7">
        <f>ROUNDUP(MAX(0.45,3*G519,),0)</f>
        <v>6</v>
      </c>
      <c r="AH519" s="3">
        <f>PI()*(G519-0.15)^2/4</f>
        <v>2.6880252142277672</v>
      </c>
      <c r="AI519" s="7">
        <f>G519-0.15-VLOOKUP(Y519,[1]Datos!$A$2:$D$14,3)/100</f>
        <v>1.8309000000000002</v>
      </c>
      <c r="AJ519" s="7">
        <f>SQRT((PI()*AI519)^2+AA519^2)</f>
        <v>5.7524309339691264</v>
      </c>
      <c r="AK519" s="1">
        <v>0.12</v>
      </c>
      <c r="AL519" s="16">
        <f>MAX(0.45*(H519/AH519-1),AK519)*(W519/4220)</f>
        <v>7.9620853080568724E-3</v>
      </c>
      <c r="AM519" s="7">
        <f>AG519*(AJ519/AA519)</f>
        <v>460.19447471753017</v>
      </c>
      <c r="AN519" s="17">
        <f>AM519*Z519/X519/10000</f>
        <v>0.13069523081977857</v>
      </c>
      <c r="AO519" s="17">
        <f>AH519*AG519</f>
        <v>16.128151285366602</v>
      </c>
      <c r="AP519" s="16">
        <f>AN519/AO519</f>
        <v>8.1035469290495193E-3</v>
      </c>
      <c r="AQ519" s="6" t="str">
        <f>+IF(AP519&gt;AL519,"Cumple","No Cumple")</f>
        <v>Cumple</v>
      </c>
    </row>
    <row r="520" spans="1:43" x14ac:dyDescent="0.3">
      <c r="A520" s="13"/>
      <c r="B520" s="1">
        <v>25</v>
      </c>
      <c r="C520" s="1">
        <v>210</v>
      </c>
      <c r="D520" s="1">
        <v>1</v>
      </c>
      <c r="E520" s="5">
        <v>1</v>
      </c>
      <c r="F520" s="3">
        <f>F519+E520</f>
        <v>25</v>
      </c>
      <c r="G520" s="5">
        <v>2</v>
      </c>
      <c r="H520" s="3">
        <f>PI()*(G520^2)/4</f>
        <v>3.1415926535897931</v>
      </c>
      <c r="I520" s="4">
        <v>8.9964000000000002E-2</v>
      </c>
      <c r="K520" s="3">
        <v>37.386048215076173</v>
      </c>
      <c r="L520" s="3">
        <v>784.82232999999997</v>
      </c>
      <c r="M520" s="3">
        <v>2638.3467300000002</v>
      </c>
      <c r="N520" s="12">
        <f>I520/H520</f>
        <v>2.8636430600638547E-2</v>
      </c>
      <c r="O520" s="11">
        <f>I520*10000</f>
        <v>899.64</v>
      </c>
      <c r="P520" s="1">
        <v>10</v>
      </c>
      <c r="Q520" s="1">
        <v>2</v>
      </c>
      <c r="R520" s="3">
        <f>Q520*VLOOKUP(P520,[1]Datos!$A$2:$D$14,2)</f>
        <v>16.38</v>
      </c>
      <c r="S520" s="10">
        <f>ROUNDUP(O520/R520,0)</f>
        <v>55</v>
      </c>
      <c r="T520" s="2">
        <v>55</v>
      </c>
      <c r="U520" s="3">
        <f>ROUNDDOWN(PI()*(G520-0.185)/T520,2)</f>
        <v>0.1</v>
      </c>
      <c r="V520" s="3"/>
      <c r="W520" s="1">
        <v>280</v>
      </c>
      <c r="X520" s="9">
        <v>2</v>
      </c>
      <c r="Y520" s="1">
        <v>6</v>
      </c>
      <c r="Z520" s="3">
        <f>X520*VLOOKUP(Y520,[1]Datos!$A$2:$D$14,2)</f>
        <v>5.68</v>
      </c>
      <c r="AA520" s="8">
        <v>7.4999999999999997E-2</v>
      </c>
      <c r="AB520" s="7">
        <f>IF(D520=0,0.9,0.5)*0.9*0.53*SQRT(W520)*G520*MAX(0.72*G520,0.9*((G520/2)+((G520-0.11)/PI())))*10</f>
        <v>115.05235319041492</v>
      </c>
      <c r="AC520" s="7">
        <f>0.9*Z520*4220*MAX(0.72*G520,0.9*((G520/2)+((G520-0.11)/PI())))/AA520/1000</f>
        <v>414.61035434434268</v>
      </c>
      <c r="AD520" s="6" t="str">
        <f>+IF(AC520&gt;K520-AB520,"Cumple","No Cumple")</f>
        <v>Cumple</v>
      </c>
      <c r="AE520" s="6"/>
      <c r="AG520" s="7">
        <f>ROUNDUP(MAX(0.45,3*G520,),0)</f>
        <v>6</v>
      </c>
      <c r="AH520" s="3">
        <f>PI()*(G520-0.15)^2/4</f>
        <v>2.6880252142277672</v>
      </c>
      <c r="AI520" s="7">
        <f>G520-0.15-VLOOKUP(Y520,[1]Datos!$A$2:$D$14,3)/100</f>
        <v>1.8309000000000002</v>
      </c>
      <c r="AJ520" s="7">
        <f>SQRT((PI()*AI520)^2+AA520^2)</f>
        <v>5.7524309339691264</v>
      </c>
      <c r="AK520" s="1">
        <v>0.12</v>
      </c>
      <c r="AL520" s="16">
        <f>MAX(0.45*(H520/AH520-1),AK520)*(W520/4220)</f>
        <v>7.9620853080568724E-3</v>
      </c>
      <c r="AM520" s="7">
        <f>AG520*(AJ520/AA520)</f>
        <v>460.19447471753017</v>
      </c>
      <c r="AN520" s="17">
        <f>AM520*Z520/X520/10000</f>
        <v>0.13069523081977857</v>
      </c>
      <c r="AO520" s="17">
        <f>AH520*AG520</f>
        <v>16.128151285366602</v>
      </c>
      <c r="AP520" s="16">
        <f>AN520/AO520</f>
        <v>8.1035469290495193E-3</v>
      </c>
      <c r="AQ520" s="6" t="str">
        <f>+IF(AP520&gt;AL520,"Cumple","No Cumple")</f>
        <v>Cumple</v>
      </c>
    </row>
    <row r="521" spans="1:43" x14ac:dyDescent="0.3">
      <c r="A521" s="13"/>
      <c r="B521" s="1">
        <v>26</v>
      </c>
      <c r="C521" s="1">
        <v>211</v>
      </c>
      <c r="D521" s="1">
        <v>1</v>
      </c>
      <c r="E521" s="5">
        <v>1</v>
      </c>
      <c r="F521" s="3">
        <f>F520+E521</f>
        <v>26</v>
      </c>
      <c r="G521" s="5">
        <v>2</v>
      </c>
      <c r="H521" s="3">
        <f>PI()*(G521^2)/4</f>
        <v>3.1415926535897931</v>
      </c>
      <c r="I521" s="4">
        <v>8.9680999999999997E-2</v>
      </c>
      <c r="K521" s="3">
        <v>85.747261497321304</v>
      </c>
      <c r="L521" s="3">
        <v>790.43151</v>
      </c>
      <c r="M521" s="3">
        <v>2632.1694699999998</v>
      </c>
      <c r="N521" s="12">
        <f>I521/H521</f>
        <v>2.8546348902848531E-2</v>
      </c>
      <c r="O521" s="11">
        <f>I521*10000</f>
        <v>896.81</v>
      </c>
      <c r="P521" s="1">
        <v>10</v>
      </c>
      <c r="Q521" s="1">
        <v>2</v>
      </c>
      <c r="R521" s="3">
        <f>Q521*VLOOKUP(P521,[1]Datos!$A$2:$D$14,2)</f>
        <v>16.38</v>
      </c>
      <c r="S521" s="10">
        <f>ROUNDUP(O521/R521,0)</f>
        <v>55</v>
      </c>
      <c r="T521" s="2">
        <v>55</v>
      </c>
      <c r="U521" s="3">
        <f>ROUNDDOWN(PI()*(G521-0.185)/T521,2)</f>
        <v>0.1</v>
      </c>
      <c r="V521" s="3"/>
      <c r="W521" s="1">
        <v>280</v>
      </c>
      <c r="X521" s="9">
        <v>2</v>
      </c>
      <c r="Y521" s="1">
        <v>6</v>
      </c>
      <c r="Z521" s="3">
        <f>X521*VLOOKUP(Y521,[1]Datos!$A$2:$D$14,2)</f>
        <v>5.68</v>
      </c>
      <c r="AA521" s="8">
        <v>7.4999999999999997E-2</v>
      </c>
      <c r="AB521" s="7">
        <f>IF(D521=0,0.9,0.5)*0.9*0.53*SQRT(W521)*G521*MAX(0.72*G521,0.9*((G521/2)+((G521-0.11)/PI())))*10</f>
        <v>115.05235319041492</v>
      </c>
      <c r="AC521" s="7">
        <f>0.9*Z521*4220*MAX(0.72*G521,0.9*((G521/2)+((G521-0.11)/PI())))/AA521/1000</f>
        <v>414.61035434434268</v>
      </c>
      <c r="AD521" s="6" t="str">
        <f>+IF(AC521&gt;K521-AB521,"Cumple","No Cumple")</f>
        <v>Cumple</v>
      </c>
      <c r="AE521" s="6"/>
      <c r="AG521" s="7">
        <f>ROUNDUP(MAX(0.45,3*G521,),0)</f>
        <v>6</v>
      </c>
      <c r="AH521" s="3">
        <f>PI()*(G521-0.15)^2/4</f>
        <v>2.6880252142277672</v>
      </c>
      <c r="AI521" s="7">
        <f>G521-0.15-VLOOKUP(Y521,[1]Datos!$A$2:$D$14,3)/100</f>
        <v>1.8309000000000002</v>
      </c>
      <c r="AJ521" s="7">
        <f>SQRT((PI()*AI521)^2+AA521^2)</f>
        <v>5.7524309339691264</v>
      </c>
      <c r="AK521" s="1">
        <v>0.12</v>
      </c>
      <c r="AL521" s="16">
        <f>MAX(0.45*(H521/AH521-1),AK521)*(W521/4220)</f>
        <v>7.9620853080568724E-3</v>
      </c>
      <c r="AM521" s="7">
        <f>AG521*(AJ521/AA521)</f>
        <v>460.19447471753017</v>
      </c>
      <c r="AN521" s="17">
        <f>AM521*Z521/X521/10000</f>
        <v>0.13069523081977857</v>
      </c>
      <c r="AO521" s="17">
        <f>AH521*AG521</f>
        <v>16.128151285366602</v>
      </c>
      <c r="AP521" s="16">
        <f>AN521/AO521</f>
        <v>8.1035469290495193E-3</v>
      </c>
      <c r="AQ521" s="6" t="str">
        <f>+IF(AP521&gt;AL521,"Cumple","No Cumple")</f>
        <v>Cumple</v>
      </c>
    </row>
    <row r="522" spans="1:43" x14ac:dyDescent="0.3">
      <c r="A522" s="13"/>
      <c r="B522" s="1">
        <v>27</v>
      </c>
      <c r="C522" s="1">
        <v>212</v>
      </c>
      <c r="D522" s="1">
        <v>1</v>
      </c>
      <c r="E522" s="5">
        <v>1</v>
      </c>
      <c r="F522" s="3">
        <f>F521+E522</f>
        <v>27</v>
      </c>
      <c r="G522" s="5">
        <v>2</v>
      </c>
      <c r="H522" s="3">
        <f>PI()*(G522^2)/4</f>
        <v>3.1415926535897931</v>
      </c>
      <c r="I522" s="4">
        <v>8.7052000000000004E-2</v>
      </c>
      <c r="K522" s="3">
        <v>156.78516002737632</v>
      </c>
      <c r="L522" s="3">
        <v>790.43151</v>
      </c>
      <c r="M522" s="3">
        <v>2550.3359700000001</v>
      </c>
      <c r="N522" s="12">
        <f>I522/H522</f>
        <v>2.7709512212071349E-2</v>
      </c>
      <c r="O522" s="11">
        <f>I522*10000</f>
        <v>870.5200000000001</v>
      </c>
      <c r="P522" s="1">
        <v>10</v>
      </c>
      <c r="Q522" s="1">
        <v>2</v>
      </c>
      <c r="R522" s="3">
        <f>Q522*VLOOKUP(P522,[1]Datos!$A$2:$D$14,2)</f>
        <v>16.38</v>
      </c>
      <c r="S522" s="10">
        <f>ROUNDUP(O522/R522,0)</f>
        <v>54</v>
      </c>
      <c r="T522" s="2">
        <v>55</v>
      </c>
      <c r="U522" s="3">
        <f>ROUNDDOWN(PI()*(G522-0.185)/T522,2)</f>
        <v>0.1</v>
      </c>
      <c r="V522" s="3"/>
      <c r="W522" s="1">
        <v>280</v>
      </c>
      <c r="X522" s="9">
        <v>2</v>
      </c>
      <c r="Y522" s="1">
        <v>6</v>
      </c>
      <c r="Z522" s="3">
        <f>X522*VLOOKUP(Y522,[1]Datos!$A$2:$D$14,2)</f>
        <v>5.68</v>
      </c>
      <c r="AA522" s="8">
        <v>7.4999999999999997E-2</v>
      </c>
      <c r="AB522" s="7">
        <f>IF(D522=0,0.9,0.5)*0.9*0.53*SQRT(W522)*G522*MAX(0.72*G522,0.9*((G522/2)+((G522-0.11)/PI())))*10</f>
        <v>115.05235319041492</v>
      </c>
      <c r="AC522" s="7">
        <f>0.9*Z522*4220*MAX(0.72*G522,0.9*((G522/2)+((G522-0.11)/PI())))/AA522/1000</f>
        <v>414.61035434434268</v>
      </c>
      <c r="AD522" s="6" t="str">
        <f>+IF(AC522&gt;K522-AB522,"Cumple","No Cumple")</f>
        <v>Cumple</v>
      </c>
      <c r="AE522" s="6"/>
      <c r="AG522" s="7">
        <f>ROUNDUP(MAX(0.45,3*G522,),0)</f>
        <v>6</v>
      </c>
      <c r="AH522" s="3">
        <f>PI()*(G522-0.15)^2/4</f>
        <v>2.6880252142277672</v>
      </c>
      <c r="AI522" s="7">
        <f>G522-0.15-VLOOKUP(Y522,[1]Datos!$A$2:$D$14,3)/100</f>
        <v>1.8309000000000002</v>
      </c>
      <c r="AJ522" s="7">
        <f>SQRT((PI()*AI522)^2+AA522^2)</f>
        <v>5.7524309339691264</v>
      </c>
      <c r="AK522" s="1">
        <v>0.12</v>
      </c>
      <c r="AL522" s="16">
        <f>MAX(0.45*(H522/AH522-1),AK522)*(W522/4220)</f>
        <v>7.9620853080568724E-3</v>
      </c>
      <c r="AM522" s="7">
        <f>AG522*(AJ522/AA522)</f>
        <v>460.19447471753017</v>
      </c>
      <c r="AN522" s="17">
        <f>AM522*Z522/X522/10000</f>
        <v>0.13069523081977857</v>
      </c>
      <c r="AO522" s="17">
        <f>AH522*AG522</f>
        <v>16.128151285366602</v>
      </c>
      <c r="AP522" s="16">
        <f>AN522/AO522</f>
        <v>8.1035469290495193E-3</v>
      </c>
      <c r="AQ522" s="6" t="str">
        <f>+IF(AP522&gt;AL522,"Cumple","No Cumple")</f>
        <v>Cumple</v>
      </c>
    </row>
    <row r="523" spans="1:43" x14ac:dyDescent="0.3">
      <c r="A523" s="13"/>
      <c r="B523" s="1">
        <v>28</v>
      </c>
      <c r="C523" s="1">
        <v>213</v>
      </c>
      <c r="D523" s="1">
        <v>1</v>
      </c>
      <c r="E523" s="5">
        <v>1</v>
      </c>
      <c r="F523" s="3">
        <f>F522+E523</f>
        <v>28</v>
      </c>
      <c r="G523" s="5">
        <v>2</v>
      </c>
      <c r="H523" s="3">
        <f>PI()*(G523^2)/4</f>
        <v>3.1415926535897931</v>
      </c>
      <c r="I523" s="4">
        <v>8.1685999999999995E-2</v>
      </c>
      <c r="K523" s="3">
        <v>216.61136508403709</v>
      </c>
      <c r="L523" s="3">
        <v>767.53890000000001</v>
      </c>
      <c r="M523" s="3">
        <v>2396.7799599999998</v>
      </c>
      <c r="N523" s="12">
        <f>I523/H523</f>
        <v>2.6001461362809123E-2</v>
      </c>
      <c r="O523" s="11">
        <f>I523*10000</f>
        <v>816.8599999999999</v>
      </c>
      <c r="P523" s="1">
        <v>10</v>
      </c>
      <c r="Q523" s="1">
        <v>2</v>
      </c>
      <c r="R523" s="3">
        <f>Q523*VLOOKUP(P523,[1]Datos!$A$2:$D$14,2)</f>
        <v>16.38</v>
      </c>
      <c r="S523" s="10">
        <f>ROUNDUP(O523/R523,0)</f>
        <v>50</v>
      </c>
      <c r="T523" s="2">
        <v>55</v>
      </c>
      <c r="U523" s="3">
        <f>ROUNDDOWN(PI()*(G523-0.185)/T523,2)</f>
        <v>0.1</v>
      </c>
      <c r="V523" s="3"/>
      <c r="W523" s="1">
        <v>280</v>
      </c>
      <c r="X523" s="9">
        <v>2</v>
      </c>
      <c r="Y523" s="1">
        <v>6</v>
      </c>
      <c r="Z523" s="3">
        <f>X523*VLOOKUP(Y523,[1]Datos!$A$2:$D$14,2)</f>
        <v>5.68</v>
      </c>
      <c r="AA523" s="8">
        <v>7.4999999999999997E-2</v>
      </c>
      <c r="AB523" s="7">
        <f>IF(D523=0,0.9,0.5)*0.9*0.53*SQRT(W523)*G523*MAX(0.72*G523,0.9*((G523/2)+((G523-0.11)/PI())))*10</f>
        <v>115.05235319041492</v>
      </c>
      <c r="AC523" s="7">
        <f>0.9*Z523*4220*MAX(0.72*G523,0.9*((G523/2)+((G523-0.11)/PI())))/AA523/1000</f>
        <v>414.61035434434268</v>
      </c>
      <c r="AD523" s="6" t="str">
        <f>+IF(AC523&gt;K523-AB523,"Cumple","No Cumple")</f>
        <v>Cumple</v>
      </c>
      <c r="AE523" s="6"/>
      <c r="AG523" s="7">
        <f>ROUNDUP(MAX(0.45,3*G523,),0)</f>
        <v>6</v>
      </c>
      <c r="AH523" s="3">
        <f>PI()*(G523-0.15)^2/4</f>
        <v>2.6880252142277672</v>
      </c>
      <c r="AI523" s="7">
        <f>G523-0.15-VLOOKUP(Y523,[1]Datos!$A$2:$D$14,3)/100</f>
        <v>1.8309000000000002</v>
      </c>
      <c r="AJ523" s="7">
        <f>SQRT((PI()*AI523)^2+AA523^2)</f>
        <v>5.7524309339691264</v>
      </c>
      <c r="AK523" s="1">
        <v>0.12</v>
      </c>
      <c r="AL523" s="16">
        <f>MAX(0.45*(H523/AH523-1),AK523)*(W523/4220)</f>
        <v>7.9620853080568724E-3</v>
      </c>
      <c r="AM523" s="7">
        <f>AG523*(AJ523/AA523)</f>
        <v>460.19447471753017</v>
      </c>
      <c r="AN523" s="17">
        <f>AM523*Z523/X523/10000</f>
        <v>0.13069523081977857</v>
      </c>
      <c r="AO523" s="17">
        <f>AH523*AG523</f>
        <v>16.128151285366602</v>
      </c>
      <c r="AP523" s="16">
        <f>AN523/AO523</f>
        <v>8.1035469290495193E-3</v>
      </c>
      <c r="AQ523" s="6" t="str">
        <f>+IF(AP523&gt;AL523,"Cumple","No Cumple")</f>
        <v>Cumple</v>
      </c>
    </row>
    <row r="524" spans="1:43" x14ac:dyDescent="0.3">
      <c r="A524" s="13"/>
      <c r="B524" s="1">
        <v>29</v>
      </c>
      <c r="C524" s="1">
        <v>214</v>
      </c>
      <c r="D524" s="1">
        <v>1</v>
      </c>
      <c r="E524" s="5">
        <v>1</v>
      </c>
      <c r="F524" s="3">
        <f>F523+E524</f>
        <v>29</v>
      </c>
      <c r="G524" s="5">
        <v>2</v>
      </c>
      <c r="H524" s="3">
        <f>PI()*(G524^2)/4</f>
        <v>3.1415926535897931</v>
      </c>
      <c r="I524" s="4">
        <v>7.2917999999999997E-2</v>
      </c>
      <c r="K524" s="3">
        <v>259.88343815076024</v>
      </c>
      <c r="L524" s="3">
        <v>719.59556999999995</v>
      </c>
      <c r="M524" s="3">
        <v>2183.4752400000002</v>
      </c>
      <c r="N524" s="12">
        <f>I524/H524</f>
        <v>2.3210520280749648E-2</v>
      </c>
      <c r="O524" s="11">
        <f>I524*10000</f>
        <v>729.18</v>
      </c>
      <c r="P524" s="1">
        <v>10</v>
      </c>
      <c r="Q524" s="1">
        <v>2</v>
      </c>
      <c r="R524" s="3">
        <f>Q524*VLOOKUP(P524,[1]Datos!$A$2:$D$14,2)</f>
        <v>16.38</v>
      </c>
      <c r="S524" s="10">
        <f>ROUNDUP(O524/R524,0)</f>
        <v>45</v>
      </c>
      <c r="T524" s="2">
        <v>55</v>
      </c>
      <c r="U524" s="3">
        <f>ROUNDDOWN(PI()*(G524-0.185)/T524,2)</f>
        <v>0.1</v>
      </c>
      <c r="V524" s="3"/>
      <c r="W524" s="1">
        <v>280</v>
      </c>
      <c r="X524" s="9">
        <v>2</v>
      </c>
      <c r="Y524" s="1">
        <v>6</v>
      </c>
      <c r="Z524" s="3">
        <f>X524*VLOOKUP(Y524,[1]Datos!$A$2:$D$14,2)</f>
        <v>5.68</v>
      </c>
      <c r="AA524" s="8">
        <v>7.4999999999999997E-2</v>
      </c>
      <c r="AB524" s="7">
        <f>IF(D524=0,0.9,0.5)*0.9*0.53*SQRT(W524)*G524*MAX(0.72*G524,0.9*((G524/2)+((G524-0.11)/PI())))*10</f>
        <v>115.05235319041492</v>
      </c>
      <c r="AC524" s="7">
        <f>0.9*Z524*4220*MAX(0.72*G524,0.9*((G524/2)+((G524-0.11)/PI())))/AA524/1000</f>
        <v>414.61035434434268</v>
      </c>
      <c r="AD524" s="6" t="str">
        <f>+IF(AC524&gt;K524-AB524,"Cumple","No Cumple")</f>
        <v>Cumple</v>
      </c>
      <c r="AE524" s="6"/>
      <c r="AG524" s="7">
        <f>ROUNDUP(MAX(0.45,3*G524,),0)</f>
        <v>6</v>
      </c>
      <c r="AH524" s="3">
        <f>PI()*(G524-0.15)^2/4</f>
        <v>2.6880252142277672</v>
      </c>
      <c r="AI524" s="7">
        <f>G524-0.15-VLOOKUP(Y524,[1]Datos!$A$2:$D$14,3)/100</f>
        <v>1.8309000000000002</v>
      </c>
      <c r="AJ524" s="7">
        <f>SQRT((PI()*AI524)^2+AA524^2)</f>
        <v>5.7524309339691264</v>
      </c>
      <c r="AK524" s="1">
        <v>0.12</v>
      </c>
      <c r="AL524" s="16">
        <f>MAX(0.45*(H524/AH524-1),AK524)*(W524/4220)</f>
        <v>7.9620853080568724E-3</v>
      </c>
      <c r="AM524" s="7">
        <f>AG524*(AJ524/AA524)</f>
        <v>460.19447471753017</v>
      </c>
      <c r="AN524" s="17">
        <f>AM524*Z524/X524/10000</f>
        <v>0.13069523081977857</v>
      </c>
      <c r="AO524" s="17">
        <f>AH524*AG524</f>
        <v>16.128151285366602</v>
      </c>
      <c r="AP524" s="16">
        <f>AN524/AO524</f>
        <v>8.1035469290495193E-3</v>
      </c>
      <c r="AQ524" s="6" t="str">
        <f>+IF(AP524&gt;AL524,"Cumple","No Cumple")</f>
        <v>Cumple</v>
      </c>
    </row>
    <row r="525" spans="1:43" x14ac:dyDescent="0.3">
      <c r="A525" s="13"/>
      <c r="B525" s="1">
        <v>30</v>
      </c>
      <c r="C525" s="1">
        <v>215</v>
      </c>
      <c r="D525" s="1">
        <v>1</v>
      </c>
      <c r="E525" s="5">
        <v>1</v>
      </c>
      <c r="F525" s="3">
        <f>F524+E525</f>
        <v>30</v>
      </c>
      <c r="G525" s="5">
        <v>2</v>
      </c>
      <c r="H525" s="3">
        <f>PI()*(G525^2)/4</f>
        <v>3.1415926535897931</v>
      </c>
      <c r="I525" s="4">
        <v>5.9581000000000002E-2</v>
      </c>
      <c r="K525" s="3">
        <v>284.69896051882591</v>
      </c>
      <c r="L525" s="3">
        <v>651.94698000000005</v>
      </c>
      <c r="M525" s="3">
        <v>1927.03412</v>
      </c>
      <c r="N525" s="12">
        <f>I525/H525</f>
        <v>1.8965221328716433E-2</v>
      </c>
      <c r="O525" s="11">
        <f>I525*10000</f>
        <v>595.81000000000006</v>
      </c>
      <c r="P525" s="1">
        <v>10</v>
      </c>
      <c r="Q525" s="19">
        <v>2</v>
      </c>
      <c r="R525" s="3">
        <f>Q525*VLOOKUP(P525,[1]Datos!$A$2:$D$14,2)</f>
        <v>16.38</v>
      </c>
      <c r="S525" s="10">
        <f>ROUNDUP(O525/R525,0)</f>
        <v>37</v>
      </c>
      <c r="T525" s="18">
        <v>55</v>
      </c>
      <c r="U525" s="3">
        <f>ROUNDDOWN(PI()*(G525-0.185)/T525,2)</f>
        <v>0.1</v>
      </c>
      <c r="V525" s="3"/>
      <c r="W525" s="1">
        <v>280</v>
      </c>
      <c r="X525" s="9">
        <v>2</v>
      </c>
      <c r="Y525" s="1">
        <v>6</v>
      </c>
      <c r="Z525" s="3">
        <f>X525*VLOOKUP(Y525,[1]Datos!$A$2:$D$14,2)</f>
        <v>5.68</v>
      </c>
      <c r="AA525" s="8">
        <v>0.15</v>
      </c>
      <c r="AB525" s="7">
        <f>IF(D525=0,0.9,0.5)*0.9*0.53*SQRT(W525)*G525*MAX(0.72*G525,0.9*((G525/2)+((G525-0.11)/PI())))*10</f>
        <v>115.05235319041492</v>
      </c>
      <c r="AC525" s="7">
        <f>0.9*Z525*4220*MAX(0.72*G525,0.9*((G525/2)+((G525-0.11)/PI())))/AA525/1000</f>
        <v>207.30517717217134</v>
      </c>
      <c r="AD525" s="6" t="str">
        <f>+IF(AC525&gt;K525-AB525,"Cumple","No Cumple")</f>
        <v>Cumple</v>
      </c>
      <c r="AE525" s="6"/>
      <c r="AH525" s="3"/>
    </row>
    <row r="526" spans="1:43" x14ac:dyDescent="0.3">
      <c r="A526" s="13"/>
      <c r="B526" s="1">
        <v>31</v>
      </c>
      <c r="C526" s="1">
        <v>216</v>
      </c>
      <c r="D526" s="1">
        <v>1</v>
      </c>
      <c r="E526" s="5">
        <v>1</v>
      </c>
      <c r="F526" s="3">
        <f>F525+E526</f>
        <v>31</v>
      </c>
      <c r="G526" s="5">
        <v>2</v>
      </c>
      <c r="H526" s="3">
        <f>PI()*(G526^2)/4</f>
        <v>3.1415926535897931</v>
      </c>
      <c r="I526" s="4">
        <v>5.1787E-2</v>
      </c>
      <c r="K526" s="3">
        <v>291.49414754023798</v>
      </c>
      <c r="L526" s="3">
        <v>570.84884</v>
      </c>
      <c r="M526" s="3">
        <v>1645.84086</v>
      </c>
      <c r="N526" s="12">
        <f>I526/H526</f>
        <v>1.6484314075799967E-2</v>
      </c>
      <c r="O526" s="11">
        <f>I526*10000</f>
        <v>517.87</v>
      </c>
      <c r="P526" s="1">
        <v>10</v>
      </c>
      <c r="Q526" s="19">
        <v>2</v>
      </c>
      <c r="R526" s="3">
        <f>Q526*VLOOKUP(P526,[1]Datos!$A$2:$D$14,2)</f>
        <v>16.38</v>
      </c>
      <c r="S526" s="10">
        <f>ROUNDUP(O526/R526,0)</f>
        <v>32</v>
      </c>
      <c r="T526" s="18">
        <v>55</v>
      </c>
      <c r="U526" s="3">
        <f>ROUNDDOWN(PI()*(G526-0.185)/T526,2)</f>
        <v>0.1</v>
      </c>
      <c r="V526" s="3"/>
      <c r="W526" s="1">
        <v>280</v>
      </c>
      <c r="X526" s="9">
        <v>2</v>
      </c>
      <c r="Y526" s="1">
        <v>6</v>
      </c>
      <c r="Z526" s="3">
        <f>X526*VLOOKUP(Y526,[1]Datos!$A$2:$D$14,2)</f>
        <v>5.68</v>
      </c>
      <c r="AA526" s="8">
        <v>0.15</v>
      </c>
      <c r="AB526" s="7">
        <f>IF(D526=0,0.9,0.5)*0.9*0.53*SQRT(W526)*G526*MAX(0.72*G526,0.9*((G526/2)+((G526-0.11)/PI())))*10</f>
        <v>115.05235319041492</v>
      </c>
      <c r="AC526" s="7">
        <f>0.9*Z526*4220*MAX(0.72*G526,0.9*((G526/2)+((G526-0.11)/PI())))/AA526/1000</f>
        <v>207.30517717217134</v>
      </c>
      <c r="AD526" s="6" t="str">
        <f>+IF(AC526&gt;K526-AB526,"Cumple","No Cumple")</f>
        <v>Cumple</v>
      </c>
      <c r="AE526" s="6"/>
      <c r="AH526" s="3"/>
    </row>
    <row r="527" spans="1:43" x14ac:dyDescent="0.3">
      <c r="A527" s="13"/>
      <c r="B527" s="1">
        <v>32</v>
      </c>
      <c r="C527" s="1">
        <v>217</v>
      </c>
      <c r="D527" s="1">
        <v>1</v>
      </c>
      <c r="E527" s="5">
        <v>1</v>
      </c>
      <c r="F527" s="3">
        <f>F526+E527</f>
        <v>32</v>
      </c>
      <c r="G527" s="5">
        <v>2</v>
      </c>
      <c r="H527" s="3">
        <f>PI()*(G527^2)/4</f>
        <v>3.1415926535897931</v>
      </c>
      <c r="I527" s="4">
        <v>4.2707000000000002E-2</v>
      </c>
      <c r="K527" s="3">
        <v>282.34854136403823</v>
      </c>
      <c r="L527" s="3">
        <v>482.66174999999998</v>
      </c>
      <c r="M527" s="3">
        <v>1357.80384</v>
      </c>
      <c r="N527" s="12">
        <f>I527/H527</f>
        <v>1.3594060309251149E-2</v>
      </c>
      <c r="O527" s="11">
        <f>I527*10000</f>
        <v>427.07</v>
      </c>
      <c r="P527" s="1">
        <v>10</v>
      </c>
      <c r="Q527" s="19">
        <v>2</v>
      </c>
      <c r="R527" s="3">
        <f>Q527*VLOOKUP(P527,[1]Datos!$A$2:$D$14,2)</f>
        <v>16.38</v>
      </c>
      <c r="S527" s="10">
        <f>ROUNDUP(O527/R527,0)</f>
        <v>27</v>
      </c>
      <c r="T527" s="18">
        <v>55</v>
      </c>
      <c r="U527" s="3">
        <f>ROUNDDOWN(PI()*(G527-0.185)/T527,2)</f>
        <v>0.1</v>
      </c>
      <c r="V527" s="3"/>
      <c r="W527" s="1">
        <v>280</v>
      </c>
      <c r="X527" s="9">
        <v>2</v>
      </c>
      <c r="Y527" s="1">
        <v>6</v>
      </c>
      <c r="Z527" s="3">
        <f>X527*VLOOKUP(Y527,[1]Datos!$A$2:$D$14,2)</f>
        <v>5.68</v>
      </c>
      <c r="AA527" s="8">
        <v>0.15</v>
      </c>
      <c r="AB527" s="7">
        <f>IF(D527=0,0.9,0.5)*0.9*0.53*SQRT(W527)*G527*MAX(0.72*G527,0.9*((G527/2)+((G527-0.11)/PI())))*10</f>
        <v>115.05235319041492</v>
      </c>
      <c r="AC527" s="7">
        <f>0.9*Z527*4220*MAX(0.72*G527,0.9*((G527/2)+((G527-0.11)/PI())))/AA527/1000</f>
        <v>207.30517717217134</v>
      </c>
      <c r="AD527" s="6" t="str">
        <f>+IF(AC527&gt;K527-AB527,"Cumple","No Cumple")</f>
        <v>Cumple</v>
      </c>
      <c r="AE527" s="6"/>
      <c r="AH527" s="3"/>
    </row>
    <row r="528" spans="1:43" x14ac:dyDescent="0.3">
      <c r="A528" s="13"/>
      <c r="B528" s="1">
        <v>33</v>
      </c>
      <c r="C528" s="1">
        <v>218</v>
      </c>
      <c r="D528" s="1">
        <v>1</v>
      </c>
      <c r="E528" s="5">
        <v>1</v>
      </c>
      <c r="F528" s="3">
        <f>F527+E528</f>
        <v>33</v>
      </c>
      <c r="G528" s="5">
        <v>2</v>
      </c>
      <c r="H528" s="3">
        <f>PI()*(G528^2)/4</f>
        <v>3.1415926535897931</v>
      </c>
      <c r="I528" s="4">
        <v>3.1415999999999999E-2</v>
      </c>
      <c r="K528" s="3">
        <v>260.35611130651415</v>
      </c>
      <c r="L528" s="3">
        <v>393.24684999999999</v>
      </c>
      <c r="M528" s="3">
        <v>1078.7495799999999</v>
      </c>
      <c r="N528" s="12">
        <f>I528/H528</f>
        <v>1.0000023384349969E-2</v>
      </c>
      <c r="O528" s="11">
        <f>I528*10000</f>
        <v>314.15999999999997</v>
      </c>
      <c r="P528" s="1">
        <v>10</v>
      </c>
      <c r="Q528" s="1">
        <v>1</v>
      </c>
      <c r="R528" s="3">
        <f>Q528*VLOOKUP(P528,[1]Datos!$A$2:$D$14,2)</f>
        <v>8.19</v>
      </c>
      <c r="S528" s="10">
        <f>ROUNDUP(O528/R528,0)</f>
        <v>39</v>
      </c>
      <c r="T528" s="2">
        <v>39</v>
      </c>
      <c r="U528" s="3">
        <f>ROUNDDOWN(PI()*(G528-0.185)/T528,2)</f>
        <v>0.14000000000000001</v>
      </c>
      <c r="V528" s="3"/>
      <c r="W528" s="1">
        <v>280</v>
      </c>
      <c r="X528" s="9">
        <v>2</v>
      </c>
      <c r="Y528" s="1">
        <v>6</v>
      </c>
      <c r="Z528" s="3">
        <f>X528*VLOOKUP(Y528,[1]Datos!$A$2:$D$14,2)</f>
        <v>5.68</v>
      </c>
      <c r="AA528" s="8">
        <v>0.15</v>
      </c>
      <c r="AB528" s="7">
        <f>IF(D528=0,0.9,0.5)*0.9*0.53*SQRT(W528)*G528*MAX(0.72*G528,0.9*((G528/2)+((G528-0.11)/PI())))*10</f>
        <v>115.05235319041492</v>
      </c>
      <c r="AC528" s="7">
        <f>0.9*Z528*4220*MAX(0.72*G528,0.9*((G528/2)+((G528-0.11)/PI())))/AA528/1000</f>
        <v>207.30517717217134</v>
      </c>
      <c r="AD528" s="6" t="str">
        <f>+IF(AC528&gt;K528-AB528,"Cumple","No Cumple")</f>
        <v>Cumple</v>
      </c>
      <c r="AE528" s="6"/>
      <c r="AH528" s="3"/>
    </row>
    <row r="529" spans="1:43" x14ac:dyDescent="0.3">
      <c r="A529" s="13"/>
      <c r="B529" s="1">
        <v>34</v>
      </c>
      <c r="C529" s="1">
        <v>219</v>
      </c>
      <c r="D529" s="1">
        <v>1</v>
      </c>
      <c r="E529" s="5">
        <v>1</v>
      </c>
      <c r="F529" s="3">
        <f>F528+E529</f>
        <v>34</v>
      </c>
      <c r="G529" s="5">
        <v>2</v>
      </c>
      <c r="H529" s="3">
        <f>PI()*(G529^2)/4</f>
        <v>3.1415926535897931</v>
      </c>
      <c r="I529" s="4">
        <v>3.1415999999999999E-2</v>
      </c>
      <c r="K529" s="3">
        <v>229.08054261235282</v>
      </c>
      <c r="L529" s="3">
        <v>307.56342000000001</v>
      </c>
      <c r="M529" s="3">
        <v>821.42697999999996</v>
      </c>
      <c r="N529" s="12">
        <f>I529/H529</f>
        <v>1.0000023384349969E-2</v>
      </c>
      <c r="O529" s="11">
        <f>I529*10000</f>
        <v>314.15999999999997</v>
      </c>
      <c r="P529" s="1">
        <v>10</v>
      </c>
      <c r="Q529" s="1">
        <v>1</v>
      </c>
      <c r="R529" s="3">
        <f>Q529*VLOOKUP(P529,[1]Datos!$A$2:$D$14,2)</f>
        <v>8.19</v>
      </c>
      <c r="S529" s="10">
        <f>ROUNDUP(O529/R529,0)</f>
        <v>39</v>
      </c>
      <c r="T529" s="2">
        <v>39</v>
      </c>
      <c r="U529" s="3">
        <f>ROUNDDOWN(PI()*(G529-0.185)/T529,2)</f>
        <v>0.14000000000000001</v>
      </c>
      <c r="V529" s="3"/>
      <c r="W529" s="1">
        <v>280</v>
      </c>
      <c r="X529" s="9">
        <v>2</v>
      </c>
      <c r="Y529" s="1">
        <v>6</v>
      </c>
      <c r="Z529" s="3">
        <f>X529*VLOOKUP(Y529,[1]Datos!$A$2:$D$14,2)</f>
        <v>5.68</v>
      </c>
      <c r="AA529" s="8">
        <v>0.15</v>
      </c>
      <c r="AB529" s="7">
        <f>IF(D529=0,0.9,0.5)*0.9*0.53*SQRT(W529)*G529*MAX(0.72*G529,0.9*((G529/2)+((G529-0.11)/PI())))*10</f>
        <v>115.05235319041492</v>
      </c>
      <c r="AC529" s="7">
        <f>0.9*Z529*4220*MAX(0.72*G529,0.9*((G529/2)+((G529-0.11)/PI())))/AA529/1000</f>
        <v>207.30517717217134</v>
      </c>
      <c r="AD529" s="6" t="str">
        <f>+IF(AC529&gt;K529-AB529,"Cumple","No Cumple")</f>
        <v>Cumple</v>
      </c>
      <c r="AE529" s="6"/>
      <c r="AH529" s="3"/>
    </row>
    <row r="530" spans="1:43" x14ac:dyDescent="0.3">
      <c r="A530" s="13"/>
      <c r="B530" s="1">
        <v>35</v>
      </c>
      <c r="C530" s="1">
        <v>220</v>
      </c>
      <c r="D530" s="1">
        <v>1</v>
      </c>
      <c r="E530" s="5">
        <v>1</v>
      </c>
      <c r="F530" s="3">
        <f>F529+E530</f>
        <v>35</v>
      </c>
      <c r="G530" s="5">
        <v>2</v>
      </c>
      <c r="H530" s="3">
        <f>PI()*(G530^2)/4</f>
        <v>3.1415926535897931</v>
      </c>
      <c r="I530" s="4">
        <v>3.1415999999999999E-2</v>
      </c>
      <c r="K530" s="3">
        <v>192.11795486713365</v>
      </c>
      <c r="L530" s="3">
        <v>229.453</v>
      </c>
      <c r="M530" s="3">
        <v>595.04675999999995</v>
      </c>
      <c r="N530" s="12">
        <f>I530/H530</f>
        <v>1.0000023384349969E-2</v>
      </c>
      <c r="O530" s="11">
        <f>I530*10000</f>
        <v>314.15999999999997</v>
      </c>
      <c r="P530" s="1">
        <v>10</v>
      </c>
      <c r="Q530" s="1">
        <v>1</v>
      </c>
      <c r="R530" s="3">
        <f>Q530*VLOOKUP(P530,[1]Datos!$A$2:$D$14,2)</f>
        <v>8.19</v>
      </c>
      <c r="S530" s="10">
        <f>ROUNDUP(O530/R530,0)</f>
        <v>39</v>
      </c>
      <c r="T530" s="2">
        <v>39</v>
      </c>
      <c r="U530" s="3">
        <f>ROUNDDOWN(PI()*(G530-0.185)/T530,2)</f>
        <v>0.14000000000000001</v>
      </c>
      <c r="V530" s="3"/>
      <c r="W530" s="1">
        <v>280</v>
      </c>
      <c r="X530" s="9">
        <v>2</v>
      </c>
      <c r="Y530" s="1">
        <v>6</v>
      </c>
      <c r="Z530" s="3">
        <f>X530*VLOOKUP(Y530,[1]Datos!$A$2:$D$14,2)</f>
        <v>5.68</v>
      </c>
      <c r="AA530" s="8">
        <v>0.15</v>
      </c>
      <c r="AB530" s="7">
        <f>IF(D530=0,0.9,0.5)*0.9*0.53*SQRT(W530)*G530*MAX(0.72*G530,0.9*((G530/2)+((G530-0.11)/PI())))*10</f>
        <v>115.05235319041492</v>
      </c>
      <c r="AC530" s="7">
        <f>0.9*Z530*4220*MAX(0.72*G530,0.9*((G530/2)+((G530-0.11)/PI())))/AA530/1000</f>
        <v>207.30517717217134</v>
      </c>
      <c r="AD530" s="6" t="str">
        <f>+IF(AC530&gt;K530-AB530,"Cumple","No Cumple")</f>
        <v>Cumple</v>
      </c>
      <c r="AE530" s="6"/>
      <c r="AH530" s="3"/>
    </row>
    <row r="531" spans="1:43" x14ac:dyDescent="0.3">
      <c r="A531" s="13"/>
      <c r="B531" s="1">
        <v>36</v>
      </c>
      <c r="C531" s="1">
        <v>221</v>
      </c>
      <c r="D531" s="1">
        <v>1</v>
      </c>
      <c r="E531" s="5">
        <v>1</v>
      </c>
      <c r="F531" s="3">
        <f>F530+E531</f>
        <v>36</v>
      </c>
      <c r="G531" s="5">
        <v>2</v>
      </c>
      <c r="H531" s="3">
        <f>PI()*(G531^2)/4</f>
        <v>3.1415926535897931</v>
      </c>
      <c r="I531" s="4">
        <v>3.1415999999999999E-2</v>
      </c>
      <c r="K531" s="3">
        <v>152.78098927500764</v>
      </c>
      <c r="L531" s="3">
        <v>161.58141000000001</v>
      </c>
      <c r="M531" s="3">
        <v>405.25164000000001</v>
      </c>
      <c r="N531" s="12">
        <f>I531/H531</f>
        <v>1.0000023384349969E-2</v>
      </c>
      <c r="O531" s="11">
        <f>I531*10000</f>
        <v>314.15999999999997</v>
      </c>
      <c r="P531" s="1">
        <v>10</v>
      </c>
      <c r="Q531" s="1">
        <v>1</v>
      </c>
      <c r="R531" s="3">
        <f>Q531*VLOOKUP(P531,[1]Datos!$A$2:$D$14,2)</f>
        <v>8.19</v>
      </c>
      <c r="S531" s="10">
        <f>ROUNDUP(O531/R531,0)</f>
        <v>39</v>
      </c>
      <c r="T531" s="2">
        <v>39</v>
      </c>
      <c r="U531" s="3">
        <f>ROUNDDOWN(PI()*(G531-0.185)/T531,2)</f>
        <v>0.14000000000000001</v>
      </c>
      <c r="V531" s="3"/>
      <c r="W531" s="1">
        <v>280</v>
      </c>
      <c r="X531" s="9">
        <v>2</v>
      </c>
      <c r="Y531" s="1">
        <v>4</v>
      </c>
      <c r="Z531" s="3">
        <f>X531*VLOOKUP(Y531,[1]Datos!$A$2:$D$14,2)</f>
        <v>2.58</v>
      </c>
      <c r="AA531" s="8">
        <v>0.3</v>
      </c>
      <c r="AB531" s="7">
        <f>IF(D531=0,0.9,0.5)*0.9*0.53*SQRT(W531)*G531*MAX(0.72*G531,0.9*((G531/2)+((G531-0.11)/PI())))*10</f>
        <v>115.05235319041492</v>
      </c>
      <c r="AC531" s="7">
        <f>0.9*Z531*4220*MAX(0.72*G531,0.9*((G531/2)+((G531-0.11)/PI())))/AA531/1000</f>
        <v>47.081633547905106</v>
      </c>
      <c r="AD531" s="6" t="str">
        <f>+IF(AC531&gt;K531-AB531,"Cumple","No Cumple")</f>
        <v>Cumple</v>
      </c>
      <c r="AE531" s="6"/>
      <c r="AH531" s="3"/>
    </row>
    <row r="532" spans="1:43" x14ac:dyDescent="0.3">
      <c r="A532" s="13"/>
      <c r="B532" s="1">
        <v>37</v>
      </c>
      <c r="C532" s="1">
        <v>222</v>
      </c>
      <c r="D532" s="1">
        <v>1</v>
      </c>
      <c r="E532" s="5">
        <v>1</v>
      </c>
      <c r="F532" s="3">
        <f>F531+E532</f>
        <v>37</v>
      </c>
      <c r="G532" s="5">
        <v>2</v>
      </c>
      <c r="H532" s="3">
        <f>PI()*(G532^2)/4</f>
        <v>3.1415926535897931</v>
      </c>
      <c r="I532" s="4">
        <v>3.1415999999999999E-2</v>
      </c>
      <c r="K532" s="3">
        <v>113.9049029197602</v>
      </c>
      <c r="L532" s="3">
        <v>105.50287</v>
      </c>
      <c r="M532" s="3">
        <v>254.39851999999999</v>
      </c>
      <c r="N532" s="12">
        <f>I532/H532</f>
        <v>1.0000023384349969E-2</v>
      </c>
      <c r="O532" s="11">
        <f>I532*10000</f>
        <v>314.15999999999997</v>
      </c>
      <c r="P532" s="1">
        <v>10</v>
      </c>
      <c r="Q532" s="1">
        <v>1</v>
      </c>
      <c r="R532" s="3">
        <f>Q532*VLOOKUP(P532,[1]Datos!$A$2:$D$14,2)</f>
        <v>8.19</v>
      </c>
      <c r="S532" s="10">
        <f>ROUNDUP(O532/R532,0)</f>
        <v>39</v>
      </c>
      <c r="T532" s="2">
        <v>39</v>
      </c>
      <c r="U532" s="3">
        <f>ROUNDDOWN(PI()*(G532-0.185)/T532,2)</f>
        <v>0.14000000000000001</v>
      </c>
      <c r="V532" s="3"/>
      <c r="W532" s="1">
        <v>280</v>
      </c>
      <c r="X532" s="9">
        <v>2</v>
      </c>
      <c r="Y532" s="1">
        <v>4</v>
      </c>
      <c r="Z532" s="3">
        <f>X532*VLOOKUP(Y532,[1]Datos!$A$2:$D$14,2)</f>
        <v>2.58</v>
      </c>
      <c r="AA532" s="8">
        <v>0.3</v>
      </c>
      <c r="AB532" s="7">
        <f>IF(D532=0,0.9,0.5)*0.9*0.53*SQRT(W532)*G532*MAX(0.72*G532,0.9*((G532/2)+((G532-0.11)/PI())))*10</f>
        <v>115.05235319041492</v>
      </c>
      <c r="AC532" s="7">
        <f>0.9*Z532*4220*MAX(0.72*G532,0.9*((G532/2)+((G532-0.11)/PI())))/AA532/1000</f>
        <v>47.081633547905106</v>
      </c>
      <c r="AD532" s="6" t="str">
        <f>+IF(AC532&gt;K532-AB532,"Cumple","No Cumple")</f>
        <v>Cumple</v>
      </c>
      <c r="AE532" s="6"/>
      <c r="AH532" s="3"/>
    </row>
    <row r="533" spans="1:43" x14ac:dyDescent="0.3">
      <c r="A533" s="13"/>
      <c r="B533" s="1">
        <v>38</v>
      </c>
      <c r="C533" s="1">
        <v>223</v>
      </c>
      <c r="D533" s="1">
        <v>1</v>
      </c>
      <c r="E533" s="5">
        <v>1</v>
      </c>
      <c r="F533" s="3">
        <f>F532+E533</f>
        <v>38</v>
      </c>
      <c r="G533" s="5">
        <v>2</v>
      </c>
      <c r="H533" s="3">
        <f>PI()*(G533^2)/4</f>
        <v>3.1415926535897931</v>
      </c>
      <c r="I533" s="4">
        <v>3.1415999999999999E-2</v>
      </c>
      <c r="K533" s="3">
        <v>77.770264543268723</v>
      </c>
      <c r="L533" s="3">
        <v>61.806289999999997</v>
      </c>
      <c r="M533" s="3">
        <v>142.03085999999999</v>
      </c>
      <c r="N533" s="12">
        <f>I533/H533</f>
        <v>1.0000023384349969E-2</v>
      </c>
      <c r="O533" s="11">
        <f>I533*10000</f>
        <v>314.15999999999997</v>
      </c>
      <c r="P533" s="1">
        <v>10</v>
      </c>
      <c r="Q533" s="1">
        <v>1</v>
      </c>
      <c r="R533" s="3">
        <f>Q533*VLOOKUP(P533,[1]Datos!$A$2:$D$14,2)</f>
        <v>8.19</v>
      </c>
      <c r="S533" s="10">
        <f>ROUNDUP(O533/R533,0)</f>
        <v>39</v>
      </c>
      <c r="T533" s="2">
        <v>39</v>
      </c>
      <c r="U533" s="3">
        <f>ROUNDDOWN(PI()*(G533-0.185)/T533,2)</f>
        <v>0.14000000000000001</v>
      </c>
      <c r="V533" s="3"/>
      <c r="W533" s="1">
        <v>280</v>
      </c>
      <c r="X533" s="9">
        <v>2</v>
      </c>
      <c r="Y533" s="1">
        <v>4</v>
      </c>
      <c r="Z533" s="3">
        <f>X533*VLOOKUP(Y533,[1]Datos!$A$2:$D$14,2)</f>
        <v>2.58</v>
      </c>
      <c r="AA533" s="8">
        <v>0.3</v>
      </c>
      <c r="AB533" s="7">
        <f>IF(D533=0,0.9,0.5)*0.9*0.53*SQRT(W533)*G533*MAX(0.72*G533,0.9*((G533/2)+((G533-0.11)/PI())))*10</f>
        <v>115.05235319041492</v>
      </c>
      <c r="AC533" s="7">
        <f>0.9*Z533*4220*MAX(0.72*G533,0.9*((G533/2)+((G533-0.11)/PI())))/AA533/1000</f>
        <v>47.081633547905106</v>
      </c>
      <c r="AD533" s="6" t="str">
        <f>+IF(AC533&gt;K533-AB533,"Cumple","No Cumple")</f>
        <v>Cumple</v>
      </c>
      <c r="AE533" s="6"/>
      <c r="AH533" s="3"/>
    </row>
    <row r="534" spans="1:43" x14ac:dyDescent="0.3">
      <c r="A534" s="13"/>
      <c r="B534" s="1">
        <v>39</v>
      </c>
      <c r="C534" s="1">
        <v>678</v>
      </c>
      <c r="D534" s="1">
        <v>1</v>
      </c>
      <c r="E534" s="5">
        <v>1</v>
      </c>
      <c r="F534" s="3">
        <f>F533+E534</f>
        <v>39</v>
      </c>
      <c r="G534" s="5">
        <v>2</v>
      </c>
      <c r="H534" s="3">
        <f>PI()*(G534^2)/4</f>
        <v>3.1415926535897931</v>
      </c>
      <c r="I534" s="4">
        <v>3.1415999999999999E-2</v>
      </c>
      <c r="K534" s="3">
        <v>46.133629583742923</v>
      </c>
      <c r="L534" s="3">
        <v>30.301269999999999</v>
      </c>
      <c r="M534" s="3">
        <v>65.425560000000004</v>
      </c>
      <c r="N534" s="12">
        <f>I534/H534</f>
        <v>1.0000023384349969E-2</v>
      </c>
      <c r="O534" s="11">
        <f>I534*10000</f>
        <v>314.15999999999997</v>
      </c>
      <c r="P534" s="1">
        <v>10</v>
      </c>
      <c r="Q534" s="1">
        <v>1</v>
      </c>
      <c r="R534" s="3">
        <f>Q534*VLOOKUP(P534,[1]Datos!$A$2:$D$14,2)</f>
        <v>8.19</v>
      </c>
      <c r="S534" s="10">
        <f>ROUNDUP(O534/R534,0)</f>
        <v>39</v>
      </c>
      <c r="T534" s="2">
        <v>39</v>
      </c>
      <c r="U534" s="3">
        <f>ROUNDDOWN(PI()*(G534-0.185)/T534,2)</f>
        <v>0.14000000000000001</v>
      </c>
      <c r="V534" s="3"/>
      <c r="W534" s="1">
        <v>280</v>
      </c>
      <c r="X534" s="9">
        <v>2</v>
      </c>
      <c r="Y534" s="1">
        <v>4</v>
      </c>
      <c r="Z534" s="3">
        <f>X534*VLOOKUP(Y534,[1]Datos!$A$2:$D$14,2)</f>
        <v>2.58</v>
      </c>
      <c r="AA534" s="8">
        <v>0.3</v>
      </c>
      <c r="AB534" s="7">
        <f>IF(D534=0,0.9,0.5)*0.9*0.53*SQRT(W534)*G534*MAX(0.72*G534,0.9*((G534/2)+((G534-0.11)/PI())))*10</f>
        <v>115.05235319041492</v>
      </c>
      <c r="AC534" s="7">
        <f>0.9*Z534*4220*MAX(0.72*G534,0.9*((G534/2)+((G534-0.11)/PI())))/AA534/1000</f>
        <v>47.081633547905106</v>
      </c>
      <c r="AD534" s="6" t="str">
        <f>+IF(AC534&gt;K534-AB534,"Cumple","No Cumple")</f>
        <v>Cumple</v>
      </c>
      <c r="AE534" s="6"/>
      <c r="AH534" s="3"/>
    </row>
    <row r="535" spans="1:43" x14ac:dyDescent="0.3">
      <c r="A535" s="13"/>
      <c r="B535" s="1">
        <v>40</v>
      </c>
      <c r="C535" s="1">
        <v>172</v>
      </c>
      <c r="D535" s="1">
        <v>1</v>
      </c>
      <c r="E535" s="5">
        <v>1</v>
      </c>
      <c r="F535" s="3">
        <f>F534+E535</f>
        <v>40</v>
      </c>
      <c r="G535" s="5">
        <v>2</v>
      </c>
      <c r="H535" s="3">
        <f>PI()*(G535^2)/4</f>
        <v>3.1415926535897931</v>
      </c>
      <c r="I535" s="4">
        <v>3.1415999999999999E-2</v>
      </c>
      <c r="K535" s="3">
        <v>20.449248546584787</v>
      </c>
      <c r="L535" s="3">
        <v>10.185549999999999</v>
      </c>
      <c r="M535" s="3">
        <v>20.096060000000001</v>
      </c>
      <c r="N535" s="12">
        <f>I535/H535</f>
        <v>1.0000023384349969E-2</v>
      </c>
      <c r="O535" s="11">
        <f>I535*10000</f>
        <v>314.15999999999997</v>
      </c>
      <c r="P535" s="1">
        <v>10</v>
      </c>
      <c r="Q535" s="1">
        <v>1</v>
      </c>
      <c r="R535" s="3">
        <f>Q535*VLOOKUP(P535,[1]Datos!$A$2:$D$14,2)</f>
        <v>8.19</v>
      </c>
      <c r="S535" s="10">
        <f>ROUNDUP(O535/R535,0)</f>
        <v>39</v>
      </c>
      <c r="T535" s="2">
        <v>39</v>
      </c>
      <c r="U535" s="3">
        <f>ROUNDDOWN(PI()*(G535-0.185)/T535,2)</f>
        <v>0.14000000000000001</v>
      </c>
      <c r="V535" s="3"/>
      <c r="W535" s="1">
        <v>280</v>
      </c>
      <c r="X535" s="9">
        <v>2</v>
      </c>
      <c r="Y535" s="1">
        <v>4</v>
      </c>
      <c r="Z535" s="3">
        <f>X535*VLOOKUP(Y535,[1]Datos!$A$2:$D$14,2)</f>
        <v>2.58</v>
      </c>
      <c r="AA535" s="8">
        <v>0.3</v>
      </c>
      <c r="AB535" s="7">
        <f>IF(D535=0,0.9,0.5)*0.9*0.53*SQRT(W535)*G535*MAX(0.72*G535,0.9*((G535/2)+((G535-0.11)/PI())))*10</f>
        <v>115.05235319041492</v>
      </c>
      <c r="AC535" s="7">
        <f>0.9*Z535*4220*MAX(0.72*G535,0.9*((G535/2)+((G535-0.11)/PI())))/AA535/1000</f>
        <v>47.081633547905106</v>
      </c>
      <c r="AD535" s="6" t="str">
        <f>+IF(AC535&gt;K535-AB535,"Cumple","No Cumple")</f>
        <v>Cumple</v>
      </c>
      <c r="AE535" s="6"/>
      <c r="AH535" s="3"/>
    </row>
    <row r="536" spans="1:43" ht="15" customHeight="1" x14ac:dyDescent="0.3">
      <c r="A536" s="13" t="s">
        <v>15</v>
      </c>
      <c r="B536" s="1">
        <v>1</v>
      </c>
      <c r="C536" s="1">
        <v>249</v>
      </c>
      <c r="D536" s="1">
        <v>1</v>
      </c>
      <c r="E536" s="5">
        <v>1</v>
      </c>
      <c r="F536" s="3">
        <f>E536</f>
        <v>1</v>
      </c>
      <c r="G536" s="5">
        <v>2</v>
      </c>
      <c r="H536" s="3">
        <f>PI()*(G536^2)/4</f>
        <v>3.1415926535897931</v>
      </c>
      <c r="I536" s="4">
        <v>7.7466999999999994E-2</v>
      </c>
      <c r="K536" s="3">
        <v>123.33779894456525</v>
      </c>
      <c r="L536" s="3">
        <v>413.91199</v>
      </c>
      <c r="M536" s="3">
        <v>2434.5375800000002</v>
      </c>
      <c r="N536" s="12">
        <f>I536/H536</f>
        <v>2.4658511952999711E-2</v>
      </c>
      <c r="O536" s="11">
        <f>I536*10000</f>
        <v>774.67</v>
      </c>
      <c r="P536" s="1">
        <v>10</v>
      </c>
      <c r="Q536" s="1">
        <v>2</v>
      </c>
      <c r="R536" s="3">
        <f>Q536*VLOOKUP(P536,[1]Datos!$A$2:$D$14,2)</f>
        <v>16.38</v>
      </c>
      <c r="S536" s="10">
        <f>ROUNDUP(O536/R536,0)</f>
        <v>48</v>
      </c>
      <c r="T536" s="2">
        <v>49</v>
      </c>
      <c r="U536" s="3">
        <f>ROUNDDOWN(PI()*(G536-0.185)/T536,2)</f>
        <v>0.11</v>
      </c>
      <c r="V536" s="3"/>
      <c r="W536" s="1">
        <v>280</v>
      </c>
      <c r="X536" s="9">
        <v>2</v>
      </c>
      <c r="Y536" s="1">
        <v>6</v>
      </c>
      <c r="Z536" s="3">
        <f>X536*VLOOKUP(Y536,[1]Datos!$A$2:$D$14,2)</f>
        <v>5.68</v>
      </c>
      <c r="AA536" s="8">
        <v>7.4999999999999997E-2</v>
      </c>
      <c r="AB536" s="7">
        <f>IF(D536=0,0.9,0.5)*0.9*0.53*SQRT(W536)*G536*MAX(0.72*G536,0.9*((G536/2)+((G536-0.11)/PI())))*10</f>
        <v>115.05235319041492</v>
      </c>
      <c r="AC536" s="7">
        <f>0.9*Z536*4220*MAX(0.72*G536,0.9*((G536/2)+((G536-0.11)/PI())))/AA536/1000</f>
        <v>414.61035434434268</v>
      </c>
      <c r="AD536" s="6" t="str">
        <f>+IF(AC536&gt;K536-AB536,"Cumple","No Cumple")</f>
        <v>Cumple</v>
      </c>
      <c r="AE536" s="6"/>
      <c r="AG536" s="7">
        <f>ROUNDUP(MAX(0.45,3*G536,),0)</f>
        <v>6</v>
      </c>
      <c r="AH536" s="3">
        <f>PI()*(G536-0.15)^2/4</f>
        <v>2.6880252142277672</v>
      </c>
      <c r="AI536" s="7">
        <f>G536-0.15-VLOOKUP(Y536,[1]Datos!$A$2:$D$14,3)/100</f>
        <v>1.8309000000000002</v>
      </c>
      <c r="AJ536" s="7">
        <f>SQRT((PI()*AI536)^2+AA536^2)</f>
        <v>5.7524309339691264</v>
      </c>
      <c r="AK536" s="1">
        <v>0.12</v>
      </c>
      <c r="AL536" s="16">
        <f>MAX(0.45*(H536/AH536-1),AK536)*(W536/4220)</f>
        <v>7.9620853080568724E-3</v>
      </c>
      <c r="AM536" s="7">
        <f>AG536*(AJ536/AA536)</f>
        <v>460.19447471753017</v>
      </c>
      <c r="AN536" s="17">
        <f>AM536*Z536/X536/10000</f>
        <v>0.13069523081977857</v>
      </c>
      <c r="AO536" s="17">
        <f>AH536*AG536</f>
        <v>16.128151285366602</v>
      </c>
      <c r="AP536" s="16">
        <f>AN536/AO536</f>
        <v>8.1035469290495193E-3</v>
      </c>
      <c r="AQ536" s="6" t="str">
        <f>+IF(AP536&gt;AL536,"Cumple","No Cumple")</f>
        <v>Cumple</v>
      </c>
    </row>
    <row r="537" spans="1:43" ht="15" customHeight="1" x14ac:dyDescent="0.3">
      <c r="A537" s="13"/>
      <c r="B537" s="1">
        <v>2</v>
      </c>
      <c r="C537" s="1">
        <v>251</v>
      </c>
      <c r="D537" s="1">
        <v>1</v>
      </c>
      <c r="E537" s="5">
        <v>1</v>
      </c>
      <c r="F537" s="3">
        <f>F536+E537</f>
        <v>2</v>
      </c>
      <c r="G537" s="5">
        <v>2</v>
      </c>
      <c r="H537" s="3">
        <f>PI()*(G537^2)/4</f>
        <v>3.1415926535897931</v>
      </c>
      <c r="I537" s="4">
        <v>7.8648999999999997E-2</v>
      </c>
      <c r="K537" s="3">
        <v>111.51411147496088</v>
      </c>
      <c r="L537" s="3">
        <v>317.10726</v>
      </c>
      <c r="M537" s="3">
        <v>2470.8588</v>
      </c>
      <c r="N537" s="12">
        <f>I537/H537</f>
        <v>2.5034754238468952E-2</v>
      </c>
      <c r="O537" s="11">
        <f>I537*10000</f>
        <v>786.49</v>
      </c>
      <c r="P537" s="1">
        <v>10</v>
      </c>
      <c r="Q537" s="1">
        <v>2</v>
      </c>
      <c r="R537" s="3">
        <f>Q537*VLOOKUP(P537,[1]Datos!$A$2:$D$14,2)</f>
        <v>16.38</v>
      </c>
      <c r="S537" s="10">
        <f>ROUNDUP(O537/R537,0)</f>
        <v>49</v>
      </c>
      <c r="T537" s="2">
        <v>49</v>
      </c>
      <c r="U537" s="3">
        <f>ROUNDDOWN(PI()*(G537-0.185)/T537,2)</f>
        <v>0.11</v>
      </c>
      <c r="V537" s="3"/>
      <c r="W537" s="1">
        <v>280</v>
      </c>
      <c r="X537" s="9">
        <v>2</v>
      </c>
      <c r="Y537" s="1">
        <v>6</v>
      </c>
      <c r="Z537" s="3">
        <f>X537*VLOOKUP(Y537,[1]Datos!$A$2:$D$14,2)</f>
        <v>5.68</v>
      </c>
      <c r="AA537" s="8">
        <v>7.4999999999999997E-2</v>
      </c>
      <c r="AB537" s="7">
        <f>IF(D537=0,0.9,0.5)*0.9*0.53*SQRT(W537)*G537*MAX(0.72*G537,0.9*((G537/2)+((G537-0.11)/PI())))*10</f>
        <v>115.05235319041492</v>
      </c>
      <c r="AC537" s="7">
        <f>0.9*Z537*4220*MAX(0.72*G537,0.9*((G537/2)+((G537-0.11)/PI())))/AA537/1000</f>
        <v>414.61035434434268</v>
      </c>
      <c r="AD537" s="6" t="str">
        <f>+IF(AC537&gt;K537-AB537,"Cumple","No Cumple")</f>
        <v>Cumple</v>
      </c>
      <c r="AE537" s="6"/>
      <c r="AG537" s="7">
        <f>ROUNDUP(MAX(0.45,3*G537,),0)</f>
        <v>6</v>
      </c>
      <c r="AH537" s="3">
        <f>PI()*(G537-0.15)^2/4</f>
        <v>2.6880252142277672</v>
      </c>
      <c r="AI537" s="7">
        <f>G537-0.15-VLOOKUP(Y537,[1]Datos!$A$2:$D$14,3)/100</f>
        <v>1.8309000000000002</v>
      </c>
      <c r="AJ537" s="7">
        <f>SQRT((PI()*AI537)^2+AA537^2)</f>
        <v>5.7524309339691264</v>
      </c>
      <c r="AK537" s="1">
        <v>0.12</v>
      </c>
      <c r="AL537" s="16">
        <f>MAX(0.45*(H537/AH537-1),AK537)*(W537/4220)</f>
        <v>7.9620853080568724E-3</v>
      </c>
      <c r="AM537" s="7">
        <f>AG537*(AJ537/AA537)</f>
        <v>460.19447471753017</v>
      </c>
      <c r="AN537" s="17">
        <f>AM537*Z537/X537/10000</f>
        <v>0.13069523081977857</v>
      </c>
      <c r="AO537" s="17">
        <f>AH537*AG537</f>
        <v>16.128151285366602</v>
      </c>
      <c r="AP537" s="16">
        <f>AN537/AO537</f>
        <v>8.1035469290495193E-3</v>
      </c>
      <c r="AQ537" s="6" t="str">
        <f>+IF(AP537&gt;AL537,"Cumple","No Cumple")</f>
        <v>Cumple</v>
      </c>
    </row>
    <row r="538" spans="1:43" ht="15" customHeight="1" x14ac:dyDescent="0.3">
      <c r="A538" s="13"/>
      <c r="B538" s="1">
        <v>3</v>
      </c>
      <c r="C538" s="1">
        <v>253</v>
      </c>
      <c r="D538" s="1">
        <v>1</v>
      </c>
      <c r="E538" s="5">
        <v>1</v>
      </c>
      <c r="F538" s="3">
        <f>F537+E538</f>
        <v>3</v>
      </c>
      <c r="G538" s="5">
        <v>2</v>
      </c>
      <c r="H538" s="3">
        <f>PI()*(G538^2)/4</f>
        <v>3.1415926535897931</v>
      </c>
      <c r="I538" s="4">
        <v>7.8649999999999998E-2</v>
      </c>
      <c r="K538" s="3">
        <v>101.16396445399914</v>
      </c>
      <c r="L538" s="3">
        <v>232.27618000000001</v>
      </c>
      <c r="M538" s="3">
        <v>2470.8588</v>
      </c>
      <c r="N538" s="12">
        <f>I538/H538</f>
        <v>2.5035072548355138E-2</v>
      </c>
      <c r="O538" s="11">
        <f>I538*10000</f>
        <v>786.5</v>
      </c>
      <c r="P538" s="1">
        <v>10</v>
      </c>
      <c r="Q538" s="1">
        <v>2</v>
      </c>
      <c r="R538" s="3">
        <f>Q538*VLOOKUP(P538,[1]Datos!$A$2:$D$14,2)</f>
        <v>16.38</v>
      </c>
      <c r="S538" s="10">
        <f>ROUNDUP(O538/R538,0)</f>
        <v>49</v>
      </c>
      <c r="T538" s="2">
        <v>49</v>
      </c>
      <c r="U538" s="3">
        <f>ROUNDDOWN(PI()*(G538-0.185)/T538,2)</f>
        <v>0.11</v>
      </c>
      <c r="V538" s="3"/>
      <c r="W538" s="1">
        <v>280</v>
      </c>
      <c r="X538" s="9">
        <v>2</v>
      </c>
      <c r="Y538" s="1">
        <v>6</v>
      </c>
      <c r="Z538" s="3">
        <f>X538*VLOOKUP(Y538,[1]Datos!$A$2:$D$14,2)</f>
        <v>5.68</v>
      </c>
      <c r="AA538" s="8">
        <v>7.4999999999999997E-2</v>
      </c>
      <c r="AB538" s="7">
        <f>IF(D538=0,0.9,0.5)*0.9*0.53*SQRT(W538)*G538*MAX(0.72*G538,0.9*((G538/2)+((G538-0.11)/PI())))*10</f>
        <v>115.05235319041492</v>
      </c>
      <c r="AC538" s="7">
        <f>0.9*Z538*4220*MAX(0.72*G538,0.9*((G538/2)+((G538-0.11)/PI())))/AA538/1000</f>
        <v>414.61035434434268</v>
      </c>
      <c r="AD538" s="6" t="str">
        <f>+IF(AC538&gt;K538-AB538,"Cumple","No Cumple")</f>
        <v>Cumple</v>
      </c>
      <c r="AE538" s="6"/>
      <c r="AG538" s="7">
        <f>ROUNDUP(MAX(0.45,3*G538,),0)</f>
        <v>6</v>
      </c>
      <c r="AH538" s="3">
        <f>PI()*(G538-0.15)^2/4</f>
        <v>2.6880252142277672</v>
      </c>
      <c r="AI538" s="7">
        <f>G538-0.15-VLOOKUP(Y538,[1]Datos!$A$2:$D$14,3)/100</f>
        <v>1.8309000000000002</v>
      </c>
      <c r="AJ538" s="7">
        <f>SQRT((PI()*AI538)^2+AA538^2)</f>
        <v>5.7524309339691264</v>
      </c>
      <c r="AK538" s="1">
        <v>0.12</v>
      </c>
      <c r="AL538" s="16">
        <f>MAX(0.45*(H538/AH538-1),AK538)*(W538/4220)</f>
        <v>7.9620853080568724E-3</v>
      </c>
      <c r="AM538" s="7">
        <f>AG538*(AJ538/AA538)</f>
        <v>460.19447471753017</v>
      </c>
      <c r="AN538" s="17">
        <f>AM538*Z538/X538/10000</f>
        <v>0.13069523081977857</v>
      </c>
      <c r="AO538" s="17">
        <f>AH538*AG538</f>
        <v>16.128151285366602</v>
      </c>
      <c r="AP538" s="16">
        <f>AN538/AO538</f>
        <v>8.1035469290495193E-3</v>
      </c>
      <c r="AQ538" s="6" t="str">
        <f>+IF(AP538&gt;AL538,"Cumple","No Cumple")</f>
        <v>Cumple</v>
      </c>
    </row>
    <row r="539" spans="1:43" ht="15" customHeight="1" x14ac:dyDescent="0.3">
      <c r="A539" s="13"/>
      <c r="B539" s="1">
        <v>4</v>
      </c>
      <c r="C539" s="1">
        <v>255</v>
      </c>
      <c r="D539" s="1">
        <v>1</v>
      </c>
      <c r="E539" s="5">
        <v>1</v>
      </c>
      <c r="F539" s="3">
        <f>F538+E539</f>
        <v>4</v>
      </c>
      <c r="G539" s="5">
        <v>2</v>
      </c>
      <c r="H539" s="3">
        <f>PI()*(G539^2)/4</f>
        <v>3.1415926535897931</v>
      </c>
      <c r="I539" s="4">
        <v>7.7535000000000007E-2</v>
      </c>
      <c r="K539" s="3">
        <v>110.67880455376269</v>
      </c>
      <c r="L539" s="3">
        <v>179.06399999999999</v>
      </c>
      <c r="M539" s="3">
        <v>2448.1672699999999</v>
      </c>
      <c r="N539" s="12">
        <f>I539/H539</f>
        <v>2.4680157025260212E-2</v>
      </c>
      <c r="O539" s="11">
        <f>I539*10000</f>
        <v>775.35</v>
      </c>
      <c r="P539" s="1">
        <v>10</v>
      </c>
      <c r="Q539" s="1">
        <v>2</v>
      </c>
      <c r="R539" s="3">
        <f>Q539*VLOOKUP(P539,[1]Datos!$A$2:$D$14,2)</f>
        <v>16.38</v>
      </c>
      <c r="S539" s="10">
        <f>ROUNDUP(O539/R539,0)</f>
        <v>48</v>
      </c>
      <c r="T539" s="2">
        <v>49</v>
      </c>
      <c r="U539" s="3">
        <f>ROUNDDOWN(PI()*(G539-0.185)/T539,2)</f>
        <v>0.11</v>
      </c>
      <c r="V539" s="3"/>
      <c r="W539" s="1">
        <v>280</v>
      </c>
      <c r="X539" s="9">
        <v>2</v>
      </c>
      <c r="Y539" s="1">
        <v>6</v>
      </c>
      <c r="Z539" s="3">
        <f>X539*VLOOKUP(Y539,[1]Datos!$A$2:$D$14,2)</f>
        <v>5.68</v>
      </c>
      <c r="AA539" s="8">
        <v>7.4999999999999997E-2</v>
      </c>
      <c r="AB539" s="7">
        <f>IF(D539=0,0.9,0.5)*0.9*0.53*SQRT(W539)*G539*MAX(0.72*G539,0.9*((G539/2)+((G539-0.11)/PI())))*10</f>
        <v>115.05235319041492</v>
      </c>
      <c r="AC539" s="7">
        <f>0.9*Z539*4220*MAX(0.72*G539,0.9*((G539/2)+((G539-0.11)/PI())))/AA539/1000</f>
        <v>414.61035434434268</v>
      </c>
      <c r="AD539" s="6" t="str">
        <f>+IF(AC539&gt;K539-AB539,"Cumple","No Cumple")</f>
        <v>Cumple</v>
      </c>
      <c r="AE539" s="6"/>
      <c r="AG539" s="7">
        <f>ROUNDUP(MAX(0.45,3*G539,),0)</f>
        <v>6</v>
      </c>
      <c r="AH539" s="3">
        <f>PI()*(G539-0.15)^2/4</f>
        <v>2.6880252142277672</v>
      </c>
      <c r="AI539" s="7">
        <f>G539-0.15-VLOOKUP(Y539,[1]Datos!$A$2:$D$14,3)/100</f>
        <v>1.8309000000000002</v>
      </c>
      <c r="AJ539" s="7">
        <f>SQRT((PI()*AI539)^2+AA539^2)</f>
        <v>5.7524309339691264</v>
      </c>
      <c r="AK539" s="1">
        <v>0.12</v>
      </c>
      <c r="AL539" s="16">
        <f>MAX(0.45*(H539/AH539-1),AK539)*(W539/4220)</f>
        <v>7.9620853080568724E-3</v>
      </c>
      <c r="AM539" s="7">
        <f>AG539*(AJ539/AA539)</f>
        <v>460.19447471753017</v>
      </c>
      <c r="AN539" s="17">
        <f>AM539*Z539/X539/10000</f>
        <v>0.13069523081977857</v>
      </c>
      <c r="AO539" s="17">
        <f>AH539*AG539</f>
        <v>16.128151285366602</v>
      </c>
      <c r="AP539" s="16">
        <f>AN539/AO539</f>
        <v>8.1035469290495193E-3</v>
      </c>
      <c r="AQ539" s="6" t="str">
        <f>+IF(AP539&gt;AL539,"Cumple","No Cumple")</f>
        <v>Cumple</v>
      </c>
    </row>
    <row r="540" spans="1:43" ht="15" customHeight="1" x14ac:dyDescent="0.3">
      <c r="A540" s="13"/>
      <c r="B540" s="1">
        <v>5</v>
      </c>
      <c r="C540" s="1">
        <v>257</v>
      </c>
      <c r="D540" s="1">
        <v>1</v>
      </c>
      <c r="E540" s="5">
        <v>1</v>
      </c>
      <c r="F540" s="3">
        <f>F539+E540</f>
        <v>5</v>
      </c>
      <c r="G540" s="5">
        <v>2</v>
      </c>
      <c r="H540" s="3">
        <f>PI()*(G540^2)/4</f>
        <v>3.1415926535897931</v>
      </c>
      <c r="I540" s="4">
        <v>7.3538999999999993E-2</v>
      </c>
      <c r="K540" s="3">
        <v>161.52404943998278</v>
      </c>
      <c r="L540" s="3">
        <v>196.15178</v>
      </c>
      <c r="M540" s="3">
        <v>2359.3695400000001</v>
      </c>
      <c r="N540" s="12">
        <f>I540/H540</f>
        <v>2.340819072006978E-2</v>
      </c>
      <c r="O540" s="11">
        <f>I540*10000</f>
        <v>735.39</v>
      </c>
      <c r="P540" s="1">
        <v>10</v>
      </c>
      <c r="Q540" s="1">
        <v>2</v>
      </c>
      <c r="R540" s="3">
        <f>Q540*VLOOKUP(P540,[1]Datos!$A$2:$D$14,2)</f>
        <v>16.38</v>
      </c>
      <c r="S540" s="10">
        <f>ROUNDUP(O540/R540,0)</f>
        <v>45</v>
      </c>
      <c r="T540" s="2">
        <v>49</v>
      </c>
      <c r="U540" s="3">
        <f>ROUNDDOWN(PI()*(G540-0.185)/T540,2)</f>
        <v>0.11</v>
      </c>
      <c r="V540" s="3"/>
      <c r="W540" s="1">
        <v>280</v>
      </c>
      <c r="X540" s="9">
        <v>2</v>
      </c>
      <c r="Y540" s="1">
        <v>6</v>
      </c>
      <c r="Z540" s="3">
        <f>X540*VLOOKUP(Y540,[1]Datos!$A$2:$D$14,2)</f>
        <v>5.68</v>
      </c>
      <c r="AA540" s="8">
        <v>7.4999999999999997E-2</v>
      </c>
      <c r="AB540" s="7">
        <f>IF(D540=0,0.9,0.5)*0.9*0.53*SQRT(W540)*G540*MAX(0.72*G540,0.9*((G540/2)+((G540-0.11)/PI())))*10</f>
        <v>115.05235319041492</v>
      </c>
      <c r="AC540" s="7">
        <f>0.9*Z540*4220*MAX(0.72*G540,0.9*((G540/2)+((G540-0.11)/PI())))/AA540/1000</f>
        <v>414.61035434434268</v>
      </c>
      <c r="AD540" s="6" t="str">
        <f>+IF(AC540&gt;K540-AB540,"Cumple","No Cumple")</f>
        <v>Cumple</v>
      </c>
      <c r="AE540" s="6"/>
      <c r="AG540" s="7">
        <f>ROUNDUP(MAX(0.45,3*G540,),0)</f>
        <v>6</v>
      </c>
      <c r="AH540" s="3">
        <f>PI()*(G540-0.15)^2/4</f>
        <v>2.6880252142277672</v>
      </c>
      <c r="AI540" s="7">
        <f>G540-0.15-VLOOKUP(Y540,[1]Datos!$A$2:$D$14,3)/100</f>
        <v>1.8309000000000002</v>
      </c>
      <c r="AJ540" s="7">
        <f>SQRT((PI()*AI540)^2+AA540^2)</f>
        <v>5.7524309339691264</v>
      </c>
      <c r="AK540" s="1">
        <v>0.12</v>
      </c>
      <c r="AL540" s="16">
        <f>MAX(0.45*(H540/AH540-1),AK540)*(W540/4220)</f>
        <v>7.9620853080568724E-3</v>
      </c>
      <c r="AM540" s="7">
        <f>AG540*(AJ540/AA540)</f>
        <v>460.19447471753017</v>
      </c>
      <c r="AN540" s="17">
        <f>AM540*Z540/X540/10000</f>
        <v>0.13069523081977857</v>
      </c>
      <c r="AO540" s="17">
        <f>AH540*AG540</f>
        <v>16.128151285366602</v>
      </c>
      <c r="AP540" s="16">
        <f>AN540/AO540</f>
        <v>8.1035469290495193E-3</v>
      </c>
      <c r="AQ540" s="6" t="str">
        <f>+IF(AP540&gt;AL540,"Cumple","No Cumple")</f>
        <v>Cumple</v>
      </c>
    </row>
    <row r="541" spans="1:43" ht="15" customHeight="1" x14ac:dyDescent="0.3">
      <c r="A541" s="13"/>
      <c r="B541" s="1">
        <v>6</v>
      </c>
      <c r="C541" s="1">
        <v>259</v>
      </c>
      <c r="D541" s="1">
        <v>1</v>
      </c>
      <c r="E541" s="5">
        <v>1</v>
      </c>
      <c r="F541" s="3">
        <f>F540+E541</f>
        <v>6</v>
      </c>
      <c r="G541" s="5">
        <v>2</v>
      </c>
      <c r="H541" s="3">
        <f>PI()*(G541^2)/4</f>
        <v>3.1415926535897931</v>
      </c>
      <c r="I541" s="4">
        <v>6.6611000000000004E-2</v>
      </c>
      <c r="K541" s="3">
        <v>209.89850534089089</v>
      </c>
      <c r="L541" s="3">
        <v>213.87851000000001</v>
      </c>
      <c r="M541" s="3">
        <v>2207.9484900000002</v>
      </c>
      <c r="N541" s="12">
        <f>I541/H541</f>
        <v>2.1202939828588483E-2</v>
      </c>
      <c r="O541" s="11">
        <f>I541*10000</f>
        <v>666.11</v>
      </c>
      <c r="P541" s="1">
        <v>10</v>
      </c>
      <c r="Q541" s="19">
        <v>2</v>
      </c>
      <c r="R541" s="3">
        <f>Q541*VLOOKUP(P541,[1]Datos!$A$2:$D$14,2)</f>
        <v>16.38</v>
      </c>
      <c r="S541" s="10">
        <f>ROUNDUP(O541/R541,0)</f>
        <v>41</v>
      </c>
      <c r="T541" s="18">
        <v>49</v>
      </c>
      <c r="U541" s="3">
        <f>ROUNDDOWN(PI()*(G541-0.185)/T541,2)</f>
        <v>0.11</v>
      </c>
      <c r="V541" s="3"/>
      <c r="W541" s="1">
        <v>280</v>
      </c>
      <c r="X541" s="9">
        <v>2</v>
      </c>
      <c r="Y541" s="1">
        <v>6</v>
      </c>
      <c r="Z541" s="3">
        <f>X541*VLOOKUP(Y541,[1]Datos!$A$2:$D$14,2)</f>
        <v>5.68</v>
      </c>
      <c r="AA541" s="8">
        <v>7.4999999999999997E-2</v>
      </c>
      <c r="AB541" s="7">
        <f>IF(D541=0,0.9,0.5)*0.9*0.53*SQRT(W541)*G541*MAX(0.72*G541,0.9*((G541/2)+((G541-0.11)/PI())))*10</f>
        <v>115.05235319041492</v>
      </c>
      <c r="AC541" s="7">
        <f>0.9*Z541*4220*MAX(0.72*G541,0.9*((G541/2)+((G541-0.11)/PI())))/AA541/1000</f>
        <v>414.61035434434268</v>
      </c>
      <c r="AD541" s="6" t="str">
        <f>+IF(AC541&gt;K541-AB541,"Cumple","No Cumple")</f>
        <v>Cumple</v>
      </c>
      <c r="AE541" s="6"/>
      <c r="AG541" s="7">
        <f>ROUNDUP(MAX(0.45,3*G541,),0)</f>
        <v>6</v>
      </c>
      <c r="AH541" s="3">
        <f>PI()*(G541-0.15)^2/4</f>
        <v>2.6880252142277672</v>
      </c>
      <c r="AI541" s="7">
        <f>G541-0.15-VLOOKUP(Y541,[1]Datos!$A$2:$D$14,3)/100</f>
        <v>1.8309000000000002</v>
      </c>
      <c r="AJ541" s="7">
        <f>SQRT((PI()*AI541)^2+AA541^2)</f>
        <v>5.7524309339691264</v>
      </c>
      <c r="AK541" s="1">
        <v>0.12</v>
      </c>
      <c r="AL541" s="16">
        <f>MAX(0.45*(H541/AH541-1),AK541)*(W541/4220)</f>
        <v>7.9620853080568724E-3</v>
      </c>
      <c r="AM541" s="7">
        <f>AG541*(AJ541/AA541)</f>
        <v>460.19447471753017</v>
      </c>
      <c r="AN541" s="17">
        <f>AM541*Z541/X541/10000</f>
        <v>0.13069523081977857</v>
      </c>
      <c r="AO541" s="17">
        <f>AH541*AG541</f>
        <v>16.128151285366602</v>
      </c>
      <c r="AP541" s="16">
        <f>AN541/AO541</f>
        <v>8.1035469290495193E-3</v>
      </c>
      <c r="AQ541" s="6" t="str">
        <f>+IF(AP541&gt;AL541,"Cumple","No Cumple")</f>
        <v>Cumple</v>
      </c>
    </row>
    <row r="542" spans="1:43" ht="15" customHeight="1" x14ac:dyDescent="0.3">
      <c r="A542" s="13"/>
      <c r="B542" s="1">
        <v>7</v>
      </c>
      <c r="C542" s="1">
        <v>261</v>
      </c>
      <c r="D542" s="1">
        <v>1</v>
      </c>
      <c r="E542" s="5">
        <v>1</v>
      </c>
      <c r="F542" s="3">
        <f>F541+E542</f>
        <v>7</v>
      </c>
      <c r="G542" s="5">
        <v>2</v>
      </c>
      <c r="H542" s="3">
        <f>PI()*(G542^2)/4</f>
        <v>3.1415926535897931</v>
      </c>
      <c r="I542" s="4">
        <v>5.6925999999999997E-2</v>
      </c>
      <c r="K542" s="3">
        <v>245.30154815100536</v>
      </c>
      <c r="L542" s="3">
        <v>221.81180000000001</v>
      </c>
      <c r="M542" s="3">
        <v>2004.4942599999999</v>
      </c>
      <c r="N542" s="12">
        <f>I542/H542</f>
        <v>1.8120108580898468E-2</v>
      </c>
      <c r="O542" s="11">
        <f>I542*10000</f>
        <v>569.26</v>
      </c>
      <c r="P542" s="1">
        <v>10</v>
      </c>
      <c r="Q542" s="19">
        <v>2</v>
      </c>
      <c r="R542" s="3">
        <f>Q542*VLOOKUP(P542,[1]Datos!$A$2:$D$14,2)</f>
        <v>16.38</v>
      </c>
      <c r="S542" s="10">
        <f>ROUNDUP(O542/R542,0)</f>
        <v>35</v>
      </c>
      <c r="T542" s="18">
        <v>49</v>
      </c>
      <c r="U542" s="3">
        <f>ROUNDDOWN(PI()*(G542-0.185)/T542,2)</f>
        <v>0.11</v>
      </c>
      <c r="V542" s="3"/>
      <c r="W542" s="1">
        <v>280</v>
      </c>
      <c r="X542" s="9">
        <v>2</v>
      </c>
      <c r="Y542" s="1">
        <v>6</v>
      </c>
      <c r="Z542" s="3">
        <f>X542*VLOOKUP(Y542,[1]Datos!$A$2:$D$14,2)</f>
        <v>5.68</v>
      </c>
      <c r="AA542" s="8">
        <v>0.15</v>
      </c>
      <c r="AB542" s="7">
        <f>IF(D542=0,0.9,0.5)*0.9*0.53*SQRT(W542)*G542*MAX(0.72*G542,0.9*((G542/2)+((G542-0.11)/PI())))*10</f>
        <v>115.05235319041492</v>
      </c>
      <c r="AC542" s="7">
        <f>0.9*Z542*4220*MAX(0.72*G542,0.9*((G542/2)+((G542-0.11)/PI())))/AA542/1000</f>
        <v>207.30517717217134</v>
      </c>
      <c r="AD542" s="6" t="str">
        <f>+IF(AC542&gt;K542-AB542,"Cumple","No Cumple")</f>
        <v>Cumple</v>
      </c>
      <c r="AE542" s="6"/>
      <c r="AH542" s="3"/>
    </row>
    <row r="543" spans="1:43" ht="15" customHeight="1" x14ac:dyDescent="0.3">
      <c r="A543" s="13"/>
      <c r="B543" s="1">
        <v>8</v>
      </c>
      <c r="C543" s="1">
        <v>263</v>
      </c>
      <c r="D543" s="1">
        <v>1</v>
      </c>
      <c r="E543" s="5">
        <v>1</v>
      </c>
      <c r="F543" s="3">
        <f>F542+E543</f>
        <v>8</v>
      </c>
      <c r="G543" s="5">
        <v>2</v>
      </c>
      <c r="H543" s="3">
        <f>PI()*(G543^2)/4</f>
        <v>3.1415926535897931</v>
      </c>
      <c r="I543" s="4">
        <v>5.1302E-2</v>
      </c>
      <c r="K543" s="3">
        <v>265.53722851310323</v>
      </c>
      <c r="L543" s="3">
        <v>221.81182000000001</v>
      </c>
      <c r="M543" s="3">
        <v>1763.57969</v>
      </c>
      <c r="N543" s="12">
        <f>I543/H543</f>
        <v>1.6329933781000831E-2</v>
      </c>
      <c r="O543" s="11">
        <f>I543*10000</f>
        <v>513.02</v>
      </c>
      <c r="P543" s="1">
        <v>10</v>
      </c>
      <c r="Q543" s="19">
        <v>2</v>
      </c>
      <c r="R543" s="3">
        <f>Q543*VLOOKUP(P543,[1]Datos!$A$2:$D$14,2)</f>
        <v>16.38</v>
      </c>
      <c r="S543" s="10">
        <f>ROUNDUP(O543/R543,0)</f>
        <v>32</v>
      </c>
      <c r="T543" s="18">
        <v>49</v>
      </c>
      <c r="U543" s="3">
        <f>ROUNDDOWN(PI()*(G543-0.185)/T543,2)</f>
        <v>0.11</v>
      </c>
      <c r="V543" s="3"/>
      <c r="W543" s="1">
        <v>280</v>
      </c>
      <c r="X543" s="9">
        <v>2</v>
      </c>
      <c r="Y543" s="1">
        <v>6</v>
      </c>
      <c r="Z543" s="3">
        <f>X543*VLOOKUP(Y543,[1]Datos!$A$2:$D$14,2)</f>
        <v>5.68</v>
      </c>
      <c r="AA543" s="8">
        <v>0.15</v>
      </c>
      <c r="AB543" s="7">
        <f>IF(D543=0,0.9,0.5)*0.9*0.53*SQRT(W543)*G543*MAX(0.72*G543,0.9*((G543/2)+((G543-0.11)/PI())))*10</f>
        <v>115.05235319041492</v>
      </c>
      <c r="AC543" s="7">
        <f>0.9*Z543*4220*MAX(0.72*G543,0.9*((G543/2)+((G543-0.11)/PI())))/AA543/1000</f>
        <v>207.30517717217134</v>
      </c>
      <c r="AD543" s="6" t="str">
        <f>+IF(AC543&gt;K543-AB543,"Cumple","No Cumple")</f>
        <v>Cumple</v>
      </c>
      <c r="AE543" s="6"/>
      <c r="AH543" s="3"/>
    </row>
    <row r="544" spans="1:43" ht="15" customHeight="1" x14ac:dyDescent="0.3">
      <c r="A544" s="13"/>
      <c r="B544" s="1">
        <v>9</v>
      </c>
      <c r="C544" s="1">
        <v>265</v>
      </c>
      <c r="D544" s="1">
        <v>1</v>
      </c>
      <c r="E544" s="5">
        <v>1</v>
      </c>
      <c r="F544" s="3">
        <f>F543+E544</f>
        <v>9</v>
      </c>
      <c r="G544" s="5">
        <v>2</v>
      </c>
      <c r="H544" s="3">
        <f>PI()*(G544^2)/4</f>
        <v>3.1415926535897931</v>
      </c>
      <c r="I544" s="4">
        <v>4.2340000000000003E-2</v>
      </c>
      <c r="K544" s="3">
        <v>271.00591270570095</v>
      </c>
      <c r="L544" s="3">
        <v>219.21668</v>
      </c>
      <c r="M544" s="3">
        <v>1501.12943</v>
      </c>
      <c r="N544" s="12">
        <f>I544/H544</f>
        <v>1.3477240581021699E-2</v>
      </c>
      <c r="O544" s="11">
        <f>I544*10000</f>
        <v>423.40000000000003</v>
      </c>
      <c r="P544" s="1">
        <v>10</v>
      </c>
      <c r="Q544" s="1">
        <v>1</v>
      </c>
      <c r="R544" s="3">
        <f>Q544*VLOOKUP(P544,[1]Datos!$A$2:$D$14,2)</f>
        <v>8.19</v>
      </c>
      <c r="S544" s="10">
        <f>ROUNDUP(O544/R544,0)</f>
        <v>52</v>
      </c>
      <c r="T544" s="2">
        <v>55</v>
      </c>
      <c r="U544" s="3">
        <f>ROUNDDOWN(PI()*(G544-0.185)/T544,2)</f>
        <v>0.1</v>
      </c>
      <c r="V544" s="3"/>
      <c r="W544" s="1">
        <v>280</v>
      </c>
      <c r="X544" s="9">
        <v>2</v>
      </c>
      <c r="Y544" s="1">
        <v>6</v>
      </c>
      <c r="Z544" s="3">
        <f>X544*VLOOKUP(Y544,[1]Datos!$A$2:$D$14,2)</f>
        <v>5.68</v>
      </c>
      <c r="AA544" s="8">
        <v>0.15</v>
      </c>
      <c r="AB544" s="7">
        <f>IF(D544=0,0.9,0.5)*0.9*0.53*SQRT(W544)*G544*MAX(0.72*G544,0.9*((G544/2)+((G544-0.11)/PI())))*10</f>
        <v>115.05235319041492</v>
      </c>
      <c r="AC544" s="7">
        <f>0.9*Z544*4220*MAX(0.72*G544,0.9*((G544/2)+((G544-0.11)/PI())))/AA544/1000</f>
        <v>207.30517717217134</v>
      </c>
      <c r="AD544" s="6" t="str">
        <f>+IF(AC544&gt;K544-AB544,"Cumple","No Cumple")</f>
        <v>Cumple</v>
      </c>
      <c r="AE544" s="6"/>
      <c r="AH544" s="3"/>
    </row>
    <row r="545" spans="1:43" ht="15" customHeight="1" x14ac:dyDescent="0.3">
      <c r="A545" s="13"/>
      <c r="B545" s="1">
        <v>10</v>
      </c>
      <c r="C545" s="1">
        <v>267</v>
      </c>
      <c r="D545" s="1">
        <v>1</v>
      </c>
      <c r="E545" s="5">
        <v>1</v>
      </c>
      <c r="F545" s="3">
        <f>F544+E545</f>
        <v>10</v>
      </c>
      <c r="G545" s="5">
        <v>2</v>
      </c>
      <c r="H545" s="3">
        <f>PI()*(G545^2)/4</f>
        <v>3.1415926535897931</v>
      </c>
      <c r="I545" s="4">
        <v>3.1415999999999999E-2</v>
      </c>
      <c r="K545" s="3">
        <v>263.73173001482019</v>
      </c>
      <c r="L545" s="3">
        <v>207.40606</v>
      </c>
      <c r="M545" s="3">
        <v>1232.36393</v>
      </c>
      <c r="N545" s="12">
        <f>I545/H545</f>
        <v>1.0000023384349969E-2</v>
      </c>
      <c r="O545" s="11">
        <f>I545*10000</f>
        <v>314.15999999999997</v>
      </c>
      <c r="P545" s="1">
        <v>10</v>
      </c>
      <c r="Q545" s="1">
        <v>1</v>
      </c>
      <c r="R545" s="3">
        <f>Q545*VLOOKUP(P545,[1]Datos!$A$2:$D$14,2)</f>
        <v>8.19</v>
      </c>
      <c r="S545" s="10">
        <f>ROUNDUP(O545/R545,0)</f>
        <v>39</v>
      </c>
      <c r="T545" s="2">
        <v>55</v>
      </c>
      <c r="U545" s="3">
        <f>ROUNDDOWN(PI()*(G545-0.185)/T545,2)</f>
        <v>0.1</v>
      </c>
      <c r="V545" s="3"/>
      <c r="W545" s="1">
        <v>280</v>
      </c>
      <c r="X545" s="9">
        <v>2</v>
      </c>
      <c r="Y545" s="1">
        <v>6</v>
      </c>
      <c r="Z545" s="3">
        <f>X545*VLOOKUP(Y545,[1]Datos!$A$2:$D$14,2)</f>
        <v>5.68</v>
      </c>
      <c r="AA545" s="8">
        <v>0.15</v>
      </c>
      <c r="AB545" s="7">
        <f>IF(D545=0,0.9,0.5)*0.9*0.53*SQRT(W545)*G545*MAX(0.72*G545,0.9*((G545/2)+((G545-0.11)/PI())))*10</f>
        <v>115.05235319041492</v>
      </c>
      <c r="AC545" s="7">
        <f>0.9*Z545*4220*MAX(0.72*G545,0.9*((G545/2)+((G545-0.11)/PI())))/AA545/1000</f>
        <v>207.30517717217134</v>
      </c>
      <c r="AD545" s="6" t="str">
        <f>+IF(AC545&gt;K545-AB545,"Cumple","No Cumple")</f>
        <v>Cumple</v>
      </c>
      <c r="AE545" s="6"/>
      <c r="AH545" s="3"/>
    </row>
    <row r="546" spans="1:43" ht="15" customHeight="1" x14ac:dyDescent="0.3">
      <c r="A546" s="13"/>
      <c r="B546" s="1">
        <v>11</v>
      </c>
      <c r="C546" s="1">
        <v>269</v>
      </c>
      <c r="D546" s="1">
        <v>1</v>
      </c>
      <c r="E546" s="5">
        <v>1</v>
      </c>
      <c r="F546" s="3">
        <f>F545+E546</f>
        <v>11</v>
      </c>
      <c r="G546" s="5">
        <v>2</v>
      </c>
      <c r="H546" s="3">
        <f>PI()*(G546^2)/4</f>
        <v>3.1415926535897931</v>
      </c>
      <c r="I546" s="4">
        <v>3.1415999999999999E-2</v>
      </c>
      <c r="K546" s="3">
        <v>246.66257503279658</v>
      </c>
      <c r="L546" s="3">
        <v>188.39696000000001</v>
      </c>
      <c r="M546" s="3">
        <v>970.34081000000003</v>
      </c>
      <c r="N546" s="12">
        <f>I546/H546</f>
        <v>1.0000023384349969E-2</v>
      </c>
      <c r="O546" s="11">
        <f>I546*10000</f>
        <v>314.15999999999997</v>
      </c>
      <c r="P546" s="1">
        <v>10</v>
      </c>
      <c r="Q546" s="1">
        <v>1</v>
      </c>
      <c r="R546" s="3">
        <f>Q546*VLOOKUP(P546,[1]Datos!$A$2:$D$14,2)</f>
        <v>8.19</v>
      </c>
      <c r="S546" s="10">
        <f>ROUNDUP(O546/R546,0)</f>
        <v>39</v>
      </c>
      <c r="T546" s="2">
        <v>55</v>
      </c>
      <c r="U546" s="3">
        <f>ROUNDDOWN(PI()*(G546-0.185)/T546,2)</f>
        <v>0.1</v>
      </c>
      <c r="V546" s="3"/>
      <c r="W546" s="1">
        <v>280</v>
      </c>
      <c r="X546" s="9">
        <v>2</v>
      </c>
      <c r="Y546" s="1">
        <v>6</v>
      </c>
      <c r="Z546" s="3">
        <f>X546*VLOOKUP(Y546,[1]Datos!$A$2:$D$14,2)</f>
        <v>5.68</v>
      </c>
      <c r="AA546" s="8">
        <v>0.15</v>
      </c>
      <c r="AB546" s="7">
        <f>IF(D546=0,0.9,0.5)*0.9*0.53*SQRT(W546)*G546*MAX(0.72*G546,0.9*((G546/2)+((G546-0.11)/PI())))*10</f>
        <v>115.05235319041492</v>
      </c>
      <c r="AC546" s="7">
        <f>0.9*Z546*4220*MAX(0.72*G546,0.9*((G546/2)+((G546-0.11)/PI())))/AA546/1000</f>
        <v>207.30517717217134</v>
      </c>
      <c r="AD546" s="6" t="str">
        <f>+IF(AC546&gt;K546-AB546,"Cumple","No Cumple")</f>
        <v>Cumple</v>
      </c>
      <c r="AE546" s="6"/>
      <c r="AH546" s="3"/>
    </row>
    <row r="547" spans="1:43" ht="15" customHeight="1" x14ac:dyDescent="0.3">
      <c r="A547" s="13"/>
      <c r="B547" s="1">
        <v>12</v>
      </c>
      <c r="C547" s="1">
        <v>271</v>
      </c>
      <c r="D547" s="1">
        <v>1</v>
      </c>
      <c r="E547" s="5">
        <v>1</v>
      </c>
      <c r="F547" s="3">
        <f>F546+E547</f>
        <v>12</v>
      </c>
      <c r="G547" s="5">
        <v>2</v>
      </c>
      <c r="H547" s="3">
        <f>PI()*(G547^2)/4</f>
        <v>3.1415926535897931</v>
      </c>
      <c r="I547" s="4">
        <v>3.1415999999999999E-2</v>
      </c>
      <c r="K547" s="3">
        <v>223.18892789798062</v>
      </c>
      <c r="L547" s="3">
        <v>164.68156999999999</v>
      </c>
      <c r="M547" s="3">
        <v>725.07072000000005</v>
      </c>
      <c r="N547" s="12">
        <f>I547/H547</f>
        <v>1.0000023384349969E-2</v>
      </c>
      <c r="O547" s="11">
        <f>I547*10000</f>
        <v>314.15999999999997</v>
      </c>
      <c r="P547" s="1">
        <v>10</v>
      </c>
      <c r="Q547" s="19">
        <v>1</v>
      </c>
      <c r="R547" s="3">
        <f>Q547*VLOOKUP(P547,[1]Datos!$A$2:$D$14,2)</f>
        <v>8.19</v>
      </c>
      <c r="S547" s="10">
        <f>ROUNDUP(O547/R547,0)</f>
        <v>39</v>
      </c>
      <c r="T547" s="18">
        <v>55</v>
      </c>
      <c r="U547" s="3">
        <f>ROUNDDOWN(PI()*(G547-0.185)/T547,2)</f>
        <v>0.1</v>
      </c>
      <c r="V547" s="3"/>
      <c r="W547" s="1">
        <v>280</v>
      </c>
      <c r="X547" s="9">
        <v>2</v>
      </c>
      <c r="Y547" s="1">
        <v>6</v>
      </c>
      <c r="Z547" s="3">
        <f>X547*VLOOKUP(Y547,[1]Datos!$A$2:$D$14,2)</f>
        <v>5.68</v>
      </c>
      <c r="AA547" s="8">
        <v>0.15</v>
      </c>
      <c r="AB547" s="7">
        <f>IF(D547=0,0.9,0.5)*0.9*0.53*SQRT(W547)*G547*MAX(0.72*G547,0.9*((G547/2)+((G547-0.11)/PI())))*10</f>
        <v>115.05235319041492</v>
      </c>
      <c r="AC547" s="7">
        <f>0.9*Z547*4220*MAX(0.72*G547,0.9*((G547/2)+((G547-0.11)/PI())))/AA547/1000</f>
        <v>207.30517717217134</v>
      </c>
      <c r="AD547" s="6" t="str">
        <f>+IF(AC547&gt;K547-AB547,"Cumple","No Cumple")</f>
        <v>Cumple</v>
      </c>
      <c r="AE547" s="6"/>
      <c r="AH547" s="3"/>
    </row>
    <row r="548" spans="1:43" ht="15" customHeight="1" x14ac:dyDescent="0.3">
      <c r="A548" s="13"/>
      <c r="B548" s="1">
        <v>13</v>
      </c>
      <c r="C548" s="1">
        <v>273</v>
      </c>
      <c r="D548" s="1">
        <v>1</v>
      </c>
      <c r="E548" s="5">
        <v>1</v>
      </c>
      <c r="F548" s="3">
        <f>F547+E548</f>
        <v>13</v>
      </c>
      <c r="G548" s="5">
        <v>2</v>
      </c>
      <c r="H548" s="3">
        <f>PI()*(G548^2)/4</f>
        <v>3.1415926535897931</v>
      </c>
      <c r="I548" s="4">
        <v>3.1415999999999999E-2</v>
      </c>
      <c r="K548" s="3">
        <v>196.6979152249713</v>
      </c>
      <c r="L548" s="3">
        <v>141.26898</v>
      </c>
      <c r="M548" s="3">
        <v>503.15926000000002</v>
      </c>
      <c r="N548" s="12">
        <f>I548/H548</f>
        <v>1.0000023384349969E-2</v>
      </c>
      <c r="O548" s="11">
        <f>I548*10000</f>
        <v>314.15999999999997</v>
      </c>
      <c r="P548" s="1">
        <v>10</v>
      </c>
      <c r="Q548" s="19">
        <v>1</v>
      </c>
      <c r="R548" s="3">
        <f>Q548*VLOOKUP(P548,[1]Datos!$A$2:$D$14,2)</f>
        <v>8.19</v>
      </c>
      <c r="S548" s="10">
        <f>ROUNDUP(O548/R548,0)</f>
        <v>39</v>
      </c>
      <c r="T548" s="18">
        <v>55</v>
      </c>
      <c r="U548" s="3">
        <f>ROUNDDOWN(PI()*(G548-0.185)/T548,2)</f>
        <v>0.1</v>
      </c>
      <c r="V548" s="3"/>
      <c r="W548" s="1">
        <v>280</v>
      </c>
      <c r="X548" s="9">
        <v>2</v>
      </c>
      <c r="Y548" s="1">
        <v>6</v>
      </c>
      <c r="Z548" s="3">
        <f>X548*VLOOKUP(Y548,[1]Datos!$A$2:$D$14,2)</f>
        <v>5.68</v>
      </c>
      <c r="AA548" s="8">
        <v>0.15</v>
      </c>
      <c r="AB548" s="7">
        <f>IF(D548=0,0.9,0.5)*0.9*0.53*SQRT(W548)*G548*MAX(0.72*G548,0.9*((G548/2)+((G548-0.11)/PI())))*10</f>
        <v>115.05235319041492</v>
      </c>
      <c r="AC548" s="7">
        <f>0.9*Z548*4220*MAX(0.72*G548,0.9*((G548/2)+((G548-0.11)/PI())))/AA548/1000</f>
        <v>207.30517717217134</v>
      </c>
      <c r="AD548" s="6" t="str">
        <f>+IF(AC548&gt;K548-AB548,"Cumple","No Cumple")</f>
        <v>Cumple</v>
      </c>
      <c r="AE548" s="6"/>
      <c r="AH548" s="3"/>
    </row>
    <row r="549" spans="1:43" ht="15" customHeight="1" x14ac:dyDescent="0.3">
      <c r="A549" s="13"/>
      <c r="B549" s="1">
        <v>14</v>
      </c>
      <c r="C549" s="1">
        <v>275</v>
      </c>
      <c r="D549" s="1">
        <v>1</v>
      </c>
      <c r="E549" s="5">
        <v>1</v>
      </c>
      <c r="F549" s="3">
        <f>F548+E549</f>
        <v>14</v>
      </c>
      <c r="G549" s="5">
        <v>2</v>
      </c>
      <c r="H549" s="3">
        <f>PI()*(G549^2)/4</f>
        <v>3.1415926535897931</v>
      </c>
      <c r="I549" s="4">
        <v>3.1415999999999999E-2</v>
      </c>
      <c r="K549" s="3">
        <v>143.51285811919433</v>
      </c>
      <c r="L549" s="3">
        <v>115.59319000000001</v>
      </c>
      <c r="M549" s="3">
        <v>307.96177</v>
      </c>
      <c r="N549" s="12">
        <f>I549/H549</f>
        <v>1.0000023384349969E-2</v>
      </c>
      <c r="O549" s="11">
        <f>I549*10000</f>
        <v>314.15999999999997</v>
      </c>
      <c r="P549" s="1">
        <v>10</v>
      </c>
      <c r="Q549" s="19">
        <v>1</v>
      </c>
      <c r="R549" s="3">
        <f>Q549*VLOOKUP(P549,[1]Datos!$A$2:$D$14,2)</f>
        <v>8.19</v>
      </c>
      <c r="S549" s="10">
        <f>ROUNDUP(O549/R549,0)</f>
        <v>39</v>
      </c>
      <c r="T549" s="18">
        <v>55</v>
      </c>
      <c r="U549" s="3">
        <f>ROUNDDOWN(PI()*(G549-0.185)/T549,2)</f>
        <v>0.1</v>
      </c>
      <c r="V549" s="3"/>
      <c r="W549" s="1">
        <v>280</v>
      </c>
      <c r="X549" s="9">
        <v>2</v>
      </c>
      <c r="Y549" s="1">
        <v>4</v>
      </c>
      <c r="Z549" s="3">
        <f>X549*VLOOKUP(Y549,[1]Datos!$A$2:$D$14,2)</f>
        <v>2.58</v>
      </c>
      <c r="AA549" s="8">
        <v>0.3</v>
      </c>
      <c r="AB549" s="7">
        <f>IF(D549=0,0.9,0.5)*0.9*0.53*SQRT(W549)*G549*MAX(0.72*G549,0.9*((G549/2)+((G549-0.11)/PI())))*10</f>
        <v>115.05235319041492</v>
      </c>
      <c r="AC549" s="7">
        <f>0.9*Z549*4220*MAX(0.72*G549,0.9*((G549/2)+((G549-0.11)/PI())))/AA549/1000</f>
        <v>47.081633547905106</v>
      </c>
      <c r="AD549" s="6" t="str">
        <f>+IF(AC549&gt;K549-AB549,"Cumple","No Cumple")</f>
        <v>Cumple</v>
      </c>
      <c r="AE549" s="6"/>
      <c r="AH549" s="3"/>
    </row>
    <row r="550" spans="1:43" ht="15" customHeight="1" x14ac:dyDescent="0.3">
      <c r="A550" s="13"/>
      <c r="B550" s="1">
        <v>15</v>
      </c>
      <c r="C550" s="1">
        <v>277</v>
      </c>
      <c r="D550" s="1">
        <v>1</v>
      </c>
      <c r="E550" s="5">
        <v>1</v>
      </c>
      <c r="F550" s="3">
        <f>F549+E550</f>
        <v>15</v>
      </c>
      <c r="G550" s="5">
        <v>2</v>
      </c>
      <c r="H550" s="3">
        <f>PI()*(G550^2)/4</f>
        <v>3.1415926535897931</v>
      </c>
      <c r="I550" s="4">
        <v>3.1415999999999999E-2</v>
      </c>
      <c r="K550" s="3">
        <v>94.879632430411533</v>
      </c>
      <c r="L550" s="3">
        <v>88.897810000000007</v>
      </c>
      <c r="M550" s="3">
        <v>166.22361000000001</v>
      </c>
      <c r="N550" s="12">
        <f>I550/H550</f>
        <v>1.0000023384349969E-2</v>
      </c>
      <c r="O550" s="11">
        <f>I550*10000</f>
        <v>314.15999999999997</v>
      </c>
      <c r="P550" s="1">
        <v>10</v>
      </c>
      <c r="Q550" s="1">
        <v>1</v>
      </c>
      <c r="R550" s="3">
        <f>Q550*VLOOKUP(P550,[1]Datos!$A$2:$D$14,2)</f>
        <v>8.19</v>
      </c>
      <c r="S550" s="10">
        <f>ROUNDUP(O550/R550,0)</f>
        <v>39</v>
      </c>
      <c r="T550" s="2">
        <v>39</v>
      </c>
      <c r="U550" s="3">
        <f>ROUNDDOWN(PI()*(G550-0.185)/T550,2)</f>
        <v>0.14000000000000001</v>
      </c>
      <c r="V550" s="3"/>
      <c r="W550" s="1">
        <v>280</v>
      </c>
      <c r="X550" s="9">
        <v>2</v>
      </c>
      <c r="Y550" s="1">
        <v>4</v>
      </c>
      <c r="Z550" s="3">
        <f>X550*VLOOKUP(Y550,[1]Datos!$A$2:$D$14,2)</f>
        <v>2.58</v>
      </c>
      <c r="AA550" s="8">
        <v>0.3</v>
      </c>
      <c r="AB550" s="7">
        <f>IF(D550=0,0.9,0.5)*0.9*0.53*SQRT(W550)*G550*MAX(0.72*G550,0.9*((G550/2)+((G550-0.11)/PI())))*10</f>
        <v>115.05235319041492</v>
      </c>
      <c r="AC550" s="7">
        <f>0.9*Z550*4220*MAX(0.72*G550,0.9*((G550/2)+((G550-0.11)/PI())))/AA550/1000</f>
        <v>47.081633547905106</v>
      </c>
      <c r="AD550" s="6" t="str">
        <f>+IF(AC550&gt;K550-AB550,"Cumple","No Cumple")</f>
        <v>Cumple</v>
      </c>
      <c r="AE550" s="6"/>
      <c r="AH550" s="3"/>
    </row>
    <row r="551" spans="1:43" ht="15" customHeight="1" x14ac:dyDescent="0.3">
      <c r="A551" s="13"/>
      <c r="B551" s="1">
        <v>16</v>
      </c>
      <c r="C551" s="1">
        <v>279</v>
      </c>
      <c r="D551" s="1">
        <v>1</v>
      </c>
      <c r="E551" s="5">
        <v>1</v>
      </c>
      <c r="F551" s="3">
        <f>F550+E551</f>
        <v>16</v>
      </c>
      <c r="G551" s="5">
        <v>2</v>
      </c>
      <c r="H551" s="3">
        <f>PI()*(G551^2)/4</f>
        <v>3.1415926535897931</v>
      </c>
      <c r="I551" s="4">
        <v>3.1415999999999999E-2</v>
      </c>
      <c r="K551" s="3">
        <v>54.213680272879465</v>
      </c>
      <c r="L551" s="3">
        <v>63.324019999999997</v>
      </c>
      <c r="M551" s="3">
        <v>73.997550000000004</v>
      </c>
      <c r="N551" s="12">
        <f>I551/H551</f>
        <v>1.0000023384349969E-2</v>
      </c>
      <c r="O551" s="11">
        <f>I551*10000</f>
        <v>314.15999999999997</v>
      </c>
      <c r="P551" s="1">
        <v>10</v>
      </c>
      <c r="Q551" s="1">
        <v>1</v>
      </c>
      <c r="R551" s="3">
        <f>Q551*VLOOKUP(P551,[1]Datos!$A$2:$D$14,2)</f>
        <v>8.19</v>
      </c>
      <c r="S551" s="10">
        <f>ROUNDUP(O551/R551,0)</f>
        <v>39</v>
      </c>
      <c r="T551" s="2">
        <v>39</v>
      </c>
      <c r="U551" s="3">
        <f>ROUNDDOWN(PI()*(G551-0.185)/T551,2)</f>
        <v>0.14000000000000001</v>
      </c>
      <c r="V551" s="3"/>
      <c r="W551" s="1">
        <v>280</v>
      </c>
      <c r="X551" s="9">
        <v>2</v>
      </c>
      <c r="Y551" s="1">
        <v>4</v>
      </c>
      <c r="Z551" s="3">
        <f>X551*VLOOKUP(Y551,[1]Datos!$A$2:$D$14,2)</f>
        <v>2.58</v>
      </c>
      <c r="AA551" s="8">
        <v>0.3</v>
      </c>
      <c r="AB551" s="7">
        <f>IF(D551=0,0.9,0.5)*0.9*0.53*SQRT(W551)*G551*MAX(0.72*G551,0.9*((G551/2)+((G551-0.11)/PI())))*10</f>
        <v>115.05235319041492</v>
      </c>
      <c r="AC551" s="7">
        <f>0.9*Z551*4220*MAX(0.72*G551,0.9*((G551/2)+((G551-0.11)/PI())))/AA551/1000</f>
        <v>47.081633547905106</v>
      </c>
      <c r="AD551" s="6" t="str">
        <f>+IF(AC551&gt;K551-AB551,"Cumple","No Cumple")</f>
        <v>Cumple</v>
      </c>
      <c r="AE551" s="6"/>
      <c r="AH551" s="3"/>
    </row>
    <row r="552" spans="1:43" ht="15" customHeight="1" x14ac:dyDescent="0.3">
      <c r="A552" s="13"/>
      <c r="B552" s="1">
        <v>17</v>
      </c>
      <c r="C552" s="1">
        <v>281</v>
      </c>
      <c r="D552" s="1">
        <v>1</v>
      </c>
      <c r="E552" s="5">
        <v>1</v>
      </c>
      <c r="F552" s="3">
        <f>F551+E552</f>
        <v>17</v>
      </c>
      <c r="G552" s="5">
        <v>2</v>
      </c>
      <c r="H552" s="3">
        <f>PI()*(G552^2)/4</f>
        <v>3.1415926535897931</v>
      </c>
      <c r="I552" s="4">
        <v>3.1415999999999999E-2</v>
      </c>
      <c r="K552" s="3">
        <v>24.319072265610789</v>
      </c>
      <c r="L552" s="3">
        <v>40.676319999999997</v>
      </c>
      <c r="M552" s="3">
        <v>28.944980000000001</v>
      </c>
      <c r="N552" s="12">
        <f>I552/H552</f>
        <v>1.0000023384349969E-2</v>
      </c>
      <c r="O552" s="11">
        <f>I552*10000</f>
        <v>314.15999999999997</v>
      </c>
      <c r="P552" s="1">
        <v>10</v>
      </c>
      <c r="Q552" s="1">
        <v>1</v>
      </c>
      <c r="R552" s="3">
        <f>Q552*VLOOKUP(P552,[1]Datos!$A$2:$D$14,2)</f>
        <v>8.19</v>
      </c>
      <c r="S552" s="10">
        <f>ROUNDUP(O552/R552,0)</f>
        <v>39</v>
      </c>
      <c r="T552" s="2">
        <v>39</v>
      </c>
      <c r="U552" s="3">
        <f>ROUNDDOWN(PI()*(G552-0.185)/T552,2)</f>
        <v>0.14000000000000001</v>
      </c>
      <c r="V552" s="3"/>
      <c r="W552" s="1">
        <v>280</v>
      </c>
      <c r="X552" s="9">
        <v>2</v>
      </c>
      <c r="Y552" s="1">
        <v>4</v>
      </c>
      <c r="Z552" s="3">
        <f>X552*VLOOKUP(Y552,[1]Datos!$A$2:$D$14,2)</f>
        <v>2.58</v>
      </c>
      <c r="AA552" s="8">
        <v>0.3</v>
      </c>
      <c r="AB552" s="7">
        <f>IF(D552=0,0.9,0.5)*0.9*0.53*SQRT(W552)*G552*MAX(0.72*G552,0.9*((G552/2)+((G552-0.11)/PI())))*10</f>
        <v>115.05235319041492</v>
      </c>
      <c r="AC552" s="7">
        <f>0.9*Z552*4220*MAX(0.72*G552,0.9*((G552/2)+((G552-0.11)/PI())))/AA552/1000</f>
        <v>47.081633547905106</v>
      </c>
      <c r="AD552" s="6" t="str">
        <f>+IF(AC552&gt;K552-AB552,"Cumple","No Cumple")</f>
        <v>Cumple</v>
      </c>
      <c r="AE552" s="6"/>
      <c r="AH552" s="3"/>
    </row>
    <row r="553" spans="1:43" ht="15" customHeight="1" x14ac:dyDescent="0.3">
      <c r="A553" s="13"/>
      <c r="B553" s="1">
        <v>18</v>
      </c>
      <c r="C553" s="1">
        <v>283</v>
      </c>
      <c r="D553" s="1">
        <v>1</v>
      </c>
      <c r="E553" s="5">
        <v>1</v>
      </c>
      <c r="F553" s="3">
        <f>F552+E553</f>
        <v>18</v>
      </c>
      <c r="G553" s="5">
        <v>2</v>
      </c>
      <c r="H553" s="3">
        <f>PI()*(G553^2)/4</f>
        <v>3.1415926535897931</v>
      </c>
      <c r="I553" s="4">
        <v>3.1415999999999999E-2</v>
      </c>
      <c r="K553" s="3">
        <v>14.392418933938798</v>
      </c>
      <c r="L553" s="3">
        <v>22.256869999999999</v>
      </c>
      <c r="M553" s="3">
        <v>16.528770000000002</v>
      </c>
      <c r="N553" s="12">
        <f>I553/H553</f>
        <v>1.0000023384349969E-2</v>
      </c>
      <c r="O553" s="11">
        <f>I553*10000</f>
        <v>314.15999999999997</v>
      </c>
      <c r="P553" s="1">
        <v>10</v>
      </c>
      <c r="Q553" s="1">
        <v>1</v>
      </c>
      <c r="R553" s="3">
        <f>Q553*VLOOKUP(P553,[1]Datos!$A$2:$D$14,2)</f>
        <v>8.19</v>
      </c>
      <c r="S553" s="10">
        <f>ROUNDUP(O553/R553,0)</f>
        <v>39</v>
      </c>
      <c r="T553" s="2">
        <v>39</v>
      </c>
      <c r="U553" s="3">
        <f>ROUNDDOWN(PI()*(G553-0.185)/T553,2)</f>
        <v>0.14000000000000001</v>
      </c>
      <c r="V553" s="3"/>
      <c r="W553" s="1">
        <v>280</v>
      </c>
      <c r="X553" s="9">
        <v>2</v>
      </c>
      <c r="Y553" s="1">
        <v>4</v>
      </c>
      <c r="Z553" s="3">
        <f>X553*VLOOKUP(Y553,[1]Datos!$A$2:$D$14,2)</f>
        <v>2.58</v>
      </c>
      <c r="AA553" s="8">
        <v>0.3</v>
      </c>
      <c r="AB553" s="7">
        <f>IF(D553=0,0.9,0.5)*0.9*0.53*SQRT(W553)*G553*MAX(0.72*G553,0.9*((G553/2)+((G553-0.11)/PI())))*10</f>
        <v>115.05235319041492</v>
      </c>
      <c r="AC553" s="7">
        <f>0.9*Z553*4220*MAX(0.72*G553,0.9*((G553/2)+((G553-0.11)/PI())))/AA553/1000</f>
        <v>47.081633547905106</v>
      </c>
      <c r="AD553" s="6" t="str">
        <f>+IF(AC553&gt;K553-AB553,"Cumple","No Cumple")</f>
        <v>Cumple</v>
      </c>
      <c r="AE553" s="6"/>
      <c r="AH553" s="3"/>
    </row>
    <row r="554" spans="1:43" ht="15" customHeight="1" x14ac:dyDescent="0.3">
      <c r="A554" s="13"/>
      <c r="B554" s="1">
        <v>19</v>
      </c>
      <c r="C554" s="1">
        <v>285</v>
      </c>
      <c r="D554" s="1">
        <v>1</v>
      </c>
      <c r="E554" s="5">
        <v>1</v>
      </c>
      <c r="F554" s="3">
        <f>F553+E554</f>
        <v>19</v>
      </c>
      <c r="G554" s="5">
        <v>2</v>
      </c>
      <c r="H554" s="3">
        <f>PI()*(G554^2)/4</f>
        <v>3.1415926535897931</v>
      </c>
      <c r="I554" s="4">
        <v>3.1415999999999999E-2</v>
      </c>
      <c r="K554" s="3">
        <v>9.8813593826962904</v>
      </c>
      <c r="L554" s="3">
        <v>8.6274499999999996</v>
      </c>
      <c r="M554" s="3">
        <v>8.8952100000000005</v>
      </c>
      <c r="N554" s="12">
        <f>I554/H554</f>
        <v>1.0000023384349969E-2</v>
      </c>
      <c r="O554" s="11">
        <f>I554*10000</f>
        <v>314.15999999999997</v>
      </c>
      <c r="P554" s="1">
        <v>10</v>
      </c>
      <c r="Q554" s="1">
        <v>1</v>
      </c>
      <c r="R554" s="3">
        <f>Q554*VLOOKUP(P554,[1]Datos!$A$2:$D$14,2)</f>
        <v>8.19</v>
      </c>
      <c r="S554" s="10">
        <f>ROUNDUP(O554/R554,0)</f>
        <v>39</v>
      </c>
      <c r="T554" s="2">
        <v>39</v>
      </c>
      <c r="U554" s="3">
        <f>ROUNDDOWN(PI()*(G554-0.185)/T554,2)</f>
        <v>0.14000000000000001</v>
      </c>
      <c r="V554" s="3"/>
      <c r="W554" s="1">
        <v>280</v>
      </c>
      <c r="X554" s="9">
        <v>2</v>
      </c>
      <c r="Y554" s="1">
        <v>4</v>
      </c>
      <c r="Z554" s="3">
        <f>X554*VLOOKUP(Y554,[1]Datos!$A$2:$D$14,2)</f>
        <v>2.58</v>
      </c>
      <c r="AA554" s="8">
        <v>0.3</v>
      </c>
      <c r="AB554" s="7">
        <f>IF(D554=0,0.9,0.5)*0.9*0.53*SQRT(W554)*G554*MAX(0.72*G554,0.9*((G554/2)+((G554-0.11)/PI())))*10</f>
        <v>115.05235319041492</v>
      </c>
      <c r="AC554" s="7">
        <f>0.9*Z554*4220*MAX(0.72*G554,0.9*((G554/2)+((G554-0.11)/PI())))/AA554/1000</f>
        <v>47.081633547905106</v>
      </c>
      <c r="AD554" s="6" t="str">
        <f>+IF(AC554&gt;K554-AB554,"Cumple","No Cumple")</f>
        <v>Cumple</v>
      </c>
      <c r="AE554" s="6"/>
      <c r="AH554" s="3"/>
    </row>
    <row r="555" spans="1:43" ht="15" customHeight="1" x14ac:dyDescent="0.3">
      <c r="A555" s="13" t="s">
        <v>14</v>
      </c>
      <c r="B555" s="1">
        <v>1</v>
      </c>
      <c r="C555" s="1">
        <v>248</v>
      </c>
      <c r="D555" s="1">
        <v>1</v>
      </c>
      <c r="E555" s="5">
        <v>1</v>
      </c>
      <c r="F555" s="3">
        <f>E555</f>
        <v>1</v>
      </c>
      <c r="G555" s="5">
        <v>2</v>
      </c>
      <c r="H555" s="3">
        <f>PI()*(G555^2)/4</f>
        <v>3.1415926535897931</v>
      </c>
      <c r="I555" s="4">
        <v>7.7330999999999997E-2</v>
      </c>
      <c r="K555" s="3">
        <v>125.47662726946402</v>
      </c>
      <c r="L555" s="3">
        <v>369.40733999999998</v>
      </c>
      <c r="M555" s="3">
        <v>2433.2402000000002</v>
      </c>
      <c r="N555" s="12">
        <f>I555/H555</f>
        <v>2.4615221808478718E-2</v>
      </c>
      <c r="O555" s="11">
        <f>I555*10000</f>
        <v>773.31</v>
      </c>
      <c r="P555" s="1">
        <v>10</v>
      </c>
      <c r="Q555" s="1">
        <v>2</v>
      </c>
      <c r="R555" s="3">
        <f>Q555*VLOOKUP(P555,[1]Datos!$A$2:$D$14,2)</f>
        <v>16.38</v>
      </c>
      <c r="S555" s="10">
        <f>ROUNDUP(O555/R555,0)</f>
        <v>48</v>
      </c>
      <c r="T555" s="2">
        <v>49</v>
      </c>
      <c r="U555" s="3">
        <f>ROUNDDOWN(PI()*(G555-0.185)/T555,2)</f>
        <v>0.11</v>
      </c>
      <c r="V555" s="3"/>
      <c r="W555" s="1">
        <v>280</v>
      </c>
      <c r="X555" s="9">
        <v>2</v>
      </c>
      <c r="Y555" s="1">
        <v>6</v>
      </c>
      <c r="Z555" s="3">
        <f>X555*VLOOKUP(Y555,[1]Datos!$A$2:$D$14,2)</f>
        <v>5.68</v>
      </c>
      <c r="AA555" s="8">
        <v>7.4999999999999997E-2</v>
      </c>
      <c r="AB555" s="7">
        <f>IF(D555=0,0.9,0.5)*0.9*0.53*SQRT(W555)*G555*MAX(0.72*G555,0.9*((G555/2)+((G555-0.11)/PI())))*10</f>
        <v>115.05235319041492</v>
      </c>
      <c r="AC555" s="7">
        <f>0.9*Z555*4220*MAX(0.72*G555,0.9*((G555/2)+((G555-0.11)/PI())))/AA555/1000</f>
        <v>414.61035434434268</v>
      </c>
      <c r="AD555" s="6" t="str">
        <f>+IF(AC555&gt;K555-AB555,"Cumple","No Cumple")</f>
        <v>Cumple</v>
      </c>
      <c r="AE555" s="6"/>
      <c r="AG555" s="7">
        <f>ROUNDUP(MAX(0.45,3*G555,),0)</f>
        <v>6</v>
      </c>
      <c r="AH555" s="3">
        <f>PI()*(G555-0.15)^2/4</f>
        <v>2.6880252142277672</v>
      </c>
      <c r="AI555" s="7">
        <f>G555-0.15-VLOOKUP(Y555,[1]Datos!$A$2:$D$14,3)/100</f>
        <v>1.8309000000000002</v>
      </c>
      <c r="AJ555" s="7">
        <f>SQRT((PI()*AI555)^2+AA555^2)</f>
        <v>5.7524309339691264</v>
      </c>
      <c r="AK555" s="1">
        <v>0.12</v>
      </c>
      <c r="AL555" s="16">
        <f>MAX(0.45*(H555/AH555-1),AK555)*(W555/4220)</f>
        <v>7.9620853080568724E-3</v>
      </c>
      <c r="AM555" s="7">
        <f>AG555*(AJ555/AA555)</f>
        <v>460.19447471753017</v>
      </c>
      <c r="AN555" s="17">
        <f>AM555*Z555/X555/10000</f>
        <v>0.13069523081977857</v>
      </c>
      <c r="AO555" s="17">
        <f>AH555*AG555</f>
        <v>16.128151285366602</v>
      </c>
      <c r="AP555" s="16">
        <f>AN555/AO555</f>
        <v>8.1035469290495193E-3</v>
      </c>
      <c r="AQ555" s="6" t="str">
        <f>+IF(AP555&gt;AL555,"Cumple","No Cumple")</f>
        <v>Cumple</v>
      </c>
    </row>
    <row r="556" spans="1:43" ht="15" customHeight="1" x14ac:dyDescent="0.3">
      <c r="A556" s="13"/>
      <c r="B556" s="1">
        <v>2</v>
      </c>
      <c r="C556" s="1">
        <v>250</v>
      </c>
      <c r="D556" s="1">
        <v>1</v>
      </c>
      <c r="E556" s="5">
        <v>1</v>
      </c>
      <c r="F556" s="3">
        <f>F555+E556</f>
        <v>2</v>
      </c>
      <c r="G556" s="5">
        <v>2</v>
      </c>
      <c r="H556" s="3">
        <f>PI()*(G556^2)/4</f>
        <v>3.1415926535897931</v>
      </c>
      <c r="I556" s="4">
        <v>7.8537999999999997E-2</v>
      </c>
      <c r="K556" s="3">
        <v>118.91463451539511</v>
      </c>
      <c r="L556" s="3">
        <v>273.21802000000002</v>
      </c>
      <c r="M556" s="3">
        <v>2470.6500099999998</v>
      </c>
      <c r="N556" s="12">
        <f>I556/H556</f>
        <v>2.4999421841102553E-2</v>
      </c>
      <c r="O556" s="11">
        <f>I556*10000</f>
        <v>785.38</v>
      </c>
      <c r="P556" s="1">
        <v>10</v>
      </c>
      <c r="Q556" s="1">
        <v>2</v>
      </c>
      <c r="R556" s="3">
        <f>Q556*VLOOKUP(P556,[1]Datos!$A$2:$D$14,2)</f>
        <v>16.38</v>
      </c>
      <c r="S556" s="10">
        <f>ROUNDUP(O556/R556,0)</f>
        <v>48</v>
      </c>
      <c r="T556" s="2">
        <v>49</v>
      </c>
      <c r="U556" s="3">
        <f>ROUNDDOWN(PI()*(G556-0.185)/T556,2)</f>
        <v>0.11</v>
      </c>
      <c r="V556" s="3"/>
      <c r="W556" s="1">
        <v>280</v>
      </c>
      <c r="X556" s="9">
        <v>2</v>
      </c>
      <c r="Y556" s="1">
        <v>6</v>
      </c>
      <c r="Z556" s="3">
        <f>X556*VLOOKUP(Y556,[1]Datos!$A$2:$D$14,2)</f>
        <v>5.68</v>
      </c>
      <c r="AA556" s="8">
        <v>7.4999999999999997E-2</v>
      </c>
      <c r="AB556" s="7">
        <f>IF(D556=0,0.9,0.5)*0.9*0.53*SQRT(W556)*G556*MAX(0.72*G556,0.9*((G556/2)+((G556-0.11)/PI())))*10</f>
        <v>115.05235319041492</v>
      </c>
      <c r="AC556" s="7">
        <f>0.9*Z556*4220*MAX(0.72*G556,0.9*((G556/2)+((G556-0.11)/PI())))/AA556/1000</f>
        <v>414.61035434434268</v>
      </c>
      <c r="AD556" s="6" t="str">
        <f>+IF(AC556&gt;K556-AB556,"Cumple","No Cumple")</f>
        <v>Cumple</v>
      </c>
      <c r="AE556" s="6"/>
      <c r="AG556" s="7">
        <f>ROUNDUP(MAX(0.45,3*G556,),0)</f>
        <v>6</v>
      </c>
      <c r="AH556" s="3">
        <f>PI()*(G556-0.15)^2/4</f>
        <v>2.6880252142277672</v>
      </c>
      <c r="AI556" s="7">
        <f>G556-0.15-VLOOKUP(Y556,[1]Datos!$A$2:$D$14,3)/100</f>
        <v>1.8309000000000002</v>
      </c>
      <c r="AJ556" s="7">
        <f>SQRT((PI()*AI556)^2+AA556^2)</f>
        <v>5.7524309339691264</v>
      </c>
      <c r="AK556" s="1">
        <v>0.12</v>
      </c>
      <c r="AL556" s="16">
        <f>MAX(0.45*(H556/AH556-1),AK556)*(W556/4220)</f>
        <v>7.9620853080568724E-3</v>
      </c>
      <c r="AM556" s="7">
        <f>AG556*(AJ556/AA556)</f>
        <v>460.19447471753017</v>
      </c>
      <c r="AN556" s="17">
        <f>AM556*Z556/X556/10000</f>
        <v>0.13069523081977857</v>
      </c>
      <c r="AO556" s="17">
        <f>AH556*AG556</f>
        <v>16.128151285366602</v>
      </c>
      <c r="AP556" s="16">
        <f>AN556/AO556</f>
        <v>8.1035469290495193E-3</v>
      </c>
      <c r="AQ556" s="6" t="str">
        <f>+IF(AP556&gt;AL556,"Cumple","No Cumple")</f>
        <v>Cumple</v>
      </c>
    </row>
    <row r="557" spans="1:43" ht="15" customHeight="1" x14ac:dyDescent="0.3">
      <c r="A557" s="13"/>
      <c r="B557" s="1">
        <v>3</v>
      </c>
      <c r="C557" s="1">
        <v>252</v>
      </c>
      <c r="D557" s="1">
        <v>1</v>
      </c>
      <c r="E557" s="5">
        <v>1</v>
      </c>
      <c r="F557" s="3">
        <f>F556+E557</f>
        <v>3</v>
      </c>
      <c r="G557" s="5">
        <v>2</v>
      </c>
      <c r="H557" s="3">
        <f>PI()*(G557^2)/4</f>
        <v>3.1415926535897931</v>
      </c>
      <c r="I557" s="4">
        <v>7.8538999999999998E-2</v>
      </c>
      <c r="K557" s="3">
        <v>109.70768208384499</v>
      </c>
      <c r="L557" s="3">
        <v>189.42515</v>
      </c>
      <c r="M557" s="3">
        <v>2470.6500099999998</v>
      </c>
      <c r="N557" s="12">
        <f>I557/H557</f>
        <v>2.4999740150988735E-2</v>
      </c>
      <c r="O557" s="11">
        <f>I557*10000</f>
        <v>785.39</v>
      </c>
      <c r="P557" s="1">
        <v>10</v>
      </c>
      <c r="Q557" s="1">
        <v>2</v>
      </c>
      <c r="R557" s="3">
        <f>Q557*VLOOKUP(P557,[1]Datos!$A$2:$D$14,2)</f>
        <v>16.38</v>
      </c>
      <c r="S557" s="10">
        <f>ROUNDUP(O557/R557,0)</f>
        <v>48</v>
      </c>
      <c r="T557" s="2">
        <v>49</v>
      </c>
      <c r="U557" s="3">
        <f>ROUNDDOWN(PI()*(G557-0.185)/T557,2)</f>
        <v>0.11</v>
      </c>
      <c r="V557" s="3"/>
      <c r="W557" s="1">
        <v>280</v>
      </c>
      <c r="X557" s="9">
        <v>2</v>
      </c>
      <c r="Y557" s="1">
        <v>6</v>
      </c>
      <c r="Z557" s="3">
        <f>X557*VLOOKUP(Y557,[1]Datos!$A$2:$D$14,2)</f>
        <v>5.68</v>
      </c>
      <c r="AA557" s="8">
        <v>7.4999999999999997E-2</v>
      </c>
      <c r="AB557" s="7">
        <f>IF(D557=0,0.9,0.5)*0.9*0.53*SQRT(W557)*G557*MAX(0.72*G557,0.9*((G557/2)+((G557-0.11)/PI())))*10</f>
        <v>115.05235319041492</v>
      </c>
      <c r="AC557" s="7">
        <f>0.9*Z557*4220*MAX(0.72*G557,0.9*((G557/2)+((G557-0.11)/PI())))/AA557/1000</f>
        <v>414.61035434434268</v>
      </c>
      <c r="AD557" s="6" t="str">
        <f>+IF(AC557&gt;K557-AB557,"Cumple","No Cumple")</f>
        <v>Cumple</v>
      </c>
      <c r="AE557" s="6"/>
      <c r="AG557" s="7">
        <f>ROUNDUP(MAX(0.45,3*G557,),0)</f>
        <v>6</v>
      </c>
      <c r="AH557" s="3">
        <f>PI()*(G557-0.15)^2/4</f>
        <v>2.6880252142277672</v>
      </c>
      <c r="AI557" s="7">
        <f>G557-0.15-VLOOKUP(Y557,[1]Datos!$A$2:$D$14,3)/100</f>
        <v>1.8309000000000002</v>
      </c>
      <c r="AJ557" s="7">
        <f>SQRT((PI()*AI557)^2+AA557^2)</f>
        <v>5.7524309339691264</v>
      </c>
      <c r="AK557" s="1">
        <v>0.12</v>
      </c>
      <c r="AL557" s="16">
        <f>MAX(0.45*(H557/AH557-1),AK557)*(W557/4220)</f>
        <v>7.9620853080568724E-3</v>
      </c>
      <c r="AM557" s="7">
        <f>AG557*(AJ557/AA557)</f>
        <v>460.19447471753017</v>
      </c>
      <c r="AN557" s="17">
        <f>AM557*Z557/X557/10000</f>
        <v>0.13069523081977857</v>
      </c>
      <c r="AO557" s="17">
        <f>AH557*AG557</f>
        <v>16.128151285366602</v>
      </c>
      <c r="AP557" s="16">
        <f>AN557/AO557</f>
        <v>8.1035469290495193E-3</v>
      </c>
      <c r="AQ557" s="6" t="str">
        <f>+IF(AP557&gt;AL557,"Cumple","No Cumple")</f>
        <v>Cumple</v>
      </c>
    </row>
    <row r="558" spans="1:43" ht="15" customHeight="1" x14ac:dyDescent="0.3">
      <c r="A558" s="13"/>
      <c r="B558" s="1">
        <v>4</v>
      </c>
      <c r="C558" s="1">
        <v>254</v>
      </c>
      <c r="D558" s="1">
        <v>1</v>
      </c>
      <c r="E558" s="5">
        <v>1</v>
      </c>
      <c r="F558" s="3">
        <f>F557+E558</f>
        <v>4</v>
      </c>
      <c r="G558" s="5">
        <v>2</v>
      </c>
      <c r="H558" s="3">
        <f>PI()*(G558^2)/4</f>
        <v>3.1415926535897931</v>
      </c>
      <c r="I558" s="4">
        <v>7.7438999999999994E-2</v>
      </c>
      <c r="K558" s="3">
        <v>113.13572520128201</v>
      </c>
      <c r="L558" s="3">
        <v>138.50903</v>
      </c>
      <c r="M558" s="3">
        <v>2448.77018</v>
      </c>
      <c r="N558" s="12">
        <f>I558/H558</f>
        <v>2.4649599276186564E-2</v>
      </c>
      <c r="O558" s="11">
        <f>I558*10000</f>
        <v>774.39</v>
      </c>
      <c r="P558" s="1">
        <v>10</v>
      </c>
      <c r="Q558" s="1">
        <v>2</v>
      </c>
      <c r="R558" s="3">
        <f>Q558*VLOOKUP(P558,[1]Datos!$A$2:$D$14,2)</f>
        <v>16.38</v>
      </c>
      <c r="S558" s="10">
        <f>ROUNDUP(O558/R558,0)</f>
        <v>48</v>
      </c>
      <c r="T558" s="2">
        <v>49</v>
      </c>
      <c r="U558" s="3">
        <f>ROUNDDOWN(PI()*(G558-0.185)/T558,2)</f>
        <v>0.11</v>
      </c>
      <c r="V558" s="3"/>
      <c r="W558" s="1">
        <v>280</v>
      </c>
      <c r="X558" s="9">
        <v>2</v>
      </c>
      <c r="Y558" s="1">
        <v>6</v>
      </c>
      <c r="Z558" s="3">
        <f>X558*VLOOKUP(Y558,[1]Datos!$A$2:$D$14,2)</f>
        <v>5.68</v>
      </c>
      <c r="AA558" s="8">
        <v>7.4999999999999997E-2</v>
      </c>
      <c r="AB558" s="7">
        <f>IF(D558=0,0.9,0.5)*0.9*0.53*SQRT(W558)*G558*MAX(0.72*G558,0.9*((G558/2)+((G558-0.11)/PI())))*10</f>
        <v>115.05235319041492</v>
      </c>
      <c r="AC558" s="7">
        <f>0.9*Z558*4220*MAX(0.72*G558,0.9*((G558/2)+((G558-0.11)/PI())))/AA558/1000</f>
        <v>414.61035434434268</v>
      </c>
      <c r="AD558" s="6" t="str">
        <f>+IF(AC558&gt;K558-AB558,"Cumple","No Cumple")</f>
        <v>Cumple</v>
      </c>
      <c r="AE558" s="6"/>
      <c r="AG558" s="7">
        <f>ROUNDUP(MAX(0.45,3*G558,),0)</f>
        <v>6</v>
      </c>
      <c r="AH558" s="3">
        <f>PI()*(G558-0.15)^2/4</f>
        <v>2.6880252142277672</v>
      </c>
      <c r="AI558" s="7">
        <f>G558-0.15-VLOOKUP(Y558,[1]Datos!$A$2:$D$14,3)/100</f>
        <v>1.8309000000000002</v>
      </c>
      <c r="AJ558" s="7">
        <f>SQRT((PI()*AI558)^2+AA558^2)</f>
        <v>5.7524309339691264</v>
      </c>
      <c r="AK558" s="1">
        <v>0.12</v>
      </c>
      <c r="AL558" s="16">
        <f>MAX(0.45*(H558/AH558-1),AK558)*(W558/4220)</f>
        <v>7.9620853080568724E-3</v>
      </c>
      <c r="AM558" s="7">
        <f>AG558*(AJ558/AA558)</f>
        <v>460.19447471753017</v>
      </c>
      <c r="AN558" s="17">
        <f>AM558*Z558/X558/10000</f>
        <v>0.13069523081977857</v>
      </c>
      <c r="AO558" s="17">
        <f>AH558*AG558</f>
        <v>16.128151285366602</v>
      </c>
      <c r="AP558" s="16">
        <f>AN558/AO558</f>
        <v>8.1035469290495193E-3</v>
      </c>
      <c r="AQ558" s="6" t="str">
        <f>+IF(AP558&gt;AL558,"Cumple","No Cumple")</f>
        <v>Cumple</v>
      </c>
    </row>
    <row r="559" spans="1:43" ht="15" customHeight="1" x14ac:dyDescent="0.3">
      <c r="A559" s="13"/>
      <c r="B559" s="1">
        <v>5</v>
      </c>
      <c r="C559" s="1">
        <v>256</v>
      </c>
      <c r="D559" s="1">
        <v>1</v>
      </c>
      <c r="E559" s="5">
        <v>1</v>
      </c>
      <c r="F559" s="3">
        <f>F558+E559</f>
        <v>5</v>
      </c>
      <c r="G559" s="5">
        <v>2</v>
      </c>
      <c r="H559" s="3">
        <f>PI()*(G559^2)/4</f>
        <v>3.1415926535897931</v>
      </c>
      <c r="I559" s="4">
        <v>7.3463000000000001E-2</v>
      </c>
      <c r="K559" s="3">
        <v>162.36723625781158</v>
      </c>
      <c r="L559" s="3">
        <v>164.32930999999999</v>
      </c>
      <c r="M559" s="3">
        <v>2360.52682</v>
      </c>
      <c r="N559" s="12">
        <f>I559/H559</f>
        <v>2.3383999168719815E-2</v>
      </c>
      <c r="O559" s="11">
        <f>I559*10000</f>
        <v>734.63</v>
      </c>
      <c r="P559" s="1">
        <v>10</v>
      </c>
      <c r="Q559" s="1">
        <v>2</v>
      </c>
      <c r="R559" s="3">
        <f>Q559*VLOOKUP(P559,[1]Datos!$A$2:$D$14,2)</f>
        <v>16.38</v>
      </c>
      <c r="S559" s="10">
        <f>ROUNDUP(O559/R559,0)</f>
        <v>45</v>
      </c>
      <c r="T559" s="2">
        <v>49</v>
      </c>
      <c r="U559" s="3">
        <f>ROUNDDOWN(PI()*(G559-0.185)/T559,2)</f>
        <v>0.11</v>
      </c>
      <c r="V559" s="3"/>
      <c r="W559" s="1">
        <v>280</v>
      </c>
      <c r="X559" s="9">
        <v>2</v>
      </c>
      <c r="Y559" s="1">
        <v>6</v>
      </c>
      <c r="Z559" s="3">
        <f>X559*VLOOKUP(Y559,[1]Datos!$A$2:$D$14,2)</f>
        <v>5.68</v>
      </c>
      <c r="AA559" s="8">
        <v>7.4999999999999997E-2</v>
      </c>
      <c r="AB559" s="7">
        <f>IF(D559=0,0.9,0.5)*0.9*0.53*SQRT(W559)*G559*MAX(0.72*G559,0.9*((G559/2)+((G559-0.11)/PI())))*10</f>
        <v>115.05235319041492</v>
      </c>
      <c r="AC559" s="7">
        <f>0.9*Z559*4220*MAX(0.72*G559,0.9*((G559/2)+((G559-0.11)/PI())))/AA559/1000</f>
        <v>414.61035434434268</v>
      </c>
      <c r="AD559" s="6" t="str">
        <f>+IF(AC559&gt;K559-AB559,"Cumple","No Cumple")</f>
        <v>Cumple</v>
      </c>
      <c r="AE559" s="6"/>
      <c r="AG559" s="7">
        <f>ROUNDUP(MAX(0.45,3*G559,),0)</f>
        <v>6</v>
      </c>
      <c r="AH559" s="3">
        <f>PI()*(G559-0.15)^2/4</f>
        <v>2.6880252142277672</v>
      </c>
      <c r="AI559" s="7">
        <f>G559-0.15-VLOOKUP(Y559,[1]Datos!$A$2:$D$14,3)/100</f>
        <v>1.8309000000000002</v>
      </c>
      <c r="AJ559" s="7">
        <f>SQRT((PI()*AI559)^2+AA559^2)</f>
        <v>5.7524309339691264</v>
      </c>
      <c r="AK559" s="1">
        <v>0.12</v>
      </c>
      <c r="AL559" s="16">
        <f>MAX(0.45*(H559/AH559-1),AK559)*(W559/4220)</f>
        <v>7.9620853080568724E-3</v>
      </c>
      <c r="AM559" s="7">
        <f>AG559*(AJ559/AA559)</f>
        <v>460.19447471753017</v>
      </c>
      <c r="AN559" s="17">
        <f>AM559*Z559/X559/10000</f>
        <v>0.13069523081977857</v>
      </c>
      <c r="AO559" s="17">
        <f>AH559*AG559</f>
        <v>16.128151285366602</v>
      </c>
      <c r="AP559" s="16">
        <f>AN559/AO559</f>
        <v>8.1035469290495193E-3</v>
      </c>
      <c r="AQ559" s="6" t="str">
        <f>+IF(AP559&gt;AL559,"Cumple","No Cumple")</f>
        <v>Cumple</v>
      </c>
    </row>
    <row r="560" spans="1:43" ht="15" customHeight="1" x14ac:dyDescent="0.3">
      <c r="A560" s="13"/>
      <c r="B560" s="1">
        <v>6</v>
      </c>
      <c r="C560" s="1">
        <v>258</v>
      </c>
      <c r="D560" s="1">
        <v>1</v>
      </c>
      <c r="E560" s="5">
        <v>1</v>
      </c>
      <c r="F560" s="3">
        <f>F559+E560</f>
        <v>6</v>
      </c>
      <c r="G560" s="5">
        <v>2</v>
      </c>
      <c r="H560" s="3">
        <f>PI()*(G560^2)/4</f>
        <v>3.1415926535897931</v>
      </c>
      <c r="I560" s="4">
        <v>6.6589999999999996E-2</v>
      </c>
      <c r="K560" s="3">
        <v>210.26938592845605</v>
      </c>
      <c r="L560" s="3">
        <v>194.9134</v>
      </c>
      <c r="M560" s="3">
        <v>2209.43595</v>
      </c>
      <c r="N560" s="12">
        <f>I560/H560</f>
        <v>2.1196255320978619E-2</v>
      </c>
      <c r="O560" s="11">
        <f>I560*10000</f>
        <v>665.9</v>
      </c>
      <c r="P560" s="1">
        <v>10</v>
      </c>
      <c r="Q560" s="19">
        <v>2</v>
      </c>
      <c r="R560" s="3">
        <f>Q560*VLOOKUP(P560,[1]Datos!$A$2:$D$14,2)</f>
        <v>16.38</v>
      </c>
      <c r="S560" s="10">
        <f>ROUNDUP(O560/R560,0)</f>
        <v>41</v>
      </c>
      <c r="T560" s="18">
        <v>49</v>
      </c>
      <c r="U560" s="3">
        <f>ROUNDDOWN(PI()*(G560-0.185)/T560,2)</f>
        <v>0.11</v>
      </c>
      <c r="V560" s="3"/>
      <c r="W560" s="1">
        <v>280</v>
      </c>
      <c r="X560" s="9">
        <v>2</v>
      </c>
      <c r="Y560" s="1">
        <v>6</v>
      </c>
      <c r="Z560" s="3">
        <f>X560*VLOOKUP(Y560,[1]Datos!$A$2:$D$14,2)</f>
        <v>5.68</v>
      </c>
      <c r="AA560" s="8">
        <v>7.4999999999999997E-2</v>
      </c>
      <c r="AB560" s="7">
        <f>IF(D560=0,0.9,0.5)*0.9*0.53*SQRT(W560)*G560*MAX(0.72*G560,0.9*((G560/2)+((G560-0.11)/PI())))*10</f>
        <v>115.05235319041492</v>
      </c>
      <c r="AC560" s="7">
        <f>0.9*Z560*4220*MAX(0.72*G560,0.9*((G560/2)+((G560-0.11)/PI())))/AA560/1000</f>
        <v>414.61035434434268</v>
      </c>
      <c r="AD560" s="6" t="str">
        <f>+IF(AC560&gt;K560-AB560,"Cumple","No Cumple")</f>
        <v>Cumple</v>
      </c>
      <c r="AE560" s="6"/>
      <c r="AG560" s="7">
        <f>ROUNDUP(MAX(0.45,3*G560,),0)</f>
        <v>6</v>
      </c>
      <c r="AH560" s="3">
        <f>PI()*(G560-0.15)^2/4</f>
        <v>2.6880252142277672</v>
      </c>
      <c r="AI560" s="7">
        <f>G560-0.15-VLOOKUP(Y560,[1]Datos!$A$2:$D$14,3)/100</f>
        <v>1.8309000000000002</v>
      </c>
      <c r="AJ560" s="7">
        <f>SQRT((PI()*AI560)^2+AA560^2)</f>
        <v>5.7524309339691264</v>
      </c>
      <c r="AK560" s="1">
        <v>0.12</v>
      </c>
      <c r="AL560" s="16">
        <f>MAX(0.45*(H560/AH560-1),AK560)*(W560/4220)</f>
        <v>7.9620853080568724E-3</v>
      </c>
      <c r="AM560" s="7">
        <f>AG560*(AJ560/AA560)</f>
        <v>460.19447471753017</v>
      </c>
      <c r="AN560" s="17">
        <f>AM560*Z560/X560/10000</f>
        <v>0.13069523081977857</v>
      </c>
      <c r="AO560" s="17">
        <f>AH560*AG560</f>
        <v>16.128151285366602</v>
      </c>
      <c r="AP560" s="16">
        <f>AN560/AO560</f>
        <v>8.1035469290495193E-3</v>
      </c>
      <c r="AQ560" s="6" t="str">
        <f>+IF(AP560&gt;AL560,"Cumple","No Cumple")</f>
        <v>Cumple</v>
      </c>
    </row>
    <row r="561" spans="1:43" ht="15" customHeight="1" x14ac:dyDescent="0.3">
      <c r="A561" s="13"/>
      <c r="B561" s="1">
        <v>7</v>
      </c>
      <c r="C561" s="1">
        <v>260</v>
      </c>
      <c r="D561" s="1">
        <v>1</v>
      </c>
      <c r="E561" s="5">
        <v>1</v>
      </c>
      <c r="F561" s="3">
        <f>F560+E561</f>
        <v>7</v>
      </c>
      <c r="G561" s="5">
        <v>2</v>
      </c>
      <c r="H561" s="3">
        <f>PI()*(G561^2)/4</f>
        <v>3.1415926535897931</v>
      </c>
      <c r="I561" s="4">
        <v>5.6938999999999997E-2</v>
      </c>
      <c r="K561" s="3">
        <v>245.55887685477794</v>
      </c>
      <c r="L561" s="3">
        <v>213.37228999999999</v>
      </c>
      <c r="M561" s="3">
        <v>2006.12563</v>
      </c>
      <c r="N561" s="12">
        <f>I561/H561</f>
        <v>1.8124246609418856E-2</v>
      </c>
      <c r="O561" s="11">
        <f>I561*10000</f>
        <v>569.39</v>
      </c>
      <c r="P561" s="1">
        <v>10</v>
      </c>
      <c r="Q561" s="19">
        <v>2</v>
      </c>
      <c r="R561" s="3">
        <f>Q561*VLOOKUP(P561,[1]Datos!$A$2:$D$14,2)</f>
        <v>16.38</v>
      </c>
      <c r="S561" s="10">
        <f>ROUNDUP(O561/R561,0)</f>
        <v>35</v>
      </c>
      <c r="T561" s="18">
        <v>49</v>
      </c>
      <c r="U561" s="3">
        <f>ROUNDDOWN(PI()*(G561-0.185)/T561,2)</f>
        <v>0.11</v>
      </c>
      <c r="V561" s="3"/>
      <c r="W561" s="1">
        <v>280</v>
      </c>
      <c r="X561" s="9">
        <v>2</v>
      </c>
      <c r="Y561" s="1">
        <v>6</v>
      </c>
      <c r="Z561" s="3">
        <f>X561*VLOOKUP(Y561,[1]Datos!$A$2:$D$14,2)</f>
        <v>5.68</v>
      </c>
      <c r="AA561" s="8">
        <v>0.15</v>
      </c>
      <c r="AB561" s="7">
        <f>IF(D561=0,0.9,0.5)*0.9*0.53*SQRT(W561)*G561*MAX(0.72*G561,0.9*((G561/2)+((G561-0.11)/PI())))*10</f>
        <v>115.05235319041492</v>
      </c>
      <c r="AC561" s="7">
        <f>0.9*Z561*4220*MAX(0.72*G561,0.9*((G561/2)+((G561-0.11)/PI())))/AA561/1000</f>
        <v>207.30517717217134</v>
      </c>
      <c r="AD561" s="6" t="str">
        <f>+IF(AC561&gt;K561-AB561,"Cumple","No Cumple")</f>
        <v>Cumple</v>
      </c>
      <c r="AE561" s="6"/>
      <c r="AH561" s="3"/>
    </row>
    <row r="562" spans="1:43" ht="15" customHeight="1" x14ac:dyDescent="0.3">
      <c r="A562" s="13"/>
      <c r="B562" s="1">
        <v>8</v>
      </c>
      <c r="C562" s="1">
        <v>262</v>
      </c>
      <c r="D562" s="1">
        <v>1</v>
      </c>
      <c r="E562" s="5">
        <v>1</v>
      </c>
      <c r="F562" s="3">
        <f>F561+E562</f>
        <v>8</v>
      </c>
      <c r="G562" s="5">
        <v>2</v>
      </c>
      <c r="H562" s="3">
        <f>PI()*(G562^2)/4</f>
        <v>3.1415926535897931</v>
      </c>
      <c r="I562" s="4">
        <v>5.1346999999999997E-2</v>
      </c>
      <c r="K562" s="3">
        <v>265.77477132619265</v>
      </c>
      <c r="L562" s="3">
        <v>218.97146000000001</v>
      </c>
      <c r="M562" s="3">
        <v>1765.20742</v>
      </c>
      <c r="N562" s="12">
        <f>I562/H562</f>
        <v>1.6344257725879101E-2</v>
      </c>
      <c r="O562" s="11">
        <f>I562*10000</f>
        <v>513.46999999999991</v>
      </c>
      <c r="P562" s="1">
        <v>10</v>
      </c>
      <c r="Q562" s="19">
        <v>2</v>
      </c>
      <c r="R562" s="3">
        <f>Q562*VLOOKUP(P562,[1]Datos!$A$2:$D$14,2)</f>
        <v>16.38</v>
      </c>
      <c r="S562" s="10">
        <f>ROUNDUP(O562/R562,0)</f>
        <v>32</v>
      </c>
      <c r="T562" s="18">
        <v>49</v>
      </c>
      <c r="U562" s="3">
        <f>ROUNDDOWN(PI()*(G562-0.185)/T562,2)</f>
        <v>0.11</v>
      </c>
      <c r="V562" s="3"/>
      <c r="W562" s="1">
        <v>280</v>
      </c>
      <c r="X562" s="9">
        <v>2</v>
      </c>
      <c r="Y562" s="1">
        <v>6</v>
      </c>
      <c r="Z562" s="3">
        <f>X562*VLOOKUP(Y562,[1]Datos!$A$2:$D$14,2)</f>
        <v>5.68</v>
      </c>
      <c r="AA562" s="8">
        <v>0.15</v>
      </c>
      <c r="AB562" s="7">
        <f>IF(D562=0,0.9,0.5)*0.9*0.53*SQRT(W562)*G562*MAX(0.72*G562,0.9*((G562/2)+((G562-0.11)/PI())))*10</f>
        <v>115.05235319041492</v>
      </c>
      <c r="AC562" s="7">
        <f>0.9*Z562*4220*MAX(0.72*G562,0.9*((G562/2)+((G562-0.11)/PI())))/AA562/1000</f>
        <v>207.30517717217134</v>
      </c>
      <c r="AD562" s="6" t="str">
        <f>+IF(AC562&gt;K562-AB562,"Cumple","No Cumple")</f>
        <v>Cumple</v>
      </c>
      <c r="AE562" s="6"/>
      <c r="AH562" s="3"/>
    </row>
    <row r="563" spans="1:43" ht="15" customHeight="1" x14ac:dyDescent="0.3">
      <c r="A563" s="13"/>
      <c r="B563" s="1">
        <v>9</v>
      </c>
      <c r="C563" s="1">
        <v>264</v>
      </c>
      <c r="D563" s="1">
        <v>1</v>
      </c>
      <c r="E563" s="5">
        <v>1</v>
      </c>
      <c r="F563" s="3">
        <f>F562+E563</f>
        <v>9</v>
      </c>
      <c r="G563" s="5">
        <v>2</v>
      </c>
      <c r="H563" s="3">
        <f>PI()*(G563^2)/4</f>
        <v>3.1415926535897931</v>
      </c>
      <c r="I563" s="4">
        <v>4.2436000000000001E-2</v>
      </c>
      <c r="K563" s="3">
        <v>271.26159917098477</v>
      </c>
      <c r="L563" s="3">
        <v>218.97145</v>
      </c>
      <c r="M563" s="3">
        <v>1502.6432600000001</v>
      </c>
      <c r="N563" s="12">
        <f>I563/H563</f>
        <v>1.3507798330095341E-2</v>
      </c>
      <c r="O563" s="11">
        <f>I563*10000</f>
        <v>424.36</v>
      </c>
      <c r="P563" s="1">
        <v>10</v>
      </c>
      <c r="Q563" s="1">
        <v>1</v>
      </c>
      <c r="R563" s="3">
        <f>Q563*VLOOKUP(P563,[1]Datos!$A$2:$D$14,2)</f>
        <v>8.19</v>
      </c>
      <c r="S563" s="10">
        <f>ROUNDUP(O563/R563,0)</f>
        <v>52</v>
      </c>
      <c r="T563" s="2">
        <v>55</v>
      </c>
      <c r="U563" s="3">
        <f>ROUNDDOWN(PI()*(G563-0.185)/T563,2)</f>
        <v>0.1</v>
      </c>
      <c r="V563" s="3"/>
      <c r="W563" s="1">
        <v>280</v>
      </c>
      <c r="X563" s="9">
        <v>2</v>
      </c>
      <c r="Y563" s="1">
        <v>6</v>
      </c>
      <c r="Z563" s="3">
        <f>X563*VLOOKUP(Y563,[1]Datos!$A$2:$D$14,2)</f>
        <v>5.68</v>
      </c>
      <c r="AA563" s="8">
        <v>0.15</v>
      </c>
      <c r="AB563" s="7">
        <f>IF(D563=0,0.9,0.5)*0.9*0.53*SQRT(W563)*G563*MAX(0.72*G563,0.9*((G563/2)+((G563-0.11)/PI())))*10</f>
        <v>115.05235319041492</v>
      </c>
      <c r="AC563" s="7">
        <f>0.9*Z563*4220*MAX(0.72*G563,0.9*((G563/2)+((G563-0.11)/PI())))/AA563/1000</f>
        <v>207.30517717217134</v>
      </c>
      <c r="AD563" s="6" t="str">
        <f>+IF(AC563&gt;K563-AB563,"Cumple","No Cumple")</f>
        <v>Cumple</v>
      </c>
      <c r="AE563" s="6"/>
      <c r="AH563" s="3"/>
    </row>
    <row r="564" spans="1:43" ht="15" customHeight="1" x14ac:dyDescent="0.3">
      <c r="A564" s="13"/>
      <c r="B564" s="1">
        <v>10</v>
      </c>
      <c r="C564" s="1">
        <v>266</v>
      </c>
      <c r="D564" s="1">
        <v>1</v>
      </c>
      <c r="E564" s="5">
        <v>1</v>
      </c>
      <c r="F564" s="3">
        <f>F563+E564</f>
        <v>10</v>
      </c>
      <c r="G564" s="5">
        <v>2</v>
      </c>
      <c r="H564" s="3">
        <f>PI()*(G564^2)/4</f>
        <v>3.1415926535897931</v>
      </c>
      <c r="I564" s="4">
        <v>3.1415999999999999E-2</v>
      </c>
      <c r="K564" s="3">
        <v>264.00918509968551</v>
      </c>
      <c r="L564" s="3">
        <v>213.14384000000001</v>
      </c>
      <c r="M564" s="3">
        <v>1233.6876099999999</v>
      </c>
      <c r="N564" s="12">
        <f>I564/H564</f>
        <v>1.0000023384349969E-2</v>
      </c>
      <c r="O564" s="11">
        <f>I564*10000</f>
        <v>314.15999999999997</v>
      </c>
      <c r="P564" s="1">
        <v>10</v>
      </c>
      <c r="Q564" s="1">
        <v>1</v>
      </c>
      <c r="R564" s="3">
        <f>Q564*VLOOKUP(P564,[1]Datos!$A$2:$D$14,2)</f>
        <v>8.19</v>
      </c>
      <c r="S564" s="10">
        <f>ROUNDUP(O564/R564,0)</f>
        <v>39</v>
      </c>
      <c r="T564" s="2">
        <v>55</v>
      </c>
      <c r="U564" s="3">
        <f>ROUNDDOWN(PI()*(G564-0.185)/T564,2)</f>
        <v>0.1</v>
      </c>
      <c r="V564" s="3"/>
      <c r="W564" s="1">
        <v>280</v>
      </c>
      <c r="X564" s="9">
        <v>2</v>
      </c>
      <c r="Y564" s="1">
        <v>6</v>
      </c>
      <c r="Z564" s="3">
        <f>X564*VLOOKUP(Y564,[1]Datos!$A$2:$D$14,2)</f>
        <v>5.68</v>
      </c>
      <c r="AA564" s="8">
        <v>0.15</v>
      </c>
      <c r="AB564" s="7">
        <f>IF(D564=0,0.9,0.5)*0.9*0.53*SQRT(W564)*G564*MAX(0.72*G564,0.9*((G564/2)+((G564-0.11)/PI())))*10</f>
        <v>115.05235319041492</v>
      </c>
      <c r="AC564" s="7">
        <f>0.9*Z564*4220*MAX(0.72*G564,0.9*((G564/2)+((G564-0.11)/PI())))/AA564/1000</f>
        <v>207.30517717217134</v>
      </c>
      <c r="AD564" s="6" t="str">
        <f>+IF(AC564&gt;K564-AB564,"Cumple","No Cumple")</f>
        <v>Cumple</v>
      </c>
      <c r="AE564" s="6"/>
      <c r="AH564" s="3"/>
    </row>
    <row r="565" spans="1:43" ht="15" customHeight="1" x14ac:dyDescent="0.3">
      <c r="A565" s="13"/>
      <c r="B565" s="1">
        <v>11</v>
      </c>
      <c r="C565" s="1">
        <v>268</v>
      </c>
      <c r="D565" s="1">
        <v>1</v>
      </c>
      <c r="E565" s="5">
        <v>1</v>
      </c>
      <c r="F565" s="3">
        <f>F564+E565</f>
        <v>11</v>
      </c>
      <c r="G565" s="5">
        <v>2</v>
      </c>
      <c r="H565" s="3">
        <f>PI()*(G565^2)/4</f>
        <v>3.1415926535897931</v>
      </c>
      <c r="I565" s="4">
        <v>3.1415999999999999E-2</v>
      </c>
      <c r="K565" s="3">
        <v>246.93706703467993</v>
      </c>
      <c r="L565" s="3">
        <v>198.12381999999999</v>
      </c>
      <c r="M565" s="3">
        <v>971.42733999999996</v>
      </c>
      <c r="N565" s="12">
        <f>I565/H565</f>
        <v>1.0000023384349969E-2</v>
      </c>
      <c r="O565" s="11">
        <f>I565*10000</f>
        <v>314.15999999999997</v>
      </c>
      <c r="P565" s="1">
        <v>10</v>
      </c>
      <c r="Q565" s="1">
        <v>1</v>
      </c>
      <c r="R565" s="3">
        <f>Q565*VLOOKUP(P565,[1]Datos!$A$2:$D$14,2)</f>
        <v>8.19</v>
      </c>
      <c r="S565" s="10">
        <f>ROUNDUP(O565/R565,0)</f>
        <v>39</v>
      </c>
      <c r="T565" s="2">
        <v>55</v>
      </c>
      <c r="U565" s="3">
        <f>ROUNDDOWN(PI()*(G565-0.185)/T565,2)</f>
        <v>0.1</v>
      </c>
      <c r="V565" s="3"/>
      <c r="W565" s="1">
        <v>280</v>
      </c>
      <c r="X565" s="9">
        <v>2</v>
      </c>
      <c r="Y565" s="1">
        <v>6</v>
      </c>
      <c r="Z565" s="3">
        <f>X565*VLOOKUP(Y565,[1]Datos!$A$2:$D$14,2)</f>
        <v>5.68</v>
      </c>
      <c r="AA565" s="8">
        <v>0.15</v>
      </c>
      <c r="AB565" s="7">
        <f>IF(D565=0,0.9,0.5)*0.9*0.53*SQRT(W565)*G565*MAX(0.72*G565,0.9*((G565/2)+((G565-0.11)/PI())))*10</f>
        <v>115.05235319041492</v>
      </c>
      <c r="AC565" s="7">
        <f>0.9*Z565*4220*MAX(0.72*G565,0.9*((G565/2)+((G565-0.11)/PI())))/AA565/1000</f>
        <v>207.30517717217134</v>
      </c>
      <c r="AD565" s="6" t="str">
        <f>+IF(AC565&gt;K565-AB565,"Cumple","No Cumple")</f>
        <v>Cumple</v>
      </c>
      <c r="AE565" s="6"/>
      <c r="AH565" s="3"/>
    </row>
    <row r="566" spans="1:43" ht="15" customHeight="1" x14ac:dyDescent="0.3">
      <c r="A566" s="13"/>
      <c r="B566" s="1">
        <v>12</v>
      </c>
      <c r="C566" s="1">
        <v>270</v>
      </c>
      <c r="D566" s="1">
        <v>1</v>
      </c>
      <c r="E566" s="5">
        <v>1</v>
      </c>
      <c r="F566" s="3">
        <f>F565+E566</f>
        <v>12</v>
      </c>
      <c r="G566" s="5">
        <v>2</v>
      </c>
      <c r="H566" s="3">
        <f>PI()*(G566^2)/4</f>
        <v>3.1415926535897931</v>
      </c>
      <c r="I566" s="4">
        <v>3.1415999999999999E-2</v>
      </c>
      <c r="K566" s="3">
        <v>223.43611164791602</v>
      </c>
      <c r="L566" s="3">
        <v>176.34258</v>
      </c>
      <c r="M566" s="3">
        <v>725.89616999999998</v>
      </c>
      <c r="N566" s="12">
        <f>I566/H566</f>
        <v>1.0000023384349969E-2</v>
      </c>
      <c r="O566" s="11">
        <f>I566*10000</f>
        <v>314.15999999999997</v>
      </c>
      <c r="P566" s="1">
        <v>10</v>
      </c>
      <c r="Q566" s="19">
        <v>1</v>
      </c>
      <c r="R566" s="3">
        <f>Q566*VLOOKUP(P566,[1]Datos!$A$2:$D$14,2)</f>
        <v>8.19</v>
      </c>
      <c r="S566" s="10">
        <f>ROUNDUP(O566/R566,0)</f>
        <v>39</v>
      </c>
      <c r="T566" s="18">
        <v>55</v>
      </c>
      <c r="U566" s="3">
        <f>ROUNDDOWN(PI()*(G566-0.185)/T566,2)</f>
        <v>0.1</v>
      </c>
      <c r="V566" s="3"/>
      <c r="W566" s="1">
        <v>280</v>
      </c>
      <c r="X566" s="9">
        <v>2</v>
      </c>
      <c r="Y566" s="1">
        <v>6</v>
      </c>
      <c r="Z566" s="3">
        <f>X566*VLOOKUP(Y566,[1]Datos!$A$2:$D$14,2)</f>
        <v>5.68</v>
      </c>
      <c r="AA566" s="8">
        <v>0.15</v>
      </c>
      <c r="AB566" s="7">
        <f>IF(D566=0,0.9,0.5)*0.9*0.53*SQRT(W566)*G566*MAX(0.72*G566,0.9*((G566/2)+((G566-0.11)/PI())))*10</f>
        <v>115.05235319041492</v>
      </c>
      <c r="AC566" s="7">
        <f>0.9*Z566*4220*MAX(0.72*G566,0.9*((G566/2)+((G566-0.11)/PI())))/AA566/1000</f>
        <v>207.30517717217134</v>
      </c>
      <c r="AD566" s="6" t="str">
        <f>+IF(AC566&gt;K566-AB566,"Cumple","No Cumple")</f>
        <v>Cumple</v>
      </c>
      <c r="AE566" s="6"/>
      <c r="AH566" s="3"/>
    </row>
    <row r="567" spans="1:43" ht="15" customHeight="1" x14ac:dyDescent="0.3">
      <c r="A567" s="13"/>
      <c r="B567" s="1">
        <v>13</v>
      </c>
      <c r="C567" s="1">
        <v>272</v>
      </c>
      <c r="D567" s="1">
        <v>1</v>
      </c>
      <c r="E567" s="5">
        <v>1</v>
      </c>
      <c r="F567" s="3">
        <f>F566+E567</f>
        <v>13</v>
      </c>
      <c r="G567" s="5">
        <v>2</v>
      </c>
      <c r="H567" s="3">
        <f>PI()*(G567^2)/4</f>
        <v>3.1415926535897931</v>
      </c>
      <c r="I567" s="4">
        <v>3.1415999999999999E-2</v>
      </c>
      <c r="K567" s="3">
        <v>196.90136136553247</v>
      </c>
      <c r="L567" s="3">
        <v>150.08753999999999</v>
      </c>
      <c r="M567" s="3">
        <v>503.71472999999997</v>
      </c>
      <c r="N567" s="12">
        <f>I567/H567</f>
        <v>1.0000023384349969E-2</v>
      </c>
      <c r="O567" s="11">
        <f>I567*10000</f>
        <v>314.15999999999997</v>
      </c>
      <c r="P567" s="1">
        <v>10</v>
      </c>
      <c r="Q567" s="19">
        <v>1</v>
      </c>
      <c r="R567" s="3">
        <f>Q567*VLOOKUP(P567,[1]Datos!$A$2:$D$14,2)</f>
        <v>8.19</v>
      </c>
      <c r="S567" s="10">
        <f>ROUNDUP(O567/R567,0)</f>
        <v>39</v>
      </c>
      <c r="T567" s="18">
        <v>55</v>
      </c>
      <c r="U567" s="3">
        <f>ROUNDDOWN(PI()*(G567-0.185)/T567,2)</f>
        <v>0.1</v>
      </c>
      <c r="V567" s="3"/>
      <c r="W567" s="1">
        <v>280</v>
      </c>
      <c r="X567" s="9">
        <v>2</v>
      </c>
      <c r="Y567" s="1">
        <v>6</v>
      </c>
      <c r="Z567" s="3">
        <f>X567*VLOOKUP(Y567,[1]Datos!$A$2:$D$14,2)</f>
        <v>5.68</v>
      </c>
      <c r="AA567" s="8">
        <v>0.15</v>
      </c>
      <c r="AB567" s="7">
        <f>IF(D567=0,0.9,0.5)*0.9*0.53*SQRT(W567)*G567*MAX(0.72*G567,0.9*((G567/2)+((G567-0.11)/PI())))*10</f>
        <v>115.05235319041492</v>
      </c>
      <c r="AC567" s="7">
        <f>0.9*Z567*4220*MAX(0.72*G567,0.9*((G567/2)+((G567-0.11)/PI())))/AA567/1000</f>
        <v>207.30517717217134</v>
      </c>
      <c r="AD567" s="6" t="str">
        <f>+IF(AC567&gt;K567-AB567,"Cumple","No Cumple")</f>
        <v>Cumple</v>
      </c>
      <c r="AE567" s="6"/>
      <c r="AH567" s="3"/>
    </row>
    <row r="568" spans="1:43" ht="15" customHeight="1" x14ac:dyDescent="0.3">
      <c r="A568" s="13"/>
      <c r="B568" s="1">
        <v>14</v>
      </c>
      <c r="C568" s="1">
        <v>274</v>
      </c>
      <c r="D568" s="1">
        <v>1</v>
      </c>
      <c r="E568" s="5">
        <v>1</v>
      </c>
      <c r="F568" s="3">
        <f>F567+E568</f>
        <v>14</v>
      </c>
      <c r="G568" s="5">
        <v>2</v>
      </c>
      <c r="H568" s="3">
        <f>PI()*(G568^2)/4</f>
        <v>3.1415926535897931</v>
      </c>
      <c r="I568" s="4">
        <v>3.1415999999999999E-2</v>
      </c>
      <c r="K568" s="3">
        <v>143.6055245802194</v>
      </c>
      <c r="L568" s="3">
        <v>121.32698000000001</v>
      </c>
      <c r="M568" s="3">
        <v>308.24095999999997</v>
      </c>
      <c r="N568" s="12">
        <f>I568/H568</f>
        <v>1.0000023384349969E-2</v>
      </c>
      <c r="O568" s="11">
        <f>I568*10000</f>
        <v>314.15999999999997</v>
      </c>
      <c r="P568" s="1">
        <v>10</v>
      </c>
      <c r="Q568" s="19">
        <v>1</v>
      </c>
      <c r="R568" s="3">
        <f>Q568*VLOOKUP(P568,[1]Datos!$A$2:$D$14,2)</f>
        <v>8.19</v>
      </c>
      <c r="S568" s="10">
        <f>ROUNDUP(O568/R568,0)</f>
        <v>39</v>
      </c>
      <c r="T568" s="18">
        <v>55</v>
      </c>
      <c r="U568" s="3">
        <f>ROUNDDOWN(PI()*(G568-0.185)/T568,2)</f>
        <v>0.1</v>
      </c>
      <c r="V568" s="3"/>
      <c r="W568" s="1">
        <v>280</v>
      </c>
      <c r="X568" s="9">
        <v>2</v>
      </c>
      <c r="Y568" s="1">
        <v>4</v>
      </c>
      <c r="Z568" s="3">
        <f>X568*VLOOKUP(Y568,[1]Datos!$A$2:$D$14,2)</f>
        <v>2.58</v>
      </c>
      <c r="AA568" s="8">
        <v>0.3</v>
      </c>
      <c r="AB568" s="7">
        <f>IF(D568=0,0.9,0.5)*0.9*0.53*SQRT(W568)*G568*MAX(0.72*G568,0.9*((G568/2)+((G568-0.11)/PI())))*10</f>
        <v>115.05235319041492</v>
      </c>
      <c r="AC568" s="7">
        <f>0.9*Z568*4220*MAX(0.72*G568,0.9*((G568/2)+((G568-0.11)/PI())))/AA568/1000</f>
        <v>47.081633547905106</v>
      </c>
      <c r="AD568" s="6" t="str">
        <f>+IF(AC568&gt;K568-AB568,"Cumple","No Cumple")</f>
        <v>Cumple</v>
      </c>
      <c r="AE568" s="6"/>
      <c r="AH568" s="3"/>
    </row>
    <row r="569" spans="1:43" ht="15" customHeight="1" x14ac:dyDescent="0.3">
      <c r="A569" s="13"/>
      <c r="B569" s="1">
        <v>15</v>
      </c>
      <c r="C569" s="1">
        <v>276</v>
      </c>
      <c r="D569" s="1">
        <v>1</v>
      </c>
      <c r="E569" s="5">
        <v>1</v>
      </c>
      <c r="F569" s="3">
        <f>F568+E569</f>
        <v>15</v>
      </c>
      <c r="G569" s="5">
        <v>2</v>
      </c>
      <c r="H569" s="3">
        <f>PI()*(G569^2)/4</f>
        <v>3.1415926535897931</v>
      </c>
      <c r="I569" s="4">
        <v>3.1415999999999999E-2</v>
      </c>
      <c r="K569" s="3">
        <v>94.832037994182116</v>
      </c>
      <c r="L569" s="3">
        <v>92.062470000000005</v>
      </c>
      <c r="M569" s="3">
        <v>166.27515</v>
      </c>
      <c r="N569" s="12">
        <f>I569/H569</f>
        <v>1.0000023384349969E-2</v>
      </c>
      <c r="O569" s="11">
        <f>I569*10000</f>
        <v>314.15999999999997</v>
      </c>
      <c r="P569" s="1">
        <v>10</v>
      </c>
      <c r="Q569" s="1">
        <v>1</v>
      </c>
      <c r="R569" s="3">
        <f>Q569*VLOOKUP(P569,[1]Datos!$A$2:$D$14,2)</f>
        <v>8.19</v>
      </c>
      <c r="S569" s="10">
        <f>ROUNDUP(O569/R569,0)</f>
        <v>39</v>
      </c>
      <c r="T569" s="2">
        <v>39</v>
      </c>
      <c r="U569" s="3">
        <f>ROUNDDOWN(PI()*(G569-0.185)/T569,2)</f>
        <v>0.14000000000000001</v>
      </c>
      <c r="V569" s="3"/>
      <c r="W569" s="1">
        <v>280</v>
      </c>
      <c r="X569" s="9">
        <v>2</v>
      </c>
      <c r="Y569" s="1">
        <v>4</v>
      </c>
      <c r="Z569" s="3">
        <f>X569*VLOOKUP(Y569,[1]Datos!$A$2:$D$14,2)</f>
        <v>2.58</v>
      </c>
      <c r="AA569" s="8">
        <v>0.3</v>
      </c>
      <c r="AB569" s="7">
        <f>IF(D569=0,0.9,0.5)*0.9*0.53*SQRT(W569)*G569*MAX(0.72*G569,0.9*((G569/2)+((G569-0.11)/PI())))*10</f>
        <v>115.05235319041492</v>
      </c>
      <c r="AC569" s="7">
        <f>0.9*Z569*4220*MAX(0.72*G569,0.9*((G569/2)+((G569-0.11)/PI())))/AA569/1000</f>
        <v>47.081633547905106</v>
      </c>
      <c r="AD569" s="6" t="str">
        <f>+IF(AC569&gt;K569-AB569,"Cumple","No Cumple")</f>
        <v>Cumple</v>
      </c>
      <c r="AE569" s="6"/>
      <c r="AH569" s="3"/>
    </row>
    <row r="570" spans="1:43" ht="15" customHeight="1" x14ac:dyDescent="0.3">
      <c r="A570" s="13"/>
      <c r="B570" s="1">
        <v>16</v>
      </c>
      <c r="C570" s="1">
        <v>278</v>
      </c>
      <c r="D570" s="1">
        <v>1</v>
      </c>
      <c r="E570" s="5">
        <v>1</v>
      </c>
      <c r="F570" s="3">
        <f>F569+E570</f>
        <v>16</v>
      </c>
      <c r="G570" s="5">
        <v>2</v>
      </c>
      <c r="H570" s="3">
        <f>PI()*(G570^2)/4</f>
        <v>3.1415926535897931</v>
      </c>
      <c r="I570" s="4">
        <v>3.1415999999999999E-2</v>
      </c>
      <c r="K570" s="3">
        <v>53.953918350106882</v>
      </c>
      <c r="L570" s="3">
        <v>64.758840000000006</v>
      </c>
      <c r="M570" s="3">
        <v>73.738330000000005</v>
      </c>
      <c r="N570" s="12">
        <f>I570/H570</f>
        <v>1.0000023384349969E-2</v>
      </c>
      <c r="O570" s="11">
        <f>I570*10000</f>
        <v>314.15999999999997</v>
      </c>
      <c r="P570" s="1">
        <v>10</v>
      </c>
      <c r="Q570" s="1">
        <v>1</v>
      </c>
      <c r="R570" s="3">
        <f>Q570*VLOOKUP(P570,[1]Datos!$A$2:$D$14,2)</f>
        <v>8.19</v>
      </c>
      <c r="S570" s="10">
        <f>ROUNDUP(O570/R570,0)</f>
        <v>39</v>
      </c>
      <c r="T570" s="2">
        <v>39</v>
      </c>
      <c r="U570" s="3">
        <f>ROUNDDOWN(PI()*(G570-0.185)/T570,2)</f>
        <v>0.14000000000000001</v>
      </c>
      <c r="V570" s="3"/>
      <c r="W570" s="1">
        <v>280</v>
      </c>
      <c r="X570" s="9">
        <v>2</v>
      </c>
      <c r="Y570" s="1">
        <v>4</v>
      </c>
      <c r="Z570" s="3">
        <f>X570*VLOOKUP(Y570,[1]Datos!$A$2:$D$14,2)</f>
        <v>2.58</v>
      </c>
      <c r="AA570" s="8">
        <v>0.3</v>
      </c>
      <c r="AB570" s="7">
        <f>IF(D570=0,0.9,0.5)*0.9*0.53*SQRT(W570)*G570*MAX(0.72*G570,0.9*((G570/2)+((G570-0.11)/PI())))*10</f>
        <v>115.05235319041492</v>
      </c>
      <c r="AC570" s="7">
        <f>0.9*Z570*4220*MAX(0.72*G570,0.9*((G570/2)+((G570-0.11)/PI())))/AA570/1000</f>
        <v>47.081633547905106</v>
      </c>
      <c r="AD570" s="6" t="str">
        <f>+IF(AC570&gt;K570-AB570,"Cumple","No Cumple")</f>
        <v>Cumple</v>
      </c>
      <c r="AE570" s="6"/>
      <c r="AH570" s="3"/>
    </row>
    <row r="571" spans="1:43" ht="15" customHeight="1" x14ac:dyDescent="0.3">
      <c r="A571" s="13"/>
      <c r="B571" s="1">
        <v>17</v>
      </c>
      <c r="C571" s="1">
        <v>280</v>
      </c>
      <c r="D571" s="1">
        <v>1</v>
      </c>
      <c r="E571" s="5">
        <v>1</v>
      </c>
      <c r="F571" s="3">
        <f>F570+E571</f>
        <v>17</v>
      </c>
      <c r="G571" s="5">
        <v>2</v>
      </c>
      <c r="H571" s="3">
        <f>PI()*(G571^2)/4</f>
        <v>3.1415926535897931</v>
      </c>
      <c r="I571" s="4">
        <v>3.1415999999999999E-2</v>
      </c>
      <c r="K571" s="3">
        <v>23.667756994907652</v>
      </c>
      <c r="L571" s="3">
        <v>41.104199999999999</v>
      </c>
      <c r="M571" s="3">
        <v>29.025929999999999</v>
      </c>
      <c r="N571" s="12">
        <f>I571/H571</f>
        <v>1.0000023384349969E-2</v>
      </c>
      <c r="O571" s="11">
        <f>I571*10000</f>
        <v>314.15999999999997</v>
      </c>
      <c r="P571" s="1">
        <v>10</v>
      </c>
      <c r="Q571" s="1">
        <v>1</v>
      </c>
      <c r="R571" s="3">
        <f>Q571*VLOOKUP(P571,[1]Datos!$A$2:$D$14,2)</f>
        <v>8.19</v>
      </c>
      <c r="S571" s="10">
        <f>ROUNDUP(O571/R571,0)</f>
        <v>39</v>
      </c>
      <c r="T571" s="2">
        <v>39</v>
      </c>
      <c r="U571" s="3">
        <f>ROUNDDOWN(PI()*(G571-0.185)/T571,2)</f>
        <v>0.14000000000000001</v>
      </c>
      <c r="V571" s="3"/>
      <c r="W571" s="1">
        <v>280</v>
      </c>
      <c r="X571" s="9">
        <v>2</v>
      </c>
      <c r="Y571" s="1">
        <v>4</v>
      </c>
      <c r="Z571" s="3">
        <f>X571*VLOOKUP(Y571,[1]Datos!$A$2:$D$14,2)</f>
        <v>2.58</v>
      </c>
      <c r="AA571" s="8">
        <v>0.3</v>
      </c>
      <c r="AB571" s="7">
        <f>IF(D571=0,0.9,0.5)*0.9*0.53*SQRT(W571)*G571*MAX(0.72*G571,0.9*((G571/2)+((G571-0.11)/PI())))*10</f>
        <v>115.05235319041492</v>
      </c>
      <c r="AC571" s="7">
        <f>0.9*Z571*4220*MAX(0.72*G571,0.9*((G571/2)+((G571-0.11)/PI())))/AA571/1000</f>
        <v>47.081633547905106</v>
      </c>
      <c r="AD571" s="6" t="str">
        <f>+IF(AC571&gt;K571-AB571,"Cumple","No Cumple")</f>
        <v>Cumple</v>
      </c>
      <c r="AE571" s="6"/>
      <c r="AH571" s="3"/>
    </row>
    <row r="572" spans="1:43" ht="15" customHeight="1" x14ac:dyDescent="0.3">
      <c r="A572" s="13"/>
      <c r="B572" s="1">
        <v>18</v>
      </c>
      <c r="C572" s="1">
        <v>282</v>
      </c>
      <c r="D572" s="1">
        <v>1</v>
      </c>
      <c r="E572" s="5">
        <v>1</v>
      </c>
      <c r="F572" s="3">
        <f>F571+E572</f>
        <v>18</v>
      </c>
      <c r="G572" s="5">
        <v>2</v>
      </c>
      <c r="H572" s="3">
        <f>PI()*(G572^2)/4</f>
        <v>3.1415926535897931</v>
      </c>
      <c r="I572" s="4">
        <v>3.1415999999999999E-2</v>
      </c>
      <c r="K572" s="3">
        <v>15.491658226284233</v>
      </c>
      <c r="L572" s="3">
        <v>22.16225</v>
      </c>
      <c r="M572" s="3">
        <v>16.415870000000002</v>
      </c>
      <c r="N572" s="12">
        <f>I572/H572</f>
        <v>1.0000023384349969E-2</v>
      </c>
      <c r="O572" s="11">
        <f>I572*10000</f>
        <v>314.15999999999997</v>
      </c>
      <c r="P572" s="1">
        <v>10</v>
      </c>
      <c r="Q572" s="1">
        <v>1</v>
      </c>
      <c r="R572" s="3">
        <f>Q572*VLOOKUP(P572,[1]Datos!$A$2:$D$14,2)</f>
        <v>8.19</v>
      </c>
      <c r="S572" s="10">
        <f>ROUNDUP(O572/R572,0)</f>
        <v>39</v>
      </c>
      <c r="T572" s="2">
        <v>39</v>
      </c>
      <c r="U572" s="3">
        <f>ROUNDDOWN(PI()*(G572-0.185)/T572,2)</f>
        <v>0.14000000000000001</v>
      </c>
      <c r="V572" s="3"/>
      <c r="W572" s="1">
        <v>280</v>
      </c>
      <c r="X572" s="9">
        <v>2</v>
      </c>
      <c r="Y572" s="1">
        <v>4</v>
      </c>
      <c r="Z572" s="3">
        <f>X572*VLOOKUP(Y572,[1]Datos!$A$2:$D$14,2)</f>
        <v>2.58</v>
      </c>
      <c r="AA572" s="8">
        <v>0.3</v>
      </c>
      <c r="AB572" s="7">
        <f>IF(D572=0,0.9,0.5)*0.9*0.53*SQRT(W572)*G572*MAX(0.72*G572,0.9*((G572/2)+((G572-0.11)/PI())))*10</f>
        <v>115.05235319041492</v>
      </c>
      <c r="AC572" s="7">
        <f>0.9*Z572*4220*MAX(0.72*G572,0.9*((G572/2)+((G572-0.11)/PI())))/AA572/1000</f>
        <v>47.081633547905106</v>
      </c>
      <c r="AD572" s="6" t="str">
        <f>+IF(AC572&gt;K572-AB572,"Cumple","No Cumple")</f>
        <v>Cumple</v>
      </c>
      <c r="AE572" s="6"/>
      <c r="AH572" s="3"/>
    </row>
    <row r="573" spans="1:43" ht="15" customHeight="1" x14ac:dyDescent="0.3">
      <c r="A573" s="13"/>
      <c r="B573" s="1">
        <v>19</v>
      </c>
      <c r="C573" s="1">
        <v>284</v>
      </c>
      <c r="D573" s="1">
        <v>1</v>
      </c>
      <c r="E573" s="5">
        <v>1</v>
      </c>
      <c r="F573" s="3">
        <f>F572+E573</f>
        <v>19</v>
      </c>
      <c r="G573" s="5">
        <v>2</v>
      </c>
      <c r="H573" s="3">
        <f>PI()*(G573^2)/4</f>
        <v>3.1415926535897931</v>
      </c>
      <c r="I573" s="4">
        <v>3.1415999999999999E-2</v>
      </c>
      <c r="K573" s="3">
        <v>10.403918260443994</v>
      </c>
      <c r="L573" s="3">
        <v>8.4990600000000001</v>
      </c>
      <c r="M573" s="3">
        <v>8.8455200000000005</v>
      </c>
      <c r="N573" s="12">
        <f>I573/H573</f>
        <v>1.0000023384349969E-2</v>
      </c>
      <c r="O573" s="11">
        <f>I573*10000</f>
        <v>314.15999999999997</v>
      </c>
      <c r="P573" s="1">
        <v>10</v>
      </c>
      <c r="Q573" s="1">
        <v>1</v>
      </c>
      <c r="R573" s="3">
        <f>Q573*VLOOKUP(P573,[1]Datos!$A$2:$D$14,2)</f>
        <v>8.19</v>
      </c>
      <c r="S573" s="10">
        <f>ROUNDUP(O573/R573,0)</f>
        <v>39</v>
      </c>
      <c r="T573" s="2">
        <v>39</v>
      </c>
      <c r="U573" s="3">
        <f>ROUNDDOWN(PI()*(G573-0.185)/T573,2)</f>
        <v>0.14000000000000001</v>
      </c>
      <c r="V573" s="3"/>
      <c r="W573" s="1">
        <v>280</v>
      </c>
      <c r="X573" s="9">
        <v>2</v>
      </c>
      <c r="Y573" s="1">
        <v>4</v>
      </c>
      <c r="Z573" s="3">
        <f>X573*VLOOKUP(Y573,[1]Datos!$A$2:$D$14,2)</f>
        <v>2.58</v>
      </c>
      <c r="AA573" s="8">
        <v>0.3</v>
      </c>
      <c r="AB573" s="7">
        <f>IF(D573=0,0.9,0.5)*0.9*0.53*SQRT(W573)*G573*MAX(0.72*G573,0.9*((G573/2)+((G573-0.11)/PI())))*10</f>
        <v>115.05235319041492</v>
      </c>
      <c r="AC573" s="7">
        <f>0.9*Z573*4220*MAX(0.72*G573,0.9*((G573/2)+((G573-0.11)/PI())))/AA573/1000</f>
        <v>47.081633547905106</v>
      </c>
      <c r="AD573" s="6" t="str">
        <f>+IF(AC573&gt;K573-AB573,"Cumple","No Cumple")</f>
        <v>Cumple</v>
      </c>
      <c r="AE573" s="6"/>
      <c r="AH573" s="3"/>
    </row>
    <row r="574" spans="1:43" ht="15" customHeight="1" x14ac:dyDescent="0.3">
      <c r="A574" s="13" t="s">
        <v>13</v>
      </c>
      <c r="B574" s="1">
        <v>1</v>
      </c>
      <c r="C574" s="1">
        <v>49</v>
      </c>
      <c r="D574" s="1">
        <v>0</v>
      </c>
      <c r="E574" s="5">
        <v>1</v>
      </c>
      <c r="F574" s="3">
        <f>E574</f>
        <v>1</v>
      </c>
      <c r="G574" s="5">
        <v>2</v>
      </c>
      <c r="H574" s="3">
        <f>PI()*(G574^2)/4</f>
        <v>3.1415926535897931</v>
      </c>
      <c r="I574" s="4">
        <v>4.0064000000000002E-2</v>
      </c>
      <c r="K574" s="3">
        <v>126.87313030937639</v>
      </c>
      <c r="L574" s="3">
        <v>896.63152000000002</v>
      </c>
      <c r="M574" s="3">
        <v>2246.03622</v>
      </c>
      <c r="N574" s="12">
        <f>I574/H574</f>
        <v>1.2752767280067391E-2</v>
      </c>
      <c r="O574" s="11">
        <f>I574*10000</f>
        <v>400.64000000000004</v>
      </c>
      <c r="P574" s="1">
        <v>10</v>
      </c>
      <c r="Q574" s="1">
        <v>1</v>
      </c>
      <c r="R574" s="3">
        <f>Q574*VLOOKUP(P574,[1]Datos!$A$2:$D$14,2)</f>
        <v>8.19</v>
      </c>
      <c r="S574" s="10">
        <f>ROUNDUP(O574/R574,0)</f>
        <v>49</v>
      </c>
      <c r="T574" s="2">
        <v>49</v>
      </c>
      <c r="U574" s="3">
        <f>ROUNDDOWN(PI()*(G574-0.185)/T574,2)</f>
        <v>0.11</v>
      </c>
      <c r="V574" s="3"/>
      <c r="W574" s="1">
        <v>280</v>
      </c>
      <c r="X574" s="9">
        <v>2</v>
      </c>
      <c r="Y574" s="1">
        <v>6</v>
      </c>
      <c r="Z574" s="3">
        <f>X574*VLOOKUP(Y574,[1]Datos!$A$2:$D$14,2)</f>
        <v>5.68</v>
      </c>
      <c r="AA574" s="8">
        <v>7.4999999999999997E-2</v>
      </c>
      <c r="AB574" s="7">
        <f>IF(D574=0,0.9,0.5)*0.9*0.53*SQRT(W574)*G574*MAX(0.72*G574,0.9*((G574/2)+((G574-0.11)/PI())))*10</f>
        <v>207.09423574274689</v>
      </c>
      <c r="AC574" s="7">
        <f>0.9*Z574*4220*MAX(0.72*G574,0.9*((G574/2)+((G574-0.11)/PI())))/AA574/1000</f>
        <v>414.61035434434268</v>
      </c>
      <c r="AD574" s="6" t="str">
        <f>+IF(AC574&gt;K574-AB574,"Cumple","No Cumple")</f>
        <v>Cumple</v>
      </c>
      <c r="AE574" s="6"/>
      <c r="AF574" s="5">
        <v>24</v>
      </c>
      <c r="AG574" s="7">
        <f>ROUNDUP(MAX(0.45,G574,AF574/6),0)</f>
        <v>4</v>
      </c>
      <c r="AH574" s="3">
        <f>PI()*(G574-0.15)^2/4</f>
        <v>2.6880252142277672</v>
      </c>
      <c r="AI574" s="7">
        <f>G574-0.15-VLOOKUP(Y574,[1]Datos!$A$2:$D$14,3)/100</f>
        <v>1.8309000000000002</v>
      </c>
      <c r="AJ574" s="7">
        <f>SQRT((PI()*AI574)^2+AA574^2)</f>
        <v>5.7524309339691264</v>
      </c>
      <c r="AK574" s="1">
        <v>0.12</v>
      </c>
      <c r="AL574" s="16">
        <f>MAX(0.45*(H574/AH574-1),AK574)*(W574/4220)</f>
        <v>7.9620853080568724E-3</v>
      </c>
      <c r="AM574" s="7">
        <f>AG574*(AJ574/AA574)</f>
        <v>306.79631647835345</v>
      </c>
      <c r="AN574" s="17">
        <f>AM574*Z574/X574/10000</f>
        <v>8.7130153879852373E-2</v>
      </c>
      <c r="AO574" s="17">
        <f>AH574*AG574</f>
        <v>10.752100856911069</v>
      </c>
      <c r="AP574" s="16">
        <f>AN574/AO574</f>
        <v>8.1035469290495175E-3</v>
      </c>
      <c r="AQ574" s="6" t="str">
        <f>+IF(AP574&gt;AL574,"Cumple","No Cumple")</f>
        <v>Cumple</v>
      </c>
    </row>
    <row r="575" spans="1:43" ht="15" customHeight="1" x14ac:dyDescent="0.3">
      <c r="A575" s="13"/>
      <c r="B575" s="1">
        <v>2</v>
      </c>
      <c r="C575" s="1">
        <v>51</v>
      </c>
      <c r="D575" s="1">
        <v>0</v>
      </c>
      <c r="E575" s="5">
        <v>1</v>
      </c>
      <c r="F575" s="3">
        <f>F574+E575</f>
        <v>2</v>
      </c>
      <c r="G575" s="5">
        <v>2</v>
      </c>
      <c r="H575" s="3">
        <f>PI()*(G575^2)/4</f>
        <v>3.1415926535897931</v>
      </c>
      <c r="I575" s="4">
        <v>3.6692000000000002E-2</v>
      </c>
      <c r="K575" s="3">
        <v>126.87385480882183</v>
      </c>
      <c r="L575" s="3">
        <v>841.70191</v>
      </c>
      <c r="M575" s="3">
        <v>2155.2406900000001</v>
      </c>
      <c r="N575" s="12">
        <f>I575/H575</f>
        <v>1.1679426343855649E-2</v>
      </c>
      <c r="O575" s="11">
        <f>I575*10000</f>
        <v>366.92</v>
      </c>
      <c r="P575" s="1">
        <v>10</v>
      </c>
      <c r="Q575" s="1">
        <v>1</v>
      </c>
      <c r="R575" s="3">
        <f>Q575*VLOOKUP(P575,[1]Datos!$A$2:$D$14,2)</f>
        <v>8.19</v>
      </c>
      <c r="S575" s="10">
        <f>ROUNDUP(O575/R575,0)</f>
        <v>45</v>
      </c>
      <c r="T575" s="2">
        <v>49</v>
      </c>
      <c r="U575" s="3">
        <f>ROUNDDOWN(PI()*(G575-0.185)/T575,2)</f>
        <v>0.11</v>
      </c>
      <c r="V575" s="3"/>
      <c r="W575" s="1">
        <v>280</v>
      </c>
      <c r="X575" s="9">
        <v>2</v>
      </c>
      <c r="Y575" s="1">
        <v>6</v>
      </c>
      <c r="Z575" s="3">
        <f>X575*VLOOKUP(Y575,[1]Datos!$A$2:$D$14,2)</f>
        <v>5.68</v>
      </c>
      <c r="AA575" s="8">
        <v>7.4999999999999997E-2</v>
      </c>
      <c r="AB575" s="7">
        <f>IF(D575=0,0.9,0.5)*0.9*0.53*SQRT(W575)*G575*MAX(0.72*G575,0.9*((G575/2)+((G575-0.11)/PI())))*10</f>
        <v>207.09423574274689</v>
      </c>
      <c r="AC575" s="7">
        <f>0.9*Z575*4220*MAX(0.72*G575,0.9*((G575/2)+((G575-0.11)/PI())))/AA575/1000</f>
        <v>414.61035434434268</v>
      </c>
      <c r="AD575" s="6" t="str">
        <f>+IF(AC575&gt;K575-AB575,"Cumple","No Cumple")</f>
        <v>Cumple</v>
      </c>
      <c r="AE575" s="6"/>
      <c r="AF575" s="5">
        <v>24</v>
      </c>
      <c r="AG575" s="7">
        <f>ROUNDUP(MAX(0.45,G575,AF575/6),0)</f>
        <v>4</v>
      </c>
      <c r="AH575" s="3">
        <f>PI()*(G575-0.15)^2/4</f>
        <v>2.6880252142277672</v>
      </c>
      <c r="AI575" s="7">
        <f>G575-0.15-VLOOKUP(Y575,[1]Datos!$A$2:$D$14,3)/100</f>
        <v>1.8309000000000002</v>
      </c>
      <c r="AJ575" s="7">
        <f>SQRT((PI()*AI575)^2+AA575^2)</f>
        <v>5.7524309339691264</v>
      </c>
      <c r="AK575" s="1">
        <v>0.12</v>
      </c>
      <c r="AL575" s="16">
        <f>MAX(0.45*(H575/AH575-1),AK575)*(W575/4220)</f>
        <v>7.9620853080568724E-3</v>
      </c>
      <c r="AM575" s="7">
        <f>AG575*(AJ575/AA575)</f>
        <v>306.79631647835345</v>
      </c>
      <c r="AN575" s="17">
        <f>AM575*Z575/X575/10000</f>
        <v>8.7130153879852373E-2</v>
      </c>
      <c r="AO575" s="17">
        <f>AH575*AG575</f>
        <v>10.752100856911069</v>
      </c>
      <c r="AP575" s="16">
        <f>AN575/AO575</f>
        <v>8.1035469290495175E-3</v>
      </c>
      <c r="AQ575" s="6" t="str">
        <f>+IF(AP575&gt;AL575,"Cumple","No Cumple")</f>
        <v>Cumple</v>
      </c>
    </row>
    <row r="576" spans="1:43" ht="15" customHeight="1" x14ac:dyDescent="0.3">
      <c r="A576" s="13"/>
      <c r="B576" s="1">
        <v>3</v>
      </c>
      <c r="C576" s="1">
        <v>53</v>
      </c>
      <c r="D576" s="1">
        <v>0</v>
      </c>
      <c r="E576" s="5">
        <v>1</v>
      </c>
      <c r="F576" s="3">
        <f>F575+E576</f>
        <v>3</v>
      </c>
      <c r="G576" s="5">
        <v>2</v>
      </c>
      <c r="H576" s="3">
        <f>PI()*(G576^2)/4</f>
        <v>3.1415926535897931</v>
      </c>
      <c r="I576" s="4">
        <v>3.3026E-2</v>
      </c>
      <c r="K576" s="3">
        <v>126.87449472060963</v>
      </c>
      <c r="L576" s="3">
        <v>786.57115999999996</v>
      </c>
      <c r="M576" s="3">
        <v>2065.1978800000002</v>
      </c>
      <c r="N576" s="12">
        <f>I576/H576</f>
        <v>1.0512502301105871E-2</v>
      </c>
      <c r="O576" s="11">
        <f>I576*10000</f>
        <v>330.26</v>
      </c>
      <c r="P576" s="1">
        <v>10</v>
      </c>
      <c r="Q576" s="1">
        <v>1</v>
      </c>
      <c r="R576" s="3">
        <f>Q576*VLOOKUP(P576,[1]Datos!$A$2:$D$14,2)</f>
        <v>8.19</v>
      </c>
      <c r="S576" s="10">
        <f>ROUNDUP(O576/R576,0)</f>
        <v>41</v>
      </c>
      <c r="T576" s="2">
        <v>49</v>
      </c>
      <c r="U576" s="3">
        <f>ROUNDDOWN(PI()*(G576-0.185)/T576,2)</f>
        <v>0.11</v>
      </c>
      <c r="V576" s="3"/>
      <c r="W576" s="1">
        <v>280</v>
      </c>
      <c r="X576" s="9">
        <v>2</v>
      </c>
      <c r="Y576" s="1">
        <v>6</v>
      </c>
      <c r="Z576" s="3">
        <f>X576*VLOOKUP(Y576,[1]Datos!$A$2:$D$14,2)</f>
        <v>5.68</v>
      </c>
      <c r="AA576" s="8">
        <v>7.4999999999999997E-2</v>
      </c>
      <c r="AB576" s="7">
        <f>IF(D576=0,0.9,0.5)*0.9*0.53*SQRT(W576)*G576*MAX(0.72*G576,0.9*((G576/2)+((G576-0.11)/PI())))*10</f>
        <v>207.09423574274689</v>
      </c>
      <c r="AC576" s="7">
        <f>0.9*Z576*4220*MAX(0.72*G576,0.9*((G576/2)+((G576-0.11)/PI())))/AA576/1000</f>
        <v>414.61035434434268</v>
      </c>
      <c r="AD576" s="6" t="str">
        <f>+IF(AC576&gt;K576-AB576,"Cumple","No Cumple")</f>
        <v>Cumple</v>
      </c>
      <c r="AE576" s="6"/>
      <c r="AF576" s="5">
        <v>24</v>
      </c>
      <c r="AG576" s="7">
        <f>ROUNDUP(MAX(0.45,G576,AF576/6),0)</f>
        <v>4</v>
      </c>
      <c r="AH576" s="3">
        <f>PI()*(G576-0.15)^2/4</f>
        <v>2.6880252142277672</v>
      </c>
      <c r="AI576" s="7">
        <f>G576-0.15-VLOOKUP(Y576,[1]Datos!$A$2:$D$14,3)/100</f>
        <v>1.8309000000000002</v>
      </c>
      <c r="AJ576" s="7">
        <f>SQRT((PI()*AI576)^2+AA576^2)</f>
        <v>5.7524309339691264</v>
      </c>
      <c r="AK576" s="1">
        <v>0.12</v>
      </c>
      <c r="AL576" s="16">
        <f>MAX(0.45*(H576/AH576-1),AK576)*(W576/4220)</f>
        <v>7.9620853080568724E-3</v>
      </c>
      <c r="AM576" s="7">
        <f>AG576*(AJ576/AA576)</f>
        <v>306.79631647835345</v>
      </c>
      <c r="AN576" s="17">
        <f>AM576*Z576/X576/10000</f>
        <v>8.7130153879852373E-2</v>
      </c>
      <c r="AO576" s="17">
        <f>AH576*AG576</f>
        <v>10.752100856911069</v>
      </c>
      <c r="AP576" s="16">
        <f>AN576/AO576</f>
        <v>8.1035469290495175E-3</v>
      </c>
      <c r="AQ576" s="6" t="str">
        <f>+IF(AP576&gt;AL576,"Cumple","No Cumple")</f>
        <v>Cumple</v>
      </c>
    </row>
    <row r="577" spans="1:43" ht="15" customHeight="1" x14ac:dyDescent="0.3">
      <c r="A577" s="13"/>
      <c r="B577" s="1">
        <v>4</v>
      </c>
      <c r="C577" s="1">
        <v>55</v>
      </c>
      <c r="D577" s="1">
        <v>0</v>
      </c>
      <c r="E577" s="5">
        <v>1</v>
      </c>
      <c r="F577" s="3">
        <f>F576+E577</f>
        <v>4</v>
      </c>
      <c r="G577" s="5">
        <v>2</v>
      </c>
      <c r="H577" s="3">
        <f>PI()*(G577^2)/4</f>
        <v>3.1415926535897931</v>
      </c>
      <c r="I577" s="4">
        <v>3.1415999999999999E-2</v>
      </c>
      <c r="K577" s="3">
        <v>126.87516590810827</v>
      </c>
      <c r="L577" s="3">
        <v>731.25744999999995</v>
      </c>
      <c r="M577" s="3">
        <v>1975.72326</v>
      </c>
      <c r="N577" s="12">
        <f>I577/H577</f>
        <v>1.0000023384349969E-2</v>
      </c>
      <c r="O577" s="11">
        <f>I577*10000</f>
        <v>314.15999999999997</v>
      </c>
      <c r="P577" s="1">
        <v>10</v>
      </c>
      <c r="Q577" s="1">
        <v>1</v>
      </c>
      <c r="R577" s="3">
        <f>Q577*VLOOKUP(P577,[1]Datos!$A$2:$D$14,2)</f>
        <v>8.19</v>
      </c>
      <c r="S577" s="10">
        <f>ROUNDUP(O577/R577,0)</f>
        <v>39</v>
      </c>
      <c r="T577" s="2">
        <v>49</v>
      </c>
      <c r="U577" s="3">
        <f>ROUNDDOWN(PI()*(G577-0.185)/T577,2)</f>
        <v>0.11</v>
      </c>
      <c r="V577" s="3"/>
      <c r="W577" s="1">
        <v>280</v>
      </c>
      <c r="X577" s="9">
        <v>2</v>
      </c>
      <c r="Y577" s="1">
        <v>6</v>
      </c>
      <c r="Z577" s="3">
        <f>X577*VLOOKUP(Y577,[1]Datos!$A$2:$D$14,2)</f>
        <v>5.68</v>
      </c>
      <c r="AA577" s="8">
        <v>7.4999999999999997E-2</v>
      </c>
      <c r="AB577" s="7">
        <f>IF(D577=0,0.9,0.5)*0.9*0.53*SQRT(W577)*G577*MAX(0.72*G577,0.9*((G577/2)+((G577-0.11)/PI())))*10</f>
        <v>207.09423574274689</v>
      </c>
      <c r="AC577" s="7">
        <f>0.9*Z577*4220*MAX(0.72*G577,0.9*((G577/2)+((G577-0.11)/PI())))/AA577/1000</f>
        <v>414.61035434434268</v>
      </c>
      <c r="AD577" s="6" t="str">
        <f>+IF(AC577&gt;K577-AB577,"Cumple","No Cumple")</f>
        <v>Cumple</v>
      </c>
      <c r="AE577" s="6"/>
      <c r="AF577" s="5">
        <v>24</v>
      </c>
      <c r="AG577" s="7">
        <f>ROUNDUP(MAX(0.45,G577,AF577/6),0)</f>
        <v>4</v>
      </c>
      <c r="AH577" s="3">
        <f>PI()*(G577-0.15)^2/4</f>
        <v>2.6880252142277672</v>
      </c>
      <c r="AI577" s="7">
        <f>G577-0.15-VLOOKUP(Y577,[1]Datos!$A$2:$D$14,3)/100</f>
        <v>1.8309000000000002</v>
      </c>
      <c r="AJ577" s="7">
        <f>SQRT((PI()*AI577)^2+AA577^2)</f>
        <v>5.7524309339691264</v>
      </c>
      <c r="AK577" s="1">
        <v>0.12</v>
      </c>
      <c r="AL577" s="16">
        <f>MAX(0.45*(H577/AH577-1),AK577)*(W577/4220)</f>
        <v>7.9620853080568724E-3</v>
      </c>
      <c r="AM577" s="7">
        <f>AG577*(AJ577/AA577)</f>
        <v>306.79631647835345</v>
      </c>
      <c r="AN577" s="17">
        <f>AM577*Z577/X577/10000</f>
        <v>8.7130153879852373E-2</v>
      </c>
      <c r="AO577" s="17">
        <f>AH577*AG577</f>
        <v>10.752100856911069</v>
      </c>
      <c r="AP577" s="16">
        <f>AN577/AO577</f>
        <v>8.1035469290495175E-3</v>
      </c>
      <c r="AQ577" s="6" t="str">
        <f>+IF(AP577&gt;AL577,"Cumple","No Cumple")</f>
        <v>Cumple</v>
      </c>
    </row>
    <row r="578" spans="1:43" ht="15" customHeight="1" x14ac:dyDescent="0.3">
      <c r="A578" s="13"/>
      <c r="B578" s="1">
        <v>5</v>
      </c>
      <c r="C578" s="1">
        <v>57</v>
      </c>
      <c r="D578" s="1">
        <v>0</v>
      </c>
      <c r="E578" s="5">
        <v>1</v>
      </c>
      <c r="F578" s="3">
        <f>F577+E578</f>
        <v>5</v>
      </c>
      <c r="G578" s="5">
        <v>2</v>
      </c>
      <c r="H578" s="3">
        <f>PI()*(G578^2)/4</f>
        <v>3.1415926535897931</v>
      </c>
      <c r="I578" s="4">
        <v>3.1415999999999999E-2</v>
      </c>
      <c r="K578" s="3">
        <v>126.87580583503697</v>
      </c>
      <c r="L578" s="3">
        <v>675.78026999999997</v>
      </c>
      <c r="M578" s="3">
        <v>1891.8453</v>
      </c>
      <c r="N578" s="12">
        <f>I578/H578</f>
        <v>1.0000023384349969E-2</v>
      </c>
      <c r="O578" s="11">
        <f>I578*10000</f>
        <v>314.15999999999997</v>
      </c>
      <c r="P578" s="1">
        <v>10</v>
      </c>
      <c r="Q578" s="1">
        <v>1</v>
      </c>
      <c r="R578" s="3">
        <f>Q578*VLOOKUP(P578,[1]Datos!$A$2:$D$14,2)</f>
        <v>8.19</v>
      </c>
      <c r="S578" s="10">
        <f>ROUNDUP(O578/R578,0)</f>
        <v>39</v>
      </c>
      <c r="T578" s="2">
        <v>49</v>
      </c>
      <c r="U578" s="3">
        <f>ROUNDDOWN(PI()*(G578-0.185)/T578,2)</f>
        <v>0.11</v>
      </c>
      <c r="V578" s="3"/>
      <c r="W578" s="1">
        <v>280</v>
      </c>
      <c r="X578" s="9">
        <v>2</v>
      </c>
      <c r="Y578" s="1">
        <v>4</v>
      </c>
      <c r="Z578" s="3">
        <f>X578*VLOOKUP(Y578,[1]Datos!$A$2:$D$14,2)</f>
        <v>2.58</v>
      </c>
      <c r="AA578" s="8">
        <v>0.3</v>
      </c>
      <c r="AB578" s="7">
        <f>IF(D578=0,0.9,0.5)*0.9*0.53*SQRT(W578)*G578*MAX(0.72*G578,0.9*((G578/2)+((G578-0.11)/PI())))*10</f>
        <v>207.09423574274689</v>
      </c>
      <c r="AC578" s="7">
        <f>0.9*Z578*4220*MAX(0.72*G578,0.9*((G578/2)+((G578-0.11)/PI())))/AA578/1000</f>
        <v>47.081633547905106</v>
      </c>
      <c r="AD578" s="6" t="str">
        <f>+IF(AC578&gt;K578-AB578,"Cumple","No Cumple")</f>
        <v>Cumple</v>
      </c>
      <c r="AE578" s="6"/>
      <c r="AH578" s="3"/>
    </row>
    <row r="579" spans="1:43" ht="15" customHeight="1" x14ac:dyDescent="0.3">
      <c r="A579" s="13"/>
      <c r="B579" s="1">
        <v>6</v>
      </c>
      <c r="C579" s="1">
        <v>59</v>
      </c>
      <c r="D579" s="1">
        <v>0</v>
      </c>
      <c r="E579" s="5">
        <v>1</v>
      </c>
      <c r="F579" s="3">
        <f>F578+E579</f>
        <v>6</v>
      </c>
      <c r="G579" s="5">
        <v>2</v>
      </c>
      <c r="H579" s="3">
        <f>PI()*(G579^2)/4</f>
        <v>3.1415926535897931</v>
      </c>
      <c r="I579" s="4">
        <v>3.1415999999999999E-2</v>
      </c>
      <c r="K579" s="3">
        <v>126.87647703561917</v>
      </c>
      <c r="L579" s="3">
        <v>620.16093000000001</v>
      </c>
      <c r="M579" s="3">
        <v>1808.2496599999999</v>
      </c>
      <c r="N579" s="12">
        <f>I579/H579</f>
        <v>1.0000023384349969E-2</v>
      </c>
      <c r="O579" s="11">
        <f>I579*10000</f>
        <v>314.15999999999997</v>
      </c>
      <c r="P579" s="1">
        <v>10</v>
      </c>
      <c r="Q579" s="1">
        <v>1</v>
      </c>
      <c r="R579" s="3">
        <f>Q579*VLOOKUP(P579,[1]Datos!$A$2:$D$14,2)</f>
        <v>8.19</v>
      </c>
      <c r="S579" s="10">
        <f>ROUNDUP(O579/R579,0)</f>
        <v>39</v>
      </c>
      <c r="T579" s="2">
        <v>49</v>
      </c>
      <c r="U579" s="3">
        <f>ROUNDDOWN(PI()*(G579-0.185)/T579,2)</f>
        <v>0.11</v>
      </c>
      <c r="V579" s="3"/>
      <c r="W579" s="1">
        <v>280</v>
      </c>
      <c r="X579" s="9">
        <v>2</v>
      </c>
      <c r="Y579" s="1">
        <v>4</v>
      </c>
      <c r="Z579" s="3">
        <f>X579*VLOOKUP(Y579,[1]Datos!$A$2:$D$14,2)</f>
        <v>2.58</v>
      </c>
      <c r="AA579" s="8">
        <v>0.3</v>
      </c>
      <c r="AB579" s="7">
        <f>IF(D579=0,0.9,0.5)*0.9*0.53*SQRT(W579)*G579*MAX(0.72*G579,0.9*((G579/2)+((G579-0.11)/PI())))*10</f>
        <v>207.09423574274689</v>
      </c>
      <c r="AC579" s="7">
        <f>0.9*Z579*4220*MAX(0.72*G579,0.9*((G579/2)+((G579-0.11)/PI())))/AA579/1000</f>
        <v>47.081633547905106</v>
      </c>
      <c r="AD579" s="6" t="str">
        <f>+IF(AC579&gt;K579-AB579,"Cumple","No Cumple")</f>
        <v>Cumple</v>
      </c>
      <c r="AE579" s="6"/>
      <c r="AH579" s="3"/>
    </row>
    <row r="580" spans="1:43" ht="15" customHeight="1" x14ac:dyDescent="0.3">
      <c r="A580" s="13"/>
      <c r="B580" s="1">
        <v>7</v>
      </c>
      <c r="C580" s="1">
        <v>61</v>
      </c>
      <c r="D580" s="1">
        <v>0</v>
      </c>
      <c r="E580" s="5">
        <v>1</v>
      </c>
      <c r="F580" s="3">
        <f>F579+E580</f>
        <v>7</v>
      </c>
      <c r="G580" s="5">
        <v>2</v>
      </c>
      <c r="H580" s="3">
        <f>PI()*(G580^2)/4</f>
        <v>3.1415926535897931</v>
      </c>
      <c r="I580" s="4">
        <v>3.1415999999999999E-2</v>
      </c>
      <c r="K580" s="3">
        <v>126.87706364887232</v>
      </c>
      <c r="L580" s="3">
        <v>564.42330000000004</v>
      </c>
      <c r="M580" s="3">
        <v>1724.5336</v>
      </c>
      <c r="N580" s="12">
        <f>I580/H580</f>
        <v>1.0000023384349969E-2</v>
      </c>
      <c r="O580" s="11">
        <f>I580*10000</f>
        <v>314.15999999999997</v>
      </c>
      <c r="P580" s="1">
        <v>10</v>
      </c>
      <c r="Q580" s="19">
        <v>1</v>
      </c>
      <c r="R580" s="3">
        <f>Q580*VLOOKUP(P580,[1]Datos!$A$2:$D$14,2)</f>
        <v>8.19</v>
      </c>
      <c r="S580" s="10">
        <f>ROUNDUP(O580/R580,0)</f>
        <v>39</v>
      </c>
      <c r="T580" s="18">
        <v>49</v>
      </c>
      <c r="U580" s="3">
        <f>ROUNDDOWN(PI()*(G580-0.185)/T580,2)</f>
        <v>0.11</v>
      </c>
      <c r="V580" s="3"/>
      <c r="W580" s="1">
        <v>280</v>
      </c>
      <c r="X580" s="9">
        <v>2</v>
      </c>
      <c r="Y580" s="1">
        <v>4</v>
      </c>
      <c r="Z580" s="3">
        <f>X580*VLOOKUP(Y580,[1]Datos!$A$2:$D$14,2)</f>
        <v>2.58</v>
      </c>
      <c r="AA580" s="8">
        <v>0.3</v>
      </c>
      <c r="AB580" s="7">
        <f>IF(D580=0,0.9,0.5)*0.9*0.53*SQRT(W580)*G580*MAX(0.72*G580,0.9*((G580/2)+((G580-0.11)/PI())))*10</f>
        <v>207.09423574274689</v>
      </c>
      <c r="AC580" s="7">
        <f>0.9*Z580*4220*MAX(0.72*G580,0.9*((G580/2)+((G580-0.11)/PI())))/AA580/1000</f>
        <v>47.081633547905106</v>
      </c>
      <c r="AD580" s="6" t="str">
        <f>+IF(AC580&gt;K580-AB580,"Cumple","No Cumple")</f>
        <v>Cumple</v>
      </c>
      <c r="AE580" s="6"/>
      <c r="AH580" s="3"/>
    </row>
    <row r="581" spans="1:43" ht="15" customHeight="1" x14ac:dyDescent="0.3">
      <c r="A581" s="13"/>
      <c r="B581" s="1">
        <v>8</v>
      </c>
      <c r="C581" s="1">
        <v>63</v>
      </c>
      <c r="D581" s="1">
        <v>0</v>
      </c>
      <c r="E581" s="5">
        <v>1</v>
      </c>
      <c r="F581" s="3">
        <f>F580+E581</f>
        <v>8</v>
      </c>
      <c r="G581" s="5">
        <v>2</v>
      </c>
      <c r="H581" s="3">
        <f>PI()*(G581^2)/4</f>
        <v>3.1415926535897931</v>
      </c>
      <c r="I581" s="4">
        <v>3.1415999999999999E-2</v>
      </c>
      <c r="K581" s="3">
        <v>126.87773486195283</v>
      </c>
      <c r="L581" s="3">
        <v>508.59478000000001</v>
      </c>
      <c r="M581" s="3">
        <v>1640.45877</v>
      </c>
      <c r="N581" s="12">
        <f>I581/H581</f>
        <v>1.0000023384349969E-2</v>
      </c>
      <c r="O581" s="11">
        <f>I581*10000</f>
        <v>314.15999999999997</v>
      </c>
      <c r="P581" s="1">
        <v>10</v>
      </c>
      <c r="Q581" s="19">
        <v>1</v>
      </c>
      <c r="R581" s="3">
        <f>Q581*VLOOKUP(P581,[1]Datos!$A$2:$D$14,2)</f>
        <v>8.19</v>
      </c>
      <c r="S581" s="10">
        <f>ROUNDUP(O581/R581,0)</f>
        <v>39</v>
      </c>
      <c r="T581" s="18">
        <v>49</v>
      </c>
      <c r="U581" s="3">
        <f>ROUNDDOWN(PI()*(G581-0.185)/T581,2)</f>
        <v>0.11</v>
      </c>
      <c r="V581" s="3"/>
      <c r="W581" s="1">
        <v>280</v>
      </c>
      <c r="X581" s="9">
        <v>2</v>
      </c>
      <c r="Y581" s="1">
        <v>4</v>
      </c>
      <c r="Z581" s="3">
        <f>X581*VLOOKUP(Y581,[1]Datos!$A$2:$D$14,2)</f>
        <v>2.58</v>
      </c>
      <c r="AA581" s="8">
        <v>0.3</v>
      </c>
      <c r="AB581" s="7">
        <f>IF(D581=0,0.9,0.5)*0.9*0.53*SQRT(W581)*G581*MAX(0.72*G581,0.9*((G581/2)+((G581-0.11)/PI())))*10</f>
        <v>207.09423574274689</v>
      </c>
      <c r="AC581" s="7">
        <f>0.9*Z581*4220*MAX(0.72*G581,0.9*((G581/2)+((G581-0.11)/PI())))/AA581/1000</f>
        <v>47.081633547905106</v>
      </c>
      <c r="AD581" s="6" t="str">
        <f>+IF(AC581&gt;K581-AB581,"Cumple","No Cumple")</f>
        <v>Cumple</v>
      </c>
      <c r="AE581" s="6"/>
      <c r="AH581" s="3"/>
    </row>
    <row r="582" spans="1:43" ht="15" customHeight="1" x14ac:dyDescent="0.3">
      <c r="A582" s="13"/>
      <c r="B582" s="1">
        <v>9</v>
      </c>
      <c r="C582" s="1">
        <v>65</v>
      </c>
      <c r="D582" s="1">
        <v>0</v>
      </c>
      <c r="E582" s="5">
        <v>1</v>
      </c>
      <c r="F582" s="3">
        <f>F581+E582</f>
        <v>9</v>
      </c>
      <c r="G582" s="5">
        <v>2</v>
      </c>
      <c r="H582" s="3">
        <f>PI()*(G582^2)/4</f>
        <v>3.1415926535897931</v>
      </c>
      <c r="I582" s="4">
        <v>3.1415999999999999E-2</v>
      </c>
      <c r="K582" s="3">
        <v>126.8783214884639</v>
      </c>
      <c r="L582" s="3">
        <v>452.70756999999998</v>
      </c>
      <c r="M582" s="3">
        <v>1556.01731</v>
      </c>
      <c r="N582" s="12">
        <f>I582/H582</f>
        <v>1.0000023384349969E-2</v>
      </c>
      <c r="O582" s="11">
        <f>I582*10000</f>
        <v>314.15999999999997</v>
      </c>
      <c r="P582" s="1">
        <v>10</v>
      </c>
      <c r="Q582" s="19">
        <v>1</v>
      </c>
      <c r="R582" s="3">
        <f>Q582*VLOOKUP(P582,[1]Datos!$A$2:$D$14,2)</f>
        <v>8.19</v>
      </c>
      <c r="S582" s="10">
        <f>ROUNDUP(O582/R582,0)</f>
        <v>39</v>
      </c>
      <c r="T582" s="18">
        <v>49</v>
      </c>
      <c r="U582" s="3">
        <f>ROUNDDOWN(PI()*(G582-0.185)/T582,2)</f>
        <v>0.11</v>
      </c>
      <c r="V582" s="3"/>
      <c r="W582" s="1">
        <v>280</v>
      </c>
      <c r="X582" s="9">
        <v>2</v>
      </c>
      <c r="Y582" s="1">
        <v>4</v>
      </c>
      <c r="Z582" s="3">
        <f>X582*VLOOKUP(Y582,[1]Datos!$A$2:$D$14,2)</f>
        <v>2.58</v>
      </c>
      <c r="AA582" s="8">
        <v>0.3</v>
      </c>
      <c r="AB582" s="7">
        <f>IF(D582=0,0.9,0.5)*0.9*0.53*SQRT(W582)*G582*MAX(0.72*G582,0.9*((G582/2)+((G582-0.11)/PI())))*10</f>
        <v>207.09423574274689</v>
      </c>
      <c r="AC582" s="7">
        <f>0.9*Z582*4220*MAX(0.72*G582,0.9*((G582/2)+((G582-0.11)/PI())))/AA582/1000</f>
        <v>47.081633547905106</v>
      </c>
      <c r="AD582" s="6" t="str">
        <f>+IF(AC582&gt;K582-AB582,"Cumple","No Cumple")</f>
        <v>Cumple</v>
      </c>
      <c r="AE582" s="6"/>
      <c r="AH582" s="3"/>
    </row>
    <row r="583" spans="1:43" ht="15" customHeight="1" x14ac:dyDescent="0.3">
      <c r="A583" s="13"/>
      <c r="B583" s="1">
        <v>10</v>
      </c>
      <c r="C583" s="1">
        <v>67</v>
      </c>
      <c r="D583" s="1">
        <v>0</v>
      </c>
      <c r="E583" s="5">
        <v>1</v>
      </c>
      <c r="F583" s="3">
        <f>F582+E583</f>
        <v>10</v>
      </c>
      <c r="G583" s="5">
        <v>2</v>
      </c>
      <c r="H583" s="3">
        <f>PI()*(G583^2)/4</f>
        <v>3.1415926535897931</v>
      </c>
      <c r="I583" s="4">
        <v>3.1415999999999999E-2</v>
      </c>
      <c r="K583" s="3">
        <v>126.87899271404231</v>
      </c>
      <c r="L583" s="3">
        <v>396.80011000000002</v>
      </c>
      <c r="M583" s="3">
        <v>1471.2295999999999</v>
      </c>
      <c r="N583" s="12">
        <f>I583/H583</f>
        <v>1.0000023384349969E-2</v>
      </c>
      <c r="O583" s="11">
        <f>I583*10000</f>
        <v>314.15999999999997</v>
      </c>
      <c r="P583" s="1">
        <v>10</v>
      </c>
      <c r="Q583" s="1">
        <v>1</v>
      </c>
      <c r="R583" s="3">
        <f>Q583*VLOOKUP(P583,[1]Datos!$A$2:$D$14,2)</f>
        <v>8.19</v>
      </c>
      <c r="S583" s="10">
        <f>ROUNDUP(O583/R583,0)</f>
        <v>39</v>
      </c>
      <c r="T583" s="2">
        <v>39</v>
      </c>
      <c r="U583" s="3">
        <f>ROUNDDOWN(PI()*(G583-0.185)/T583,2)</f>
        <v>0.14000000000000001</v>
      </c>
      <c r="V583" s="3"/>
      <c r="W583" s="1">
        <v>280</v>
      </c>
      <c r="X583" s="9">
        <v>2</v>
      </c>
      <c r="Y583" s="1">
        <v>4</v>
      </c>
      <c r="Z583" s="3">
        <f>X583*VLOOKUP(Y583,[1]Datos!$A$2:$D$14,2)</f>
        <v>2.58</v>
      </c>
      <c r="AA583" s="8">
        <v>0.3</v>
      </c>
      <c r="AB583" s="7">
        <f>IF(D583=0,0.9,0.5)*0.9*0.53*SQRT(W583)*G583*MAX(0.72*G583,0.9*((G583/2)+((G583-0.11)/PI())))*10</f>
        <v>207.09423574274689</v>
      </c>
      <c r="AC583" s="7">
        <f>0.9*Z583*4220*MAX(0.72*G583,0.9*((G583/2)+((G583-0.11)/PI())))/AA583/1000</f>
        <v>47.081633547905106</v>
      </c>
      <c r="AD583" s="6" t="str">
        <f>+IF(AC583&gt;K583-AB583,"Cumple","No Cumple")</f>
        <v>Cumple</v>
      </c>
      <c r="AE583" s="6"/>
      <c r="AH583" s="3"/>
    </row>
    <row r="584" spans="1:43" ht="15" customHeight="1" x14ac:dyDescent="0.3">
      <c r="A584" s="13"/>
      <c r="B584" s="1">
        <v>11</v>
      </c>
      <c r="C584" s="1">
        <v>69</v>
      </c>
      <c r="D584" s="1">
        <v>0</v>
      </c>
      <c r="E584" s="5">
        <v>1</v>
      </c>
      <c r="F584" s="3">
        <f>F583+E584</f>
        <v>11</v>
      </c>
      <c r="G584" s="5">
        <v>2</v>
      </c>
      <c r="H584" s="3">
        <f>PI()*(G584^2)/4</f>
        <v>3.1415926535897931</v>
      </c>
      <c r="I584" s="4">
        <v>3.1415999999999999E-2</v>
      </c>
      <c r="K584" s="3">
        <v>126.87957935381091</v>
      </c>
      <c r="L584" s="3">
        <v>340.91795999999999</v>
      </c>
      <c r="M584" s="3">
        <v>1386.2329500000001</v>
      </c>
      <c r="N584" s="12">
        <f>I584/H584</f>
        <v>1.0000023384349969E-2</v>
      </c>
      <c r="O584" s="11">
        <f>I584*10000</f>
        <v>314.15999999999997</v>
      </c>
      <c r="P584" s="1">
        <v>10</v>
      </c>
      <c r="Q584" s="1">
        <v>1</v>
      </c>
      <c r="R584" s="3">
        <f>Q584*VLOOKUP(P584,[1]Datos!$A$2:$D$14,2)</f>
        <v>8.19</v>
      </c>
      <c r="S584" s="10">
        <f>ROUNDUP(O584/R584,0)</f>
        <v>39</v>
      </c>
      <c r="T584" s="2">
        <v>39</v>
      </c>
      <c r="U584" s="3">
        <f>ROUNDDOWN(PI()*(G584-0.185)/T584,2)</f>
        <v>0.14000000000000001</v>
      </c>
      <c r="V584" s="3"/>
      <c r="W584" s="1">
        <v>280</v>
      </c>
      <c r="X584" s="9">
        <v>2</v>
      </c>
      <c r="Y584" s="1">
        <v>4</v>
      </c>
      <c r="Z584" s="3">
        <f>X584*VLOOKUP(Y584,[1]Datos!$A$2:$D$14,2)</f>
        <v>2.58</v>
      </c>
      <c r="AA584" s="8">
        <v>0.3</v>
      </c>
      <c r="AB584" s="7">
        <f>IF(D584=0,0.9,0.5)*0.9*0.53*SQRT(W584)*G584*MAX(0.72*G584,0.9*((G584/2)+((G584-0.11)/PI())))*10</f>
        <v>207.09423574274689</v>
      </c>
      <c r="AC584" s="7">
        <f>0.9*Z584*4220*MAX(0.72*G584,0.9*((G584/2)+((G584-0.11)/PI())))/AA584/1000</f>
        <v>47.081633547905106</v>
      </c>
      <c r="AD584" s="6" t="str">
        <f>+IF(AC584&gt;K584-AB584,"Cumple","No Cumple")</f>
        <v>Cumple</v>
      </c>
      <c r="AE584" s="6"/>
      <c r="AH584" s="3"/>
    </row>
    <row r="585" spans="1:43" ht="15" customHeight="1" x14ac:dyDescent="0.3">
      <c r="A585" s="13"/>
      <c r="B585" s="1">
        <v>12</v>
      </c>
      <c r="C585" s="1">
        <v>71</v>
      </c>
      <c r="D585" s="1">
        <v>0</v>
      </c>
      <c r="E585" s="5">
        <v>1</v>
      </c>
      <c r="F585" s="3">
        <f>F584+E585</f>
        <v>12</v>
      </c>
      <c r="G585" s="5">
        <v>2</v>
      </c>
      <c r="H585" s="3">
        <f>PI()*(G585^2)/4</f>
        <v>3.1415926535897931</v>
      </c>
      <c r="I585" s="4">
        <v>3.1415999999999999E-2</v>
      </c>
      <c r="K585" s="3">
        <v>126.88025059188683</v>
      </c>
      <c r="L585" s="3">
        <v>285.11403999999999</v>
      </c>
      <c r="M585" s="3">
        <v>1301.39978</v>
      </c>
      <c r="N585" s="12">
        <f>I585/H585</f>
        <v>1.0000023384349969E-2</v>
      </c>
      <c r="O585" s="11">
        <f>I585*10000</f>
        <v>314.15999999999997</v>
      </c>
      <c r="P585" s="1">
        <v>10</v>
      </c>
      <c r="Q585" s="1">
        <v>1</v>
      </c>
      <c r="R585" s="3">
        <f>Q585*VLOOKUP(P585,[1]Datos!$A$2:$D$14,2)</f>
        <v>8.19</v>
      </c>
      <c r="S585" s="10">
        <f>ROUNDUP(O585/R585,0)</f>
        <v>39</v>
      </c>
      <c r="T585" s="2">
        <v>39</v>
      </c>
      <c r="U585" s="3">
        <f>ROUNDDOWN(PI()*(G585-0.185)/T585,2)</f>
        <v>0.14000000000000001</v>
      </c>
      <c r="V585" s="3"/>
      <c r="W585" s="1">
        <v>280</v>
      </c>
      <c r="X585" s="9">
        <v>2</v>
      </c>
      <c r="Y585" s="1">
        <v>4</v>
      </c>
      <c r="Z585" s="3">
        <f>X585*VLOOKUP(Y585,[1]Datos!$A$2:$D$14,2)</f>
        <v>2.58</v>
      </c>
      <c r="AA585" s="8">
        <v>0.3</v>
      </c>
      <c r="AB585" s="7">
        <f>IF(D585=0,0.9,0.5)*0.9*0.53*SQRT(W585)*G585*MAX(0.72*G585,0.9*((G585/2)+((G585-0.11)/PI())))*10</f>
        <v>207.09423574274689</v>
      </c>
      <c r="AC585" s="7">
        <f>0.9*Z585*4220*MAX(0.72*G585,0.9*((G585/2)+((G585-0.11)/PI())))/AA585/1000</f>
        <v>47.081633547905106</v>
      </c>
      <c r="AD585" s="6" t="str">
        <f>+IF(AC585&gt;K585-AB585,"Cumple","No Cumple")</f>
        <v>Cumple</v>
      </c>
      <c r="AE585" s="6"/>
      <c r="AH585" s="3"/>
    </row>
    <row r="586" spans="1:43" ht="15" customHeight="1" x14ac:dyDescent="0.3">
      <c r="A586" s="13"/>
      <c r="B586" s="1">
        <v>13</v>
      </c>
      <c r="C586" s="1">
        <v>73</v>
      </c>
      <c r="D586" s="1">
        <v>0</v>
      </c>
      <c r="E586" s="5">
        <v>1</v>
      </c>
      <c r="F586" s="3">
        <f>F585+E586</f>
        <v>13</v>
      </c>
      <c r="G586" s="5">
        <v>2</v>
      </c>
      <c r="H586" s="3">
        <f>PI()*(G586^2)/4</f>
        <v>3.1415926535897931</v>
      </c>
      <c r="I586" s="4">
        <v>3.1415999999999999E-2</v>
      </c>
      <c r="K586" s="3">
        <v>126.8808372449126</v>
      </c>
      <c r="L586" s="3">
        <v>229.44597999999999</v>
      </c>
      <c r="M586" s="3">
        <v>1216.2806399999999</v>
      </c>
      <c r="N586" s="12">
        <f>I586/H586</f>
        <v>1.0000023384349969E-2</v>
      </c>
      <c r="O586" s="11">
        <f>I586*10000</f>
        <v>314.15999999999997</v>
      </c>
      <c r="P586" s="1">
        <v>10</v>
      </c>
      <c r="Q586" s="1">
        <v>1</v>
      </c>
      <c r="R586" s="3">
        <f>Q586*VLOOKUP(P586,[1]Datos!$A$2:$D$14,2)</f>
        <v>8.19</v>
      </c>
      <c r="S586" s="10">
        <f>ROUNDUP(O586/R586,0)</f>
        <v>39</v>
      </c>
      <c r="T586" s="2">
        <v>39</v>
      </c>
      <c r="U586" s="3">
        <f>ROUNDDOWN(PI()*(G586-0.185)/T586,2)</f>
        <v>0.14000000000000001</v>
      </c>
      <c r="V586" s="3"/>
      <c r="W586" s="1">
        <v>280</v>
      </c>
      <c r="X586" s="9">
        <v>2</v>
      </c>
      <c r="Y586" s="1">
        <v>4</v>
      </c>
      <c r="Z586" s="3">
        <f>X586*VLOOKUP(Y586,[1]Datos!$A$2:$D$14,2)</f>
        <v>2.58</v>
      </c>
      <c r="AA586" s="8">
        <v>0.3</v>
      </c>
      <c r="AB586" s="7">
        <f>IF(D586=0,0.9,0.5)*0.9*0.53*SQRT(W586)*G586*MAX(0.72*G586,0.9*((G586/2)+((G586-0.11)/PI())))*10</f>
        <v>207.09423574274689</v>
      </c>
      <c r="AC586" s="7">
        <f>0.9*Z586*4220*MAX(0.72*G586,0.9*((G586/2)+((G586-0.11)/PI())))/AA586/1000</f>
        <v>47.081633547905106</v>
      </c>
      <c r="AD586" s="6" t="str">
        <f>+IF(AC586&gt;K586-AB586,"Cumple","No Cumple")</f>
        <v>Cumple</v>
      </c>
      <c r="AE586" s="6"/>
      <c r="AH586" s="3"/>
    </row>
    <row r="587" spans="1:43" ht="15" customHeight="1" x14ac:dyDescent="0.3">
      <c r="A587" s="13"/>
      <c r="B587" s="1">
        <v>14</v>
      </c>
      <c r="C587" s="1">
        <v>75</v>
      </c>
      <c r="D587" s="1">
        <v>0</v>
      </c>
      <c r="E587" s="5">
        <v>1</v>
      </c>
      <c r="F587" s="3">
        <f>F586+E587</f>
        <v>14</v>
      </c>
      <c r="G587" s="5">
        <v>2</v>
      </c>
      <c r="H587" s="3">
        <f>PI()*(G587^2)/4</f>
        <v>3.1415926535897931</v>
      </c>
      <c r="I587" s="4">
        <v>3.1415999999999999E-2</v>
      </c>
      <c r="K587" s="3">
        <v>126.88150849548566</v>
      </c>
      <c r="L587" s="3">
        <v>173.96266</v>
      </c>
      <c r="M587" s="3">
        <v>1131.1982599999999</v>
      </c>
      <c r="N587" s="12">
        <f>I587/H587</f>
        <v>1.0000023384349969E-2</v>
      </c>
      <c r="O587" s="11">
        <f>I587*10000</f>
        <v>314.15999999999997</v>
      </c>
      <c r="P587" s="1">
        <v>10</v>
      </c>
      <c r="Q587" s="1">
        <v>1</v>
      </c>
      <c r="R587" s="3">
        <f>Q587*VLOOKUP(P587,[1]Datos!$A$2:$D$14,2)</f>
        <v>8.19</v>
      </c>
      <c r="S587" s="10">
        <f>ROUNDUP(O587/R587,0)</f>
        <v>39</v>
      </c>
      <c r="T587" s="2">
        <v>39</v>
      </c>
      <c r="U587" s="3">
        <f>ROUNDDOWN(PI()*(G587-0.185)/T587,2)</f>
        <v>0.14000000000000001</v>
      </c>
      <c r="V587" s="3"/>
      <c r="W587" s="1">
        <v>280</v>
      </c>
      <c r="X587" s="9">
        <v>2</v>
      </c>
      <c r="Y587" s="1">
        <v>4</v>
      </c>
      <c r="Z587" s="3">
        <f>X587*VLOOKUP(Y587,[1]Datos!$A$2:$D$14,2)</f>
        <v>2.58</v>
      </c>
      <c r="AA587" s="8">
        <v>0.3</v>
      </c>
      <c r="AB587" s="7">
        <f>IF(D587=0,0.9,0.5)*0.9*0.53*SQRT(W587)*G587*MAX(0.72*G587,0.9*((G587/2)+((G587-0.11)/PI())))*10</f>
        <v>207.09423574274689</v>
      </c>
      <c r="AC587" s="7">
        <f>0.9*Z587*4220*MAX(0.72*G587,0.9*((G587/2)+((G587-0.11)/PI())))/AA587/1000</f>
        <v>47.081633547905106</v>
      </c>
      <c r="AD587" s="6" t="str">
        <f>+IF(AC587&gt;K587-AB587,"Cumple","No Cumple")</f>
        <v>Cumple</v>
      </c>
      <c r="AE587" s="6"/>
      <c r="AH587" s="3"/>
    </row>
    <row r="588" spans="1:43" ht="15" customHeight="1" x14ac:dyDescent="0.3">
      <c r="A588" s="13"/>
      <c r="B588" s="1">
        <v>15</v>
      </c>
      <c r="C588" s="1">
        <v>77</v>
      </c>
      <c r="D588" s="1">
        <v>0</v>
      </c>
      <c r="E588" s="5">
        <v>1</v>
      </c>
      <c r="F588" s="3">
        <f>F587+E588</f>
        <v>15</v>
      </c>
      <c r="G588" s="5">
        <v>2</v>
      </c>
      <c r="H588" s="3">
        <f>PI()*(G588^2)/4</f>
        <v>3.1415926535897931</v>
      </c>
      <c r="I588" s="4">
        <v>3.1415999999999999E-2</v>
      </c>
      <c r="K588" s="3">
        <v>126.88209516176819</v>
      </c>
      <c r="L588" s="3">
        <v>118.73662</v>
      </c>
      <c r="M588" s="3">
        <v>1046.26882</v>
      </c>
      <c r="N588" s="12">
        <f>I588/H588</f>
        <v>1.0000023384349969E-2</v>
      </c>
      <c r="O588" s="11">
        <f>I588*10000</f>
        <v>314.15999999999997</v>
      </c>
      <c r="P588" s="1">
        <v>10</v>
      </c>
      <c r="Q588" s="1">
        <v>1</v>
      </c>
      <c r="R588" s="3">
        <f>Q588*VLOOKUP(P588,[1]Datos!$A$2:$D$14,2)</f>
        <v>8.19</v>
      </c>
      <c r="S588" s="10">
        <f>ROUNDUP(O588/R588,0)</f>
        <v>39</v>
      </c>
      <c r="T588" s="2">
        <v>39</v>
      </c>
      <c r="U588" s="3">
        <f>ROUNDDOWN(PI()*(G588-0.185)/T588,2)</f>
        <v>0.14000000000000001</v>
      </c>
      <c r="V588" s="3"/>
      <c r="W588" s="1">
        <v>280</v>
      </c>
      <c r="X588" s="9">
        <v>2</v>
      </c>
      <c r="Y588" s="1">
        <v>4</v>
      </c>
      <c r="Z588" s="3">
        <f>X588*VLOOKUP(Y588,[1]Datos!$A$2:$D$14,2)</f>
        <v>2.58</v>
      </c>
      <c r="AA588" s="8">
        <v>0.3</v>
      </c>
      <c r="AB588" s="7">
        <f>IF(D588=0,0.9,0.5)*0.9*0.53*SQRT(W588)*G588*MAX(0.72*G588,0.9*((G588/2)+((G588-0.11)/PI())))*10</f>
        <v>207.09423574274689</v>
      </c>
      <c r="AC588" s="7">
        <f>0.9*Z588*4220*MAX(0.72*G588,0.9*((G588/2)+((G588-0.11)/PI())))/AA588/1000</f>
        <v>47.081633547905106</v>
      </c>
      <c r="AD588" s="6" t="str">
        <f>+IF(AC588&gt;K588-AB588,"Cumple","No Cumple")</f>
        <v>Cumple</v>
      </c>
      <c r="AE588" s="6"/>
      <c r="AH588" s="3"/>
    </row>
    <row r="589" spans="1:43" ht="15" customHeight="1" x14ac:dyDescent="0.3">
      <c r="A589" s="13"/>
      <c r="B589" s="1">
        <v>16</v>
      </c>
      <c r="C589" s="1">
        <v>79</v>
      </c>
      <c r="D589" s="1">
        <v>0</v>
      </c>
      <c r="E589" s="5">
        <v>1</v>
      </c>
      <c r="F589" s="3">
        <f>F588+E589</f>
        <v>16</v>
      </c>
      <c r="G589" s="5">
        <v>2</v>
      </c>
      <c r="H589" s="3">
        <f>PI()*(G589^2)/4</f>
        <v>3.1415926535897931</v>
      </c>
      <c r="I589" s="4">
        <v>3.1415999999999999E-2</v>
      </c>
      <c r="K589" s="3">
        <v>126.88276642483801</v>
      </c>
      <c r="L589" s="3">
        <v>64.141329999999996</v>
      </c>
      <c r="M589" s="3">
        <v>961.55911000000003</v>
      </c>
      <c r="N589" s="12">
        <f>I589/H589</f>
        <v>1.0000023384349969E-2</v>
      </c>
      <c r="O589" s="11">
        <f>I589*10000</f>
        <v>314.15999999999997</v>
      </c>
      <c r="P589" s="1">
        <v>10</v>
      </c>
      <c r="Q589" s="19">
        <v>1</v>
      </c>
      <c r="R589" s="3">
        <f>Q589*VLOOKUP(P589,[1]Datos!$A$2:$D$14,2)</f>
        <v>8.19</v>
      </c>
      <c r="S589" s="10">
        <f>ROUNDUP(O589/R589,0)</f>
        <v>39</v>
      </c>
      <c r="T589" s="18">
        <v>39</v>
      </c>
      <c r="U589" s="3">
        <f>ROUNDDOWN(PI()*(G589-0.185)/T589,2)</f>
        <v>0.14000000000000001</v>
      </c>
      <c r="V589" s="3"/>
      <c r="W589" s="1">
        <v>280</v>
      </c>
      <c r="X589" s="9">
        <v>2</v>
      </c>
      <c r="Y589" s="1">
        <v>4</v>
      </c>
      <c r="Z589" s="3">
        <f>X589*VLOOKUP(Y589,[1]Datos!$A$2:$D$14,2)</f>
        <v>2.58</v>
      </c>
      <c r="AA589" s="8">
        <v>0.3</v>
      </c>
      <c r="AB589" s="7">
        <f>IF(D589=0,0.9,0.5)*0.9*0.53*SQRT(W589)*G589*MAX(0.72*G589,0.9*((G589/2)+((G589-0.11)/PI())))*10</f>
        <v>207.09423574274689</v>
      </c>
      <c r="AC589" s="7">
        <f>0.9*Z589*4220*MAX(0.72*G589,0.9*((G589/2)+((G589-0.11)/PI())))/AA589/1000</f>
        <v>47.081633547905106</v>
      </c>
      <c r="AD589" s="6" t="str">
        <f>+IF(AC589&gt;K589-AB589,"Cumple","No Cumple")</f>
        <v>Cumple</v>
      </c>
      <c r="AE589" s="6"/>
      <c r="AH589" s="3"/>
    </row>
    <row r="590" spans="1:43" ht="15" customHeight="1" x14ac:dyDescent="0.3">
      <c r="A590" s="13"/>
      <c r="B590" s="1">
        <v>17</v>
      </c>
      <c r="C590" s="1">
        <v>81</v>
      </c>
      <c r="D590" s="1">
        <v>0</v>
      </c>
      <c r="E590" s="5">
        <v>1</v>
      </c>
      <c r="F590" s="3">
        <f>F589+E590</f>
        <v>17</v>
      </c>
      <c r="G590" s="5">
        <v>2</v>
      </c>
      <c r="H590" s="3">
        <f>PI()*(G590^2)/4</f>
        <v>3.1415926535897931</v>
      </c>
      <c r="I590" s="4">
        <v>3.1415999999999999E-2</v>
      </c>
      <c r="K590" s="3">
        <v>126.88340643921883</v>
      </c>
      <c r="L590" s="3">
        <v>96.267200000000003</v>
      </c>
      <c r="M590" s="3">
        <v>934.03787</v>
      </c>
      <c r="N590" s="12">
        <f>I590/H590</f>
        <v>1.0000023384349969E-2</v>
      </c>
      <c r="O590" s="11">
        <f>I590*10000</f>
        <v>314.15999999999997</v>
      </c>
      <c r="P590" s="1">
        <v>10</v>
      </c>
      <c r="Q590" s="19">
        <v>1</v>
      </c>
      <c r="R590" s="3">
        <f>Q590*VLOOKUP(P590,[1]Datos!$A$2:$D$14,2)</f>
        <v>8.19</v>
      </c>
      <c r="S590" s="10">
        <f>ROUNDUP(O590/R590,0)</f>
        <v>39</v>
      </c>
      <c r="T590" s="18">
        <v>39</v>
      </c>
      <c r="U590" s="3">
        <f>ROUNDDOWN(PI()*(G590-0.185)/T590,2)</f>
        <v>0.14000000000000001</v>
      </c>
      <c r="V590" s="3"/>
      <c r="W590" s="1">
        <v>280</v>
      </c>
      <c r="X590" s="9">
        <v>2</v>
      </c>
      <c r="Y590" s="1">
        <v>4</v>
      </c>
      <c r="Z590" s="3">
        <f>X590*VLOOKUP(Y590,[1]Datos!$A$2:$D$14,2)</f>
        <v>2.58</v>
      </c>
      <c r="AA590" s="8">
        <v>0.3</v>
      </c>
      <c r="AB590" s="7">
        <f>IF(D590=0,0.9,0.5)*0.9*0.53*SQRT(W590)*G590*MAX(0.72*G590,0.9*((G590/2)+((G590-0.11)/PI())))*10</f>
        <v>207.09423574274689</v>
      </c>
      <c r="AC590" s="7">
        <f>0.9*Z590*4220*MAX(0.72*G590,0.9*((G590/2)+((G590-0.11)/PI())))/AA590/1000</f>
        <v>47.081633547905106</v>
      </c>
      <c r="AD590" s="6" t="str">
        <f>+IF(AC590&gt;K590-AB590,"Cumple","No Cumple")</f>
        <v>Cumple</v>
      </c>
      <c r="AE590" s="6"/>
      <c r="AH590" s="3"/>
    </row>
    <row r="591" spans="1:43" ht="15" customHeight="1" x14ac:dyDescent="0.3">
      <c r="A591" s="13"/>
      <c r="B591" s="1">
        <v>18</v>
      </c>
      <c r="C591" s="1">
        <v>83</v>
      </c>
      <c r="D591" s="1">
        <v>0</v>
      </c>
      <c r="E591" s="5">
        <v>1</v>
      </c>
      <c r="F591" s="3">
        <f>F590+E591</f>
        <v>18</v>
      </c>
      <c r="G591" s="5">
        <v>2</v>
      </c>
      <c r="H591" s="3">
        <f>PI()*(G591^2)/4</f>
        <v>3.1415926535897931</v>
      </c>
      <c r="I591" s="4">
        <v>3.1415999999999999E-2</v>
      </c>
      <c r="K591" s="3">
        <v>126.8840777153698</v>
      </c>
      <c r="L591" s="3">
        <v>148.92873</v>
      </c>
      <c r="M591" s="3">
        <v>918.14175999999998</v>
      </c>
      <c r="N591" s="12">
        <f>I591/H591</f>
        <v>1.0000023384349969E-2</v>
      </c>
      <c r="O591" s="11">
        <f>I591*10000</f>
        <v>314.15999999999997</v>
      </c>
      <c r="P591" s="1">
        <v>10</v>
      </c>
      <c r="Q591" s="19">
        <v>1</v>
      </c>
      <c r="R591" s="3">
        <f>Q591*VLOOKUP(P591,[1]Datos!$A$2:$D$14,2)</f>
        <v>8.19</v>
      </c>
      <c r="S591" s="10">
        <f>ROUNDUP(O591/R591,0)</f>
        <v>39</v>
      </c>
      <c r="T591" s="18">
        <v>39</v>
      </c>
      <c r="U591" s="3">
        <f>ROUNDDOWN(PI()*(G591-0.185)/T591,2)</f>
        <v>0.14000000000000001</v>
      </c>
      <c r="V591" s="3"/>
      <c r="W591" s="1">
        <v>280</v>
      </c>
      <c r="X591" s="9">
        <v>2</v>
      </c>
      <c r="Y591" s="1">
        <v>4</v>
      </c>
      <c r="Z591" s="3">
        <f>X591*VLOOKUP(Y591,[1]Datos!$A$2:$D$14,2)</f>
        <v>2.58</v>
      </c>
      <c r="AA591" s="8">
        <v>0.3</v>
      </c>
      <c r="AB591" s="7">
        <f>IF(D591=0,0.9,0.5)*0.9*0.53*SQRT(W591)*G591*MAX(0.72*G591,0.9*((G591/2)+((G591-0.11)/PI())))*10</f>
        <v>207.09423574274689</v>
      </c>
      <c r="AC591" s="7">
        <f>0.9*Z591*4220*MAX(0.72*G591,0.9*((G591/2)+((G591-0.11)/PI())))/AA591/1000</f>
        <v>47.081633547905106</v>
      </c>
      <c r="AD591" s="6" t="str">
        <f>+IF(AC591&gt;K591-AB591,"Cumple","No Cumple")</f>
        <v>Cumple</v>
      </c>
      <c r="AE591" s="6"/>
      <c r="AH591" s="3"/>
    </row>
    <row r="592" spans="1:43" ht="15" customHeight="1" x14ac:dyDescent="0.3">
      <c r="A592" s="13"/>
      <c r="B592" s="1">
        <v>19</v>
      </c>
      <c r="C592" s="1">
        <v>85</v>
      </c>
      <c r="D592" s="1">
        <v>0</v>
      </c>
      <c r="E592" s="5">
        <v>1</v>
      </c>
      <c r="F592" s="3">
        <f>F591+E592</f>
        <v>19</v>
      </c>
      <c r="G592" s="5">
        <v>2</v>
      </c>
      <c r="H592" s="3">
        <f>PI()*(G592^2)/4</f>
        <v>3.1415926535897931</v>
      </c>
      <c r="I592" s="4">
        <v>3.1415999999999999E-2</v>
      </c>
      <c r="K592" s="3">
        <v>126.88466440878503</v>
      </c>
      <c r="L592" s="3">
        <v>201.76660000000001</v>
      </c>
      <c r="M592" s="3">
        <v>902.71502999999996</v>
      </c>
      <c r="N592" s="12">
        <f>I592/H592</f>
        <v>1.0000023384349969E-2</v>
      </c>
      <c r="O592" s="11">
        <f>I592*10000</f>
        <v>314.15999999999997</v>
      </c>
      <c r="P592" s="1">
        <v>10</v>
      </c>
      <c r="Q592" s="1">
        <v>1</v>
      </c>
      <c r="R592" s="3">
        <f>Q592*VLOOKUP(P592,[1]Datos!$A$2:$D$14,2)</f>
        <v>8.19</v>
      </c>
      <c r="S592" s="10">
        <f>ROUNDUP(O592/R592,0)</f>
        <v>39</v>
      </c>
      <c r="T592" s="2">
        <v>39</v>
      </c>
      <c r="U592" s="3">
        <f>ROUNDDOWN(PI()*(G592-0.185)/T592,2)</f>
        <v>0.14000000000000001</v>
      </c>
      <c r="V592" s="3"/>
      <c r="W592" s="1">
        <v>280</v>
      </c>
      <c r="X592" s="9">
        <v>2</v>
      </c>
      <c r="Y592" s="1">
        <v>4</v>
      </c>
      <c r="Z592" s="3">
        <f>X592*VLOOKUP(Y592,[1]Datos!$A$2:$D$14,2)</f>
        <v>2.58</v>
      </c>
      <c r="AA592" s="8">
        <v>0.3</v>
      </c>
      <c r="AB592" s="7">
        <f>IF(D592=0,0.9,0.5)*0.9*0.53*SQRT(W592)*G592*MAX(0.72*G592,0.9*((G592/2)+((G592-0.11)/PI())))*10</f>
        <v>207.09423574274689</v>
      </c>
      <c r="AC592" s="7">
        <f>0.9*Z592*4220*MAX(0.72*G592,0.9*((G592/2)+((G592-0.11)/PI())))/AA592/1000</f>
        <v>47.081633547905106</v>
      </c>
      <c r="AD592" s="6" t="str">
        <f>+IF(AC592&gt;K592-AB592,"Cumple","No Cumple")</f>
        <v>Cumple</v>
      </c>
      <c r="AE592" s="6"/>
      <c r="AH592" s="3"/>
    </row>
    <row r="593" spans="1:43" x14ac:dyDescent="0.3">
      <c r="A593" s="13"/>
      <c r="B593" s="1">
        <v>20</v>
      </c>
      <c r="C593" s="1">
        <v>87</v>
      </c>
      <c r="D593" s="1">
        <v>0</v>
      </c>
      <c r="E593" s="5">
        <v>1</v>
      </c>
      <c r="F593" s="3">
        <f>F592+E593</f>
        <v>20</v>
      </c>
      <c r="G593" s="5">
        <v>2</v>
      </c>
      <c r="H593" s="3">
        <f>PI()*(G593^2)/4</f>
        <v>3.1415926535897931</v>
      </c>
      <c r="I593" s="4">
        <v>3.1415999999999999E-2</v>
      </c>
      <c r="K593" s="3">
        <v>126.88538903412008</v>
      </c>
      <c r="L593" s="3">
        <v>254.87755999999999</v>
      </c>
      <c r="M593" s="3">
        <v>887.67048</v>
      </c>
      <c r="N593" s="12">
        <f>I593/H593</f>
        <v>1.0000023384349969E-2</v>
      </c>
      <c r="O593" s="11">
        <f>I593*10000</f>
        <v>314.15999999999997</v>
      </c>
      <c r="P593" s="1">
        <v>10</v>
      </c>
      <c r="Q593" s="1">
        <v>1</v>
      </c>
      <c r="R593" s="3">
        <f>Q593*VLOOKUP(P593,[1]Datos!$A$2:$D$14,2)</f>
        <v>8.19</v>
      </c>
      <c r="S593" s="10">
        <f>ROUNDUP(O593/R593,0)</f>
        <v>39</v>
      </c>
      <c r="T593" s="2">
        <v>39</v>
      </c>
      <c r="U593" s="3">
        <f>ROUNDDOWN(PI()*(G593-0.185)/T593,2)</f>
        <v>0.14000000000000001</v>
      </c>
      <c r="V593" s="3"/>
      <c r="W593" s="1">
        <v>280</v>
      </c>
      <c r="X593" s="9">
        <v>2</v>
      </c>
      <c r="Y593" s="1">
        <v>4</v>
      </c>
      <c r="Z593" s="3">
        <f>X593*VLOOKUP(Y593,[1]Datos!$A$2:$D$14,2)</f>
        <v>2.58</v>
      </c>
      <c r="AA593" s="8">
        <v>0.3</v>
      </c>
      <c r="AB593" s="7">
        <f>IF(D593=0,0.9,0.5)*0.9*0.53*SQRT(W593)*G593*MAX(0.72*G593,0.9*((G593/2)+((G593-0.11)/PI())))*10</f>
        <v>207.09423574274689</v>
      </c>
      <c r="AC593" s="7">
        <f>0.9*Z593*4220*MAX(0.72*G593,0.9*((G593/2)+((G593-0.11)/PI())))/AA593/1000</f>
        <v>47.081633547905106</v>
      </c>
      <c r="AD593" s="6" t="str">
        <f>+IF(AC593&gt;K593-AB593,"Cumple","No Cumple")</f>
        <v>Cumple</v>
      </c>
      <c r="AE593" s="6"/>
      <c r="AH593" s="3"/>
    </row>
    <row r="594" spans="1:43" x14ac:dyDescent="0.3">
      <c r="A594" s="13"/>
      <c r="B594" s="1">
        <v>21</v>
      </c>
      <c r="C594" s="1">
        <v>88</v>
      </c>
      <c r="D594" s="1">
        <v>0</v>
      </c>
      <c r="E594" s="5">
        <v>1</v>
      </c>
      <c r="F594" s="3">
        <f>F593+E594</f>
        <v>21</v>
      </c>
      <c r="G594" s="5">
        <v>2</v>
      </c>
      <c r="H594" s="3">
        <f>PI()*(G594^2)/4</f>
        <v>3.1415926535897931</v>
      </c>
      <c r="I594" s="4">
        <v>3.1415999999999999E-2</v>
      </c>
      <c r="K594" s="3">
        <v>126.88597574141123</v>
      </c>
      <c r="L594" s="3">
        <v>310.4529</v>
      </c>
      <c r="M594" s="3">
        <v>872.93400999999994</v>
      </c>
      <c r="N594" s="12">
        <f>I594/H594</f>
        <v>1.0000023384349969E-2</v>
      </c>
      <c r="O594" s="11">
        <f>I594*10000</f>
        <v>314.15999999999997</v>
      </c>
      <c r="P594" s="1">
        <v>10</v>
      </c>
      <c r="Q594" s="1">
        <v>1</v>
      </c>
      <c r="R594" s="3">
        <f>Q594*VLOOKUP(P594,[1]Datos!$A$2:$D$14,2)</f>
        <v>8.19</v>
      </c>
      <c r="S594" s="10">
        <f>ROUNDUP(O594/R594,0)</f>
        <v>39</v>
      </c>
      <c r="T594" s="2">
        <v>39</v>
      </c>
      <c r="U594" s="3">
        <f>ROUNDDOWN(PI()*(G594-0.185)/T594,2)</f>
        <v>0.14000000000000001</v>
      </c>
      <c r="V594" s="3"/>
      <c r="W594" s="1">
        <v>280</v>
      </c>
      <c r="X594" s="9">
        <v>2</v>
      </c>
      <c r="Y594" s="1">
        <v>4</v>
      </c>
      <c r="Z594" s="3">
        <f>X594*VLOOKUP(Y594,[1]Datos!$A$2:$D$14,2)</f>
        <v>2.58</v>
      </c>
      <c r="AA594" s="8">
        <v>0.3</v>
      </c>
      <c r="AB594" s="7">
        <f>IF(D594=0,0.9,0.5)*0.9*0.53*SQRT(W594)*G594*MAX(0.72*G594,0.9*((G594/2)+((G594-0.11)/PI())))*10</f>
        <v>207.09423574274689</v>
      </c>
      <c r="AC594" s="7">
        <f>0.9*Z594*4220*MAX(0.72*G594,0.9*((G594/2)+((G594-0.11)/PI())))/AA594/1000</f>
        <v>47.081633547905106</v>
      </c>
      <c r="AD594" s="6" t="str">
        <f>+IF(AC594&gt;K594-AB594,"Cumple","No Cumple")</f>
        <v>Cumple</v>
      </c>
      <c r="AE594" s="6"/>
      <c r="AH594" s="3"/>
    </row>
    <row r="595" spans="1:43" x14ac:dyDescent="0.3">
      <c r="A595" s="13"/>
      <c r="B595" s="1">
        <v>22</v>
      </c>
      <c r="C595" s="1">
        <v>89</v>
      </c>
      <c r="D595" s="1">
        <v>0</v>
      </c>
      <c r="E595" s="5">
        <v>1</v>
      </c>
      <c r="F595" s="3">
        <f>F594+E595</f>
        <v>22</v>
      </c>
      <c r="G595" s="5">
        <v>2</v>
      </c>
      <c r="H595" s="3">
        <f>PI()*(G595^2)/4</f>
        <v>3.1415926535897931</v>
      </c>
      <c r="I595" s="4">
        <v>3.1415999999999999E-2</v>
      </c>
      <c r="K595" s="3">
        <v>126.886700381088</v>
      </c>
      <c r="L595" s="3">
        <v>365.99</v>
      </c>
      <c r="M595" s="3">
        <v>881.40571</v>
      </c>
      <c r="N595" s="12">
        <f>I595/H595</f>
        <v>1.0000023384349969E-2</v>
      </c>
      <c r="O595" s="11">
        <f>I595*10000</f>
        <v>314.15999999999997</v>
      </c>
      <c r="P595" s="1">
        <v>10</v>
      </c>
      <c r="Q595" s="1">
        <v>1</v>
      </c>
      <c r="R595" s="3">
        <f>Q595*VLOOKUP(P595,[1]Datos!$A$2:$D$14,2)</f>
        <v>8.19</v>
      </c>
      <c r="S595" s="10">
        <f>ROUNDUP(O595/R595,0)</f>
        <v>39</v>
      </c>
      <c r="T595" s="2">
        <v>39</v>
      </c>
      <c r="U595" s="3">
        <f>ROUNDDOWN(PI()*(G595-0.185)/T595,2)</f>
        <v>0.14000000000000001</v>
      </c>
      <c r="V595" s="3"/>
      <c r="W595" s="1">
        <v>280</v>
      </c>
      <c r="X595" s="9">
        <v>2</v>
      </c>
      <c r="Y595" s="1">
        <v>6</v>
      </c>
      <c r="Z595" s="3">
        <f>X595*VLOOKUP(Y595,[1]Datos!$A$2:$D$14,2)</f>
        <v>5.68</v>
      </c>
      <c r="AA595" s="8">
        <v>7.4999999999999997E-2</v>
      </c>
      <c r="AB595" s="7">
        <f>IF(D595=0,0.9,0.5)*0.9*0.53*SQRT(W595)*G595*MAX(0.72*G595,0.9*((G595/2)+((G595-0.11)/PI())))*10</f>
        <v>207.09423574274689</v>
      </c>
      <c r="AC595" s="7">
        <f>0.9*Z595*4220*MAX(0.72*G595,0.9*((G595/2)+((G595-0.11)/PI())))/AA595/1000</f>
        <v>414.61035434434268</v>
      </c>
      <c r="AD595" s="6" t="str">
        <f>+IF(AC595&gt;K595-AB595,"Cumple","No Cumple")</f>
        <v>Cumple</v>
      </c>
      <c r="AE595" s="6"/>
      <c r="AF595" s="5">
        <v>24</v>
      </c>
      <c r="AG595" s="7">
        <f>ROUNDUP(MAX(0.45,G595,AF595/6),0)</f>
        <v>4</v>
      </c>
      <c r="AH595" s="3">
        <f>PI()*(G595-0.15)^2/4</f>
        <v>2.6880252142277672</v>
      </c>
      <c r="AI595" s="7">
        <f>G595-0.15-VLOOKUP(Y595,[1]Datos!$A$2:$D$14,3)/100</f>
        <v>1.8309000000000002</v>
      </c>
      <c r="AJ595" s="7">
        <f>SQRT((PI()*AI595)^2+AA595^2)</f>
        <v>5.7524309339691264</v>
      </c>
      <c r="AK595" s="1">
        <v>0.12</v>
      </c>
      <c r="AL595" s="16">
        <f>MAX(0.45*(H595/AH595-1),AK595)*(W595/4220)</f>
        <v>7.9620853080568724E-3</v>
      </c>
      <c r="AM595" s="7">
        <f>AG595*(AJ595/AA595)</f>
        <v>306.79631647835345</v>
      </c>
      <c r="AN595" s="17">
        <f>AM595*Z595/X595/10000</f>
        <v>8.7130153879852373E-2</v>
      </c>
      <c r="AO595" s="17">
        <f>AH595*AG595</f>
        <v>10.752100856911069</v>
      </c>
      <c r="AP595" s="16">
        <f>AN595/AO595</f>
        <v>8.1035469290495175E-3</v>
      </c>
      <c r="AQ595" s="6" t="str">
        <f>+IF(AP595&gt;AL595,"Cumple","No Cumple")</f>
        <v>Cumple</v>
      </c>
    </row>
    <row r="596" spans="1:43" x14ac:dyDescent="0.3">
      <c r="A596" s="13"/>
      <c r="B596" s="1">
        <v>23</v>
      </c>
      <c r="C596" s="1">
        <v>90</v>
      </c>
      <c r="D596" s="1">
        <v>0</v>
      </c>
      <c r="E596" s="5">
        <v>1</v>
      </c>
      <c r="F596" s="3">
        <f>F595+E596</f>
        <v>23</v>
      </c>
      <c r="G596" s="5">
        <v>2</v>
      </c>
      <c r="H596" s="3">
        <f>PI()*(G596^2)/4</f>
        <v>3.1415926535897931</v>
      </c>
      <c r="I596" s="4">
        <v>3.1415999999999999E-2</v>
      </c>
      <c r="K596" s="3">
        <v>126.88728710225465</v>
      </c>
      <c r="L596" s="3">
        <v>421.46303</v>
      </c>
      <c r="M596" s="3">
        <v>914.77341999999999</v>
      </c>
      <c r="N596" s="12">
        <f>I596/H596</f>
        <v>1.0000023384349969E-2</v>
      </c>
      <c r="O596" s="11">
        <f>I596*10000</f>
        <v>314.15999999999997</v>
      </c>
      <c r="P596" s="1">
        <v>10</v>
      </c>
      <c r="Q596" s="1">
        <v>1</v>
      </c>
      <c r="R596" s="3">
        <f>Q596*VLOOKUP(P596,[1]Datos!$A$2:$D$14,2)</f>
        <v>8.19</v>
      </c>
      <c r="S596" s="10">
        <f>ROUNDUP(O596/R596,0)</f>
        <v>39</v>
      </c>
      <c r="T596" s="2">
        <v>39</v>
      </c>
      <c r="U596" s="3">
        <f>ROUNDDOWN(PI()*(G596-0.185)/T596,2)</f>
        <v>0.14000000000000001</v>
      </c>
      <c r="V596" s="3"/>
      <c r="W596" s="1">
        <v>280</v>
      </c>
      <c r="X596" s="9">
        <v>2</v>
      </c>
      <c r="Y596" s="1">
        <v>6</v>
      </c>
      <c r="Z596" s="3">
        <f>X596*VLOOKUP(Y596,[1]Datos!$A$2:$D$14,2)</f>
        <v>5.68</v>
      </c>
      <c r="AA596" s="8">
        <v>7.4999999999999997E-2</v>
      </c>
      <c r="AB596" s="7">
        <f>IF(D596=0,0.9,0.5)*0.9*0.53*SQRT(W596)*G596*MAX(0.72*G596,0.9*((G596/2)+((G596-0.11)/PI())))*10</f>
        <v>207.09423574274689</v>
      </c>
      <c r="AC596" s="7">
        <f>0.9*Z596*4220*MAX(0.72*G596,0.9*((G596/2)+((G596-0.11)/PI())))/AA596/1000</f>
        <v>414.61035434434268</v>
      </c>
      <c r="AD596" s="6" t="str">
        <f>+IF(AC596&gt;K596-AB596,"Cumple","No Cumple")</f>
        <v>Cumple</v>
      </c>
      <c r="AE596" s="6"/>
      <c r="AF596" s="5">
        <v>24</v>
      </c>
      <c r="AG596" s="7">
        <f>ROUNDUP(MAX(0.45,G596,AF596/6),0)</f>
        <v>4</v>
      </c>
      <c r="AH596" s="3">
        <f>PI()*(G596-0.15)^2/4</f>
        <v>2.6880252142277672</v>
      </c>
      <c r="AI596" s="7">
        <f>G596-0.15-VLOOKUP(Y596,[1]Datos!$A$2:$D$14,3)/100</f>
        <v>1.8309000000000002</v>
      </c>
      <c r="AJ596" s="7">
        <f>SQRT((PI()*AI596)^2+AA596^2)</f>
        <v>5.7524309339691264</v>
      </c>
      <c r="AK596" s="1">
        <v>0.12</v>
      </c>
      <c r="AL596" s="16">
        <f>MAX(0.45*(H596/AH596-1),AK596)*(W596/4220)</f>
        <v>7.9620853080568724E-3</v>
      </c>
      <c r="AM596" s="7">
        <f>AG596*(AJ596/AA596)</f>
        <v>306.79631647835345</v>
      </c>
      <c r="AN596" s="17">
        <f>AM596*Z596/X596/10000</f>
        <v>8.7130153879852373E-2</v>
      </c>
      <c r="AO596" s="17">
        <f>AH596*AG596</f>
        <v>10.752100856911069</v>
      </c>
      <c r="AP596" s="16">
        <f>AN596/AO596</f>
        <v>8.1035469290495175E-3</v>
      </c>
      <c r="AQ596" s="6" t="str">
        <f>+IF(AP596&gt;AL596,"Cumple","No Cumple")</f>
        <v>Cumple</v>
      </c>
    </row>
    <row r="597" spans="1:43" x14ac:dyDescent="0.3">
      <c r="A597" s="13"/>
      <c r="B597" s="1">
        <v>24</v>
      </c>
      <c r="C597" s="1">
        <v>91</v>
      </c>
      <c r="D597" s="1">
        <v>0</v>
      </c>
      <c r="E597" s="5">
        <v>1</v>
      </c>
      <c r="F597" s="3">
        <f>F596+E597</f>
        <v>24</v>
      </c>
      <c r="G597" s="5">
        <v>2</v>
      </c>
      <c r="H597" s="3">
        <f>PI()*(G597^2)/4</f>
        <v>3.1415926535897931</v>
      </c>
      <c r="I597" s="4">
        <v>3.1415999999999999E-2</v>
      </c>
      <c r="K597" s="3">
        <v>126.8880117562727</v>
      </c>
      <c r="L597" s="3">
        <v>476.84998999999999</v>
      </c>
      <c r="M597" s="3">
        <v>948.22762</v>
      </c>
      <c r="N597" s="12">
        <f>I597/H597</f>
        <v>1.0000023384349969E-2</v>
      </c>
      <c r="O597" s="11">
        <f>I597*10000</f>
        <v>314.15999999999997</v>
      </c>
      <c r="P597" s="1">
        <v>10</v>
      </c>
      <c r="Q597" s="1">
        <v>1</v>
      </c>
      <c r="R597" s="3">
        <f>Q597*VLOOKUP(P597,[1]Datos!$A$2:$D$14,2)</f>
        <v>8.19</v>
      </c>
      <c r="S597" s="10">
        <f>ROUNDUP(O597/R597,0)</f>
        <v>39</v>
      </c>
      <c r="T597" s="2">
        <v>39</v>
      </c>
      <c r="U597" s="3">
        <f>ROUNDDOWN(PI()*(G597-0.185)/T597,2)</f>
        <v>0.14000000000000001</v>
      </c>
      <c r="V597" s="3"/>
      <c r="W597" s="1">
        <v>280</v>
      </c>
      <c r="X597" s="9">
        <v>2</v>
      </c>
      <c r="Y597" s="1">
        <v>6</v>
      </c>
      <c r="Z597" s="3">
        <f>X597*VLOOKUP(Y597,[1]Datos!$A$2:$D$14,2)</f>
        <v>5.68</v>
      </c>
      <c r="AA597" s="8">
        <v>7.4999999999999997E-2</v>
      </c>
      <c r="AB597" s="7">
        <f>IF(D597=0,0.9,0.5)*0.9*0.53*SQRT(W597)*G597*MAX(0.72*G597,0.9*((G597/2)+((G597-0.11)/PI())))*10</f>
        <v>207.09423574274689</v>
      </c>
      <c r="AC597" s="7">
        <f>0.9*Z597*4220*MAX(0.72*G597,0.9*((G597/2)+((G597-0.11)/PI())))/AA597/1000</f>
        <v>414.61035434434268</v>
      </c>
      <c r="AD597" s="6" t="str">
        <f>+IF(AC597&gt;K597-AB597,"Cumple","No Cumple")</f>
        <v>Cumple</v>
      </c>
      <c r="AE597" s="6"/>
      <c r="AF597" s="5">
        <v>24</v>
      </c>
      <c r="AG597" s="7">
        <f>ROUNDUP(MAX(0.45,G597,AF597/6),0)</f>
        <v>4</v>
      </c>
      <c r="AH597" s="3">
        <f>PI()*(G597-0.15)^2/4</f>
        <v>2.6880252142277672</v>
      </c>
      <c r="AI597" s="7">
        <f>G597-0.15-VLOOKUP(Y597,[1]Datos!$A$2:$D$14,3)/100</f>
        <v>1.8309000000000002</v>
      </c>
      <c r="AJ597" s="7">
        <f>SQRT((PI()*AI597)^2+AA597^2)</f>
        <v>5.7524309339691264</v>
      </c>
      <c r="AK597" s="1">
        <v>0.12</v>
      </c>
      <c r="AL597" s="16">
        <f>MAX(0.45*(H597/AH597-1),AK597)*(W597/4220)</f>
        <v>7.9620853080568724E-3</v>
      </c>
      <c r="AM597" s="7">
        <f>AG597*(AJ597/AA597)</f>
        <v>306.79631647835345</v>
      </c>
      <c r="AN597" s="17">
        <f>AM597*Z597/X597/10000</f>
        <v>8.7130153879852373E-2</v>
      </c>
      <c r="AO597" s="17">
        <f>AH597*AG597</f>
        <v>10.752100856911069</v>
      </c>
      <c r="AP597" s="16">
        <f>AN597/AO597</f>
        <v>8.1035469290495175E-3</v>
      </c>
      <c r="AQ597" s="6" t="str">
        <f>+IF(AP597&gt;AL597,"Cumple","No Cumple")</f>
        <v>Cumple</v>
      </c>
    </row>
    <row r="598" spans="1:43" x14ac:dyDescent="0.3">
      <c r="A598" s="13"/>
      <c r="B598" s="1">
        <v>25</v>
      </c>
      <c r="C598" s="1">
        <v>92</v>
      </c>
      <c r="D598" s="1">
        <v>0</v>
      </c>
      <c r="E598" s="5">
        <v>1</v>
      </c>
      <c r="F598" s="3">
        <f>F597+E598</f>
        <v>25</v>
      </c>
      <c r="G598" s="5">
        <v>2</v>
      </c>
      <c r="H598" s="3">
        <f>PI()*(G598^2)/4</f>
        <v>3.1415926535897931</v>
      </c>
      <c r="I598" s="4">
        <v>3.1415999999999999E-2</v>
      </c>
      <c r="K598" s="3">
        <v>126.888651831202</v>
      </c>
      <c r="L598" s="3">
        <v>532.13115000000005</v>
      </c>
      <c r="M598" s="3">
        <v>981.72352999999998</v>
      </c>
      <c r="N598" s="12">
        <f>I598/H598</f>
        <v>1.0000023384349969E-2</v>
      </c>
      <c r="O598" s="11">
        <f>I598*10000</f>
        <v>314.15999999999997</v>
      </c>
      <c r="P598" s="1">
        <v>10</v>
      </c>
      <c r="Q598" s="19">
        <v>2</v>
      </c>
      <c r="R598" s="3">
        <f>Q598*VLOOKUP(P598,[1]Datos!$A$2:$D$14,2)</f>
        <v>16.38</v>
      </c>
      <c r="S598" s="10">
        <f>ROUNDUP(O598/R598,0)</f>
        <v>20</v>
      </c>
      <c r="T598" s="18">
        <v>42</v>
      </c>
      <c r="U598" s="3">
        <f>ROUNDDOWN(PI()*(G598-0.185)/T598,2)</f>
        <v>0.13</v>
      </c>
      <c r="V598" s="3"/>
      <c r="W598" s="1">
        <v>280</v>
      </c>
      <c r="X598" s="9">
        <v>2</v>
      </c>
      <c r="Y598" s="1">
        <v>6</v>
      </c>
      <c r="Z598" s="3">
        <f>X598*VLOOKUP(Y598,[1]Datos!$A$2:$D$14,2)</f>
        <v>5.68</v>
      </c>
      <c r="AA598" s="8">
        <v>7.4999999999999997E-2</v>
      </c>
      <c r="AB598" s="7">
        <f>IF(D598=0,0.9,0.5)*0.9*0.53*SQRT(W598)*G598*MAX(0.72*G598,0.9*((G598/2)+((G598-0.11)/PI())))*10</f>
        <v>207.09423574274689</v>
      </c>
      <c r="AC598" s="7">
        <f>0.9*Z598*4220*MAX(0.72*G598,0.9*((G598/2)+((G598-0.11)/PI())))/AA598/1000</f>
        <v>414.61035434434268</v>
      </c>
      <c r="AD598" s="6" t="str">
        <f>+IF(AC598&gt;K598-AB598,"Cumple","No Cumple")</f>
        <v>Cumple</v>
      </c>
      <c r="AE598" s="6"/>
      <c r="AF598" s="5">
        <v>24</v>
      </c>
      <c r="AG598" s="7">
        <f>ROUNDUP(MAX(0.45,G598,AF598/6),0)</f>
        <v>4</v>
      </c>
      <c r="AH598" s="3">
        <f>PI()*(G598-0.15)^2/4</f>
        <v>2.6880252142277672</v>
      </c>
      <c r="AI598" s="7">
        <f>G598-0.15-VLOOKUP(Y598,[1]Datos!$A$2:$D$14,3)/100</f>
        <v>1.8309000000000002</v>
      </c>
      <c r="AJ598" s="7">
        <f>SQRT((PI()*AI598)^2+AA598^2)</f>
        <v>5.7524309339691264</v>
      </c>
      <c r="AK598" s="1">
        <v>0.12</v>
      </c>
      <c r="AL598" s="16">
        <f>MAX(0.45*(H598/AH598-1),AK598)*(W598/4220)</f>
        <v>7.9620853080568724E-3</v>
      </c>
      <c r="AM598" s="7">
        <f>AG598*(AJ598/AA598)</f>
        <v>306.79631647835345</v>
      </c>
      <c r="AN598" s="17">
        <f>AM598*Z598/X598/10000</f>
        <v>8.7130153879852373E-2</v>
      </c>
      <c r="AO598" s="17">
        <f>AH598*AG598</f>
        <v>10.752100856911069</v>
      </c>
      <c r="AP598" s="16">
        <f>AN598/AO598</f>
        <v>8.1035469290495175E-3</v>
      </c>
      <c r="AQ598" s="6" t="str">
        <f>+IF(AP598&gt;AL598,"Cumple","No Cumple")</f>
        <v>Cumple</v>
      </c>
    </row>
    <row r="599" spans="1:43" x14ac:dyDescent="0.3">
      <c r="A599" s="13"/>
      <c r="B599" s="1">
        <v>26</v>
      </c>
      <c r="C599" s="1">
        <v>294</v>
      </c>
      <c r="D599" s="1">
        <v>1</v>
      </c>
      <c r="E599" s="5">
        <v>1</v>
      </c>
      <c r="F599" s="3">
        <f>F598+E599</f>
        <v>26</v>
      </c>
      <c r="G599" s="5">
        <v>2</v>
      </c>
      <c r="H599" s="3">
        <f>PI()*(G599^2)/4</f>
        <v>3.1415926535897931</v>
      </c>
      <c r="I599" s="4">
        <v>6.5448000000000006E-2</v>
      </c>
      <c r="K599" s="3">
        <v>126.94729286050176</v>
      </c>
      <c r="L599" s="3">
        <v>1157.1134300000001</v>
      </c>
      <c r="M599" s="3">
        <v>1838.8281899999999</v>
      </c>
      <c r="N599" s="12">
        <f>I599/H599</f>
        <v>2.0832745430956735E-2</v>
      </c>
      <c r="O599" s="11">
        <f>I599*10000</f>
        <v>654.48</v>
      </c>
      <c r="P599" s="1">
        <v>10</v>
      </c>
      <c r="Q599" s="19">
        <v>2</v>
      </c>
      <c r="R599" s="3">
        <f>Q599*VLOOKUP(P599,[1]Datos!$A$2:$D$14,2)</f>
        <v>16.38</v>
      </c>
      <c r="S599" s="10">
        <f>ROUNDUP(O599/R599,0)</f>
        <v>40</v>
      </c>
      <c r="T599" s="18">
        <v>42</v>
      </c>
      <c r="U599" s="3">
        <f>ROUNDDOWN(PI()*(G599-0.185)/T599,2)</f>
        <v>0.13</v>
      </c>
      <c r="V599" s="3"/>
      <c r="W599" s="1">
        <v>280</v>
      </c>
      <c r="X599" s="9">
        <v>2</v>
      </c>
      <c r="Y599" s="1">
        <v>6</v>
      </c>
      <c r="Z599" s="3">
        <f>X599*VLOOKUP(Y599,[1]Datos!$A$2:$D$14,2)</f>
        <v>5.68</v>
      </c>
      <c r="AA599" s="8">
        <v>7.4999999999999997E-2</v>
      </c>
      <c r="AB599" s="7">
        <f>IF(D599=0,0.9,0.5)*0.9*0.53*SQRT(W599)*G599*MAX(0.72*G599,0.9*((G599/2)+((G599-0.11)/PI())))*10</f>
        <v>115.05235319041492</v>
      </c>
      <c r="AC599" s="7">
        <f>0.9*Z599*4220*MAX(0.72*G599,0.9*((G599/2)+((G599-0.11)/PI())))/AA599/1000</f>
        <v>414.61035434434268</v>
      </c>
      <c r="AD599" s="6" t="str">
        <f>+IF(AC599&gt;K599-AB599,"Cumple","No Cumple")</f>
        <v>Cumple</v>
      </c>
      <c r="AE599" s="6"/>
      <c r="AG599" s="7">
        <f>ROUNDUP(MAX(0.45,3*G599,),0)</f>
        <v>6</v>
      </c>
      <c r="AH599" s="3">
        <f>PI()*(G599-0.15)^2/4</f>
        <v>2.6880252142277672</v>
      </c>
      <c r="AI599" s="7">
        <f>G599-0.15-VLOOKUP(Y599,[1]Datos!$A$2:$D$14,3)/100</f>
        <v>1.8309000000000002</v>
      </c>
      <c r="AJ599" s="7">
        <f>SQRT((PI()*AI599)^2+AA599^2)</f>
        <v>5.7524309339691264</v>
      </c>
      <c r="AK599" s="1">
        <v>0.12</v>
      </c>
      <c r="AL599" s="16">
        <f>MAX(0.45*(H599/AH599-1),AK599)*(W599/4220)</f>
        <v>7.9620853080568724E-3</v>
      </c>
      <c r="AM599" s="7">
        <f>AG599*(AJ599/AA599)</f>
        <v>460.19447471753017</v>
      </c>
      <c r="AN599" s="17">
        <f>AM599*Z599/X599/10000</f>
        <v>0.13069523081977857</v>
      </c>
      <c r="AO599" s="17">
        <f>AH599*AG599</f>
        <v>16.128151285366602</v>
      </c>
      <c r="AP599" s="16">
        <f>AN599/AO599</f>
        <v>8.1035469290495193E-3</v>
      </c>
      <c r="AQ599" s="6" t="str">
        <f>+IF(AP599&gt;AL599,"Cumple","No Cumple")</f>
        <v>Cumple</v>
      </c>
    </row>
    <row r="600" spans="1:43" x14ac:dyDescent="0.3">
      <c r="A600" s="13"/>
      <c r="B600" s="1">
        <v>27</v>
      </c>
      <c r="C600" s="1">
        <v>296</v>
      </c>
      <c r="D600" s="1">
        <v>1</v>
      </c>
      <c r="E600" s="5">
        <v>1</v>
      </c>
      <c r="F600" s="3">
        <f>F599+E600</f>
        <v>27</v>
      </c>
      <c r="G600" s="5">
        <v>2</v>
      </c>
      <c r="H600" s="3">
        <f>PI()*(G600^2)/4</f>
        <v>3.1415926535897931</v>
      </c>
      <c r="I600" s="4">
        <v>6.7569000000000004E-2</v>
      </c>
      <c r="K600" s="3">
        <v>98.749438666202053</v>
      </c>
      <c r="L600" s="3">
        <v>1241.1894600000001</v>
      </c>
      <c r="M600" s="3">
        <v>1870.9974199999999</v>
      </c>
      <c r="N600" s="12">
        <f>I600/H600</f>
        <v>2.1507880699552555E-2</v>
      </c>
      <c r="O600" s="11">
        <f>I600*10000</f>
        <v>675.69</v>
      </c>
      <c r="P600" s="1">
        <v>10</v>
      </c>
      <c r="Q600" s="19">
        <v>2</v>
      </c>
      <c r="R600" s="3">
        <f>Q600*VLOOKUP(P600,[1]Datos!$A$2:$D$14,2)</f>
        <v>16.38</v>
      </c>
      <c r="S600" s="10">
        <f>ROUNDUP(O600/R600,0)</f>
        <v>42</v>
      </c>
      <c r="T600" s="18">
        <v>42</v>
      </c>
      <c r="U600" s="3">
        <f>ROUNDDOWN(PI()*(G600-0.185)/T600,2)</f>
        <v>0.13</v>
      </c>
      <c r="V600" s="3"/>
      <c r="W600" s="1">
        <v>280</v>
      </c>
      <c r="X600" s="9">
        <v>2</v>
      </c>
      <c r="Y600" s="1">
        <v>6</v>
      </c>
      <c r="Z600" s="3">
        <f>X600*VLOOKUP(Y600,[1]Datos!$A$2:$D$14,2)</f>
        <v>5.68</v>
      </c>
      <c r="AA600" s="8">
        <v>7.4999999999999997E-2</v>
      </c>
      <c r="AB600" s="7">
        <f>IF(D600=0,0.9,0.5)*0.9*0.53*SQRT(W600)*G600*MAX(0.72*G600,0.9*((G600/2)+((G600-0.11)/PI())))*10</f>
        <v>115.05235319041492</v>
      </c>
      <c r="AC600" s="7">
        <f>0.9*Z600*4220*MAX(0.72*G600,0.9*((G600/2)+((G600-0.11)/PI())))/AA600/1000</f>
        <v>414.61035434434268</v>
      </c>
      <c r="AD600" s="6" t="str">
        <f>+IF(AC600&gt;K600-AB600,"Cumple","No Cumple")</f>
        <v>Cumple</v>
      </c>
      <c r="AE600" s="6"/>
      <c r="AG600" s="7">
        <f>ROUNDUP(MAX(0.45,3*G600,),0)</f>
        <v>6</v>
      </c>
      <c r="AH600" s="3">
        <f>PI()*(G600-0.15)^2/4</f>
        <v>2.6880252142277672</v>
      </c>
      <c r="AI600" s="7">
        <f>G600-0.15-VLOOKUP(Y600,[1]Datos!$A$2:$D$14,3)/100</f>
        <v>1.8309000000000002</v>
      </c>
      <c r="AJ600" s="7">
        <f>SQRT((PI()*AI600)^2+AA600^2)</f>
        <v>5.7524309339691264</v>
      </c>
      <c r="AK600" s="1">
        <v>0.12</v>
      </c>
      <c r="AL600" s="16">
        <f>MAX(0.45*(H600/AH600-1),AK600)*(W600/4220)</f>
        <v>7.9620853080568724E-3</v>
      </c>
      <c r="AM600" s="7">
        <f>AG600*(AJ600/AA600)</f>
        <v>460.19447471753017</v>
      </c>
      <c r="AN600" s="17">
        <f>AM600*Z600/X600/10000</f>
        <v>0.13069523081977857</v>
      </c>
      <c r="AO600" s="17">
        <f>AH600*AG600</f>
        <v>16.128151285366602</v>
      </c>
      <c r="AP600" s="16">
        <f>AN600/AO600</f>
        <v>8.1035469290495193E-3</v>
      </c>
      <c r="AQ600" s="6" t="str">
        <f>+IF(AP600&gt;AL600,"Cumple","No Cumple")</f>
        <v>Cumple</v>
      </c>
    </row>
    <row r="601" spans="1:43" x14ac:dyDescent="0.3">
      <c r="A601" s="13"/>
      <c r="B601" s="1">
        <v>28</v>
      </c>
      <c r="C601" s="1">
        <v>298</v>
      </c>
      <c r="D601" s="1">
        <v>1</v>
      </c>
      <c r="E601" s="5">
        <v>1</v>
      </c>
      <c r="F601" s="3">
        <f>F600+E601</f>
        <v>28</v>
      </c>
      <c r="G601" s="5">
        <v>2</v>
      </c>
      <c r="H601" s="3">
        <f>PI()*(G601^2)/4</f>
        <v>3.1415926535897931</v>
      </c>
      <c r="I601" s="4">
        <v>6.7569000000000004E-2</v>
      </c>
      <c r="K601" s="3">
        <v>61.987411791750105</v>
      </c>
      <c r="L601" s="3">
        <v>1285.6478099999999</v>
      </c>
      <c r="M601" s="3">
        <v>1870.9974199999999</v>
      </c>
      <c r="N601" s="12">
        <f>I601/H601</f>
        <v>2.1507880699552555E-2</v>
      </c>
      <c r="O601" s="11">
        <f>I601*10000</f>
        <v>675.69</v>
      </c>
      <c r="P601" s="1">
        <v>10</v>
      </c>
      <c r="Q601" s="1">
        <v>2</v>
      </c>
      <c r="R601" s="3">
        <f>Q601*VLOOKUP(P601,[1]Datos!$A$2:$D$14,2)</f>
        <v>16.38</v>
      </c>
      <c r="S601" s="10">
        <f>ROUNDUP(O601/R601,0)</f>
        <v>42</v>
      </c>
      <c r="T601" s="2">
        <v>42</v>
      </c>
      <c r="U601" s="3">
        <f>ROUNDDOWN(PI()*(G601-0.185)/T601,2)</f>
        <v>0.13</v>
      </c>
      <c r="V601" s="3"/>
      <c r="W601" s="1">
        <v>280</v>
      </c>
      <c r="X601" s="9">
        <v>2</v>
      </c>
      <c r="Y601" s="1">
        <v>6</v>
      </c>
      <c r="Z601" s="3">
        <f>X601*VLOOKUP(Y601,[1]Datos!$A$2:$D$14,2)</f>
        <v>5.68</v>
      </c>
      <c r="AA601" s="8">
        <v>7.4999999999999997E-2</v>
      </c>
      <c r="AB601" s="7">
        <f>IF(D601=0,0.9,0.5)*0.9*0.53*SQRT(W601)*G601*MAX(0.72*G601,0.9*((G601/2)+((G601-0.11)/PI())))*10</f>
        <v>115.05235319041492</v>
      </c>
      <c r="AC601" s="7">
        <f>0.9*Z601*4220*MAX(0.72*G601,0.9*((G601/2)+((G601-0.11)/PI())))/AA601/1000</f>
        <v>414.61035434434268</v>
      </c>
      <c r="AD601" s="6" t="str">
        <f>+IF(AC601&gt;K601-AB601,"Cumple","No Cumple")</f>
        <v>Cumple</v>
      </c>
      <c r="AE601" s="6"/>
      <c r="AG601" s="7">
        <f>ROUNDUP(MAX(0.45,3*G601,),0)</f>
        <v>6</v>
      </c>
      <c r="AH601" s="3">
        <f>PI()*(G601-0.15)^2/4</f>
        <v>2.6880252142277672</v>
      </c>
      <c r="AI601" s="7">
        <f>G601-0.15-VLOOKUP(Y601,[1]Datos!$A$2:$D$14,3)/100</f>
        <v>1.8309000000000002</v>
      </c>
      <c r="AJ601" s="7">
        <f>SQRT((PI()*AI601)^2+AA601^2)</f>
        <v>5.7524309339691264</v>
      </c>
      <c r="AK601" s="1">
        <v>0.12</v>
      </c>
      <c r="AL601" s="16">
        <f>MAX(0.45*(H601/AH601-1),AK601)*(W601/4220)</f>
        <v>7.9620853080568724E-3</v>
      </c>
      <c r="AM601" s="7">
        <f>AG601*(AJ601/AA601)</f>
        <v>460.19447471753017</v>
      </c>
      <c r="AN601" s="17">
        <f>AM601*Z601/X601/10000</f>
        <v>0.13069523081977857</v>
      </c>
      <c r="AO601" s="17">
        <f>AH601*AG601</f>
        <v>16.128151285366602</v>
      </c>
      <c r="AP601" s="16">
        <f>AN601/AO601</f>
        <v>8.1035469290495193E-3</v>
      </c>
      <c r="AQ601" s="6" t="str">
        <f>+IF(AP601&gt;AL601,"Cumple","No Cumple")</f>
        <v>Cumple</v>
      </c>
    </row>
    <row r="602" spans="1:43" x14ac:dyDescent="0.3">
      <c r="A602" s="13"/>
      <c r="B602" s="1">
        <v>29</v>
      </c>
      <c r="C602" s="1">
        <v>300</v>
      </c>
      <c r="D602" s="1">
        <v>1</v>
      </c>
      <c r="E602" s="5">
        <v>1</v>
      </c>
      <c r="F602" s="3">
        <f>F601+E602</f>
        <v>29</v>
      </c>
      <c r="G602" s="5">
        <v>2</v>
      </c>
      <c r="H602" s="3">
        <f>PI()*(G602^2)/4</f>
        <v>3.1415926535897931</v>
      </c>
      <c r="I602" s="4">
        <v>6.7066000000000001E-2</v>
      </c>
      <c r="K602" s="3">
        <v>86.606494596767973</v>
      </c>
      <c r="L602" s="3">
        <v>1285.6478099999999</v>
      </c>
      <c r="M602" s="3">
        <v>1856.96065</v>
      </c>
      <c r="N602" s="12">
        <f>I602/H602</f>
        <v>2.1347770826802104E-2</v>
      </c>
      <c r="O602" s="11">
        <f>I602*10000</f>
        <v>670.66</v>
      </c>
      <c r="P602" s="1">
        <v>10</v>
      </c>
      <c r="Q602" s="1">
        <v>2</v>
      </c>
      <c r="R602" s="3">
        <f>Q602*VLOOKUP(P602,[1]Datos!$A$2:$D$14,2)</f>
        <v>16.38</v>
      </c>
      <c r="S602" s="10">
        <f>ROUNDUP(O602/R602,0)</f>
        <v>41</v>
      </c>
      <c r="T602" s="2">
        <v>42</v>
      </c>
      <c r="U602" s="3">
        <f>ROUNDDOWN(PI()*(G602-0.185)/T602,2)</f>
        <v>0.13</v>
      </c>
      <c r="V602" s="3"/>
      <c r="W602" s="1">
        <v>280</v>
      </c>
      <c r="X602" s="9">
        <v>2</v>
      </c>
      <c r="Y602" s="1">
        <v>6</v>
      </c>
      <c r="Z602" s="3">
        <f>X602*VLOOKUP(Y602,[1]Datos!$A$2:$D$14,2)</f>
        <v>5.68</v>
      </c>
      <c r="AA602" s="8">
        <v>7.4999999999999997E-2</v>
      </c>
      <c r="AB602" s="7">
        <f>IF(D602=0,0.9,0.5)*0.9*0.53*SQRT(W602)*G602*MAX(0.72*G602,0.9*((G602/2)+((G602-0.11)/PI())))*10</f>
        <v>115.05235319041492</v>
      </c>
      <c r="AC602" s="7">
        <f>0.9*Z602*4220*MAX(0.72*G602,0.9*((G602/2)+((G602-0.11)/PI())))/AA602/1000</f>
        <v>414.61035434434268</v>
      </c>
      <c r="AD602" s="6" t="str">
        <f>+IF(AC602&gt;K602-AB602,"Cumple","No Cumple")</f>
        <v>Cumple</v>
      </c>
      <c r="AE602" s="6"/>
      <c r="AG602" s="7">
        <f>ROUNDUP(MAX(0.45,3*G602,),0)</f>
        <v>6</v>
      </c>
      <c r="AH602" s="3">
        <f>PI()*(G602-0.15)^2/4</f>
        <v>2.6880252142277672</v>
      </c>
      <c r="AI602" s="7">
        <f>G602-0.15-VLOOKUP(Y602,[1]Datos!$A$2:$D$14,3)/100</f>
        <v>1.8309000000000002</v>
      </c>
      <c r="AJ602" s="7">
        <f>SQRT((PI()*AI602)^2+AA602^2)</f>
        <v>5.7524309339691264</v>
      </c>
      <c r="AK602" s="1">
        <v>0.12</v>
      </c>
      <c r="AL602" s="16">
        <f>MAX(0.45*(H602/AH602-1),AK602)*(W602/4220)</f>
        <v>7.9620853080568724E-3</v>
      </c>
      <c r="AM602" s="7">
        <f>AG602*(AJ602/AA602)</f>
        <v>460.19447471753017</v>
      </c>
      <c r="AN602" s="17">
        <f>AM602*Z602/X602/10000</f>
        <v>0.13069523081977857</v>
      </c>
      <c r="AO602" s="17">
        <f>AH602*AG602</f>
        <v>16.128151285366602</v>
      </c>
      <c r="AP602" s="16">
        <f>AN602/AO602</f>
        <v>8.1035469290495193E-3</v>
      </c>
      <c r="AQ602" s="6" t="str">
        <f>+IF(AP602&gt;AL602,"Cumple","No Cumple")</f>
        <v>Cumple</v>
      </c>
    </row>
    <row r="603" spans="1:43" x14ac:dyDescent="0.3">
      <c r="A603" s="13"/>
      <c r="B603" s="1">
        <v>30</v>
      </c>
      <c r="C603" s="1">
        <v>302</v>
      </c>
      <c r="D603" s="1">
        <v>1</v>
      </c>
      <c r="E603" s="5">
        <v>1</v>
      </c>
      <c r="F603" s="3">
        <f>F602+E603</f>
        <v>30</v>
      </c>
      <c r="G603" s="5">
        <v>2</v>
      </c>
      <c r="H603" s="3">
        <f>PI()*(G603^2)/4</f>
        <v>3.1415926535897931</v>
      </c>
      <c r="I603" s="4">
        <v>6.5351000000000006E-2</v>
      </c>
      <c r="K603" s="3">
        <v>120.7120968255046</v>
      </c>
      <c r="L603" s="3">
        <v>1284.7949599999999</v>
      </c>
      <c r="M603" s="3">
        <v>1791.40281</v>
      </c>
      <c r="N603" s="12">
        <f>I603/H603</f>
        <v>2.0801869371996906E-2</v>
      </c>
      <c r="O603" s="11">
        <f>I603*10000</f>
        <v>653.5100000000001</v>
      </c>
      <c r="P603" s="1">
        <v>10</v>
      </c>
      <c r="Q603" s="1">
        <v>2</v>
      </c>
      <c r="R603" s="3">
        <f>Q603*VLOOKUP(P603,[1]Datos!$A$2:$D$14,2)</f>
        <v>16.38</v>
      </c>
      <c r="S603" s="10">
        <f>ROUNDUP(O603/R603,0)</f>
        <v>40</v>
      </c>
      <c r="T603" s="2">
        <v>42</v>
      </c>
      <c r="U603" s="3">
        <f>ROUNDDOWN(PI()*(G603-0.185)/T603,2)</f>
        <v>0.13</v>
      </c>
      <c r="V603" s="3"/>
      <c r="W603" s="1">
        <v>280</v>
      </c>
      <c r="X603" s="9">
        <v>2</v>
      </c>
      <c r="Y603" s="1">
        <v>6</v>
      </c>
      <c r="Z603" s="3">
        <f>X603*VLOOKUP(Y603,[1]Datos!$A$2:$D$14,2)</f>
        <v>5.68</v>
      </c>
      <c r="AA603" s="8">
        <v>7.4999999999999997E-2</v>
      </c>
      <c r="AB603" s="7">
        <f>IF(D603=0,0.9,0.5)*0.9*0.53*SQRT(W603)*G603*MAX(0.72*G603,0.9*((G603/2)+((G603-0.11)/PI())))*10</f>
        <v>115.05235319041492</v>
      </c>
      <c r="AC603" s="7">
        <f>0.9*Z603*4220*MAX(0.72*G603,0.9*((G603/2)+((G603-0.11)/PI())))/AA603/1000</f>
        <v>414.61035434434268</v>
      </c>
      <c r="AD603" s="6" t="str">
        <f>+IF(AC603&gt;K603-AB603,"Cumple","No Cumple")</f>
        <v>Cumple</v>
      </c>
      <c r="AE603" s="6"/>
      <c r="AG603" s="7">
        <f>ROUNDUP(MAX(0.45,3*G603,),0)</f>
        <v>6</v>
      </c>
      <c r="AH603" s="3">
        <f>PI()*(G603-0.15)^2/4</f>
        <v>2.6880252142277672</v>
      </c>
      <c r="AI603" s="7">
        <f>G603-0.15-VLOOKUP(Y603,[1]Datos!$A$2:$D$14,3)/100</f>
        <v>1.8309000000000002</v>
      </c>
      <c r="AJ603" s="7">
        <f>SQRT((PI()*AI603)^2+AA603^2)</f>
        <v>5.7524309339691264</v>
      </c>
      <c r="AK603" s="1">
        <v>0.12</v>
      </c>
      <c r="AL603" s="16">
        <f>MAX(0.45*(H603/AH603-1),AK603)*(W603/4220)</f>
        <v>7.9620853080568724E-3</v>
      </c>
      <c r="AM603" s="7">
        <f>AG603*(AJ603/AA603)</f>
        <v>460.19447471753017</v>
      </c>
      <c r="AN603" s="17">
        <f>AM603*Z603/X603/10000</f>
        <v>0.13069523081977857</v>
      </c>
      <c r="AO603" s="17">
        <f>AH603*AG603</f>
        <v>16.128151285366602</v>
      </c>
      <c r="AP603" s="16">
        <f>AN603/AO603</f>
        <v>8.1035469290495193E-3</v>
      </c>
      <c r="AQ603" s="6" t="str">
        <f>+IF(AP603&gt;AL603,"Cumple","No Cumple")</f>
        <v>Cumple</v>
      </c>
    </row>
    <row r="604" spans="1:43" x14ac:dyDescent="0.3">
      <c r="A604" s="13"/>
      <c r="B604" s="1">
        <v>31</v>
      </c>
      <c r="C604" s="1">
        <v>304</v>
      </c>
      <c r="D604" s="1">
        <v>1</v>
      </c>
      <c r="E604" s="5">
        <v>1</v>
      </c>
      <c r="F604" s="3">
        <f>F603+E604</f>
        <v>31</v>
      </c>
      <c r="G604" s="5">
        <v>2</v>
      </c>
      <c r="H604" s="3">
        <f>PI()*(G604^2)/4</f>
        <v>3.1415926535897931</v>
      </c>
      <c r="I604" s="4">
        <v>6.1726999999999997E-2</v>
      </c>
      <c r="K604" s="3">
        <v>161.26472128103532</v>
      </c>
      <c r="L604" s="3">
        <v>1239.6233999999999</v>
      </c>
      <c r="M604" s="3">
        <v>1677.1831</v>
      </c>
      <c r="N604" s="12">
        <f>I604/H604</f>
        <v>1.9648314344466847E-2</v>
      </c>
      <c r="O604" s="11">
        <f>I604*10000</f>
        <v>617.27</v>
      </c>
      <c r="P604" s="1">
        <v>10</v>
      </c>
      <c r="Q604" s="1">
        <v>2</v>
      </c>
      <c r="R604" s="3">
        <f>Q604*VLOOKUP(P604,[1]Datos!$A$2:$D$14,2)</f>
        <v>16.38</v>
      </c>
      <c r="S604" s="10">
        <f>ROUNDUP(O604/R604,0)</f>
        <v>38</v>
      </c>
      <c r="T604" s="2">
        <v>42</v>
      </c>
      <c r="U604" s="3">
        <f>ROUNDDOWN(PI()*(G604-0.185)/T604,2)</f>
        <v>0.13</v>
      </c>
      <c r="V604" s="3"/>
      <c r="W604" s="1">
        <v>280</v>
      </c>
      <c r="X604" s="9">
        <v>2</v>
      </c>
      <c r="Y604" s="1">
        <v>6</v>
      </c>
      <c r="Z604" s="3">
        <f>X604*VLOOKUP(Y604,[1]Datos!$A$2:$D$14,2)</f>
        <v>5.68</v>
      </c>
      <c r="AA604" s="8">
        <v>7.4999999999999997E-2</v>
      </c>
      <c r="AB604" s="7">
        <f>IF(D604=0,0.9,0.5)*0.9*0.53*SQRT(W604)*G604*MAX(0.72*G604,0.9*((G604/2)+((G604-0.11)/PI())))*10</f>
        <v>115.05235319041492</v>
      </c>
      <c r="AC604" s="7">
        <f>0.9*Z604*4220*MAX(0.72*G604,0.9*((G604/2)+((G604-0.11)/PI())))/AA604/1000</f>
        <v>414.61035434434268</v>
      </c>
      <c r="AD604" s="6" t="str">
        <f>+IF(AC604&gt;K604-AB604,"Cumple","No Cumple")</f>
        <v>Cumple</v>
      </c>
      <c r="AE604" s="6"/>
      <c r="AG604" s="7">
        <f>ROUNDUP(MAX(0.45,3*G604,),0)</f>
        <v>6</v>
      </c>
      <c r="AH604" s="3">
        <f>PI()*(G604-0.15)^2/4</f>
        <v>2.6880252142277672</v>
      </c>
      <c r="AI604" s="7">
        <f>G604-0.15-VLOOKUP(Y604,[1]Datos!$A$2:$D$14,3)/100</f>
        <v>1.8309000000000002</v>
      </c>
      <c r="AJ604" s="7">
        <f>SQRT((PI()*AI604)^2+AA604^2)</f>
        <v>5.7524309339691264</v>
      </c>
      <c r="AK604" s="1">
        <v>0.12</v>
      </c>
      <c r="AL604" s="16">
        <f>MAX(0.45*(H604/AH604-1),AK604)*(W604/4220)</f>
        <v>7.9620853080568724E-3</v>
      </c>
      <c r="AM604" s="7">
        <f>AG604*(AJ604/AA604)</f>
        <v>460.19447471753017</v>
      </c>
      <c r="AN604" s="17">
        <f>AM604*Z604/X604/10000</f>
        <v>0.13069523081977857</v>
      </c>
      <c r="AO604" s="17">
        <f>AH604*AG604</f>
        <v>16.128151285366602</v>
      </c>
      <c r="AP604" s="16">
        <f>AN604/AO604</f>
        <v>8.1035469290495193E-3</v>
      </c>
      <c r="AQ604" s="6" t="str">
        <f>+IF(AP604&gt;AL604,"Cumple","No Cumple")</f>
        <v>Cumple</v>
      </c>
    </row>
    <row r="605" spans="1:43" x14ac:dyDescent="0.3">
      <c r="A605" s="13"/>
      <c r="B605" s="1">
        <v>32</v>
      </c>
      <c r="C605" s="1">
        <v>306</v>
      </c>
      <c r="D605" s="1">
        <v>1</v>
      </c>
      <c r="E605" s="5">
        <v>1</v>
      </c>
      <c r="F605" s="3">
        <f>F604+E605</f>
        <v>32</v>
      </c>
      <c r="G605" s="5">
        <v>2</v>
      </c>
      <c r="H605" s="3">
        <f>PI()*(G605^2)/4</f>
        <v>3.1415926535897931</v>
      </c>
      <c r="I605" s="4">
        <v>5.6827999999999997E-2</v>
      </c>
      <c r="K605" s="3">
        <v>191.02412902421514</v>
      </c>
      <c r="L605" s="3">
        <v>1155.8646900000001</v>
      </c>
      <c r="M605" s="3">
        <v>1522.6759300000001</v>
      </c>
      <c r="N605" s="12">
        <f>I605/H605</f>
        <v>1.8088914212052457E-2</v>
      </c>
      <c r="O605" s="11">
        <f>I605*10000</f>
        <v>568.28</v>
      </c>
      <c r="P605" s="1">
        <v>10</v>
      </c>
      <c r="Q605" s="1">
        <v>2</v>
      </c>
      <c r="R605" s="3">
        <f>Q605*VLOOKUP(P605,[1]Datos!$A$2:$D$14,2)</f>
        <v>16.38</v>
      </c>
      <c r="S605" s="10">
        <f>ROUNDUP(O605/R605,0)</f>
        <v>35</v>
      </c>
      <c r="T605" s="2">
        <v>42</v>
      </c>
      <c r="U605" s="3">
        <f>ROUNDDOWN(PI()*(G605-0.185)/T605,2)</f>
        <v>0.13</v>
      </c>
      <c r="V605" s="3"/>
      <c r="W605" s="1">
        <v>280</v>
      </c>
      <c r="X605" s="9">
        <v>2</v>
      </c>
      <c r="Y605" s="1">
        <v>6</v>
      </c>
      <c r="Z605" s="3">
        <f>X605*VLOOKUP(Y605,[1]Datos!$A$2:$D$14,2)</f>
        <v>5.68</v>
      </c>
      <c r="AA605" s="8">
        <v>7.4999999999999997E-2</v>
      </c>
      <c r="AB605" s="7">
        <f>IF(D605=0,0.9,0.5)*0.9*0.53*SQRT(W605)*G605*MAX(0.72*G605,0.9*((G605/2)+((G605-0.11)/PI())))*10</f>
        <v>115.05235319041492</v>
      </c>
      <c r="AC605" s="7">
        <f>0.9*Z605*4220*MAX(0.72*G605,0.9*((G605/2)+((G605-0.11)/PI())))/AA605/1000</f>
        <v>414.61035434434268</v>
      </c>
      <c r="AD605" s="6" t="str">
        <f>+IF(AC605&gt;K605-AB605,"Cumple","No Cumple")</f>
        <v>Cumple</v>
      </c>
      <c r="AE605" s="6"/>
      <c r="AG605" s="7">
        <f>ROUNDUP(MAX(0.45,3*G605,),0)</f>
        <v>6</v>
      </c>
      <c r="AH605" s="3">
        <f>PI()*(G605-0.15)^2/4</f>
        <v>2.6880252142277672</v>
      </c>
      <c r="AI605" s="7">
        <f>G605-0.15-VLOOKUP(Y605,[1]Datos!$A$2:$D$14,3)/100</f>
        <v>1.8309000000000002</v>
      </c>
      <c r="AJ605" s="7">
        <f>SQRT((PI()*AI605)^2+AA605^2)</f>
        <v>5.7524309339691264</v>
      </c>
      <c r="AK605" s="1">
        <v>0.12</v>
      </c>
      <c r="AL605" s="16">
        <f>MAX(0.45*(H605/AH605-1),AK605)*(W605/4220)</f>
        <v>7.9620853080568724E-3</v>
      </c>
      <c r="AM605" s="7">
        <f>AG605*(AJ605/AA605)</f>
        <v>460.19447471753017</v>
      </c>
      <c r="AN605" s="17">
        <f>AM605*Z605/X605/10000</f>
        <v>0.13069523081977857</v>
      </c>
      <c r="AO605" s="17">
        <f>AH605*AG605</f>
        <v>16.128151285366602</v>
      </c>
      <c r="AP605" s="16">
        <f>AN605/AO605</f>
        <v>8.1035469290495193E-3</v>
      </c>
      <c r="AQ605" s="6" t="str">
        <f>+IF(AP605&gt;AL605,"Cumple","No Cumple")</f>
        <v>Cumple</v>
      </c>
    </row>
    <row r="606" spans="1:43" x14ac:dyDescent="0.3">
      <c r="A606" s="13"/>
      <c r="B606" s="1">
        <v>33</v>
      </c>
      <c r="C606" s="1">
        <v>308</v>
      </c>
      <c r="D606" s="1">
        <v>1</v>
      </c>
      <c r="E606" s="5">
        <v>1</v>
      </c>
      <c r="F606" s="3">
        <f>F605+E606</f>
        <v>33</v>
      </c>
      <c r="G606" s="5">
        <v>2</v>
      </c>
      <c r="H606" s="3">
        <f>PI()*(G606^2)/4</f>
        <v>3.1415926535897931</v>
      </c>
      <c r="I606" s="4">
        <v>5.3704000000000002E-2</v>
      </c>
      <c r="K606" s="3">
        <v>207.84610961584056</v>
      </c>
      <c r="L606" s="3">
        <v>1042.18</v>
      </c>
      <c r="M606" s="3">
        <v>1348.8439699999999</v>
      </c>
      <c r="N606" s="12">
        <f>I606/H606</f>
        <v>1.7094514127614296E-2</v>
      </c>
      <c r="O606" s="11">
        <f>I606*10000</f>
        <v>537.04</v>
      </c>
      <c r="P606" s="1">
        <v>10</v>
      </c>
      <c r="Q606" s="1">
        <v>2</v>
      </c>
      <c r="R606" s="3">
        <f>Q606*VLOOKUP(P606,[1]Datos!$A$2:$D$14,2)</f>
        <v>16.38</v>
      </c>
      <c r="S606" s="10">
        <f>ROUNDUP(O606/R606,0)</f>
        <v>33</v>
      </c>
      <c r="T606" s="2">
        <v>42</v>
      </c>
      <c r="U606" s="3">
        <f>ROUNDDOWN(PI()*(G606-0.185)/T606,2)</f>
        <v>0.13</v>
      </c>
      <c r="V606" s="3"/>
      <c r="W606" s="1">
        <v>280</v>
      </c>
      <c r="X606" s="9">
        <v>2</v>
      </c>
      <c r="Y606" s="1">
        <v>6</v>
      </c>
      <c r="Z606" s="3">
        <f>X606*VLOOKUP(Y606,[1]Datos!$A$2:$D$14,2)</f>
        <v>5.68</v>
      </c>
      <c r="AA606" s="8">
        <v>7.4999999999999997E-2</v>
      </c>
      <c r="AB606" s="7">
        <f>IF(D606=0,0.9,0.5)*0.9*0.53*SQRT(W606)*G606*MAX(0.72*G606,0.9*((G606/2)+((G606-0.11)/PI())))*10</f>
        <v>115.05235319041492</v>
      </c>
      <c r="AC606" s="7">
        <f>0.9*Z606*4220*MAX(0.72*G606,0.9*((G606/2)+((G606-0.11)/PI())))/AA606/1000</f>
        <v>414.61035434434268</v>
      </c>
      <c r="AD606" s="6" t="str">
        <f>+IF(AC606&gt;K606-AB606,"Cumple","No Cumple")</f>
        <v>Cumple</v>
      </c>
      <c r="AE606" s="6"/>
      <c r="AG606" s="7">
        <f>ROUNDUP(MAX(0.45,3*G606,),0)</f>
        <v>6</v>
      </c>
      <c r="AH606" s="3">
        <f>PI()*(G606-0.15)^2/4</f>
        <v>2.6880252142277672</v>
      </c>
      <c r="AI606" s="7">
        <f>G606-0.15-VLOOKUP(Y606,[1]Datos!$A$2:$D$14,3)/100</f>
        <v>1.8309000000000002</v>
      </c>
      <c r="AJ606" s="7">
        <f>SQRT((PI()*AI606)^2+AA606^2)</f>
        <v>5.7524309339691264</v>
      </c>
      <c r="AK606" s="1">
        <v>0.12</v>
      </c>
      <c r="AL606" s="16">
        <f>MAX(0.45*(H606/AH606-1),AK606)*(W606/4220)</f>
        <v>7.9620853080568724E-3</v>
      </c>
      <c r="AM606" s="7">
        <f>AG606*(AJ606/AA606)</f>
        <v>460.19447471753017</v>
      </c>
      <c r="AN606" s="17">
        <f>AM606*Z606/X606/10000</f>
        <v>0.13069523081977857</v>
      </c>
      <c r="AO606" s="17">
        <f>AH606*AG606</f>
        <v>16.128151285366602</v>
      </c>
      <c r="AP606" s="16">
        <f>AN606/AO606</f>
        <v>8.1035469290495193E-3</v>
      </c>
      <c r="AQ606" s="6" t="str">
        <f>+IF(AP606&gt;AL606,"Cumple","No Cumple")</f>
        <v>Cumple</v>
      </c>
    </row>
    <row r="607" spans="1:43" x14ac:dyDescent="0.3">
      <c r="A607" s="13"/>
      <c r="B607" s="1">
        <v>34</v>
      </c>
      <c r="C607" s="1">
        <v>310</v>
      </c>
      <c r="D607" s="1">
        <v>1</v>
      </c>
      <c r="E607" s="5">
        <v>1</v>
      </c>
      <c r="F607" s="3">
        <f>F606+E607</f>
        <v>34</v>
      </c>
      <c r="G607" s="5">
        <v>2</v>
      </c>
      <c r="H607" s="3">
        <f>PI()*(G607^2)/4</f>
        <v>3.1415926535897931</v>
      </c>
      <c r="I607" s="4">
        <v>4.9250000000000002E-2</v>
      </c>
      <c r="K607" s="3">
        <v>211.99770097960968</v>
      </c>
      <c r="L607" s="3">
        <v>908.58311000000003</v>
      </c>
      <c r="M607" s="3">
        <v>1161.3336899999999</v>
      </c>
      <c r="N607" s="12">
        <f>I607/H607</f>
        <v>1.5676761894551691E-2</v>
      </c>
      <c r="O607" s="11">
        <f>I607*10000</f>
        <v>492.5</v>
      </c>
      <c r="P607" s="1">
        <v>10</v>
      </c>
      <c r="Q607" s="19">
        <v>2</v>
      </c>
      <c r="R607" s="3">
        <f>Q607*VLOOKUP(P607,[1]Datos!$A$2:$D$14,2)</f>
        <v>16.38</v>
      </c>
      <c r="S607" s="10">
        <f>ROUNDUP(O607/R607,0)</f>
        <v>31</v>
      </c>
      <c r="T607" s="18">
        <v>42</v>
      </c>
      <c r="U607" s="3">
        <f>ROUNDDOWN(PI()*(G607-0.185)/T607,2)</f>
        <v>0.13</v>
      </c>
      <c r="V607" s="3"/>
      <c r="W607" s="1">
        <v>280</v>
      </c>
      <c r="X607" s="9">
        <v>2</v>
      </c>
      <c r="Y607" s="1">
        <v>6</v>
      </c>
      <c r="Z607" s="3">
        <f>X607*VLOOKUP(Y607,[1]Datos!$A$2:$D$14,2)</f>
        <v>5.68</v>
      </c>
      <c r="AA607" s="8">
        <v>0.3</v>
      </c>
      <c r="AB607" s="7">
        <f>IF(D607=0,0.9,0.5)*0.9*0.53*SQRT(W607)*G607*MAX(0.72*G607,0.9*((G607/2)+((G607-0.11)/PI())))*10</f>
        <v>115.05235319041492</v>
      </c>
      <c r="AC607" s="7">
        <f>0.9*Z607*4220*MAX(0.72*G607,0.9*((G607/2)+((G607-0.11)/PI())))/AA607/1000</f>
        <v>103.65258858608567</v>
      </c>
      <c r="AD607" s="6" t="str">
        <f>+IF(AC607&gt;K607-AB607,"Cumple","No Cumple")</f>
        <v>Cumple</v>
      </c>
      <c r="AE607" s="6"/>
      <c r="AH607" s="3"/>
    </row>
    <row r="608" spans="1:43" x14ac:dyDescent="0.3">
      <c r="A608" s="13"/>
      <c r="B608" s="1">
        <v>35</v>
      </c>
      <c r="C608" s="1">
        <v>312</v>
      </c>
      <c r="D608" s="1">
        <v>1</v>
      </c>
      <c r="E608" s="5">
        <v>1</v>
      </c>
      <c r="F608" s="3">
        <f>F607+E608</f>
        <v>35</v>
      </c>
      <c r="G608" s="5">
        <v>2</v>
      </c>
      <c r="H608" s="3">
        <f>PI()*(G608^2)/4</f>
        <v>3.1415926535897931</v>
      </c>
      <c r="I608" s="4">
        <v>4.3081000000000001E-2</v>
      </c>
      <c r="K608" s="3">
        <v>204.9672568496002</v>
      </c>
      <c r="L608" s="3">
        <v>765.16003000000001</v>
      </c>
      <c r="M608" s="3">
        <v>965.73397999999997</v>
      </c>
      <c r="N608" s="12">
        <f>I608/H608</f>
        <v>1.3713108206683887E-2</v>
      </c>
      <c r="O608" s="11">
        <f>I608*10000</f>
        <v>430.81</v>
      </c>
      <c r="P608" s="1">
        <v>10</v>
      </c>
      <c r="Q608" s="19">
        <v>2</v>
      </c>
      <c r="R608" s="3">
        <f>Q608*VLOOKUP(P608,[1]Datos!$A$2:$D$14,2)</f>
        <v>16.38</v>
      </c>
      <c r="S608" s="10">
        <f>ROUNDUP(O608/R608,0)</f>
        <v>27</v>
      </c>
      <c r="T608" s="18">
        <v>42</v>
      </c>
      <c r="U608" s="3">
        <f>ROUNDDOWN(PI()*(G608-0.185)/T608,2)</f>
        <v>0.13</v>
      </c>
      <c r="V608" s="3"/>
      <c r="W608" s="1">
        <v>280</v>
      </c>
      <c r="X608" s="9">
        <v>2</v>
      </c>
      <c r="Y608" s="1">
        <v>6</v>
      </c>
      <c r="Z608" s="3">
        <f>X608*VLOOKUP(Y608,[1]Datos!$A$2:$D$14,2)</f>
        <v>5.68</v>
      </c>
      <c r="AA608" s="8">
        <v>0.3</v>
      </c>
      <c r="AB608" s="7">
        <f>IF(D608=0,0.9,0.5)*0.9*0.53*SQRT(W608)*G608*MAX(0.72*G608,0.9*((G608/2)+((G608-0.11)/PI())))*10</f>
        <v>115.05235319041492</v>
      </c>
      <c r="AC608" s="7">
        <f>0.9*Z608*4220*MAX(0.72*G608,0.9*((G608/2)+((G608-0.11)/PI())))/AA608/1000</f>
        <v>103.65258858608567</v>
      </c>
      <c r="AD608" s="6" t="str">
        <f>+IF(AC608&gt;K608-AB608,"Cumple","No Cumple")</f>
        <v>Cumple</v>
      </c>
      <c r="AE608" s="6"/>
      <c r="AH608" s="3"/>
    </row>
    <row r="609" spans="1:43" x14ac:dyDescent="0.3">
      <c r="A609" s="13"/>
      <c r="B609" s="1">
        <v>36</v>
      </c>
      <c r="C609" s="1">
        <v>314</v>
      </c>
      <c r="D609" s="1">
        <v>1</v>
      </c>
      <c r="E609" s="5">
        <v>1</v>
      </c>
      <c r="F609" s="3">
        <f>F608+E609</f>
        <v>36</v>
      </c>
      <c r="G609" s="5">
        <v>2</v>
      </c>
      <c r="H609" s="3">
        <f>PI()*(G609^2)/4</f>
        <v>3.1415926535897931</v>
      </c>
      <c r="I609" s="4">
        <v>3.4625000000000003E-2</v>
      </c>
      <c r="K609" s="3">
        <v>188.97863878676873</v>
      </c>
      <c r="L609" s="3">
        <v>621.11568999999997</v>
      </c>
      <c r="M609" s="3">
        <v>773.40458999999998</v>
      </c>
      <c r="N609" s="12">
        <f>I609/H609</f>
        <v>1.1021479809113754E-2</v>
      </c>
      <c r="O609" s="11">
        <f>I609*10000</f>
        <v>346.25000000000006</v>
      </c>
      <c r="P609" s="1">
        <v>10</v>
      </c>
      <c r="Q609" s="19">
        <v>2</v>
      </c>
      <c r="R609" s="3">
        <f>Q609*VLOOKUP(P609,[1]Datos!$A$2:$D$14,2)</f>
        <v>16.38</v>
      </c>
      <c r="S609" s="10">
        <f>ROUNDUP(O609/R609,0)</f>
        <v>22</v>
      </c>
      <c r="T609" s="18">
        <v>42</v>
      </c>
      <c r="U609" s="3">
        <f>ROUNDDOWN(PI()*(G609-0.185)/T609,2)</f>
        <v>0.13</v>
      </c>
      <c r="V609" s="3"/>
      <c r="W609" s="1">
        <v>280</v>
      </c>
      <c r="X609" s="9">
        <v>2</v>
      </c>
      <c r="Y609" s="1">
        <v>6</v>
      </c>
      <c r="Z609" s="3">
        <f>X609*VLOOKUP(Y609,[1]Datos!$A$2:$D$14,2)</f>
        <v>5.68</v>
      </c>
      <c r="AA609" s="8">
        <v>0.3</v>
      </c>
      <c r="AB609" s="7">
        <f>IF(D609=0,0.9,0.5)*0.9*0.53*SQRT(W609)*G609*MAX(0.72*G609,0.9*((G609/2)+((G609-0.11)/PI())))*10</f>
        <v>115.05235319041492</v>
      </c>
      <c r="AC609" s="7">
        <f>0.9*Z609*4220*MAX(0.72*G609,0.9*((G609/2)+((G609-0.11)/PI())))/AA609/1000</f>
        <v>103.65258858608567</v>
      </c>
      <c r="AD609" s="6" t="str">
        <f>+IF(AC609&gt;K609-AB609,"Cumple","No Cumple")</f>
        <v>Cumple</v>
      </c>
      <c r="AE609" s="6"/>
      <c r="AH609" s="3"/>
    </row>
    <row r="610" spans="1:43" x14ac:dyDescent="0.3">
      <c r="A610" s="13"/>
      <c r="B610" s="1">
        <v>37</v>
      </c>
      <c r="C610" s="1">
        <v>316</v>
      </c>
      <c r="D610" s="1">
        <v>1</v>
      </c>
      <c r="E610" s="5">
        <v>1</v>
      </c>
      <c r="F610" s="3">
        <f>F609+E610</f>
        <v>37</v>
      </c>
      <c r="G610" s="5">
        <v>2</v>
      </c>
      <c r="H610" s="3">
        <f>PI()*(G610^2)/4</f>
        <v>3.1415926535897931</v>
      </c>
      <c r="I610" s="4">
        <v>3.1415999999999999E-2</v>
      </c>
      <c r="K610" s="3">
        <v>167.6084493303664</v>
      </c>
      <c r="L610" s="3">
        <v>484.14580999999998</v>
      </c>
      <c r="M610" s="3">
        <v>593.63382000000001</v>
      </c>
      <c r="N610" s="12">
        <f>I610/H610</f>
        <v>1.0000023384349969E-2</v>
      </c>
      <c r="O610" s="11">
        <f>I610*10000</f>
        <v>314.15999999999997</v>
      </c>
      <c r="P610" s="1">
        <v>10</v>
      </c>
      <c r="Q610" s="1">
        <v>1</v>
      </c>
      <c r="R610" s="3">
        <f>Q610*VLOOKUP(P610,[1]Datos!$A$2:$D$14,2)</f>
        <v>8.19</v>
      </c>
      <c r="S610" s="10">
        <f>ROUNDUP(O610/R610,0)</f>
        <v>39</v>
      </c>
      <c r="T610" s="2">
        <v>39</v>
      </c>
      <c r="U610" s="3">
        <f>ROUNDDOWN(PI()*(G610-0.185)/T610,2)</f>
        <v>0.14000000000000001</v>
      </c>
      <c r="V610" s="3"/>
      <c r="W610" s="1">
        <v>280</v>
      </c>
      <c r="X610" s="9">
        <v>2</v>
      </c>
      <c r="Y610" s="1">
        <v>6</v>
      </c>
      <c r="Z610" s="3">
        <f>X610*VLOOKUP(Y610,[1]Datos!$A$2:$D$14,2)</f>
        <v>5.68</v>
      </c>
      <c r="AA610" s="8">
        <v>0.3</v>
      </c>
      <c r="AB610" s="7">
        <f>IF(D610=0,0.9,0.5)*0.9*0.53*SQRT(W610)*G610*MAX(0.72*G610,0.9*((G610/2)+((G610-0.11)/PI())))*10</f>
        <v>115.05235319041492</v>
      </c>
      <c r="AC610" s="7">
        <f>0.9*Z610*4220*MAX(0.72*G610,0.9*((G610/2)+((G610-0.11)/PI())))/AA610/1000</f>
        <v>103.65258858608567</v>
      </c>
      <c r="AD610" s="6" t="str">
        <f>+IF(AC610&gt;K610-AB610,"Cumple","No Cumple")</f>
        <v>Cumple</v>
      </c>
      <c r="AE610" s="6"/>
      <c r="AH610" s="3"/>
    </row>
    <row r="611" spans="1:43" x14ac:dyDescent="0.3">
      <c r="A611" s="13"/>
      <c r="B611" s="1">
        <v>38</v>
      </c>
      <c r="C611" s="1">
        <v>318</v>
      </c>
      <c r="D611" s="1">
        <v>1</v>
      </c>
      <c r="E611" s="5">
        <v>1</v>
      </c>
      <c r="F611" s="3">
        <f>F610+E611</f>
        <v>38</v>
      </c>
      <c r="G611" s="5">
        <v>2</v>
      </c>
      <c r="H611" s="3">
        <f>PI()*(G611^2)/4</f>
        <v>3.1415926535897931</v>
      </c>
      <c r="I611" s="4">
        <v>3.1415999999999999E-2</v>
      </c>
      <c r="K611" s="3">
        <v>142.96537352645919</v>
      </c>
      <c r="L611" s="3">
        <v>360.10658999999998</v>
      </c>
      <c r="M611" s="3">
        <v>433.28194999999999</v>
      </c>
      <c r="N611" s="12">
        <f>I611/H611</f>
        <v>1.0000023384349969E-2</v>
      </c>
      <c r="O611" s="11">
        <f>I611*10000</f>
        <v>314.15999999999997</v>
      </c>
      <c r="P611" s="1">
        <v>10</v>
      </c>
      <c r="Q611" s="1">
        <v>1</v>
      </c>
      <c r="R611" s="3">
        <f>Q611*VLOOKUP(P611,[1]Datos!$A$2:$D$14,2)</f>
        <v>8.19</v>
      </c>
      <c r="S611" s="10">
        <f>ROUNDUP(O611/R611,0)</f>
        <v>39</v>
      </c>
      <c r="T611" s="2">
        <v>39</v>
      </c>
      <c r="U611" s="3">
        <f>ROUNDDOWN(PI()*(G611-0.185)/T611,2)</f>
        <v>0.14000000000000001</v>
      </c>
      <c r="V611" s="3"/>
      <c r="W611" s="1">
        <v>280</v>
      </c>
      <c r="X611" s="9">
        <v>2</v>
      </c>
      <c r="Y611" s="1">
        <v>4</v>
      </c>
      <c r="Z611" s="3">
        <f>X611*VLOOKUP(Y611,[1]Datos!$A$2:$D$14,2)</f>
        <v>2.58</v>
      </c>
      <c r="AA611" s="8">
        <v>0.3</v>
      </c>
      <c r="AB611" s="7">
        <f>IF(D611=0,0.9,0.5)*0.9*0.53*SQRT(W611)*G611*MAX(0.72*G611,0.9*((G611/2)+((G611-0.11)/PI())))*10</f>
        <v>115.05235319041492</v>
      </c>
      <c r="AC611" s="7">
        <f>0.9*Z611*4220*MAX(0.72*G611,0.9*((G611/2)+((G611-0.11)/PI())))/AA611/1000</f>
        <v>47.081633547905106</v>
      </c>
      <c r="AD611" s="6" t="str">
        <f>+IF(AC611&gt;K611-AB611,"Cumple","No Cumple")</f>
        <v>Cumple</v>
      </c>
      <c r="AE611" s="6"/>
      <c r="AH611" s="3"/>
    </row>
    <row r="612" spans="1:43" x14ac:dyDescent="0.3">
      <c r="A612" s="13"/>
      <c r="B612" s="1">
        <v>39</v>
      </c>
      <c r="C612" s="1">
        <v>320</v>
      </c>
      <c r="D612" s="1">
        <v>1</v>
      </c>
      <c r="E612" s="5">
        <v>1</v>
      </c>
      <c r="F612" s="3">
        <f>F611+E612</f>
        <v>39</v>
      </c>
      <c r="G612" s="5">
        <v>2</v>
      </c>
      <c r="H612" s="3">
        <f>PI()*(G612^2)/4</f>
        <v>3.1415926535897931</v>
      </c>
      <c r="I612" s="4">
        <v>3.1415999999999999E-2</v>
      </c>
      <c r="K612" s="3">
        <v>116.21564083741052</v>
      </c>
      <c r="L612" s="3">
        <v>252.93735000000001</v>
      </c>
      <c r="M612" s="3">
        <v>296.74988000000002</v>
      </c>
      <c r="N612" s="12">
        <f>I612/H612</f>
        <v>1.0000023384349969E-2</v>
      </c>
      <c r="O612" s="11">
        <f>I612*10000</f>
        <v>314.15999999999997</v>
      </c>
      <c r="P612" s="1">
        <v>10</v>
      </c>
      <c r="Q612" s="1">
        <v>1</v>
      </c>
      <c r="R612" s="3">
        <f>Q612*VLOOKUP(P612,[1]Datos!$A$2:$D$14,2)</f>
        <v>8.19</v>
      </c>
      <c r="S612" s="10">
        <f>ROUNDUP(O612/R612,0)</f>
        <v>39</v>
      </c>
      <c r="T612" s="2">
        <v>39</v>
      </c>
      <c r="U612" s="3">
        <f>ROUNDDOWN(PI()*(G612-0.185)/T612,2)</f>
        <v>0.14000000000000001</v>
      </c>
      <c r="V612" s="3"/>
      <c r="W612" s="1">
        <v>280</v>
      </c>
      <c r="X612" s="9">
        <v>2</v>
      </c>
      <c r="Y612" s="1">
        <v>4</v>
      </c>
      <c r="Z612" s="3">
        <f>X612*VLOOKUP(Y612,[1]Datos!$A$2:$D$14,2)</f>
        <v>2.58</v>
      </c>
      <c r="AA612" s="8">
        <v>0.3</v>
      </c>
      <c r="AB612" s="7">
        <f>IF(D612=0,0.9,0.5)*0.9*0.53*SQRT(W612)*G612*MAX(0.72*G612,0.9*((G612/2)+((G612-0.11)/PI())))*10</f>
        <v>115.05235319041492</v>
      </c>
      <c r="AC612" s="7">
        <f>0.9*Z612*4220*MAX(0.72*G612,0.9*((G612/2)+((G612-0.11)/PI())))/AA612/1000</f>
        <v>47.081633547905106</v>
      </c>
      <c r="AD612" s="6" t="str">
        <f>+IF(AC612&gt;K612-AB612,"Cumple","No Cumple")</f>
        <v>Cumple</v>
      </c>
      <c r="AE612" s="6"/>
      <c r="AH612" s="3"/>
    </row>
    <row r="613" spans="1:43" x14ac:dyDescent="0.3">
      <c r="A613" s="13"/>
      <c r="B613" s="1">
        <v>40</v>
      </c>
      <c r="C613" s="1">
        <v>322</v>
      </c>
      <c r="D613" s="1">
        <v>1</v>
      </c>
      <c r="E613" s="5">
        <v>1</v>
      </c>
      <c r="F613" s="3">
        <f>F612+E613</f>
        <v>40</v>
      </c>
      <c r="G613" s="5">
        <v>2</v>
      </c>
      <c r="H613" s="3">
        <f>PI()*(G613^2)/4</f>
        <v>3.1415926535897931</v>
      </c>
      <c r="I613" s="4">
        <v>3.1415999999999999E-2</v>
      </c>
      <c r="K613" s="3">
        <v>89.413286499993944</v>
      </c>
      <c r="L613" s="3">
        <v>164.78488999999999</v>
      </c>
      <c r="M613" s="3">
        <v>186.22519</v>
      </c>
      <c r="N613" s="12">
        <f>I613/H613</f>
        <v>1.0000023384349969E-2</v>
      </c>
      <c r="O613" s="11">
        <f>I613*10000</f>
        <v>314.15999999999997</v>
      </c>
      <c r="P613" s="1">
        <v>10</v>
      </c>
      <c r="Q613" s="1">
        <v>1</v>
      </c>
      <c r="R613" s="3">
        <f>Q613*VLOOKUP(P613,[1]Datos!$A$2:$D$14,2)</f>
        <v>8.19</v>
      </c>
      <c r="S613" s="10">
        <f>ROUNDUP(O613/R613,0)</f>
        <v>39</v>
      </c>
      <c r="T613" s="2">
        <v>39</v>
      </c>
      <c r="U613" s="3">
        <f>ROUNDDOWN(PI()*(G613-0.185)/T613,2)</f>
        <v>0.14000000000000001</v>
      </c>
      <c r="V613" s="3"/>
      <c r="W613" s="1">
        <v>280</v>
      </c>
      <c r="X613" s="9">
        <v>2</v>
      </c>
      <c r="Y613" s="1">
        <v>4</v>
      </c>
      <c r="Z613" s="3">
        <f>X613*VLOOKUP(Y613,[1]Datos!$A$2:$D$14,2)</f>
        <v>2.58</v>
      </c>
      <c r="AA613" s="8">
        <v>0.3</v>
      </c>
      <c r="AB613" s="7">
        <f>IF(D613=0,0.9,0.5)*0.9*0.53*SQRT(W613)*G613*MAX(0.72*G613,0.9*((G613/2)+((G613-0.11)/PI())))*10</f>
        <v>115.05235319041492</v>
      </c>
      <c r="AC613" s="7">
        <f>0.9*Z613*4220*MAX(0.72*G613,0.9*((G613/2)+((G613-0.11)/PI())))/AA613/1000</f>
        <v>47.081633547905106</v>
      </c>
      <c r="AD613" s="6" t="str">
        <f>+IF(AC613&gt;K613-AB613,"Cumple","No Cumple")</f>
        <v>Cumple</v>
      </c>
      <c r="AE613" s="6"/>
      <c r="AH613" s="3"/>
    </row>
    <row r="614" spans="1:43" x14ac:dyDescent="0.3">
      <c r="A614" s="13"/>
      <c r="B614" s="1">
        <v>41</v>
      </c>
      <c r="C614" s="1">
        <v>324</v>
      </c>
      <c r="D614" s="1">
        <v>1</v>
      </c>
      <c r="E614" s="5">
        <v>1</v>
      </c>
      <c r="F614" s="3">
        <f>F613+E614</f>
        <v>41</v>
      </c>
      <c r="G614" s="5">
        <v>2</v>
      </c>
      <c r="H614" s="3">
        <f>PI()*(G614^2)/4</f>
        <v>3.1415926535897931</v>
      </c>
      <c r="I614" s="4">
        <v>3.1415999999999999E-2</v>
      </c>
      <c r="K614" s="3">
        <v>64.19020151526243</v>
      </c>
      <c r="L614" s="3">
        <v>96.458849999999998</v>
      </c>
      <c r="M614" s="3">
        <v>102.29723</v>
      </c>
      <c r="N614" s="12">
        <f>I614/H614</f>
        <v>1.0000023384349969E-2</v>
      </c>
      <c r="O614" s="11">
        <f>I614*10000</f>
        <v>314.15999999999997</v>
      </c>
      <c r="P614" s="1">
        <v>10</v>
      </c>
      <c r="Q614" s="19">
        <v>1</v>
      </c>
      <c r="R614" s="3">
        <f>Q614*VLOOKUP(P614,[1]Datos!$A$2:$D$14,2)</f>
        <v>8.19</v>
      </c>
      <c r="S614" s="10">
        <f>ROUNDUP(O614/R614,0)</f>
        <v>39</v>
      </c>
      <c r="T614" s="18">
        <v>39</v>
      </c>
      <c r="U614" s="3">
        <f>ROUNDDOWN(PI()*(G614-0.185)/T614,2)</f>
        <v>0.14000000000000001</v>
      </c>
      <c r="V614" s="3"/>
      <c r="W614" s="1">
        <v>280</v>
      </c>
      <c r="X614" s="9">
        <v>2</v>
      </c>
      <c r="Y614" s="1">
        <v>4</v>
      </c>
      <c r="Z614" s="3">
        <f>X614*VLOOKUP(Y614,[1]Datos!$A$2:$D$14,2)</f>
        <v>2.58</v>
      </c>
      <c r="AA614" s="8">
        <v>0.3</v>
      </c>
      <c r="AB614" s="7">
        <f>IF(D614=0,0.9,0.5)*0.9*0.53*SQRT(W614)*G614*MAX(0.72*G614,0.9*((G614/2)+((G614-0.11)/PI())))*10</f>
        <v>115.05235319041492</v>
      </c>
      <c r="AC614" s="7">
        <f>0.9*Z614*4220*MAX(0.72*G614,0.9*((G614/2)+((G614-0.11)/PI())))/AA614/1000</f>
        <v>47.081633547905106</v>
      </c>
      <c r="AD614" s="6" t="str">
        <f>+IF(AC614&gt;K614-AB614,"Cumple","No Cumple")</f>
        <v>Cumple</v>
      </c>
      <c r="AE614" s="6"/>
      <c r="AH614" s="3"/>
    </row>
    <row r="615" spans="1:43" x14ac:dyDescent="0.3">
      <c r="A615" s="13"/>
      <c r="B615" s="1">
        <v>42</v>
      </c>
      <c r="C615" s="1">
        <v>326</v>
      </c>
      <c r="D615" s="1">
        <v>1</v>
      </c>
      <c r="E615" s="5">
        <v>1</v>
      </c>
      <c r="F615" s="3">
        <f>F614+E615</f>
        <v>42</v>
      </c>
      <c r="G615" s="5">
        <v>2</v>
      </c>
      <c r="H615" s="3">
        <f>PI()*(G615^2)/4</f>
        <v>3.1415926535897931</v>
      </c>
      <c r="I615" s="4">
        <v>3.1415999999999999E-2</v>
      </c>
      <c r="K615" s="3">
        <v>41.754704097263101</v>
      </c>
      <c r="L615" s="3">
        <v>47.597639999999998</v>
      </c>
      <c r="M615" s="3">
        <v>46.50864</v>
      </c>
      <c r="N615" s="12">
        <f>I615/H615</f>
        <v>1.0000023384349969E-2</v>
      </c>
      <c r="O615" s="11">
        <f>I615*10000</f>
        <v>314.15999999999997</v>
      </c>
      <c r="P615" s="1">
        <v>10</v>
      </c>
      <c r="Q615" s="19">
        <v>1</v>
      </c>
      <c r="R615" s="3">
        <f>Q615*VLOOKUP(P615,[1]Datos!$A$2:$D$14,2)</f>
        <v>8.19</v>
      </c>
      <c r="S615" s="10">
        <f>ROUNDUP(O615/R615,0)</f>
        <v>39</v>
      </c>
      <c r="T615" s="18">
        <v>39</v>
      </c>
      <c r="U615" s="3">
        <f>ROUNDDOWN(PI()*(G615-0.185)/T615,2)</f>
        <v>0.14000000000000001</v>
      </c>
      <c r="V615" s="3"/>
      <c r="W615" s="1">
        <v>280</v>
      </c>
      <c r="X615" s="9">
        <v>2</v>
      </c>
      <c r="Y615" s="1">
        <v>4</v>
      </c>
      <c r="Z615" s="3">
        <f>X615*VLOOKUP(Y615,[1]Datos!$A$2:$D$14,2)</f>
        <v>2.58</v>
      </c>
      <c r="AA615" s="8">
        <v>0.3</v>
      </c>
      <c r="AB615" s="7">
        <f>IF(D615=0,0.9,0.5)*0.9*0.53*SQRT(W615)*G615*MAX(0.72*G615,0.9*((G615/2)+((G615-0.11)/PI())))*10</f>
        <v>115.05235319041492</v>
      </c>
      <c r="AC615" s="7">
        <f>0.9*Z615*4220*MAX(0.72*G615,0.9*((G615/2)+((G615-0.11)/PI())))/AA615/1000</f>
        <v>47.081633547905106</v>
      </c>
      <c r="AD615" s="6" t="str">
        <f>+IF(AC615&gt;K615-AB615,"Cumple","No Cumple")</f>
        <v>Cumple</v>
      </c>
      <c r="AE615" s="6"/>
      <c r="AH615" s="3"/>
    </row>
    <row r="616" spans="1:43" x14ac:dyDescent="0.3">
      <c r="A616" s="13"/>
      <c r="B616" s="1">
        <v>43</v>
      </c>
      <c r="C616" s="1">
        <v>328</v>
      </c>
      <c r="D616" s="1">
        <v>1</v>
      </c>
      <c r="E616" s="5">
        <v>1</v>
      </c>
      <c r="F616" s="3">
        <f>F615+E616</f>
        <v>43</v>
      </c>
      <c r="G616" s="5">
        <v>2</v>
      </c>
      <c r="H616" s="3">
        <f>PI()*(G616^2)/4</f>
        <v>3.1415926535897931</v>
      </c>
      <c r="I616" s="4">
        <v>3.1415999999999999E-2</v>
      </c>
      <c r="K616" s="3">
        <v>23.2952269053126</v>
      </c>
      <c r="L616" s="3">
        <v>19.15521</v>
      </c>
      <c r="M616" s="3">
        <v>37.919429999999998</v>
      </c>
      <c r="N616" s="12">
        <f>I616/H616</f>
        <v>1.0000023384349969E-2</v>
      </c>
      <c r="O616" s="11">
        <f>I616*10000</f>
        <v>314.15999999999997</v>
      </c>
      <c r="P616" s="1">
        <v>10</v>
      </c>
      <c r="Q616" s="19">
        <v>1</v>
      </c>
      <c r="R616" s="3">
        <f>Q616*VLOOKUP(P616,[1]Datos!$A$2:$D$14,2)</f>
        <v>8.19</v>
      </c>
      <c r="S616" s="10">
        <f>ROUNDUP(O616/R616,0)</f>
        <v>39</v>
      </c>
      <c r="T616" s="18">
        <v>39</v>
      </c>
      <c r="U616" s="3">
        <f>ROUNDDOWN(PI()*(G616-0.185)/T616,2)</f>
        <v>0.14000000000000001</v>
      </c>
      <c r="V616" s="3"/>
      <c r="W616" s="1">
        <v>280</v>
      </c>
      <c r="X616" s="9">
        <v>2</v>
      </c>
      <c r="Y616" s="1">
        <v>4</v>
      </c>
      <c r="Z616" s="3">
        <f>X616*VLOOKUP(Y616,[1]Datos!$A$2:$D$14,2)</f>
        <v>2.58</v>
      </c>
      <c r="AA616" s="8">
        <v>0.3</v>
      </c>
      <c r="AB616" s="7">
        <f>IF(D616=0,0.9,0.5)*0.9*0.53*SQRT(W616)*G616*MAX(0.72*G616,0.9*((G616/2)+((G616-0.11)/PI())))*10</f>
        <v>115.05235319041492</v>
      </c>
      <c r="AC616" s="7">
        <f>0.9*Z616*4220*MAX(0.72*G616,0.9*((G616/2)+((G616-0.11)/PI())))/AA616/1000</f>
        <v>47.081633547905106</v>
      </c>
      <c r="AD616" s="6" t="str">
        <f>+IF(AC616&gt;K616-AB616,"Cumple","No Cumple")</f>
        <v>Cumple</v>
      </c>
      <c r="AE616" s="6"/>
      <c r="AH616" s="3"/>
    </row>
    <row r="617" spans="1:43" x14ac:dyDescent="0.3">
      <c r="A617" s="13"/>
      <c r="B617" s="1">
        <v>44</v>
      </c>
      <c r="C617" s="1">
        <v>330</v>
      </c>
      <c r="D617" s="1">
        <v>1</v>
      </c>
      <c r="E617" s="5">
        <v>1</v>
      </c>
      <c r="F617" s="3">
        <f>F616+E617</f>
        <v>44</v>
      </c>
      <c r="G617" s="5">
        <v>2</v>
      </c>
      <c r="H617" s="3">
        <f>PI()*(G617^2)/4</f>
        <v>3.1415926535897931</v>
      </c>
      <c r="I617" s="4">
        <v>3.1415999999999999E-2</v>
      </c>
      <c r="K617" s="3">
        <v>10.259055755770119</v>
      </c>
      <c r="L617" s="3">
        <v>22.184069999999998</v>
      </c>
      <c r="M617" s="3">
        <v>39.03593</v>
      </c>
      <c r="N617" s="12">
        <f>I617/H617</f>
        <v>1.0000023384349969E-2</v>
      </c>
      <c r="O617" s="11">
        <f>I617*10000</f>
        <v>314.15999999999997</v>
      </c>
      <c r="P617" s="1">
        <v>10</v>
      </c>
      <c r="Q617" s="1">
        <v>1</v>
      </c>
      <c r="R617" s="3">
        <f>Q617*VLOOKUP(P617,[1]Datos!$A$2:$D$14,2)</f>
        <v>8.19</v>
      </c>
      <c r="S617" s="10">
        <f>ROUNDUP(O617/R617,0)</f>
        <v>39</v>
      </c>
      <c r="T617" s="2">
        <v>39</v>
      </c>
      <c r="U617" s="3">
        <f>ROUNDDOWN(PI()*(G617-0.185)/T617,2)</f>
        <v>0.14000000000000001</v>
      </c>
      <c r="V617" s="3"/>
      <c r="W617" s="1">
        <v>280</v>
      </c>
      <c r="X617" s="9">
        <v>2</v>
      </c>
      <c r="Y617" s="1">
        <v>4</v>
      </c>
      <c r="Z617" s="3">
        <f>X617*VLOOKUP(Y617,[1]Datos!$A$2:$D$14,2)</f>
        <v>2.58</v>
      </c>
      <c r="AA617" s="8">
        <v>0.3</v>
      </c>
      <c r="AB617" s="7">
        <f>IF(D617=0,0.9,0.5)*0.9*0.53*SQRT(W617)*G617*MAX(0.72*G617,0.9*((G617/2)+((G617-0.11)/PI())))*10</f>
        <v>115.05235319041492</v>
      </c>
      <c r="AC617" s="7">
        <f>0.9*Z617*4220*MAX(0.72*G617,0.9*((G617/2)+((G617-0.11)/PI())))/AA617/1000</f>
        <v>47.081633547905106</v>
      </c>
      <c r="AD617" s="6" t="str">
        <f>+IF(AC617&gt;K617-AB617,"Cumple","No Cumple")</f>
        <v>Cumple</v>
      </c>
      <c r="AE617" s="6"/>
      <c r="AH617" s="3"/>
    </row>
    <row r="618" spans="1:43" x14ac:dyDescent="0.3">
      <c r="A618" s="13"/>
      <c r="B618" s="1">
        <v>45</v>
      </c>
      <c r="C618" s="1">
        <v>332</v>
      </c>
      <c r="D618" s="1">
        <v>1</v>
      </c>
      <c r="E618" s="5">
        <v>1</v>
      </c>
      <c r="F618" s="3">
        <f>F617+E618</f>
        <v>45</v>
      </c>
      <c r="G618" s="5">
        <v>2</v>
      </c>
      <c r="H618" s="3">
        <f>PI()*(G618^2)/4</f>
        <v>3.1415926535897931</v>
      </c>
      <c r="I618" s="4">
        <v>3.1415999999999999E-2</v>
      </c>
      <c r="K618" s="3">
        <v>7.93730957251889</v>
      </c>
      <c r="L618" s="3">
        <v>22.184069999999998</v>
      </c>
      <c r="M618" s="3">
        <v>39.03593</v>
      </c>
      <c r="N618" s="12">
        <f>I618/H618</f>
        <v>1.0000023384349969E-2</v>
      </c>
      <c r="O618" s="11">
        <f>I618*10000</f>
        <v>314.15999999999997</v>
      </c>
      <c r="P618" s="1">
        <v>10</v>
      </c>
      <c r="Q618" s="1">
        <v>1</v>
      </c>
      <c r="R618" s="3">
        <f>Q618*VLOOKUP(P618,[1]Datos!$A$2:$D$14,2)</f>
        <v>8.19</v>
      </c>
      <c r="S618" s="10">
        <f>ROUNDUP(O618/R618,0)</f>
        <v>39</v>
      </c>
      <c r="T618" s="2">
        <v>39</v>
      </c>
      <c r="U618" s="3">
        <f>ROUNDDOWN(PI()*(G618-0.185)/T618,2)</f>
        <v>0.14000000000000001</v>
      </c>
      <c r="V618" s="3"/>
      <c r="W618" s="1">
        <v>280</v>
      </c>
      <c r="X618" s="9">
        <v>2</v>
      </c>
      <c r="Y618" s="1">
        <v>4</v>
      </c>
      <c r="Z618" s="3">
        <f>X618*VLOOKUP(Y618,[1]Datos!$A$2:$D$14,2)</f>
        <v>2.58</v>
      </c>
      <c r="AA618" s="8">
        <v>0.3</v>
      </c>
      <c r="AB618" s="7">
        <f>IF(D618=0,0.9,0.5)*0.9*0.53*SQRT(W618)*G618*MAX(0.72*G618,0.9*((G618/2)+((G618-0.11)/PI())))*10</f>
        <v>115.05235319041492</v>
      </c>
      <c r="AC618" s="7">
        <f>0.9*Z618*4220*MAX(0.72*G618,0.9*((G618/2)+((G618-0.11)/PI())))/AA618/1000</f>
        <v>47.081633547905106</v>
      </c>
      <c r="AD618" s="6" t="str">
        <f>+IF(AC618&gt;K618-AB618,"Cumple","No Cumple")</f>
        <v>Cumple</v>
      </c>
      <c r="AE618" s="6"/>
      <c r="AH618" s="3"/>
    </row>
    <row r="619" spans="1:43" x14ac:dyDescent="0.3">
      <c r="A619" s="13"/>
      <c r="B619" s="1">
        <v>46</v>
      </c>
      <c r="C619" s="1">
        <v>163</v>
      </c>
      <c r="D619" s="1">
        <v>1</v>
      </c>
      <c r="E619" s="5">
        <v>1</v>
      </c>
      <c r="F619" s="3">
        <f>F618+E619</f>
        <v>46</v>
      </c>
      <c r="G619" s="5">
        <v>2</v>
      </c>
      <c r="H619" s="3">
        <f>PI()*(G619^2)/4</f>
        <v>3.1415926535897931</v>
      </c>
      <c r="I619" s="4">
        <v>3.1415999999999999E-2</v>
      </c>
      <c r="K619" s="3">
        <v>11.944092073071104</v>
      </c>
      <c r="L619" s="3">
        <v>20.541589999999999</v>
      </c>
      <c r="M619" s="3">
        <v>32.711460000000002</v>
      </c>
      <c r="N619" s="12">
        <f>I619/H619</f>
        <v>1.0000023384349969E-2</v>
      </c>
      <c r="O619" s="11">
        <f>I619*10000</f>
        <v>314.15999999999997</v>
      </c>
      <c r="P619" s="1">
        <v>10</v>
      </c>
      <c r="Q619" s="1">
        <v>1</v>
      </c>
      <c r="R619" s="3">
        <f>Q619*VLOOKUP(P619,[1]Datos!$A$2:$D$14,2)</f>
        <v>8.19</v>
      </c>
      <c r="S619" s="10">
        <f>ROUNDUP(O619/R619,0)</f>
        <v>39</v>
      </c>
      <c r="T619" s="2">
        <v>39</v>
      </c>
      <c r="U619" s="3">
        <f>ROUNDDOWN(PI()*(G619-0.185)/T619,2)</f>
        <v>0.14000000000000001</v>
      </c>
      <c r="V619" s="3"/>
      <c r="W619" s="1">
        <v>280</v>
      </c>
      <c r="X619" s="9">
        <v>2</v>
      </c>
      <c r="Y619" s="1">
        <v>4</v>
      </c>
      <c r="Z619" s="3">
        <f>X619*VLOOKUP(Y619,[1]Datos!$A$2:$D$14,2)</f>
        <v>2.58</v>
      </c>
      <c r="AA619" s="8">
        <v>0.3</v>
      </c>
      <c r="AB619" s="7">
        <f>IF(D619=0,0.9,0.5)*0.9*0.53*SQRT(W619)*G619*MAX(0.72*G619,0.9*((G619/2)+((G619-0.11)/PI())))*10</f>
        <v>115.05235319041492</v>
      </c>
      <c r="AC619" s="7">
        <f>0.9*Z619*4220*MAX(0.72*G619,0.9*((G619/2)+((G619-0.11)/PI())))/AA619/1000</f>
        <v>47.081633547905106</v>
      </c>
      <c r="AD619" s="6" t="str">
        <f>+IF(AC619&gt;K619-AB619,"Cumple","No Cumple")</f>
        <v>Cumple</v>
      </c>
      <c r="AE619" s="6"/>
      <c r="AH619" s="3"/>
    </row>
    <row r="620" spans="1:43" x14ac:dyDescent="0.3">
      <c r="A620" s="13"/>
      <c r="B620" s="1">
        <v>47</v>
      </c>
      <c r="C620" s="1">
        <v>169</v>
      </c>
      <c r="D620" s="1">
        <v>1</v>
      </c>
      <c r="E620" s="5">
        <v>1</v>
      </c>
      <c r="F620" s="3">
        <f>F619+E620</f>
        <v>47</v>
      </c>
      <c r="G620" s="5">
        <v>2</v>
      </c>
      <c r="H620" s="3">
        <f>PI()*(G620^2)/4</f>
        <v>3.1415926535897931</v>
      </c>
      <c r="I620" s="4">
        <v>3.1415999999999999E-2</v>
      </c>
      <c r="K620" s="3">
        <v>12.965559540953102</v>
      </c>
      <c r="L620" s="3">
        <v>14.316649999999999</v>
      </c>
      <c r="M620" s="3">
        <v>21.345030000000001</v>
      </c>
      <c r="N620" s="12">
        <f>I620/H620</f>
        <v>1.0000023384349969E-2</v>
      </c>
      <c r="O620" s="11">
        <f>I620*10000</f>
        <v>314.15999999999997</v>
      </c>
      <c r="P620" s="1">
        <v>10</v>
      </c>
      <c r="Q620" s="1">
        <v>1</v>
      </c>
      <c r="R620" s="3">
        <f>Q620*VLOOKUP(P620,[1]Datos!$A$2:$D$14,2)</f>
        <v>8.19</v>
      </c>
      <c r="S620" s="10">
        <f>ROUNDUP(O620/R620,0)</f>
        <v>39</v>
      </c>
      <c r="T620" s="2">
        <v>39</v>
      </c>
      <c r="U620" s="3">
        <f>ROUNDDOWN(PI()*(G620-0.185)/T620,2)</f>
        <v>0.14000000000000001</v>
      </c>
      <c r="V620" s="3"/>
      <c r="W620" s="1">
        <v>280</v>
      </c>
      <c r="X620" s="9">
        <v>2</v>
      </c>
      <c r="Y620" s="1">
        <v>4</v>
      </c>
      <c r="Z620" s="3">
        <f>X620*VLOOKUP(Y620,[1]Datos!$A$2:$D$14,2)</f>
        <v>2.58</v>
      </c>
      <c r="AA620" s="8">
        <v>0.3</v>
      </c>
      <c r="AB620" s="7">
        <f>IF(D620=0,0.9,0.5)*0.9*0.53*SQRT(W620)*G620*MAX(0.72*G620,0.9*((G620/2)+((G620-0.11)/PI())))*10</f>
        <v>115.05235319041492</v>
      </c>
      <c r="AC620" s="7">
        <f>0.9*Z620*4220*MAX(0.72*G620,0.9*((G620/2)+((G620-0.11)/PI())))/AA620/1000</f>
        <v>47.081633547905106</v>
      </c>
      <c r="AD620" s="6" t="str">
        <f>+IF(AC620&gt;K620-AB620,"Cumple","No Cumple")</f>
        <v>Cumple</v>
      </c>
      <c r="AE620" s="6"/>
      <c r="AH620" s="3"/>
    </row>
    <row r="621" spans="1:43" x14ac:dyDescent="0.3">
      <c r="A621" s="13"/>
      <c r="B621" s="1">
        <v>48</v>
      </c>
      <c r="C621" s="1">
        <v>182</v>
      </c>
      <c r="D621" s="1">
        <v>1</v>
      </c>
      <c r="E621" s="5">
        <v>1</v>
      </c>
      <c r="F621" s="3">
        <f>F620+E621</f>
        <v>48</v>
      </c>
      <c r="G621" s="5">
        <v>2</v>
      </c>
      <c r="H621" s="3">
        <f>PI()*(G621^2)/4</f>
        <v>3.1415926535897931</v>
      </c>
      <c r="I621" s="4">
        <v>3.1415999999999999E-2</v>
      </c>
      <c r="K621" s="3">
        <v>9.6546641210349726</v>
      </c>
      <c r="L621" s="3">
        <v>6.4619499999999999</v>
      </c>
      <c r="M621" s="3">
        <v>9.0758899999999993</v>
      </c>
      <c r="N621" s="12">
        <f>I621/H621</f>
        <v>1.0000023384349969E-2</v>
      </c>
      <c r="O621" s="11">
        <f>I621*10000</f>
        <v>314.15999999999997</v>
      </c>
      <c r="P621" s="1">
        <v>10</v>
      </c>
      <c r="Q621" s="1">
        <v>1</v>
      </c>
      <c r="R621" s="3">
        <f>Q621*VLOOKUP(P621,[1]Datos!$A$2:$D$14,2)</f>
        <v>8.19</v>
      </c>
      <c r="S621" s="10">
        <f>ROUNDUP(O621/R621,0)</f>
        <v>39</v>
      </c>
      <c r="T621" s="2">
        <v>39</v>
      </c>
      <c r="U621" s="3">
        <f>ROUNDDOWN(PI()*(G621-0.185)/T621,2)</f>
        <v>0.14000000000000001</v>
      </c>
      <c r="V621" s="3"/>
      <c r="W621" s="1">
        <v>280</v>
      </c>
      <c r="X621" s="9">
        <v>2</v>
      </c>
      <c r="Y621" s="1">
        <v>4</v>
      </c>
      <c r="Z621" s="3">
        <f>X621*VLOOKUP(Y621,[1]Datos!$A$2:$D$14,2)</f>
        <v>2.58</v>
      </c>
      <c r="AA621" s="8">
        <v>0.3</v>
      </c>
      <c r="AB621" s="7">
        <f>IF(D621=0,0.9,0.5)*0.9*0.53*SQRT(W621)*G621*MAX(0.72*G621,0.9*((G621/2)+((G621-0.11)/PI())))*10</f>
        <v>115.05235319041492</v>
      </c>
      <c r="AC621" s="7">
        <f>0.9*Z621*4220*MAX(0.72*G621,0.9*((G621/2)+((G621-0.11)/PI())))/AA621/1000</f>
        <v>47.081633547905106</v>
      </c>
      <c r="AD621" s="6" t="str">
        <f>+IF(AC621&gt;K621-AB621,"Cumple","No Cumple")</f>
        <v>Cumple</v>
      </c>
      <c r="AE621" s="6"/>
      <c r="AF621" s="5"/>
      <c r="AG621" s="7"/>
      <c r="AH621" s="3"/>
      <c r="AI621" s="7"/>
      <c r="AJ621" s="7"/>
      <c r="AL621" s="16"/>
      <c r="AM621" s="7"/>
      <c r="AN621" s="17"/>
      <c r="AO621" s="17"/>
      <c r="AP621" s="16"/>
      <c r="AQ621" s="6"/>
    </row>
    <row r="622" spans="1:43" x14ac:dyDescent="0.3">
      <c r="A622" s="13" t="s">
        <v>12</v>
      </c>
      <c r="B622" s="1">
        <v>1</v>
      </c>
      <c r="C622" s="1">
        <v>48</v>
      </c>
      <c r="D622" s="1">
        <v>0</v>
      </c>
      <c r="E622" s="5">
        <v>1</v>
      </c>
      <c r="F622" s="3">
        <f>E622</f>
        <v>1</v>
      </c>
      <c r="G622" s="5">
        <v>2</v>
      </c>
      <c r="H622" s="3">
        <f>PI()*(G622^2)/4</f>
        <v>3.1415926535897931</v>
      </c>
      <c r="I622" s="4">
        <v>5.0415000000000001E-2</v>
      </c>
      <c r="K622" s="3">
        <v>211.46743286749853</v>
      </c>
      <c r="L622" s="3">
        <v>1252.5212799999999</v>
      </c>
      <c r="M622" s="3">
        <v>2538.4594000000002</v>
      </c>
      <c r="N622" s="12">
        <f>I622/H622</f>
        <v>1.6047592911955809E-2</v>
      </c>
      <c r="O622" s="11">
        <f>I622*10000</f>
        <v>504.15000000000003</v>
      </c>
      <c r="P622" s="1">
        <v>10</v>
      </c>
      <c r="Q622" s="1">
        <v>1</v>
      </c>
      <c r="R622" s="3">
        <f>Q622*VLOOKUP(P622,[1]Datos!$A$2:$D$14,2)</f>
        <v>8.19</v>
      </c>
      <c r="S622" s="10">
        <f>ROUNDUP(O622/R622,0)</f>
        <v>62</v>
      </c>
      <c r="T622" s="2">
        <v>62</v>
      </c>
      <c r="U622" s="3">
        <f>ROUNDDOWN(PI()*(G622-0.185)/T622,2)</f>
        <v>0.09</v>
      </c>
      <c r="V622" s="3"/>
      <c r="W622" s="1">
        <v>280</v>
      </c>
      <c r="X622" s="9">
        <v>2</v>
      </c>
      <c r="Y622" s="1">
        <v>6</v>
      </c>
      <c r="Z622" s="3">
        <f>X622*VLOOKUP(Y622,[1]Datos!$A$2:$D$14,2)</f>
        <v>5.68</v>
      </c>
      <c r="AA622" s="8">
        <v>7.4999999999999997E-2</v>
      </c>
      <c r="AB622" s="7">
        <f>IF(D622=0,0.9,0.5)*0.9*0.53*SQRT(W622)*G622*MAX(0.72*G622,0.9*((G622/2)+((G622-0.11)/PI())))*10</f>
        <v>207.09423574274689</v>
      </c>
      <c r="AC622" s="7">
        <f>0.9*Z622*4220*MAX(0.72*G622,0.9*((G622/2)+((G622-0.11)/PI())))/AA622/1000</f>
        <v>414.61035434434268</v>
      </c>
      <c r="AD622" s="6" t="str">
        <f>+IF(AC622&gt;K622-AB622,"Cumple","No Cumple")</f>
        <v>Cumple</v>
      </c>
      <c r="AE622" s="6"/>
      <c r="AF622" s="5">
        <v>20</v>
      </c>
      <c r="AG622" s="7">
        <f>ROUNDUP(MAX(0.45,G622,AF622/6),0)</f>
        <v>4</v>
      </c>
      <c r="AH622" s="3">
        <f>PI()*(G622-0.15)^2/4</f>
        <v>2.6880252142277672</v>
      </c>
      <c r="AI622" s="7">
        <f>G622-0.15-VLOOKUP(Y622,[1]Datos!$A$2:$D$14,3)/100</f>
        <v>1.8309000000000002</v>
      </c>
      <c r="AJ622" s="7">
        <f>SQRT((PI()*AI622)^2+AA622^2)</f>
        <v>5.7524309339691264</v>
      </c>
      <c r="AK622" s="1">
        <v>0.12</v>
      </c>
      <c r="AL622" s="16">
        <f>MAX(0.45*(H622/AH622-1),AK622)*(W622/4220)</f>
        <v>7.9620853080568724E-3</v>
      </c>
      <c r="AM622" s="7">
        <f>AG622*(AJ622/AA622)</f>
        <v>306.79631647835345</v>
      </c>
      <c r="AN622" s="17">
        <f>AM622*Z622/X622/10000</f>
        <v>8.7130153879852373E-2</v>
      </c>
      <c r="AO622" s="17">
        <f>AH622*AG622</f>
        <v>10.752100856911069</v>
      </c>
      <c r="AP622" s="16">
        <f>AN622/AO622</f>
        <v>8.1035469290495175E-3</v>
      </c>
      <c r="AQ622" s="6" t="str">
        <f>+IF(AP622&gt;AL622,"Cumple","No Cumple")</f>
        <v>Cumple</v>
      </c>
    </row>
    <row r="623" spans="1:43" x14ac:dyDescent="0.3">
      <c r="A623" s="13"/>
      <c r="B623" s="1">
        <v>2</v>
      </c>
      <c r="C623" s="1">
        <v>50</v>
      </c>
      <c r="D623" s="1">
        <v>0</v>
      </c>
      <c r="E623" s="5">
        <v>1</v>
      </c>
      <c r="F623" s="3">
        <f>F622+E623</f>
        <v>2</v>
      </c>
      <c r="G623" s="5">
        <v>2</v>
      </c>
      <c r="H623" s="3">
        <f>PI()*(G623^2)/4</f>
        <v>3.1415926535897931</v>
      </c>
      <c r="I623" s="4">
        <v>4.7455999999999998E-2</v>
      </c>
      <c r="K623" s="3">
        <v>211.46827394335065</v>
      </c>
      <c r="L623" s="3">
        <v>1162.08996</v>
      </c>
      <c r="M623" s="3">
        <v>2418.4588899999999</v>
      </c>
      <c r="N623" s="12">
        <f>I623/H623</f>
        <v>1.5105713958737971E-2</v>
      </c>
      <c r="O623" s="11">
        <f>I623*10000</f>
        <v>474.56</v>
      </c>
      <c r="P623" s="1">
        <v>10</v>
      </c>
      <c r="Q623" s="1">
        <v>1</v>
      </c>
      <c r="R623" s="3">
        <f>Q623*VLOOKUP(P623,[1]Datos!$A$2:$D$14,2)</f>
        <v>8.19</v>
      </c>
      <c r="S623" s="10">
        <f>ROUNDUP(O623/R623,0)</f>
        <v>58</v>
      </c>
      <c r="T623" s="2">
        <v>62</v>
      </c>
      <c r="U623" s="3">
        <f>ROUNDDOWN(PI()*(G623-0.185)/T623,2)</f>
        <v>0.09</v>
      </c>
      <c r="V623" s="3"/>
      <c r="W623" s="1">
        <v>280</v>
      </c>
      <c r="X623" s="9">
        <v>2</v>
      </c>
      <c r="Y623" s="1">
        <v>6</v>
      </c>
      <c r="Z623" s="3">
        <f>X623*VLOOKUP(Y623,[1]Datos!$A$2:$D$14,2)</f>
        <v>5.68</v>
      </c>
      <c r="AA623" s="8">
        <v>7.4999999999999997E-2</v>
      </c>
      <c r="AB623" s="7">
        <f>IF(D623=0,0.9,0.5)*0.9*0.53*SQRT(W623)*G623*MAX(0.72*G623,0.9*((G623/2)+((G623-0.11)/PI())))*10</f>
        <v>207.09423574274689</v>
      </c>
      <c r="AC623" s="7">
        <f>0.9*Z623*4220*MAX(0.72*G623,0.9*((G623/2)+((G623-0.11)/PI())))/AA623/1000</f>
        <v>414.61035434434268</v>
      </c>
      <c r="AD623" s="6" t="str">
        <f>+IF(AC623&gt;K623-AB623,"Cumple","No Cumple")</f>
        <v>Cumple</v>
      </c>
      <c r="AE623" s="6"/>
      <c r="AF623" s="5">
        <v>20</v>
      </c>
      <c r="AG623" s="7">
        <f>ROUNDUP(MAX(0.45,G623,AF623/6),0)</f>
        <v>4</v>
      </c>
      <c r="AH623" s="3">
        <f>PI()*(G623-0.15)^2/4</f>
        <v>2.6880252142277672</v>
      </c>
      <c r="AI623" s="7">
        <f>G623-0.15-VLOOKUP(Y623,[1]Datos!$A$2:$D$14,3)/100</f>
        <v>1.8309000000000002</v>
      </c>
      <c r="AJ623" s="7">
        <f>SQRT((PI()*AI623)^2+AA623^2)</f>
        <v>5.7524309339691264</v>
      </c>
      <c r="AK623" s="1">
        <v>0.12</v>
      </c>
      <c r="AL623" s="16">
        <f>MAX(0.45*(H623/AH623-1),AK623)*(W623/4220)</f>
        <v>7.9620853080568724E-3</v>
      </c>
      <c r="AM623" s="7">
        <f>AG623*(AJ623/AA623)</f>
        <v>306.79631647835345</v>
      </c>
      <c r="AN623" s="17">
        <f>AM623*Z623/X623/10000</f>
        <v>8.7130153879852373E-2</v>
      </c>
      <c r="AO623" s="17">
        <f>AH623*AG623</f>
        <v>10.752100856911069</v>
      </c>
      <c r="AP623" s="16">
        <f>AN623/AO623</f>
        <v>8.1035469290495175E-3</v>
      </c>
      <c r="AQ623" s="6" t="str">
        <f>+IF(AP623&gt;AL623,"Cumple","No Cumple")</f>
        <v>Cumple</v>
      </c>
    </row>
    <row r="624" spans="1:43" x14ac:dyDescent="0.3">
      <c r="A624" s="13"/>
      <c r="B624" s="1">
        <v>3</v>
      </c>
      <c r="C624" s="1">
        <v>52</v>
      </c>
      <c r="D624" s="1">
        <v>0</v>
      </c>
      <c r="E624" s="5">
        <v>1</v>
      </c>
      <c r="F624" s="3">
        <f>F623+E624</f>
        <v>3</v>
      </c>
      <c r="G624" s="5">
        <v>2</v>
      </c>
      <c r="H624" s="3">
        <f>PI()*(G624^2)/4</f>
        <v>3.1415926535897931</v>
      </c>
      <c r="I624" s="4">
        <v>4.3992000000000003E-2</v>
      </c>
      <c r="K624" s="3">
        <v>211.46911502517335</v>
      </c>
      <c r="L624" s="3">
        <v>1071.37573</v>
      </c>
      <c r="M624" s="3">
        <v>2297.92643</v>
      </c>
      <c r="N624" s="12">
        <f>I624/H624</f>
        <v>1.400308851299732E-2</v>
      </c>
      <c r="O624" s="11">
        <f>I624*10000</f>
        <v>439.92</v>
      </c>
      <c r="P624" s="1">
        <v>10</v>
      </c>
      <c r="Q624" s="1">
        <v>1</v>
      </c>
      <c r="R624" s="3">
        <f>Q624*VLOOKUP(P624,[1]Datos!$A$2:$D$14,2)</f>
        <v>8.19</v>
      </c>
      <c r="S624" s="10">
        <f>ROUNDUP(O624/R624,0)</f>
        <v>54</v>
      </c>
      <c r="T624" s="2">
        <v>62</v>
      </c>
      <c r="U624" s="3">
        <f>ROUNDDOWN(PI()*(G624-0.185)/T624,2)</f>
        <v>0.09</v>
      </c>
      <c r="V624" s="3"/>
      <c r="W624" s="1">
        <v>280</v>
      </c>
      <c r="X624" s="9">
        <v>2</v>
      </c>
      <c r="Y624" s="1">
        <v>6</v>
      </c>
      <c r="Z624" s="3">
        <f>X624*VLOOKUP(Y624,[1]Datos!$A$2:$D$14,2)</f>
        <v>5.68</v>
      </c>
      <c r="AA624" s="8">
        <v>7.4999999999999997E-2</v>
      </c>
      <c r="AB624" s="7">
        <f>IF(D624=0,0.9,0.5)*0.9*0.53*SQRT(W624)*G624*MAX(0.72*G624,0.9*((G624/2)+((G624-0.11)/PI())))*10</f>
        <v>207.09423574274689</v>
      </c>
      <c r="AC624" s="7">
        <f>0.9*Z624*4220*MAX(0.72*G624,0.9*((G624/2)+((G624-0.11)/PI())))/AA624/1000</f>
        <v>414.61035434434268</v>
      </c>
      <c r="AD624" s="6" t="str">
        <f>+IF(AC624&gt;K624-AB624,"Cumple","No Cumple")</f>
        <v>Cumple</v>
      </c>
      <c r="AE624" s="6"/>
      <c r="AF624" s="5">
        <v>20</v>
      </c>
      <c r="AG624" s="7">
        <f>ROUNDUP(MAX(0.45,G624,AF624/6),0)</f>
        <v>4</v>
      </c>
      <c r="AH624" s="3">
        <f>PI()*(G624-0.15)^2/4</f>
        <v>2.6880252142277672</v>
      </c>
      <c r="AI624" s="7">
        <f>G624-0.15-VLOOKUP(Y624,[1]Datos!$A$2:$D$14,3)/100</f>
        <v>1.8309000000000002</v>
      </c>
      <c r="AJ624" s="7">
        <f>SQRT((PI()*AI624)^2+AA624^2)</f>
        <v>5.7524309339691264</v>
      </c>
      <c r="AK624" s="1">
        <v>0.12</v>
      </c>
      <c r="AL624" s="16">
        <f>MAX(0.45*(H624/AH624-1),AK624)*(W624/4220)</f>
        <v>7.9620853080568724E-3</v>
      </c>
      <c r="AM624" s="7">
        <f>AG624*(AJ624/AA624)</f>
        <v>306.79631647835345</v>
      </c>
      <c r="AN624" s="17">
        <f>AM624*Z624/X624/10000</f>
        <v>8.7130153879852373E-2</v>
      </c>
      <c r="AO624" s="17">
        <f>AH624*AG624</f>
        <v>10.752100856911069</v>
      </c>
      <c r="AP624" s="16">
        <f>AN624/AO624</f>
        <v>8.1035469290495175E-3</v>
      </c>
      <c r="AQ624" s="6" t="str">
        <f>+IF(AP624&gt;AL624,"Cumple","No Cumple")</f>
        <v>Cumple</v>
      </c>
    </row>
    <row r="625" spans="1:43" x14ac:dyDescent="0.3">
      <c r="A625" s="13"/>
      <c r="B625" s="1">
        <v>4</v>
      </c>
      <c r="C625" s="1">
        <v>54</v>
      </c>
      <c r="D625" s="1">
        <v>0</v>
      </c>
      <c r="E625" s="5">
        <v>1</v>
      </c>
      <c r="F625" s="3">
        <f>F624+E625</f>
        <v>4</v>
      </c>
      <c r="G625" s="5">
        <v>2</v>
      </c>
      <c r="H625" s="3">
        <f>PI()*(G625^2)/4</f>
        <v>3.1415926535897931</v>
      </c>
      <c r="I625" s="4">
        <v>3.9882000000000001E-2</v>
      </c>
      <c r="K625" s="3">
        <v>211.4698719909056</v>
      </c>
      <c r="L625" s="3">
        <v>980.40781000000004</v>
      </c>
      <c r="M625" s="3">
        <v>2176.88895</v>
      </c>
      <c r="N625" s="12">
        <f>I625/H625</f>
        <v>1.2694834880781941E-2</v>
      </c>
      <c r="O625" s="11">
        <f>I625*10000</f>
        <v>398.82</v>
      </c>
      <c r="P625" s="1">
        <v>10</v>
      </c>
      <c r="Q625" s="1">
        <v>1</v>
      </c>
      <c r="R625" s="3">
        <f>Q625*VLOOKUP(P625,[1]Datos!$A$2:$D$14,2)</f>
        <v>8.19</v>
      </c>
      <c r="S625" s="10">
        <f>ROUNDUP(O625/R625,0)</f>
        <v>49</v>
      </c>
      <c r="T625" s="2">
        <v>62</v>
      </c>
      <c r="U625" s="3">
        <f>ROUNDDOWN(PI()*(G625-0.185)/T625,2)</f>
        <v>0.09</v>
      </c>
      <c r="V625" s="3"/>
      <c r="W625" s="1">
        <v>280</v>
      </c>
      <c r="X625" s="9">
        <v>2</v>
      </c>
      <c r="Y625" s="1">
        <v>6</v>
      </c>
      <c r="Z625" s="3">
        <f>X625*VLOOKUP(Y625,[1]Datos!$A$2:$D$14,2)</f>
        <v>5.68</v>
      </c>
      <c r="AA625" s="8">
        <v>7.4999999999999997E-2</v>
      </c>
      <c r="AB625" s="7">
        <f>IF(D625=0,0.9,0.5)*0.9*0.53*SQRT(W625)*G625*MAX(0.72*G625,0.9*((G625/2)+((G625-0.11)/PI())))*10</f>
        <v>207.09423574274689</v>
      </c>
      <c r="AC625" s="7">
        <f>0.9*Z625*4220*MAX(0.72*G625,0.9*((G625/2)+((G625-0.11)/PI())))/AA625/1000</f>
        <v>414.61035434434268</v>
      </c>
      <c r="AD625" s="6" t="str">
        <f>+IF(AC625&gt;K625-AB625,"Cumple","No Cumple")</f>
        <v>Cumple</v>
      </c>
      <c r="AE625" s="6"/>
      <c r="AF625" s="5">
        <v>20</v>
      </c>
      <c r="AG625" s="7">
        <f>ROUNDUP(MAX(0.45,G625,AF625/6),0)</f>
        <v>4</v>
      </c>
      <c r="AH625" s="3">
        <f>PI()*(G625-0.15)^2/4</f>
        <v>2.6880252142277672</v>
      </c>
      <c r="AI625" s="7">
        <f>G625-0.15-VLOOKUP(Y625,[1]Datos!$A$2:$D$14,3)/100</f>
        <v>1.8309000000000002</v>
      </c>
      <c r="AJ625" s="7">
        <f>SQRT((PI()*AI625)^2+AA625^2)</f>
        <v>5.7524309339691264</v>
      </c>
      <c r="AK625" s="1">
        <v>0.12</v>
      </c>
      <c r="AL625" s="16">
        <f>MAX(0.45*(H625/AH625-1),AK625)*(W625/4220)</f>
        <v>7.9620853080568724E-3</v>
      </c>
      <c r="AM625" s="7">
        <f>AG625*(AJ625/AA625)</f>
        <v>306.79631647835345</v>
      </c>
      <c r="AN625" s="17">
        <f>AM625*Z625/X625/10000</f>
        <v>8.7130153879852373E-2</v>
      </c>
      <c r="AO625" s="17">
        <f>AH625*AG625</f>
        <v>10.752100856911069</v>
      </c>
      <c r="AP625" s="16">
        <f>AN625/AO625</f>
        <v>8.1035469290495175E-3</v>
      </c>
      <c r="AQ625" s="6" t="str">
        <f>+IF(AP625&gt;AL625,"Cumple","No Cumple")</f>
        <v>Cumple</v>
      </c>
    </row>
    <row r="626" spans="1:43" x14ac:dyDescent="0.3">
      <c r="A626" s="13"/>
      <c r="B626" s="1">
        <v>5</v>
      </c>
      <c r="C626" s="1">
        <v>56</v>
      </c>
      <c r="D626" s="1">
        <v>0</v>
      </c>
      <c r="E626" s="5">
        <v>1</v>
      </c>
      <c r="F626" s="3">
        <f>F625+E626</f>
        <v>5</v>
      </c>
      <c r="G626" s="5">
        <v>2</v>
      </c>
      <c r="H626" s="3">
        <f>PI()*(G626^2)/4</f>
        <v>3.1415926535897931</v>
      </c>
      <c r="I626" s="4">
        <v>3.4929000000000002E-2</v>
      </c>
      <c r="K626" s="3">
        <v>211.47071308495651</v>
      </c>
      <c r="L626" s="3">
        <v>889.21813999999995</v>
      </c>
      <c r="M626" s="3">
        <v>2055.3681900000001</v>
      </c>
      <c r="N626" s="12">
        <f>I626/H626</f>
        <v>1.1118246014513625E-2</v>
      </c>
      <c r="O626" s="11">
        <f>I626*10000</f>
        <v>349.29</v>
      </c>
      <c r="P626" s="1">
        <v>10</v>
      </c>
      <c r="Q626" s="1">
        <v>1</v>
      </c>
      <c r="R626" s="3">
        <f>Q626*VLOOKUP(P626,[1]Datos!$A$2:$D$14,2)</f>
        <v>8.19</v>
      </c>
      <c r="S626" s="10">
        <f>ROUNDUP(O626/R626,0)</f>
        <v>43</v>
      </c>
      <c r="T626" s="2">
        <v>62</v>
      </c>
      <c r="U626" s="3">
        <f>ROUNDDOWN(PI()*(G626-0.185)/T626,2)</f>
        <v>0.09</v>
      </c>
      <c r="V626" s="3"/>
      <c r="W626" s="1">
        <v>280</v>
      </c>
      <c r="X626" s="9">
        <v>2</v>
      </c>
      <c r="Y626" s="1">
        <v>4</v>
      </c>
      <c r="Z626" s="3">
        <f>X626*VLOOKUP(Y626,[1]Datos!$A$2:$D$14,2)</f>
        <v>2.58</v>
      </c>
      <c r="AA626" s="8">
        <v>0.3</v>
      </c>
      <c r="AB626" s="7">
        <f>IF(D626=0,0.9,0.5)*0.9*0.53*SQRT(W626)*G626*MAX(0.72*G626,0.9*((G626/2)+((G626-0.11)/PI())))*10</f>
        <v>207.09423574274689</v>
      </c>
      <c r="AC626" s="7">
        <f>0.9*Z626*4220*MAX(0.72*G626,0.9*((G626/2)+((G626-0.11)/PI())))/AA626/1000</f>
        <v>47.081633547905106</v>
      </c>
      <c r="AD626" s="6" t="str">
        <f>+IF(AC626&gt;K626-AB626,"Cumple","No Cumple")</f>
        <v>Cumple</v>
      </c>
      <c r="AE626" s="6"/>
      <c r="AH626" s="3"/>
    </row>
    <row r="627" spans="1:43" x14ac:dyDescent="0.3">
      <c r="A627" s="13"/>
      <c r="B627" s="1">
        <v>6</v>
      </c>
      <c r="C627" s="1">
        <v>58</v>
      </c>
      <c r="D627" s="1">
        <v>0</v>
      </c>
      <c r="E627" s="5">
        <v>1</v>
      </c>
      <c r="F627" s="3">
        <f>F626+E627</f>
        <v>6</v>
      </c>
      <c r="G627" s="5">
        <v>2</v>
      </c>
      <c r="H627" s="3">
        <f>PI()*(G627^2)/4</f>
        <v>3.1415926535897931</v>
      </c>
      <c r="I627" s="4">
        <v>3.1415999999999999E-2</v>
      </c>
      <c r="K627" s="3">
        <v>211.47147006350525</v>
      </c>
      <c r="L627" s="3">
        <v>797.84302000000002</v>
      </c>
      <c r="M627" s="3">
        <v>1933.39284</v>
      </c>
      <c r="N627" s="12">
        <f>I627/H627</f>
        <v>1.0000023384349969E-2</v>
      </c>
      <c r="O627" s="11">
        <f>I627*10000</f>
        <v>314.15999999999997</v>
      </c>
      <c r="P627" s="1">
        <v>10</v>
      </c>
      <c r="Q627" s="1">
        <v>1</v>
      </c>
      <c r="R627" s="3">
        <f>Q627*VLOOKUP(P627,[1]Datos!$A$2:$D$14,2)</f>
        <v>8.19</v>
      </c>
      <c r="S627" s="10">
        <f>ROUNDUP(O627/R627,0)</f>
        <v>39</v>
      </c>
      <c r="T627" s="2">
        <v>62</v>
      </c>
      <c r="U627" s="3">
        <f>ROUNDDOWN(PI()*(G627-0.185)/T627,2)</f>
        <v>0.09</v>
      </c>
      <c r="V627" s="3"/>
      <c r="W627" s="1">
        <v>280</v>
      </c>
      <c r="X627" s="9">
        <v>2</v>
      </c>
      <c r="Y627" s="1">
        <v>4</v>
      </c>
      <c r="Z627" s="3">
        <f>X627*VLOOKUP(Y627,[1]Datos!$A$2:$D$14,2)</f>
        <v>2.58</v>
      </c>
      <c r="AA627" s="8">
        <v>0.3</v>
      </c>
      <c r="AB627" s="7">
        <f>IF(D627=0,0.9,0.5)*0.9*0.53*SQRT(W627)*G627*MAX(0.72*G627,0.9*((G627/2)+((G627-0.11)/PI())))*10</f>
        <v>207.09423574274689</v>
      </c>
      <c r="AC627" s="7">
        <f>0.9*Z627*4220*MAX(0.72*G627,0.9*((G627/2)+((G627-0.11)/PI())))/AA627/1000</f>
        <v>47.081633547905106</v>
      </c>
      <c r="AD627" s="6" t="str">
        <f>+IF(AC627&gt;K627-AB627,"Cumple","No Cumple")</f>
        <v>Cumple</v>
      </c>
      <c r="AE627" s="6"/>
      <c r="AH627" s="3"/>
    </row>
    <row r="628" spans="1:43" x14ac:dyDescent="0.3">
      <c r="A628" s="13"/>
      <c r="B628" s="1">
        <v>7</v>
      </c>
      <c r="C628" s="1">
        <v>60</v>
      </c>
      <c r="D628" s="1">
        <v>0</v>
      </c>
      <c r="E628" s="5">
        <v>1</v>
      </c>
      <c r="F628" s="3">
        <f>F627+E628</f>
        <v>7</v>
      </c>
      <c r="G628" s="5">
        <v>2</v>
      </c>
      <c r="H628" s="3">
        <f>PI()*(G628^2)/4</f>
        <v>3.1415926535897931</v>
      </c>
      <c r="I628" s="4">
        <v>3.1415999999999999E-2</v>
      </c>
      <c r="K628" s="3">
        <v>211.4722570992233</v>
      </c>
      <c r="L628" s="3">
        <v>706.32601</v>
      </c>
      <c r="M628" s="3">
        <v>1811.22831</v>
      </c>
      <c r="N628" s="12">
        <f>I628/H628</f>
        <v>1.0000023384349969E-2</v>
      </c>
      <c r="O628" s="11">
        <f>I628*10000</f>
        <v>314.15999999999997</v>
      </c>
      <c r="P628" s="1">
        <v>10</v>
      </c>
      <c r="Q628" s="19">
        <v>1</v>
      </c>
      <c r="R628" s="3">
        <f>Q628*VLOOKUP(P628,[1]Datos!$A$2:$D$14,2)</f>
        <v>8.19</v>
      </c>
      <c r="S628" s="10">
        <f>ROUNDUP(O628/R628,0)</f>
        <v>39</v>
      </c>
      <c r="T628" s="18">
        <v>62</v>
      </c>
      <c r="U628" s="3">
        <f>ROUNDDOWN(PI()*(G628-0.185)/T628,2)</f>
        <v>0.09</v>
      </c>
      <c r="V628" s="3"/>
      <c r="W628" s="1">
        <v>280</v>
      </c>
      <c r="X628" s="9">
        <v>2</v>
      </c>
      <c r="Y628" s="1">
        <v>4</v>
      </c>
      <c r="Z628" s="3">
        <f>X628*VLOOKUP(Y628,[1]Datos!$A$2:$D$14,2)</f>
        <v>2.58</v>
      </c>
      <c r="AA628" s="8">
        <v>0.3</v>
      </c>
      <c r="AB628" s="7">
        <f>IF(D628=0,0.9,0.5)*0.9*0.53*SQRT(W628)*G628*MAX(0.72*G628,0.9*((G628/2)+((G628-0.11)/PI())))*10</f>
        <v>207.09423574274689</v>
      </c>
      <c r="AC628" s="7">
        <f>0.9*Z628*4220*MAX(0.72*G628,0.9*((G628/2)+((G628-0.11)/PI())))/AA628/1000</f>
        <v>47.081633547905106</v>
      </c>
      <c r="AD628" s="6" t="str">
        <f>+IF(AC628&gt;K628-AB628,"Cumple","No Cumple")</f>
        <v>Cumple</v>
      </c>
      <c r="AE628" s="6"/>
      <c r="AH628" s="3"/>
    </row>
    <row r="629" spans="1:43" x14ac:dyDescent="0.3">
      <c r="A629" s="13"/>
      <c r="B629" s="1">
        <v>8</v>
      </c>
      <c r="C629" s="1">
        <v>62</v>
      </c>
      <c r="D629" s="1">
        <v>0</v>
      </c>
      <c r="E629" s="5">
        <v>1</v>
      </c>
      <c r="F629" s="3">
        <f>F628+E629</f>
        <v>8</v>
      </c>
      <c r="G629" s="5">
        <v>2</v>
      </c>
      <c r="H629" s="3">
        <f>PI()*(G629^2)/4</f>
        <v>3.1415926535897931</v>
      </c>
      <c r="I629" s="4">
        <v>3.1415999999999999E-2</v>
      </c>
      <c r="K629" s="3">
        <v>211.47304414005109</v>
      </c>
      <c r="L629" s="3">
        <v>614.72330999999997</v>
      </c>
      <c r="M629" s="3">
        <v>1696.35817</v>
      </c>
      <c r="N629" s="12">
        <f>I629/H629</f>
        <v>1.0000023384349969E-2</v>
      </c>
      <c r="O629" s="11">
        <f>I629*10000</f>
        <v>314.15999999999997</v>
      </c>
      <c r="P629" s="1">
        <v>10</v>
      </c>
      <c r="Q629" s="19">
        <v>1</v>
      </c>
      <c r="R629" s="3">
        <f>Q629*VLOOKUP(P629,[1]Datos!$A$2:$D$14,2)</f>
        <v>8.19</v>
      </c>
      <c r="S629" s="10">
        <f>ROUNDUP(O629/R629,0)</f>
        <v>39</v>
      </c>
      <c r="T629" s="18">
        <v>62</v>
      </c>
      <c r="U629" s="3">
        <f>ROUNDDOWN(PI()*(G629-0.185)/T629,2)</f>
        <v>0.09</v>
      </c>
      <c r="V629" s="3"/>
      <c r="W629" s="1">
        <v>280</v>
      </c>
      <c r="X629" s="9">
        <v>2</v>
      </c>
      <c r="Y629" s="1">
        <v>4</v>
      </c>
      <c r="Z629" s="3">
        <f>X629*VLOOKUP(Y629,[1]Datos!$A$2:$D$14,2)</f>
        <v>2.58</v>
      </c>
      <c r="AA629" s="8">
        <v>0.3</v>
      </c>
      <c r="AB629" s="7">
        <f>IF(D629=0,0.9,0.5)*0.9*0.53*SQRT(W629)*G629*MAX(0.72*G629,0.9*((G629/2)+((G629-0.11)/PI())))*10</f>
        <v>207.09423574274689</v>
      </c>
      <c r="AC629" s="7">
        <f>0.9*Z629*4220*MAX(0.72*G629,0.9*((G629/2)+((G629-0.11)/PI())))/AA629/1000</f>
        <v>47.081633547905106</v>
      </c>
      <c r="AD629" s="6" t="str">
        <f>+IF(AC629&gt;K629-AB629,"Cumple","No Cumple")</f>
        <v>Cumple</v>
      </c>
      <c r="AE629" s="6"/>
      <c r="AH629" s="3"/>
    </row>
    <row r="630" spans="1:43" x14ac:dyDescent="0.3">
      <c r="A630" s="13"/>
      <c r="B630" s="1">
        <v>9</v>
      </c>
      <c r="C630" s="1">
        <v>64</v>
      </c>
      <c r="D630" s="1">
        <v>0</v>
      </c>
      <c r="E630" s="5">
        <v>1</v>
      </c>
      <c r="F630" s="3">
        <f>F629+E630</f>
        <v>9</v>
      </c>
      <c r="G630" s="5">
        <v>2</v>
      </c>
      <c r="H630" s="3">
        <f>PI()*(G630^2)/4</f>
        <v>3.1415926535897931</v>
      </c>
      <c r="I630" s="4">
        <v>3.1415999999999999E-2</v>
      </c>
      <c r="K630" s="3">
        <v>211.47380113673657</v>
      </c>
      <c r="L630" s="3">
        <v>523.11323000000004</v>
      </c>
      <c r="M630" s="3">
        <v>1592.9896000000001</v>
      </c>
      <c r="N630" s="12">
        <f>I630/H630</f>
        <v>1.0000023384349969E-2</v>
      </c>
      <c r="O630" s="11">
        <f>I630*10000</f>
        <v>314.15999999999997</v>
      </c>
      <c r="P630" s="1">
        <v>10</v>
      </c>
      <c r="Q630" s="19">
        <v>1</v>
      </c>
      <c r="R630" s="3">
        <f>Q630*VLOOKUP(P630,[1]Datos!$A$2:$D$14,2)</f>
        <v>8.19</v>
      </c>
      <c r="S630" s="10">
        <f>ROUNDUP(O630/R630,0)</f>
        <v>39</v>
      </c>
      <c r="T630" s="18">
        <v>62</v>
      </c>
      <c r="U630" s="3">
        <f>ROUNDDOWN(PI()*(G630-0.185)/T630,2)</f>
        <v>0.09</v>
      </c>
      <c r="V630" s="3"/>
      <c r="W630" s="1">
        <v>280</v>
      </c>
      <c r="X630" s="9">
        <v>2</v>
      </c>
      <c r="Y630" s="1">
        <v>4</v>
      </c>
      <c r="Z630" s="3">
        <f>X630*VLOOKUP(Y630,[1]Datos!$A$2:$D$14,2)</f>
        <v>2.58</v>
      </c>
      <c r="AA630" s="8">
        <v>0.3</v>
      </c>
      <c r="AB630" s="7">
        <f>IF(D630=0,0.9,0.5)*0.9*0.53*SQRT(W630)*G630*MAX(0.72*G630,0.9*((G630/2)+((G630-0.11)/PI())))*10</f>
        <v>207.09423574274689</v>
      </c>
      <c r="AC630" s="7">
        <f>0.9*Z630*4220*MAX(0.72*G630,0.9*((G630/2)+((G630-0.11)/PI())))/AA630/1000</f>
        <v>47.081633547905106</v>
      </c>
      <c r="AD630" s="6" t="str">
        <f>+IF(AC630&gt;K630-AB630,"Cumple","No Cumple")</f>
        <v>Cumple</v>
      </c>
      <c r="AE630" s="6"/>
      <c r="AH630" s="3"/>
    </row>
    <row r="631" spans="1:43" x14ac:dyDescent="0.3">
      <c r="A631" s="13"/>
      <c r="B631" s="1">
        <v>10</v>
      </c>
      <c r="C631" s="1">
        <v>66</v>
      </c>
      <c r="D631" s="1">
        <v>0</v>
      </c>
      <c r="E631" s="5">
        <v>1</v>
      </c>
      <c r="F631" s="3">
        <f>F630+E631</f>
        <v>10</v>
      </c>
      <c r="G631" s="5">
        <v>2</v>
      </c>
      <c r="H631" s="3">
        <f>PI()*(G631^2)/4</f>
        <v>3.1415926535897931</v>
      </c>
      <c r="I631" s="4">
        <v>3.1415999999999999E-2</v>
      </c>
      <c r="K631" s="3">
        <v>211.47458818846297</v>
      </c>
      <c r="L631" s="3">
        <v>431.61160000000001</v>
      </c>
      <c r="M631" s="3">
        <v>1490.10907</v>
      </c>
      <c r="N631" s="12">
        <f>I631/H631</f>
        <v>1.0000023384349969E-2</v>
      </c>
      <c r="O631" s="11">
        <f>I631*10000</f>
        <v>314.15999999999997</v>
      </c>
      <c r="P631" s="1">
        <v>10</v>
      </c>
      <c r="Q631" s="1">
        <v>1</v>
      </c>
      <c r="R631" s="3">
        <f>Q631*VLOOKUP(P631,[1]Datos!$A$2:$D$14,2)</f>
        <v>8.19</v>
      </c>
      <c r="S631" s="10">
        <f>ROUNDUP(O631/R631,0)</f>
        <v>39</v>
      </c>
      <c r="T631" s="2">
        <v>39</v>
      </c>
      <c r="U631" s="3">
        <f>ROUNDDOWN(PI()*(G631-0.185)/T631,2)</f>
        <v>0.14000000000000001</v>
      </c>
      <c r="V631" s="3"/>
      <c r="W631" s="1">
        <v>280</v>
      </c>
      <c r="X631" s="9">
        <v>2</v>
      </c>
      <c r="Y631" s="1">
        <v>4</v>
      </c>
      <c r="Z631" s="3">
        <f>X631*VLOOKUP(Y631,[1]Datos!$A$2:$D$14,2)</f>
        <v>2.58</v>
      </c>
      <c r="AA631" s="8">
        <v>0.3</v>
      </c>
      <c r="AB631" s="7">
        <f>IF(D631=0,0.9,0.5)*0.9*0.53*SQRT(W631)*G631*MAX(0.72*G631,0.9*((G631/2)+((G631-0.11)/PI())))*10</f>
        <v>207.09423574274689</v>
      </c>
      <c r="AC631" s="7">
        <f>0.9*Z631*4220*MAX(0.72*G631,0.9*((G631/2)+((G631-0.11)/PI())))/AA631/1000</f>
        <v>47.081633547905106</v>
      </c>
      <c r="AD631" s="6" t="str">
        <f>+IF(AC631&gt;K631-AB631,"Cumple","No Cumple")</f>
        <v>Cumple</v>
      </c>
      <c r="AE631" s="6"/>
      <c r="AH631" s="3"/>
    </row>
    <row r="632" spans="1:43" x14ac:dyDescent="0.3">
      <c r="A632" s="13"/>
      <c r="B632" s="1">
        <v>11</v>
      </c>
      <c r="C632" s="1">
        <v>68</v>
      </c>
      <c r="D632" s="1">
        <v>0</v>
      </c>
      <c r="E632" s="5">
        <v>1</v>
      </c>
      <c r="F632" s="3">
        <f>F631+E632</f>
        <v>11</v>
      </c>
      <c r="G632" s="5">
        <v>2</v>
      </c>
      <c r="H632" s="3">
        <f>PI()*(G632^2)/4</f>
        <v>3.1415926535897931</v>
      </c>
      <c r="I632" s="4">
        <v>3.1415999999999999E-2</v>
      </c>
      <c r="K632" s="3">
        <v>211.47529112520451</v>
      </c>
      <c r="L632" s="3">
        <v>340.38693000000001</v>
      </c>
      <c r="M632" s="3">
        <v>1387.03755</v>
      </c>
      <c r="N632" s="12">
        <f>I632/H632</f>
        <v>1.0000023384349969E-2</v>
      </c>
      <c r="O632" s="11">
        <f>I632*10000</f>
        <v>314.15999999999997</v>
      </c>
      <c r="P632" s="1">
        <v>10</v>
      </c>
      <c r="Q632" s="1">
        <v>1</v>
      </c>
      <c r="R632" s="3">
        <f>Q632*VLOOKUP(P632,[1]Datos!$A$2:$D$14,2)</f>
        <v>8.19</v>
      </c>
      <c r="S632" s="10">
        <f>ROUNDUP(O632/R632,0)</f>
        <v>39</v>
      </c>
      <c r="T632" s="2">
        <v>39</v>
      </c>
      <c r="U632" s="3">
        <f>ROUNDDOWN(PI()*(G632-0.185)/T632,2)</f>
        <v>0.14000000000000001</v>
      </c>
      <c r="V632" s="3"/>
      <c r="W632" s="1">
        <v>280</v>
      </c>
      <c r="X632" s="9">
        <v>2</v>
      </c>
      <c r="Y632" s="1">
        <v>4</v>
      </c>
      <c r="Z632" s="3">
        <f>X632*VLOOKUP(Y632,[1]Datos!$A$2:$D$14,2)</f>
        <v>2.58</v>
      </c>
      <c r="AA632" s="8">
        <v>0.3</v>
      </c>
      <c r="AB632" s="7">
        <f>IF(D632=0,0.9,0.5)*0.9*0.53*SQRT(W632)*G632*MAX(0.72*G632,0.9*((G632/2)+((G632-0.11)/PI())))*10</f>
        <v>207.09423574274689</v>
      </c>
      <c r="AC632" s="7">
        <f>0.9*Z632*4220*MAX(0.72*G632,0.9*((G632/2)+((G632-0.11)/PI())))/AA632/1000</f>
        <v>47.081633547905106</v>
      </c>
      <c r="AD632" s="6" t="str">
        <f>+IF(AC632&gt;K632-AB632,"Cumple","No Cumple")</f>
        <v>Cumple</v>
      </c>
      <c r="AE632" s="6"/>
      <c r="AH632" s="3"/>
    </row>
    <row r="633" spans="1:43" x14ac:dyDescent="0.3">
      <c r="A633" s="13"/>
      <c r="B633" s="1">
        <v>12</v>
      </c>
      <c r="C633" s="1">
        <v>70</v>
      </c>
      <c r="D633" s="1">
        <v>0</v>
      </c>
      <c r="E633" s="5">
        <v>1</v>
      </c>
      <c r="F633" s="3">
        <f>F632+E633</f>
        <v>12</v>
      </c>
      <c r="G633" s="5">
        <v>2</v>
      </c>
      <c r="H633" s="3">
        <f>PI()*(G633^2)/4</f>
        <v>3.1415926535897931</v>
      </c>
      <c r="I633" s="4">
        <v>3.1415999999999999E-2</v>
      </c>
      <c r="K633" s="3">
        <v>211.47613226012058</v>
      </c>
      <c r="L633" s="3">
        <v>249.64823000000001</v>
      </c>
      <c r="M633" s="3">
        <v>1284.68911</v>
      </c>
      <c r="N633" s="12">
        <f>I633/H633</f>
        <v>1.0000023384349969E-2</v>
      </c>
      <c r="O633" s="11">
        <f>I633*10000</f>
        <v>314.15999999999997</v>
      </c>
      <c r="P633" s="1">
        <v>10</v>
      </c>
      <c r="Q633" s="1">
        <v>1</v>
      </c>
      <c r="R633" s="3">
        <f>Q633*VLOOKUP(P633,[1]Datos!$A$2:$D$14,2)</f>
        <v>8.19</v>
      </c>
      <c r="S633" s="10">
        <f>ROUNDUP(O633/R633,0)</f>
        <v>39</v>
      </c>
      <c r="T633" s="2">
        <v>39</v>
      </c>
      <c r="U633" s="3">
        <f>ROUNDDOWN(PI()*(G633-0.185)/T633,2)</f>
        <v>0.14000000000000001</v>
      </c>
      <c r="V633" s="3"/>
      <c r="W633" s="1">
        <v>280</v>
      </c>
      <c r="X633" s="9">
        <v>2</v>
      </c>
      <c r="Y633" s="1">
        <v>4</v>
      </c>
      <c r="Z633" s="3">
        <f>X633*VLOOKUP(Y633,[1]Datos!$A$2:$D$14,2)</f>
        <v>2.58</v>
      </c>
      <c r="AA633" s="8">
        <v>0.3</v>
      </c>
      <c r="AB633" s="7">
        <f>IF(D633=0,0.9,0.5)*0.9*0.53*SQRT(W633)*G633*MAX(0.72*G633,0.9*((G633/2)+((G633-0.11)/PI())))*10</f>
        <v>207.09423574274689</v>
      </c>
      <c r="AC633" s="7">
        <f>0.9*Z633*4220*MAX(0.72*G633,0.9*((G633/2)+((G633-0.11)/PI())))/AA633/1000</f>
        <v>47.081633547905106</v>
      </c>
      <c r="AD633" s="6" t="str">
        <f>+IF(AC633&gt;K633-AB633,"Cumple","No Cumple")</f>
        <v>Cumple</v>
      </c>
      <c r="AE633" s="6"/>
      <c r="AH633" s="3"/>
    </row>
    <row r="634" spans="1:43" x14ac:dyDescent="0.3">
      <c r="A634" s="13"/>
      <c r="B634" s="1">
        <v>13</v>
      </c>
      <c r="C634" s="1">
        <v>72</v>
      </c>
      <c r="D634" s="1">
        <v>0</v>
      </c>
      <c r="E634" s="5">
        <v>1</v>
      </c>
      <c r="F634" s="3">
        <f>F633+E634</f>
        <v>13</v>
      </c>
      <c r="G634" s="5">
        <v>2</v>
      </c>
      <c r="H634" s="3">
        <f>PI()*(G634^2)/4</f>
        <v>3.1415926535897931</v>
      </c>
      <c r="I634" s="4">
        <v>3.1415999999999999E-2</v>
      </c>
      <c r="K634" s="3">
        <v>211.47683520832726</v>
      </c>
      <c r="L634" s="3">
        <v>159.57577000000001</v>
      </c>
      <c r="M634" s="3">
        <v>1182.6307400000001</v>
      </c>
      <c r="N634" s="12">
        <f>I634/H634</f>
        <v>1.0000023384349969E-2</v>
      </c>
      <c r="O634" s="11">
        <f>I634*10000</f>
        <v>314.15999999999997</v>
      </c>
      <c r="P634" s="1">
        <v>10</v>
      </c>
      <c r="Q634" s="1">
        <v>1</v>
      </c>
      <c r="R634" s="3">
        <f>Q634*VLOOKUP(P634,[1]Datos!$A$2:$D$14,2)</f>
        <v>8.19</v>
      </c>
      <c r="S634" s="10">
        <f>ROUNDUP(O634/R634,0)</f>
        <v>39</v>
      </c>
      <c r="T634" s="2">
        <v>39</v>
      </c>
      <c r="U634" s="3">
        <f>ROUNDDOWN(PI()*(G634-0.185)/T634,2)</f>
        <v>0.14000000000000001</v>
      </c>
      <c r="V634" s="3"/>
      <c r="W634" s="1">
        <v>280</v>
      </c>
      <c r="X634" s="9">
        <v>2</v>
      </c>
      <c r="Y634" s="1">
        <v>4</v>
      </c>
      <c r="Z634" s="3">
        <f>X634*VLOOKUP(Y634,[1]Datos!$A$2:$D$14,2)</f>
        <v>2.58</v>
      </c>
      <c r="AA634" s="8">
        <v>0.3</v>
      </c>
      <c r="AB634" s="7">
        <f>IF(D634=0,0.9,0.5)*0.9*0.53*SQRT(W634)*G634*MAX(0.72*G634,0.9*((G634/2)+((G634-0.11)/PI())))*10</f>
        <v>207.09423574274689</v>
      </c>
      <c r="AC634" s="7">
        <f>0.9*Z634*4220*MAX(0.72*G634,0.9*((G634/2)+((G634-0.11)/PI())))/AA634/1000</f>
        <v>47.081633547905106</v>
      </c>
      <c r="AD634" s="6" t="str">
        <f>+IF(AC634&gt;K634-AB634,"Cumple","No Cumple")</f>
        <v>Cumple</v>
      </c>
      <c r="AE634" s="6"/>
      <c r="AH634" s="3"/>
    </row>
    <row r="635" spans="1:43" x14ac:dyDescent="0.3">
      <c r="A635" s="13"/>
      <c r="B635" s="1">
        <v>14</v>
      </c>
      <c r="C635" s="1">
        <v>74</v>
      </c>
      <c r="D635" s="1">
        <v>0</v>
      </c>
      <c r="E635" s="5">
        <v>1</v>
      </c>
      <c r="F635" s="3">
        <f>F634+E635</f>
        <v>14</v>
      </c>
      <c r="G635" s="5">
        <v>2</v>
      </c>
      <c r="H635" s="3">
        <f>PI()*(G635^2)/4</f>
        <v>3.1415926535897931</v>
      </c>
      <c r="I635" s="4">
        <v>3.1415999999999999E-2</v>
      </c>
      <c r="K635" s="3">
        <v>211.47762228143668</v>
      </c>
      <c r="L635" s="3">
        <v>79.256169999999997</v>
      </c>
      <c r="M635" s="3">
        <v>1084.6219000000001</v>
      </c>
      <c r="N635" s="12">
        <f>I635/H635</f>
        <v>1.0000023384349969E-2</v>
      </c>
      <c r="O635" s="11">
        <f>I635*10000</f>
        <v>314.15999999999997</v>
      </c>
      <c r="P635" s="1">
        <v>10</v>
      </c>
      <c r="Q635" s="1">
        <v>1</v>
      </c>
      <c r="R635" s="3">
        <f>Q635*VLOOKUP(P635,[1]Datos!$A$2:$D$14,2)</f>
        <v>8.19</v>
      </c>
      <c r="S635" s="10">
        <f>ROUNDUP(O635/R635,0)</f>
        <v>39</v>
      </c>
      <c r="T635" s="2">
        <v>39</v>
      </c>
      <c r="U635" s="3">
        <f>ROUNDDOWN(PI()*(G635-0.185)/T635,2)</f>
        <v>0.14000000000000001</v>
      </c>
      <c r="V635" s="3"/>
      <c r="W635" s="1">
        <v>280</v>
      </c>
      <c r="X635" s="9">
        <v>2</v>
      </c>
      <c r="Y635" s="1">
        <v>4</v>
      </c>
      <c r="Z635" s="3">
        <f>X635*VLOOKUP(Y635,[1]Datos!$A$2:$D$14,2)</f>
        <v>2.58</v>
      </c>
      <c r="AA635" s="8">
        <v>0.3</v>
      </c>
      <c r="AB635" s="7">
        <f>IF(D635=0,0.9,0.5)*0.9*0.53*SQRT(W635)*G635*MAX(0.72*G635,0.9*((G635/2)+((G635-0.11)/PI())))*10</f>
        <v>207.09423574274689</v>
      </c>
      <c r="AC635" s="7">
        <f>0.9*Z635*4220*MAX(0.72*G635,0.9*((G635/2)+((G635-0.11)/PI())))/AA635/1000</f>
        <v>47.081633547905106</v>
      </c>
      <c r="AD635" s="6" t="str">
        <f>+IF(AC635&gt;K635-AB635,"Cumple","No Cumple")</f>
        <v>Cumple</v>
      </c>
      <c r="AE635" s="6"/>
      <c r="AH635" s="3"/>
    </row>
    <row r="636" spans="1:43" x14ac:dyDescent="0.3">
      <c r="A636" s="13"/>
      <c r="B636" s="1">
        <v>15</v>
      </c>
      <c r="C636" s="1">
        <v>76</v>
      </c>
      <c r="D636" s="1">
        <v>0</v>
      </c>
      <c r="E636" s="5">
        <v>1</v>
      </c>
      <c r="F636" s="3">
        <f>F635+E636</f>
        <v>15</v>
      </c>
      <c r="G636" s="5">
        <v>2</v>
      </c>
      <c r="H636" s="3">
        <f>PI()*(G636^2)/4</f>
        <v>3.1415926535897931</v>
      </c>
      <c r="I636" s="4">
        <v>3.1415999999999999E-2</v>
      </c>
      <c r="K636" s="3">
        <v>211.47846343365555</v>
      </c>
      <c r="L636" s="3">
        <v>166.57637</v>
      </c>
      <c r="M636" s="3">
        <v>1099.4318699999999</v>
      </c>
      <c r="N636" s="12">
        <f>I636/H636</f>
        <v>1.0000023384349969E-2</v>
      </c>
      <c r="O636" s="11">
        <f>I636*10000</f>
        <v>314.15999999999997</v>
      </c>
      <c r="P636" s="1">
        <v>10</v>
      </c>
      <c r="Q636" s="19">
        <v>1</v>
      </c>
      <c r="R636" s="3">
        <f>Q636*VLOOKUP(P636,[1]Datos!$A$2:$D$14,2)</f>
        <v>8.19</v>
      </c>
      <c r="S636" s="10">
        <f>ROUNDUP(O636/R636,0)</f>
        <v>39</v>
      </c>
      <c r="T636" s="18">
        <v>46</v>
      </c>
      <c r="U636" s="3">
        <f>ROUNDDOWN(PI()*(G636-0.185)/T636,2)</f>
        <v>0.12</v>
      </c>
      <c r="V636" s="3"/>
      <c r="W636" s="1">
        <v>280</v>
      </c>
      <c r="X636" s="9">
        <v>2</v>
      </c>
      <c r="Y636" s="1">
        <v>4</v>
      </c>
      <c r="Z636" s="3">
        <f>X636*VLOOKUP(Y636,[1]Datos!$A$2:$D$14,2)</f>
        <v>2.58</v>
      </c>
      <c r="AA636" s="8">
        <v>0.3</v>
      </c>
      <c r="AB636" s="7">
        <f>IF(D636=0,0.9,0.5)*0.9*0.53*SQRT(W636)*G636*MAX(0.72*G636,0.9*((G636/2)+((G636-0.11)/PI())))*10</f>
        <v>207.09423574274689</v>
      </c>
      <c r="AC636" s="7">
        <f>0.9*Z636*4220*MAX(0.72*G636,0.9*((G636/2)+((G636-0.11)/PI())))/AA636/1000</f>
        <v>47.081633547905106</v>
      </c>
      <c r="AD636" s="6" t="str">
        <f>+IF(AC636&gt;K636-AB636,"Cumple","No Cumple")</f>
        <v>Cumple</v>
      </c>
      <c r="AE636" s="6"/>
      <c r="AH636" s="3"/>
    </row>
    <row r="637" spans="1:43" x14ac:dyDescent="0.3">
      <c r="A637" s="13"/>
      <c r="B637" s="1">
        <v>16</v>
      </c>
      <c r="C637" s="1">
        <v>78</v>
      </c>
      <c r="D637" s="1">
        <v>0</v>
      </c>
      <c r="E637" s="5">
        <v>1</v>
      </c>
      <c r="F637" s="3">
        <f>F636+E637</f>
        <v>16</v>
      </c>
      <c r="G637" s="5">
        <v>2</v>
      </c>
      <c r="H637" s="3">
        <f>PI()*(G637^2)/4</f>
        <v>3.1415926535897931</v>
      </c>
      <c r="I637" s="4">
        <v>3.1415999999999999E-2</v>
      </c>
      <c r="K637" s="3">
        <v>211.47916639870226</v>
      </c>
      <c r="L637" s="3">
        <v>254.51132999999999</v>
      </c>
      <c r="M637" s="3">
        <v>1115.2726700000001</v>
      </c>
      <c r="N637" s="12">
        <f>I637/H637</f>
        <v>1.0000023384349969E-2</v>
      </c>
      <c r="O637" s="11">
        <f>I637*10000</f>
        <v>314.15999999999997</v>
      </c>
      <c r="P637" s="1">
        <v>10</v>
      </c>
      <c r="Q637" s="19">
        <v>1</v>
      </c>
      <c r="R637" s="3">
        <f>Q637*VLOOKUP(P637,[1]Datos!$A$2:$D$14,2)</f>
        <v>8.19</v>
      </c>
      <c r="S637" s="10">
        <f>ROUNDUP(O637/R637,0)</f>
        <v>39</v>
      </c>
      <c r="T637" s="18">
        <v>46</v>
      </c>
      <c r="U637" s="3">
        <f>ROUNDDOWN(PI()*(G637-0.185)/T637,2)</f>
        <v>0.12</v>
      </c>
      <c r="V637" s="3"/>
      <c r="W637" s="1">
        <v>280</v>
      </c>
      <c r="X637" s="9">
        <v>2</v>
      </c>
      <c r="Y637" s="1">
        <v>4</v>
      </c>
      <c r="Z637" s="3">
        <f>X637*VLOOKUP(Y637,[1]Datos!$A$2:$D$14,2)</f>
        <v>2.58</v>
      </c>
      <c r="AA637" s="8">
        <v>0.3</v>
      </c>
      <c r="AB637" s="7">
        <f>IF(D637=0,0.9,0.5)*0.9*0.53*SQRT(W637)*G637*MAX(0.72*G637,0.9*((G637/2)+((G637-0.11)/PI())))*10</f>
        <v>207.09423574274689</v>
      </c>
      <c r="AC637" s="7">
        <f>0.9*Z637*4220*MAX(0.72*G637,0.9*((G637/2)+((G637-0.11)/PI())))/AA637/1000</f>
        <v>47.081633547905106</v>
      </c>
      <c r="AD637" s="6" t="str">
        <f>+IF(AC637&gt;K637-AB637,"Cumple","No Cumple")</f>
        <v>Cumple</v>
      </c>
      <c r="AE637" s="6"/>
      <c r="AH637" s="3"/>
    </row>
    <row r="638" spans="1:43" x14ac:dyDescent="0.3">
      <c r="A638" s="13"/>
      <c r="B638" s="1">
        <v>17</v>
      </c>
      <c r="C638" s="1">
        <v>80</v>
      </c>
      <c r="D638" s="1">
        <v>0</v>
      </c>
      <c r="E638" s="5">
        <v>1</v>
      </c>
      <c r="F638" s="3">
        <f>F637+E638</f>
        <v>17</v>
      </c>
      <c r="G638" s="5">
        <v>2</v>
      </c>
      <c r="H638" s="3">
        <f>PI()*(G638^2)/4</f>
        <v>3.1415926535897931</v>
      </c>
      <c r="I638" s="4">
        <v>3.1415999999999999E-2</v>
      </c>
      <c r="K638" s="3">
        <v>211.47995348781879</v>
      </c>
      <c r="L638" s="3">
        <v>343.50761</v>
      </c>
      <c r="M638" s="3">
        <v>1131.8284799999999</v>
      </c>
      <c r="N638" s="12">
        <f>I638/H638</f>
        <v>1.0000023384349969E-2</v>
      </c>
      <c r="O638" s="11">
        <f>I638*10000</f>
        <v>314.15999999999997</v>
      </c>
      <c r="P638" s="1">
        <v>10</v>
      </c>
      <c r="Q638" s="19">
        <v>1</v>
      </c>
      <c r="R638" s="3">
        <f>Q638*VLOOKUP(P638,[1]Datos!$A$2:$D$14,2)</f>
        <v>8.19</v>
      </c>
      <c r="S638" s="10">
        <f>ROUNDUP(O638/R638,0)</f>
        <v>39</v>
      </c>
      <c r="T638" s="18">
        <v>46</v>
      </c>
      <c r="U638" s="3">
        <f>ROUNDDOWN(PI()*(G638-0.185)/T638,2)</f>
        <v>0.12</v>
      </c>
      <c r="V638" s="3"/>
      <c r="W638" s="1">
        <v>280</v>
      </c>
      <c r="X638" s="9">
        <v>2</v>
      </c>
      <c r="Y638" s="1">
        <v>6</v>
      </c>
      <c r="Z638" s="3">
        <f>X638*VLOOKUP(Y638,[1]Datos!$A$2:$D$14,2)</f>
        <v>5.68</v>
      </c>
      <c r="AA638" s="8">
        <v>7.4999999999999997E-2</v>
      </c>
      <c r="AB638" s="7">
        <f>IF(D638=0,0.9,0.5)*0.9*0.53*SQRT(W638)*G638*MAX(0.72*G638,0.9*((G638/2)+((G638-0.11)/PI())))*10</f>
        <v>207.09423574274689</v>
      </c>
      <c r="AC638" s="7">
        <f>0.9*Z638*4220*MAX(0.72*G638,0.9*((G638/2)+((G638-0.11)/PI())))/AA638/1000</f>
        <v>414.61035434434268</v>
      </c>
      <c r="AD638" s="6" t="str">
        <f>+IF(AC638&gt;K638-AB638,"Cumple","No Cumple")</f>
        <v>Cumple</v>
      </c>
      <c r="AE638" s="6"/>
      <c r="AF638" s="5">
        <v>20</v>
      </c>
      <c r="AG638" s="7">
        <f>ROUNDUP(MAX(0.45,G638,AF638/6),0)</f>
        <v>4</v>
      </c>
      <c r="AH638" s="3">
        <f>PI()*(G638-0.15)^2/4</f>
        <v>2.6880252142277672</v>
      </c>
      <c r="AI638" s="7">
        <f>G638-0.15-VLOOKUP(Y638,[1]Datos!$A$2:$D$14,3)/100</f>
        <v>1.8309000000000002</v>
      </c>
      <c r="AJ638" s="7">
        <f>SQRT((PI()*AI638)^2+AA638^2)</f>
        <v>5.7524309339691264</v>
      </c>
      <c r="AK638" s="1">
        <v>0.12</v>
      </c>
      <c r="AL638" s="16">
        <f>MAX(0.45*(H638/AH638-1),AK638)*(W638/4220)</f>
        <v>7.9620853080568724E-3</v>
      </c>
      <c r="AM638" s="7">
        <f>AG638*(AJ638/AA638)</f>
        <v>306.79631647835345</v>
      </c>
      <c r="AN638" s="17">
        <f>AM638*Z638/X638/10000</f>
        <v>8.7130153879852373E-2</v>
      </c>
      <c r="AO638" s="17">
        <f>AH638*AG638</f>
        <v>10.752100856911069</v>
      </c>
      <c r="AP638" s="16">
        <f>AN638/AO638</f>
        <v>8.1035469290495175E-3</v>
      </c>
      <c r="AQ638" s="6" t="str">
        <f>+IF(AP638&gt;AL638,"Cumple","No Cumple")</f>
        <v>Cumple</v>
      </c>
    </row>
    <row r="639" spans="1:43" x14ac:dyDescent="0.3">
      <c r="A639" s="13"/>
      <c r="B639" s="1">
        <v>18</v>
      </c>
      <c r="C639" s="1">
        <v>82</v>
      </c>
      <c r="D639" s="1">
        <v>0</v>
      </c>
      <c r="E639" s="5">
        <v>1</v>
      </c>
      <c r="F639" s="3">
        <f>F638+E639</f>
        <v>18</v>
      </c>
      <c r="G639" s="5">
        <v>2</v>
      </c>
      <c r="H639" s="3">
        <f>PI()*(G639^2)/4</f>
        <v>3.1415926535897931</v>
      </c>
      <c r="I639" s="4">
        <v>3.1415999999999999E-2</v>
      </c>
      <c r="K639" s="3">
        <v>211.48071053921205</v>
      </c>
      <c r="L639" s="3">
        <v>435.51497999999998</v>
      </c>
      <c r="M639" s="3">
        <v>1152.4583500000001</v>
      </c>
      <c r="N639" s="12">
        <f>I639/H639</f>
        <v>1.0000023384349969E-2</v>
      </c>
      <c r="O639" s="11">
        <f>I639*10000</f>
        <v>314.15999999999997</v>
      </c>
      <c r="P639" s="1">
        <v>10</v>
      </c>
      <c r="Q639" s="1">
        <v>1</v>
      </c>
      <c r="R639" s="3">
        <f>Q639*VLOOKUP(P639,[1]Datos!$A$2:$D$14,2)</f>
        <v>8.19</v>
      </c>
      <c r="S639" s="10">
        <f>ROUNDUP(O639/R639,0)</f>
        <v>39</v>
      </c>
      <c r="T639" s="2">
        <v>46</v>
      </c>
      <c r="U639" s="3">
        <f>ROUNDDOWN(PI()*(G639-0.185)/T639,2)</f>
        <v>0.12</v>
      </c>
      <c r="V639" s="3"/>
      <c r="W639" s="1">
        <v>280</v>
      </c>
      <c r="X639" s="9">
        <v>2</v>
      </c>
      <c r="Y639" s="1">
        <v>6</v>
      </c>
      <c r="Z639" s="3">
        <f>X639*VLOOKUP(Y639,[1]Datos!$A$2:$D$14,2)</f>
        <v>5.68</v>
      </c>
      <c r="AA639" s="8">
        <v>7.4999999999999997E-2</v>
      </c>
      <c r="AB639" s="7">
        <f>IF(D639=0,0.9,0.5)*0.9*0.53*SQRT(W639)*G639*MAX(0.72*G639,0.9*((G639/2)+((G639-0.11)/PI())))*10</f>
        <v>207.09423574274689</v>
      </c>
      <c r="AC639" s="7">
        <f>0.9*Z639*4220*MAX(0.72*G639,0.9*((G639/2)+((G639-0.11)/PI())))/AA639/1000</f>
        <v>414.61035434434268</v>
      </c>
      <c r="AD639" s="6" t="str">
        <f>+IF(AC639&gt;K639-AB639,"Cumple","No Cumple")</f>
        <v>Cumple</v>
      </c>
      <c r="AE639" s="6"/>
      <c r="AF639" s="5">
        <v>20</v>
      </c>
      <c r="AG639" s="7">
        <f>ROUNDUP(MAX(0.45,G639,AF639/6),0)</f>
        <v>4</v>
      </c>
      <c r="AH639" s="3">
        <f>PI()*(G639-0.15)^2/4</f>
        <v>2.6880252142277672</v>
      </c>
      <c r="AI639" s="7">
        <f>G639-0.15-VLOOKUP(Y639,[1]Datos!$A$2:$D$14,3)/100</f>
        <v>1.8309000000000002</v>
      </c>
      <c r="AJ639" s="7">
        <f>SQRT((PI()*AI639)^2+AA639^2)</f>
        <v>5.7524309339691264</v>
      </c>
      <c r="AK639" s="1">
        <v>0.12</v>
      </c>
      <c r="AL639" s="16">
        <f>MAX(0.45*(H639/AH639-1),AK639)*(W639/4220)</f>
        <v>7.9620853080568724E-3</v>
      </c>
      <c r="AM639" s="7">
        <f>AG639*(AJ639/AA639)</f>
        <v>306.79631647835345</v>
      </c>
      <c r="AN639" s="17">
        <f>AM639*Z639/X639/10000</f>
        <v>8.7130153879852373E-2</v>
      </c>
      <c r="AO639" s="17">
        <f>AH639*AG639</f>
        <v>10.752100856911069</v>
      </c>
      <c r="AP639" s="16">
        <f>AN639/AO639</f>
        <v>8.1035469290495175E-3</v>
      </c>
      <c r="AQ639" s="6" t="str">
        <f>+IF(AP639&gt;AL639,"Cumple","No Cumple")</f>
        <v>Cumple</v>
      </c>
    </row>
    <row r="640" spans="1:43" x14ac:dyDescent="0.3">
      <c r="A640" s="13"/>
      <c r="B640" s="1">
        <v>19</v>
      </c>
      <c r="C640" s="1">
        <v>84</v>
      </c>
      <c r="D640" s="1">
        <v>0</v>
      </c>
      <c r="E640" s="5">
        <v>1</v>
      </c>
      <c r="F640" s="3">
        <f>F639+E640</f>
        <v>19</v>
      </c>
      <c r="G640" s="5">
        <v>2</v>
      </c>
      <c r="H640" s="3">
        <f>PI()*(G640^2)/4</f>
        <v>3.1415926535897931</v>
      </c>
      <c r="I640" s="4">
        <v>3.2143999999999999E-2</v>
      </c>
      <c r="K640" s="3">
        <v>211.48149763922609</v>
      </c>
      <c r="L640" s="3">
        <v>527.46703000000002</v>
      </c>
      <c r="M640" s="3">
        <v>1236.9111700000001</v>
      </c>
      <c r="N640" s="12">
        <f>I640/H640</f>
        <v>1.0231752981491768E-2</v>
      </c>
      <c r="O640" s="11">
        <f>I640*10000</f>
        <v>321.44</v>
      </c>
      <c r="P640" s="1">
        <v>10</v>
      </c>
      <c r="Q640" s="1">
        <v>1</v>
      </c>
      <c r="R640" s="3">
        <f>Q640*VLOOKUP(P640,[1]Datos!$A$2:$D$14,2)</f>
        <v>8.19</v>
      </c>
      <c r="S640" s="10">
        <f>ROUNDUP(O640/R640,0)</f>
        <v>40</v>
      </c>
      <c r="T640" s="2">
        <v>46</v>
      </c>
      <c r="U640" s="3">
        <f>ROUNDDOWN(PI()*(G640-0.185)/T640,2)</f>
        <v>0.12</v>
      </c>
      <c r="V640" s="3"/>
      <c r="W640" s="1">
        <v>280</v>
      </c>
      <c r="X640" s="9">
        <v>2</v>
      </c>
      <c r="Y640" s="1">
        <v>6</v>
      </c>
      <c r="Z640" s="3">
        <f>X640*VLOOKUP(Y640,[1]Datos!$A$2:$D$14,2)</f>
        <v>5.68</v>
      </c>
      <c r="AA640" s="8">
        <v>7.4999999999999997E-2</v>
      </c>
      <c r="AB640" s="7">
        <f>IF(D640=0,0.9,0.5)*0.9*0.53*SQRT(W640)*G640*MAX(0.72*G640,0.9*((G640/2)+((G640-0.11)/PI())))*10</f>
        <v>207.09423574274689</v>
      </c>
      <c r="AC640" s="7">
        <f>0.9*Z640*4220*MAX(0.72*G640,0.9*((G640/2)+((G640-0.11)/PI())))/AA640/1000</f>
        <v>414.61035434434268</v>
      </c>
      <c r="AD640" s="6" t="str">
        <f>+IF(AC640&gt;K640-AB640,"Cumple","No Cumple")</f>
        <v>Cumple</v>
      </c>
      <c r="AE640" s="6"/>
      <c r="AF640" s="5">
        <v>20</v>
      </c>
      <c r="AG640" s="7">
        <f>ROUNDUP(MAX(0.45,G640,AF640/6),0)</f>
        <v>4</v>
      </c>
      <c r="AH640" s="3">
        <f>PI()*(G640-0.15)^2/4</f>
        <v>2.6880252142277672</v>
      </c>
      <c r="AI640" s="7">
        <f>G640-0.15-VLOOKUP(Y640,[1]Datos!$A$2:$D$14,3)/100</f>
        <v>1.8309000000000002</v>
      </c>
      <c r="AJ640" s="7">
        <f>SQRT((PI()*AI640)^2+AA640^2)</f>
        <v>5.7524309339691264</v>
      </c>
      <c r="AK640" s="1">
        <v>0.12</v>
      </c>
      <c r="AL640" s="16">
        <f>MAX(0.45*(H640/AH640-1),AK640)*(W640/4220)</f>
        <v>7.9620853080568724E-3</v>
      </c>
      <c r="AM640" s="7">
        <f>AG640*(AJ640/AA640)</f>
        <v>306.79631647835345</v>
      </c>
      <c r="AN640" s="17">
        <f>AM640*Z640/X640/10000</f>
        <v>8.7130153879852373E-2</v>
      </c>
      <c r="AO640" s="17">
        <f>AH640*AG640</f>
        <v>10.752100856911069</v>
      </c>
      <c r="AP640" s="16">
        <f>AN640/AO640</f>
        <v>8.1035469290495175E-3</v>
      </c>
      <c r="AQ640" s="6" t="str">
        <f>+IF(AP640&gt;AL640,"Cumple","No Cumple")</f>
        <v>Cumple</v>
      </c>
    </row>
    <row r="641" spans="1:43" x14ac:dyDescent="0.3">
      <c r="A641" s="13"/>
      <c r="B641" s="1">
        <v>20</v>
      </c>
      <c r="C641" s="1">
        <v>86</v>
      </c>
      <c r="D641" s="1">
        <v>0</v>
      </c>
      <c r="E641" s="5">
        <v>1</v>
      </c>
      <c r="F641" s="3">
        <f>F640+E641</f>
        <v>20</v>
      </c>
      <c r="G641" s="5">
        <v>2</v>
      </c>
      <c r="H641" s="3">
        <f>PI()*(G641^2)/4</f>
        <v>3.1415926535897931</v>
      </c>
      <c r="I641" s="4">
        <v>3.7482000000000001E-2</v>
      </c>
      <c r="K641" s="3">
        <v>211.48233882052656</v>
      </c>
      <c r="L641" s="3">
        <v>619.32084999999995</v>
      </c>
      <c r="M641" s="3">
        <v>1321.5392300000001</v>
      </c>
      <c r="N641" s="12">
        <f>I641/H641</f>
        <v>1.1930891153940843E-2</v>
      </c>
      <c r="O641" s="11">
        <f>I641*10000</f>
        <v>374.82</v>
      </c>
      <c r="P641" s="1">
        <v>10</v>
      </c>
      <c r="Q641" s="1">
        <v>1</v>
      </c>
      <c r="R641" s="3">
        <f>Q641*VLOOKUP(P641,[1]Datos!$A$2:$D$14,2)</f>
        <v>8.19</v>
      </c>
      <c r="S641" s="10">
        <f>ROUNDUP(O641/R641,0)</f>
        <v>46</v>
      </c>
      <c r="T641" s="2">
        <v>46</v>
      </c>
      <c r="U641" s="3">
        <f>ROUNDDOWN(PI()*(G641-0.185)/T641,2)</f>
        <v>0.12</v>
      </c>
      <c r="V641" s="3"/>
      <c r="W641" s="1">
        <v>280</v>
      </c>
      <c r="X641" s="9">
        <v>2</v>
      </c>
      <c r="Y641" s="1">
        <v>6</v>
      </c>
      <c r="Z641" s="3">
        <f>X641*VLOOKUP(Y641,[1]Datos!$A$2:$D$14,2)</f>
        <v>5.68</v>
      </c>
      <c r="AA641" s="8">
        <v>7.4999999999999997E-2</v>
      </c>
      <c r="AB641" s="7">
        <f>IF(D641=0,0.9,0.5)*0.9*0.53*SQRT(W641)*G641*MAX(0.72*G641,0.9*((G641/2)+((G641-0.11)/PI())))*10</f>
        <v>207.09423574274689</v>
      </c>
      <c r="AC641" s="7">
        <f>0.9*Z641*4220*MAX(0.72*G641,0.9*((G641/2)+((G641-0.11)/PI())))/AA641/1000</f>
        <v>414.61035434434268</v>
      </c>
      <c r="AD641" s="6" t="str">
        <f>+IF(AC641&gt;K641-AB641,"Cumple","No Cumple")</f>
        <v>Cumple</v>
      </c>
      <c r="AE641" s="6"/>
      <c r="AF641" s="5">
        <v>20</v>
      </c>
      <c r="AG641" s="7">
        <f>ROUNDUP(MAX(0.45,G641,AF641/6),0)</f>
        <v>4</v>
      </c>
      <c r="AH641" s="3">
        <f>PI()*(G641-0.15)^2/4</f>
        <v>2.6880252142277672</v>
      </c>
      <c r="AI641" s="7">
        <f>G641-0.15-VLOOKUP(Y641,[1]Datos!$A$2:$D$14,3)/100</f>
        <v>1.8309000000000002</v>
      </c>
      <c r="AJ641" s="7">
        <f>SQRT((PI()*AI641)^2+AA641^2)</f>
        <v>5.7524309339691264</v>
      </c>
      <c r="AK641" s="1">
        <v>0.12</v>
      </c>
      <c r="AL641" s="16">
        <f>MAX(0.45*(H641/AH641-1),AK641)*(W641/4220)</f>
        <v>7.9620853080568724E-3</v>
      </c>
      <c r="AM641" s="7">
        <f>AG641*(AJ641/AA641)</f>
        <v>306.79631647835345</v>
      </c>
      <c r="AN641" s="17">
        <f>AM641*Z641/X641/10000</f>
        <v>8.7130153879852373E-2</v>
      </c>
      <c r="AO641" s="17">
        <f>AH641*AG641</f>
        <v>10.752100856911069</v>
      </c>
      <c r="AP641" s="16">
        <f>AN641/AO641</f>
        <v>8.1035469290495175E-3</v>
      </c>
      <c r="AQ641" s="6" t="str">
        <f>+IF(AP641&gt;AL641,"Cumple","No Cumple")</f>
        <v>Cumple</v>
      </c>
    </row>
    <row r="642" spans="1:43" x14ac:dyDescent="0.3">
      <c r="A642" s="13"/>
      <c r="B642" s="1">
        <v>21</v>
      </c>
      <c r="C642" s="1">
        <v>288</v>
      </c>
      <c r="D642" s="1">
        <v>1</v>
      </c>
      <c r="E642" s="5">
        <v>1</v>
      </c>
      <c r="F642" s="3">
        <f>F641+E642</f>
        <v>21</v>
      </c>
      <c r="G642" s="5">
        <v>2</v>
      </c>
      <c r="H642" s="3">
        <f>PI()*(G642^2)/4</f>
        <v>3.1415926535897931</v>
      </c>
      <c r="I642" s="4">
        <v>9.2765E-2</v>
      </c>
      <c r="K642" s="3">
        <v>211.60121302518567</v>
      </c>
      <c r="L642" s="3">
        <v>1398.93352</v>
      </c>
      <c r="M642" s="3">
        <v>2540.5390499999999</v>
      </c>
      <c r="N642" s="12">
        <f>I642/H642</f>
        <v>2.9528016591839342E-2</v>
      </c>
      <c r="O642" s="11">
        <f>I642*10000</f>
        <v>927.65</v>
      </c>
      <c r="P642" s="1">
        <v>10</v>
      </c>
      <c r="Q642" s="19">
        <v>2</v>
      </c>
      <c r="R642" s="3">
        <f>Q642*VLOOKUP(P642,[1]Datos!$A$2:$D$14,2)</f>
        <v>16.38</v>
      </c>
      <c r="S642" s="10">
        <f>ROUNDUP(O642/R642,0)</f>
        <v>57</v>
      </c>
      <c r="T642" s="18">
        <v>62</v>
      </c>
      <c r="U642" s="3">
        <f>ROUNDDOWN(PI()*(G642-0.185)/T642,2)</f>
        <v>0.09</v>
      </c>
      <c r="V642" s="3"/>
      <c r="W642" s="1">
        <v>280</v>
      </c>
      <c r="X642" s="9">
        <v>2</v>
      </c>
      <c r="Y642" s="1">
        <v>6</v>
      </c>
      <c r="Z642" s="3">
        <f>X642*VLOOKUP(Y642,[1]Datos!$A$2:$D$14,2)</f>
        <v>5.68</v>
      </c>
      <c r="AA642" s="8">
        <v>7.4999999999999997E-2</v>
      </c>
      <c r="AB642" s="7">
        <f>IF(D642=0,0.9,0.5)*0.9*0.53*SQRT(W642)*G642*MAX(0.72*G642,0.9*((G642/2)+((G642-0.11)/PI())))*10</f>
        <v>115.05235319041492</v>
      </c>
      <c r="AC642" s="7">
        <f>0.9*Z642*4220*MAX(0.72*G642,0.9*((G642/2)+((G642-0.11)/PI())))/AA642/1000</f>
        <v>414.61035434434268</v>
      </c>
      <c r="AD642" s="6" t="str">
        <f>+IF(AC642&gt;K642-AB642,"Cumple","No Cumple")</f>
        <v>Cumple</v>
      </c>
      <c r="AE642" s="6"/>
      <c r="AG642" s="7">
        <f>ROUNDUP(MAX(0.45,3*G642,),0)</f>
        <v>6</v>
      </c>
      <c r="AH642" s="3">
        <f>PI()*(G642-0.15)^2/4</f>
        <v>2.6880252142277672</v>
      </c>
      <c r="AI642" s="7">
        <f>G642-0.15-VLOOKUP(Y642,[1]Datos!$A$2:$D$14,3)/100</f>
        <v>1.8309000000000002</v>
      </c>
      <c r="AJ642" s="7">
        <f>SQRT((PI()*AI642)^2+AA642^2)</f>
        <v>5.7524309339691264</v>
      </c>
      <c r="AK642" s="1">
        <v>0.12</v>
      </c>
      <c r="AL642" s="16">
        <f>MAX(0.45*(H642/AH642-1),AK642)*(W642/4220)</f>
        <v>7.9620853080568724E-3</v>
      </c>
      <c r="AM642" s="7">
        <f>AG642*(AJ642/AA642)</f>
        <v>460.19447471753017</v>
      </c>
      <c r="AN642" s="17">
        <f>AM642*Z642/X642/10000</f>
        <v>0.13069523081977857</v>
      </c>
      <c r="AO642" s="17">
        <f>AH642*AG642</f>
        <v>16.128151285366602</v>
      </c>
      <c r="AP642" s="16">
        <f>AN642/AO642</f>
        <v>8.1035469290495193E-3</v>
      </c>
      <c r="AQ642" s="6" t="str">
        <f>+IF(AP642&gt;AL642,"Cumple","No Cumple")</f>
        <v>Cumple</v>
      </c>
    </row>
    <row r="643" spans="1:43" x14ac:dyDescent="0.3">
      <c r="A643" s="13"/>
      <c r="B643" s="1">
        <v>22</v>
      </c>
      <c r="C643" s="1">
        <v>289</v>
      </c>
      <c r="D643" s="1">
        <v>1</v>
      </c>
      <c r="E643" s="5">
        <v>1</v>
      </c>
      <c r="F643" s="3">
        <f>F642+E643</f>
        <v>22</v>
      </c>
      <c r="G643" s="5">
        <v>2</v>
      </c>
      <c r="H643" s="3">
        <f>PI()*(G643^2)/4</f>
        <v>3.1415926535897931</v>
      </c>
      <c r="I643" s="4">
        <v>9.8012000000000002E-2</v>
      </c>
      <c r="K643" s="3">
        <v>171.41829387763724</v>
      </c>
      <c r="L643" s="3">
        <v>1545.8090299999999</v>
      </c>
      <c r="M643" s="3">
        <v>2647.98216</v>
      </c>
      <c r="N643" s="12">
        <f>I643/H643</f>
        <v>3.1198188564645693E-2</v>
      </c>
      <c r="O643" s="11">
        <f>I643*10000</f>
        <v>980.12</v>
      </c>
      <c r="P643" s="1">
        <v>10</v>
      </c>
      <c r="Q643" s="19">
        <v>2</v>
      </c>
      <c r="R643" s="3">
        <f>Q643*VLOOKUP(P643,[1]Datos!$A$2:$D$14,2)</f>
        <v>16.38</v>
      </c>
      <c r="S643" s="10">
        <f>ROUNDUP(O643/R643,0)</f>
        <v>60</v>
      </c>
      <c r="T643" s="18">
        <v>62</v>
      </c>
      <c r="U643" s="3">
        <f>ROUNDDOWN(PI()*(G643-0.185)/T643,2)</f>
        <v>0.09</v>
      </c>
      <c r="V643" s="3"/>
      <c r="W643" s="1">
        <v>280</v>
      </c>
      <c r="X643" s="9">
        <v>2</v>
      </c>
      <c r="Y643" s="1">
        <v>6</v>
      </c>
      <c r="Z643" s="3">
        <f>X643*VLOOKUP(Y643,[1]Datos!$A$2:$D$14,2)</f>
        <v>5.68</v>
      </c>
      <c r="AA643" s="8">
        <v>7.4999999999999997E-2</v>
      </c>
      <c r="AB643" s="7">
        <f>IF(D643=0,0.9,0.5)*0.9*0.53*SQRT(W643)*G643*MAX(0.72*G643,0.9*((G643/2)+((G643-0.11)/PI())))*10</f>
        <v>115.05235319041492</v>
      </c>
      <c r="AC643" s="7">
        <f>0.9*Z643*4220*MAX(0.72*G643,0.9*((G643/2)+((G643-0.11)/PI())))/AA643/1000</f>
        <v>414.61035434434268</v>
      </c>
      <c r="AD643" s="6" t="str">
        <f>+IF(AC643&gt;K643-AB643,"Cumple","No Cumple")</f>
        <v>Cumple</v>
      </c>
      <c r="AE643" s="6"/>
      <c r="AG643" s="7">
        <f>ROUNDUP(MAX(0.45,3*G643,),0)</f>
        <v>6</v>
      </c>
      <c r="AH643" s="3">
        <f>PI()*(G643-0.15)^2/4</f>
        <v>2.6880252142277672</v>
      </c>
      <c r="AI643" s="7">
        <f>G643-0.15-VLOOKUP(Y643,[1]Datos!$A$2:$D$14,3)/100</f>
        <v>1.8309000000000002</v>
      </c>
      <c r="AJ643" s="7">
        <f>SQRT((PI()*AI643)^2+AA643^2)</f>
        <v>5.7524309339691264</v>
      </c>
      <c r="AK643" s="1">
        <v>0.12</v>
      </c>
      <c r="AL643" s="16">
        <f>MAX(0.45*(H643/AH643-1),AK643)*(W643/4220)</f>
        <v>7.9620853080568724E-3</v>
      </c>
      <c r="AM643" s="7">
        <f>AG643*(AJ643/AA643)</f>
        <v>460.19447471753017</v>
      </c>
      <c r="AN643" s="17">
        <f>AM643*Z643/X643/10000</f>
        <v>0.13069523081977857</v>
      </c>
      <c r="AO643" s="17">
        <f>AH643*AG643</f>
        <v>16.128151285366602</v>
      </c>
      <c r="AP643" s="16">
        <f>AN643/AO643</f>
        <v>8.1035469290495193E-3</v>
      </c>
      <c r="AQ643" s="6" t="str">
        <f>+IF(AP643&gt;AL643,"Cumple","No Cumple")</f>
        <v>Cumple</v>
      </c>
    </row>
    <row r="644" spans="1:43" x14ac:dyDescent="0.3">
      <c r="A644" s="13"/>
      <c r="B644" s="1">
        <v>23</v>
      </c>
      <c r="C644" s="1">
        <v>290</v>
      </c>
      <c r="D644" s="1">
        <v>1</v>
      </c>
      <c r="E644" s="5">
        <v>1</v>
      </c>
      <c r="F644" s="3">
        <f>F643+E644</f>
        <v>23</v>
      </c>
      <c r="G644" s="5">
        <v>2</v>
      </c>
      <c r="H644" s="3">
        <f>PI()*(G644^2)/4</f>
        <v>3.1415926535897931</v>
      </c>
      <c r="I644" s="4">
        <v>0.10025100000000001</v>
      </c>
      <c r="K644" s="3">
        <v>108.78813692420695</v>
      </c>
      <c r="L644" s="3">
        <v>1637.5015599999999</v>
      </c>
      <c r="M644" s="3">
        <v>2681.3845500000002</v>
      </c>
      <c r="N644" s="12">
        <f>I644/H644</f>
        <v>3.1910884399811205E-2</v>
      </c>
      <c r="O644" s="11">
        <f>I644*10000</f>
        <v>1002.5100000000001</v>
      </c>
      <c r="P644" s="1">
        <v>10</v>
      </c>
      <c r="Q644" s="19">
        <v>2</v>
      </c>
      <c r="R644" s="3">
        <f>Q644*VLOOKUP(P644,[1]Datos!$A$2:$D$14,2)</f>
        <v>16.38</v>
      </c>
      <c r="S644" s="10">
        <f>ROUNDUP(O644/R644,0)</f>
        <v>62</v>
      </c>
      <c r="T644" s="18">
        <v>62</v>
      </c>
      <c r="U644" s="3">
        <f>ROUNDDOWN(PI()*(G644-0.185)/T644,2)</f>
        <v>0.09</v>
      </c>
      <c r="V644" s="3"/>
      <c r="W644" s="1">
        <v>280</v>
      </c>
      <c r="X644" s="9">
        <v>2</v>
      </c>
      <c r="Y644" s="1">
        <v>6</v>
      </c>
      <c r="Z644" s="3">
        <f>X644*VLOOKUP(Y644,[1]Datos!$A$2:$D$14,2)</f>
        <v>5.68</v>
      </c>
      <c r="AA644" s="8">
        <v>7.4999999999999997E-2</v>
      </c>
      <c r="AB644" s="7">
        <f>IF(D644=0,0.9,0.5)*0.9*0.53*SQRT(W644)*G644*MAX(0.72*G644,0.9*((G644/2)+((G644-0.11)/PI())))*10</f>
        <v>115.05235319041492</v>
      </c>
      <c r="AC644" s="7">
        <f>0.9*Z644*4220*MAX(0.72*G644,0.9*((G644/2)+((G644-0.11)/PI())))/AA644/1000</f>
        <v>414.61035434434268</v>
      </c>
      <c r="AD644" s="6" t="str">
        <f>+IF(AC644&gt;K644-AB644,"Cumple","No Cumple")</f>
        <v>Cumple</v>
      </c>
      <c r="AE644" s="6"/>
      <c r="AG644" s="7">
        <f>ROUNDUP(MAX(0.45,3*G644,),0)</f>
        <v>6</v>
      </c>
      <c r="AH644" s="3">
        <f>PI()*(G644-0.15)^2/4</f>
        <v>2.6880252142277672</v>
      </c>
      <c r="AI644" s="7">
        <f>G644-0.15-VLOOKUP(Y644,[1]Datos!$A$2:$D$14,3)/100</f>
        <v>1.8309000000000002</v>
      </c>
      <c r="AJ644" s="7">
        <f>SQRT((PI()*AI644)^2+AA644^2)</f>
        <v>5.7524309339691264</v>
      </c>
      <c r="AK644" s="1">
        <v>0.12</v>
      </c>
      <c r="AL644" s="16">
        <f>MAX(0.45*(H644/AH644-1),AK644)*(W644/4220)</f>
        <v>7.9620853080568724E-3</v>
      </c>
      <c r="AM644" s="7">
        <f>AG644*(AJ644/AA644)</f>
        <v>460.19447471753017</v>
      </c>
      <c r="AN644" s="17">
        <f>AM644*Z644/X644/10000</f>
        <v>0.13069523081977857</v>
      </c>
      <c r="AO644" s="17">
        <f>AH644*AG644</f>
        <v>16.128151285366602</v>
      </c>
      <c r="AP644" s="16">
        <f>AN644/AO644</f>
        <v>8.1035469290495193E-3</v>
      </c>
      <c r="AQ644" s="6" t="str">
        <f>+IF(AP644&gt;AL644,"Cumple","No Cumple")</f>
        <v>Cumple</v>
      </c>
    </row>
    <row r="645" spans="1:43" x14ac:dyDescent="0.3">
      <c r="A645" s="13"/>
      <c r="B645" s="1">
        <v>24</v>
      </c>
      <c r="C645" s="1">
        <v>291</v>
      </c>
      <c r="D645" s="1">
        <v>1</v>
      </c>
      <c r="E645" s="5">
        <v>1</v>
      </c>
      <c r="F645" s="3">
        <f>F644+E645</f>
        <v>24</v>
      </c>
      <c r="G645" s="5">
        <v>2</v>
      </c>
      <c r="H645" s="3">
        <f>PI()*(G645^2)/4</f>
        <v>3.1415926535897931</v>
      </c>
      <c r="I645" s="4">
        <v>0.10025199999999999</v>
      </c>
      <c r="K645" s="3">
        <v>89.12594064311466</v>
      </c>
      <c r="L645" s="3">
        <v>1665.32241</v>
      </c>
      <c r="M645" s="3">
        <v>2681.3845500000002</v>
      </c>
      <c r="N645" s="12">
        <f>I645/H645</f>
        <v>3.1911202709697384E-2</v>
      </c>
      <c r="O645" s="11">
        <f>I645*10000</f>
        <v>1002.52</v>
      </c>
      <c r="P645" s="1">
        <v>10</v>
      </c>
      <c r="Q645" s="1">
        <v>2</v>
      </c>
      <c r="R645" s="3">
        <f>Q645*VLOOKUP(P645,[1]Datos!$A$2:$D$14,2)</f>
        <v>16.38</v>
      </c>
      <c r="S645" s="10">
        <f>ROUNDUP(O645/R645,0)</f>
        <v>62</v>
      </c>
      <c r="T645" s="2">
        <v>62</v>
      </c>
      <c r="U645" s="3">
        <f>ROUNDDOWN(PI()*(G645-0.185)/T645,2)</f>
        <v>0.09</v>
      </c>
      <c r="V645" s="3"/>
      <c r="W645" s="1">
        <v>280</v>
      </c>
      <c r="X645" s="9">
        <v>2</v>
      </c>
      <c r="Y645" s="1">
        <v>6</v>
      </c>
      <c r="Z645" s="3">
        <f>X645*VLOOKUP(Y645,[1]Datos!$A$2:$D$14,2)</f>
        <v>5.68</v>
      </c>
      <c r="AA645" s="8">
        <v>7.4999999999999997E-2</v>
      </c>
      <c r="AB645" s="7">
        <f>IF(D645=0,0.9,0.5)*0.9*0.53*SQRT(W645)*G645*MAX(0.72*G645,0.9*((G645/2)+((G645-0.11)/PI())))*10</f>
        <v>115.05235319041492</v>
      </c>
      <c r="AC645" s="7">
        <f>0.9*Z645*4220*MAX(0.72*G645,0.9*((G645/2)+((G645-0.11)/PI())))/AA645/1000</f>
        <v>414.61035434434268</v>
      </c>
      <c r="AD645" s="6" t="str">
        <f>+IF(AC645&gt;K645-AB645,"Cumple","No Cumple")</f>
        <v>Cumple</v>
      </c>
      <c r="AE645" s="6"/>
      <c r="AG645" s="7">
        <f>ROUNDUP(MAX(0.45,3*G645,),0)</f>
        <v>6</v>
      </c>
      <c r="AH645" s="3">
        <f>PI()*(G645-0.15)^2/4</f>
        <v>2.6880252142277672</v>
      </c>
      <c r="AI645" s="7">
        <f>G645-0.15-VLOOKUP(Y645,[1]Datos!$A$2:$D$14,3)/100</f>
        <v>1.8309000000000002</v>
      </c>
      <c r="AJ645" s="7">
        <f>SQRT((PI()*AI645)^2+AA645^2)</f>
        <v>5.7524309339691264</v>
      </c>
      <c r="AK645" s="1">
        <v>0.12</v>
      </c>
      <c r="AL645" s="16">
        <f>MAX(0.45*(H645/AH645-1),AK645)*(W645/4220)</f>
        <v>7.9620853080568724E-3</v>
      </c>
      <c r="AM645" s="7">
        <f>AG645*(AJ645/AA645)</f>
        <v>460.19447471753017</v>
      </c>
      <c r="AN645" s="17">
        <f>AM645*Z645/X645/10000</f>
        <v>0.13069523081977857</v>
      </c>
      <c r="AO645" s="17">
        <f>AH645*AG645</f>
        <v>16.128151285366602</v>
      </c>
      <c r="AP645" s="16">
        <f>AN645/AO645</f>
        <v>8.1035469290495193E-3</v>
      </c>
      <c r="AQ645" s="6" t="str">
        <f>+IF(AP645&gt;AL645,"Cumple","No Cumple")</f>
        <v>Cumple</v>
      </c>
    </row>
    <row r="646" spans="1:43" x14ac:dyDescent="0.3">
      <c r="A646" s="13"/>
      <c r="B646" s="1">
        <v>25</v>
      </c>
      <c r="C646" s="1">
        <v>292</v>
      </c>
      <c r="D646" s="1">
        <v>1</v>
      </c>
      <c r="E646" s="5">
        <v>1</v>
      </c>
      <c r="F646" s="3">
        <f>F645+E646</f>
        <v>25</v>
      </c>
      <c r="G646" s="5">
        <v>2</v>
      </c>
      <c r="H646" s="3">
        <f>PI()*(G646^2)/4</f>
        <v>3.1415926535897931</v>
      </c>
      <c r="I646" s="4">
        <v>9.7541000000000003E-2</v>
      </c>
      <c r="K646" s="3">
        <v>147.82343792247562</v>
      </c>
      <c r="L646" s="3">
        <v>1665.32241</v>
      </c>
      <c r="M646" s="3">
        <v>2630.93325</v>
      </c>
      <c r="N646" s="12">
        <f>I646/H646</f>
        <v>3.1048264608253127E-2</v>
      </c>
      <c r="O646" s="11">
        <f>I646*10000</f>
        <v>975.41000000000008</v>
      </c>
      <c r="P646" s="1">
        <v>10</v>
      </c>
      <c r="Q646" s="1">
        <v>2</v>
      </c>
      <c r="R646" s="3">
        <f>Q646*VLOOKUP(P646,[1]Datos!$A$2:$D$14,2)</f>
        <v>16.38</v>
      </c>
      <c r="S646" s="10">
        <f>ROUNDUP(O646/R646,0)</f>
        <v>60</v>
      </c>
      <c r="T646" s="2">
        <v>62</v>
      </c>
      <c r="U646" s="3">
        <f>ROUNDDOWN(PI()*(G646-0.185)/T646,2)</f>
        <v>0.09</v>
      </c>
      <c r="V646" s="3"/>
      <c r="W646" s="1">
        <v>280</v>
      </c>
      <c r="X646" s="9">
        <v>2</v>
      </c>
      <c r="Y646" s="1">
        <v>6</v>
      </c>
      <c r="Z646" s="3">
        <f>X646*VLOOKUP(Y646,[1]Datos!$A$2:$D$14,2)</f>
        <v>5.68</v>
      </c>
      <c r="AA646" s="8">
        <v>7.4999999999999997E-2</v>
      </c>
      <c r="AB646" s="7">
        <f>IF(D646=0,0.9,0.5)*0.9*0.53*SQRT(W646)*G646*MAX(0.72*G646,0.9*((G646/2)+((G646-0.11)/PI())))*10</f>
        <v>115.05235319041492</v>
      </c>
      <c r="AC646" s="7">
        <f>0.9*Z646*4220*MAX(0.72*G646,0.9*((G646/2)+((G646-0.11)/PI())))/AA646/1000</f>
        <v>414.61035434434268</v>
      </c>
      <c r="AD646" s="6" t="str">
        <f>+IF(AC646&gt;K646-AB646,"Cumple","No Cumple")</f>
        <v>Cumple</v>
      </c>
      <c r="AE646" s="6"/>
      <c r="AG646" s="7">
        <f>ROUNDUP(MAX(0.45,3*G646,),0)</f>
        <v>6</v>
      </c>
      <c r="AH646" s="3">
        <f>PI()*(G646-0.15)^2/4</f>
        <v>2.6880252142277672</v>
      </c>
      <c r="AI646" s="7">
        <f>G646-0.15-VLOOKUP(Y646,[1]Datos!$A$2:$D$14,3)/100</f>
        <v>1.8309000000000002</v>
      </c>
      <c r="AJ646" s="7">
        <f>SQRT((PI()*AI646)^2+AA646^2)</f>
        <v>5.7524309339691264</v>
      </c>
      <c r="AK646" s="1">
        <v>0.12</v>
      </c>
      <c r="AL646" s="16">
        <f>MAX(0.45*(H646/AH646-1),AK646)*(W646/4220)</f>
        <v>7.9620853080568724E-3</v>
      </c>
      <c r="AM646" s="7">
        <f>AG646*(AJ646/AA646)</f>
        <v>460.19447471753017</v>
      </c>
      <c r="AN646" s="17">
        <f>AM646*Z646/X646/10000</f>
        <v>0.13069523081977857</v>
      </c>
      <c r="AO646" s="17">
        <f>AH646*AG646</f>
        <v>16.128151285366602</v>
      </c>
      <c r="AP646" s="16">
        <f>AN646/AO646</f>
        <v>8.1035469290495193E-3</v>
      </c>
      <c r="AQ646" s="6" t="str">
        <f>+IF(AP646&gt;AL646,"Cumple","No Cumple")</f>
        <v>Cumple</v>
      </c>
    </row>
    <row r="647" spans="1:43" x14ac:dyDescent="0.3">
      <c r="A647" s="13"/>
      <c r="B647" s="1">
        <v>26</v>
      </c>
      <c r="C647" s="1">
        <v>293</v>
      </c>
      <c r="D647" s="1">
        <v>1</v>
      </c>
      <c r="E647" s="5">
        <v>1</v>
      </c>
      <c r="F647" s="3">
        <f>F646+E647</f>
        <v>26</v>
      </c>
      <c r="G647" s="5">
        <v>2</v>
      </c>
      <c r="H647" s="3">
        <f>PI()*(G647^2)/4</f>
        <v>3.1415926535897931</v>
      </c>
      <c r="I647" s="4">
        <v>9.2081999999999997E-2</v>
      </c>
      <c r="K647" s="3">
        <v>207.79174798441829</v>
      </c>
      <c r="L647" s="3">
        <v>1629.8093699999999</v>
      </c>
      <c r="M647" s="3">
        <v>2499.6785599999998</v>
      </c>
      <c r="N647" s="12">
        <f>I647/H647</f>
        <v>2.9310610939575814E-2</v>
      </c>
      <c r="O647" s="11">
        <f>I647*10000</f>
        <v>920.81999999999994</v>
      </c>
      <c r="P647" s="1">
        <v>10</v>
      </c>
      <c r="Q647" s="1">
        <v>2</v>
      </c>
      <c r="R647" s="3">
        <f>Q647*VLOOKUP(P647,[1]Datos!$A$2:$D$14,2)</f>
        <v>16.38</v>
      </c>
      <c r="S647" s="10">
        <f>ROUNDUP(O647/R647,0)</f>
        <v>57</v>
      </c>
      <c r="T647" s="2">
        <v>62</v>
      </c>
      <c r="U647" s="3">
        <f>ROUNDDOWN(PI()*(G647-0.185)/T647,2)</f>
        <v>0.09</v>
      </c>
      <c r="V647" s="3"/>
      <c r="W647" s="1">
        <v>280</v>
      </c>
      <c r="X647" s="9">
        <v>2</v>
      </c>
      <c r="Y647" s="1">
        <v>6</v>
      </c>
      <c r="Z647" s="3">
        <f>X647*VLOOKUP(Y647,[1]Datos!$A$2:$D$14,2)</f>
        <v>5.68</v>
      </c>
      <c r="AA647" s="8">
        <v>7.4999999999999997E-2</v>
      </c>
      <c r="AB647" s="7">
        <f>IF(D647=0,0.9,0.5)*0.9*0.53*SQRT(W647)*G647*MAX(0.72*G647,0.9*((G647/2)+((G647-0.11)/PI())))*10</f>
        <v>115.05235319041492</v>
      </c>
      <c r="AC647" s="7">
        <f>0.9*Z647*4220*MAX(0.72*G647,0.9*((G647/2)+((G647-0.11)/PI())))/AA647/1000</f>
        <v>414.61035434434268</v>
      </c>
      <c r="AD647" s="6" t="str">
        <f>+IF(AC647&gt;K647-AB647,"Cumple","No Cumple")</f>
        <v>Cumple</v>
      </c>
      <c r="AE647" s="6"/>
      <c r="AG647" s="7">
        <f>ROUNDUP(MAX(0.45,3*G647,),0)</f>
        <v>6</v>
      </c>
      <c r="AH647" s="3">
        <f>PI()*(G647-0.15)^2/4</f>
        <v>2.6880252142277672</v>
      </c>
      <c r="AI647" s="7">
        <f>G647-0.15-VLOOKUP(Y647,[1]Datos!$A$2:$D$14,3)/100</f>
        <v>1.8309000000000002</v>
      </c>
      <c r="AJ647" s="7">
        <f>SQRT((PI()*AI647)^2+AA647^2)</f>
        <v>5.7524309339691264</v>
      </c>
      <c r="AK647" s="1">
        <v>0.12</v>
      </c>
      <c r="AL647" s="16">
        <f>MAX(0.45*(H647/AH647-1),AK647)*(W647/4220)</f>
        <v>7.9620853080568724E-3</v>
      </c>
      <c r="AM647" s="7">
        <f>AG647*(AJ647/AA647)</f>
        <v>460.19447471753017</v>
      </c>
      <c r="AN647" s="17">
        <f>AM647*Z647/X647/10000</f>
        <v>0.13069523081977857</v>
      </c>
      <c r="AO647" s="17">
        <f>AH647*AG647</f>
        <v>16.128151285366602</v>
      </c>
      <c r="AP647" s="16">
        <f>AN647/AO647</f>
        <v>8.1035469290495193E-3</v>
      </c>
      <c r="AQ647" s="6" t="str">
        <f>+IF(AP647&gt;AL647,"Cumple","No Cumple")</f>
        <v>Cumple</v>
      </c>
    </row>
    <row r="648" spans="1:43" x14ac:dyDescent="0.3">
      <c r="A648" s="13"/>
      <c r="B648" s="1">
        <v>27</v>
      </c>
      <c r="C648" s="1">
        <v>295</v>
      </c>
      <c r="D648" s="1">
        <v>1</v>
      </c>
      <c r="E648" s="5">
        <v>1</v>
      </c>
      <c r="F648" s="3">
        <f>F647+E648</f>
        <v>27</v>
      </c>
      <c r="G648" s="5">
        <v>2</v>
      </c>
      <c r="H648" s="3">
        <f>PI()*(G648^2)/4</f>
        <v>3.1415926535897931</v>
      </c>
      <c r="I648" s="4">
        <v>8.5620000000000002E-2</v>
      </c>
      <c r="K648" s="3">
        <v>260.68871752519328</v>
      </c>
      <c r="L648" s="3">
        <v>1538.1586400000001</v>
      </c>
      <c r="M648" s="3">
        <v>2299.5718400000001</v>
      </c>
      <c r="N648" s="12">
        <f>I648/H648</f>
        <v>2.7253692455056159E-2</v>
      </c>
      <c r="O648" s="11">
        <f>I648*10000</f>
        <v>856.2</v>
      </c>
      <c r="P648" s="1">
        <v>10</v>
      </c>
      <c r="Q648" s="1">
        <v>2</v>
      </c>
      <c r="R648" s="3">
        <f>Q648*VLOOKUP(P648,[1]Datos!$A$2:$D$14,2)</f>
        <v>16.38</v>
      </c>
      <c r="S648" s="10">
        <f>ROUNDUP(O648/R648,0)</f>
        <v>53</v>
      </c>
      <c r="T648" s="2">
        <v>62</v>
      </c>
      <c r="U648" s="3">
        <f>ROUNDDOWN(PI()*(G648-0.185)/T648,2)</f>
        <v>0.09</v>
      </c>
      <c r="V648" s="3"/>
      <c r="W648" s="1">
        <v>280</v>
      </c>
      <c r="X648" s="9">
        <v>2</v>
      </c>
      <c r="Y648" s="1">
        <v>6</v>
      </c>
      <c r="Z648" s="3">
        <f>X648*VLOOKUP(Y648,[1]Datos!$A$2:$D$14,2)</f>
        <v>5.68</v>
      </c>
      <c r="AA648" s="8">
        <v>7.4999999999999997E-2</v>
      </c>
      <c r="AB648" s="7">
        <f>IF(D648=0,0.9,0.5)*0.9*0.53*SQRT(W648)*G648*MAX(0.72*G648,0.9*((G648/2)+((G648-0.11)/PI())))*10</f>
        <v>115.05235319041492</v>
      </c>
      <c r="AC648" s="7">
        <f>0.9*Z648*4220*MAX(0.72*G648,0.9*((G648/2)+((G648-0.11)/PI())))/AA648/1000</f>
        <v>414.61035434434268</v>
      </c>
      <c r="AD648" s="6" t="str">
        <f>+IF(AC648&gt;K648-AB648,"Cumple","No Cumple")</f>
        <v>Cumple</v>
      </c>
      <c r="AE648" s="6"/>
      <c r="AG648" s="7">
        <f>ROUNDUP(MAX(0.45,3*G648,),0)</f>
        <v>6</v>
      </c>
      <c r="AH648" s="3">
        <f>PI()*(G648-0.15)^2/4</f>
        <v>2.6880252142277672</v>
      </c>
      <c r="AI648" s="7">
        <f>G648-0.15-VLOOKUP(Y648,[1]Datos!$A$2:$D$14,3)/100</f>
        <v>1.8309000000000002</v>
      </c>
      <c r="AJ648" s="7">
        <f>SQRT((PI()*AI648)^2+AA648^2)</f>
        <v>5.7524309339691264</v>
      </c>
      <c r="AK648" s="1">
        <v>0.12</v>
      </c>
      <c r="AL648" s="16">
        <f>MAX(0.45*(H648/AH648-1),AK648)*(W648/4220)</f>
        <v>7.9620853080568724E-3</v>
      </c>
      <c r="AM648" s="7">
        <f>AG648*(AJ648/AA648)</f>
        <v>460.19447471753017</v>
      </c>
      <c r="AN648" s="17">
        <f>AM648*Z648/X648/10000</f>
        <v>0.13069523081977857</v>
      </c>
      <c r="AO648" s="17">
        <f>AH648*AG648</f>
        <v>16.128151285366602</v>
      </c>
      <c r="AP648" s="16">
        <f>AN648/AO648</f>
        <v>8.1035469290495193E-3</v>
      </c>
      <c r="AQ648" s="6" t="str">
        <f>+IF(AP648&gt;AL648,"Cumple","No Cumple")</f>
        <v>Cumple</v>
      </c>
    </row>
    <row r="649" spans="1:43" x14ac:dyDescent="0.3">
      <c r="A649" s="13"/>
      <c r="B649" s="1">
        <v>28</v>
      </c>
      <c r="C649" s="1">
        <v>297</v>
      </c>
      <c r="D649" s="1">
        <v>1</v>
      </c>
      <c r="E649" s="5">
        <v>1</v>
      </c>
      <c r="F649" s="3">
        <f>F648+E649</f>
        <v>28</v>
      </c>
      <c r="G649" s="5">
        <v>2</v>
      </c>
      <c r="H649" s="3">
        <f>PI()*(G649^2)/4</f>
        <v>3.1415926535897931</v>
      </c>
      <c r="I649" s="4">
        <v>7.5567999999999996E-2</v>
      </c>
      <c r="K649" s="3">
        <v>293.85414988679332</v>
      </c>
      <c r="L649" s="3">
        <v>1401.796</v>
      </c>
      <c r="M649" s="3">
        <v>2047.8619200000001</v>
      </c>
      <c r="N649" s="12">
        <f>I649/H649</f>
        <v>2.4054041479136694E-2</v>
      </c>
      <c r="O649" s="11">
        <f>I649*10000</f>
        <v>755.68</v>
      </c>
      <c r="P649" s="1">
        <v>10</v>
      </c>
      <c r="Q649" s="1">
        <v>2</v>
      </c>
      <c r="R649" s="3">
        <f>Q649*VLOOKUP(P649,[1]Datos!$A$2:$D$14,2)</f>
        <v>16.38</v>
      </c>
      <c r="S649" s="10">
        <f>ROUNDUP(O649/R649,0)</f>
        <v>47</v>
      </c>
      <c r="T649" s="2">
        <v>62</v>
      </c>
      <c r="U649" s="3">
        <f>ROUNDDOWN(PI()*(G649-0.185)/T649,2)</f>
        <v>0.09</v>
      </c>
      <c r="V649" s="3"/>
      <c r="W649" s="1">
        <v>280</v>
      </c>
      <c r="X649" s="9">
        <v>2</v>
      </c>
      <c r="Y649" s="1">
        <v>6</v>
      </c>
      <c r="Z649" s="3">
        <f>X649*VLOOKUP(Y649,[1]Datos!$A$2:$D$14,2)</f>
        <v>5.68</v>
      </c>
      <c r="AA649" s="8">
        <v>7.4999999999999997E-2</v>
      </c>
      <c r="AB649" s="7">
        <f>IF(D649=0,0.9,0.5)*0.9*0.53*SQRT(W649)*G649*MAX(0.72*G649,0.9*((G649/2)+((G649-0.11)/PI())))*10</f>
        <v>115.05235319041492</v>
      </c>
      <c r="AC649" s="7">
        <f>0.9*Z649*4220*MAX(0.72*G649,0.9*((G649/2)+((G649-0.11)/PI())))/AA649/1000</f>
        <v>414.61035434434268</v>
      </c>
      <c r="AD649" s="6" t="str">
        <f>+IF(AC649&gt;K649-AB649,"Cumple","No Cumple")</f>
        <v>Cumple</v>
      </c>
      <c r="AE649" s="6"/>
      <c r="AG649" s="7">
        <f>ROUNDUP(MAX(0.45,3*G649,),0)</f>
        <v>6</v>
      </c>
      <c r="AH649" s="3">
        <f>PI()*(G649-0.15)^2/4</f>
        <v>2.6880252142277672</v>
      </c>
      <c r="AI649" s="7">
        <f>G649-0.15-VLOOKUP(Y649,[1]Datos!$A$2:$D$14,3)/100</f>
        <v>1.8309000000000002</v>
      </c>
      <c r="AJ649" s="7">
        <f>SQRT((PI()*AI649)^2+AA649^2)</f>
        <v>5.7524309339691264</v>
      </c>
      <c r="AK649" s="1">
        <v>0.12</v>
      </c>
      <c r="AL649" s="16">
        <f>MAX(0.45*(H649/AH649-1),AK649)*(W649/4220)</f>
        <v>7.9620853080568724E-3</v>
      </c>
      <c r="AM649" s="7">
        <f>AG649*(AJ649/AA649)</f>
        <v>460.19447471753017</v>
      </c>
      <c r="AN649" s="17">
        <f>AM649*Z649/X649/10000</f>
        <v>0.13069523081977857</v>
      </c>
      <c r="AO649" s="17">
        <f>AH649*AG649</f>
        <v>16.128151285366602</v>
      </c>
      <c r="AP649" s="16">
        <f>AN649/AO649</f>
        <v>8.1035469290495193E-3</v>
      </c>
      <c r="AQ649" s="6" t="str">
        <f>+IF(AP649&gt;AL649,"Cumple","No Cumple")</f>
        <v>Cumple</v>
      </c>
    </row>
    <row r="650" spans="1:43" x14ac:dyDescent="0.3">
      <c r="A650" s="13"/>
      <c r="B650" s="1">
        <v>29</v>
      </c>
      <c r="C650" s="1">
        <v>299</v>
      </c>
      <c r="D650" s="1">
        <v>1</v>
      </c>
      <c r="E650" s="5">
        <v>1</v>
      </c>
      <c r="F650" s="3">
        <f>F649+E650</f>
        <v>29</v>
      </c>
      <c r="G650" s="5">
        <v>2</v>
      </c>
      <c r="H650" s="3">
        <f>PI()*(G650^2)/4</f>
        <v>3.1415926535897931</v>
      </c>
      <c r="I650" s="4">
        <v>6.1575999999999999E-2</v>
      </c>
      <c r="K650" s="3">
        <v>307.32887126016976</v>
      </c>
      <c r="L650" s="3">
        <v>1234.2270900000001</v>
      </c>
      <c r="M650" s="3">
        <v>1763.9904200000001</v>
      </c>
      <c r="N650" s="12">
        <f>I650/H650</f>
        <v>1.9600249551653095E-2</v>
      </c>
      <c r="O650" s="11">
        <f>I650*10000</f>
        <v>615.76</v>
      </c>
      <c r="P650" s="1">
        <v>10</v>
      </c>
      <c r="Q650" s="1">
        <v>2</v>
      </c>
      <c r="R650" s="3">
        <f>Q650*VLOOKUP(P650,[1]Datos!$A$2:$D$14,2)</f>
        <v>16.38</v>
      </c>
      <c r="S650" s="10">
        <f>ROUNDUP(O650/R650,0)</f>
        <v>38</v>
      </c>
      <c r="T650" s="2">
        <v>62</v>
      </c>
      <c r="U650" s="3">
        <f>ROUNDDOWN(PI()*(G650-0.185)/T650,2)</f>
        <v>0.09</v>
      </c>
      <c r="V650" s="3"/>
      <c r="W650" s="1">
        <v>280</v>
      </c>
      <c r="X650" s="9">
        <v>2</v>
      </c>
      <c r="Y650" s="1">
        <v>6</v>
      </c>
      <c r="Z650" s="3">
        <f>X650*VLOOKUP(Y650,[1]Datos!$A$2:$D$14,2)</f>
        <v>5.68</v>
      </c>
      <c r="AA650" s="8">
        <v>0.15</v>
      </c>
      <c r="AB650" s="7">
        <f>IF(D650=0,0.9,0.5)*0.9*0.53*SQRT(W650)*G650*MAX(0.72*G650,0.9*((G650/2)+((G650-0.11)/PI())))*10</f>
        <v>115.05235319041492</v>
      </c>
      <c r="AC650" s="7">
        <f>0.9*Z650*4220*MAX(0.72*G650,0.9*((G650/2)+((G650-0.11)/PI())))/AA650/1000</f>
        <v>207.30517717217134</v>
      </c>
      <c r="AD650" s="6" t="str">
        <f>+IF(AC650&gt;K650-AB650,"Cumple","No Cumple")</f>
        <v>Cumple</v>
      </c>
      <c r="AE650" s="6"/>
      <c r="AH650" s="3"/>
    </row>
    <row r="651" spans="1:43" x14ac:dyDescent="0.3">
      <c r="A651" s="13"/>
      <c r="B651" s="1">
        <v>30</v>
      </c>
      <c r="C651" s="1">
        <v>301</v>
      </c>
      <c r="D651" s="1">
        <v>1</v>
      </c>
      <c r="E651" s="5">
        <v>1</v>
      </c>
      <c r="F651" s="3">
        <f>F650+E651</f>
        <v>30</v>
      </c>
      <c r="G651" s="5">
        <v>2</v>
      </c>
      <c r="H651" s="3">
        <f>PI()*(G651^2)/4</f>
        <v>3.1415926535897931</v>
      </c>
      <c r="I651" s="4">
        <v>5.4205000000000003E-2</v>
      </c>
      <c r="K651" s="3">
        <v>303.12514923161689</v>
      </c>
      <c r="L651" s="3">
        <v>1049.2643</v>
      </c>
      <c r="M651" s="3">
        <v>1467.1466800000001</v>
      </c>
      <c r="N651" s="12">
        <f>I651/H651</f>
        <v>1.7253987380592375E-2</v>
      </c>
      <c r="O651" s="11">
        <f>I651*10000</f>
        <v>542.05000000000007</v>
      </c>
      <c r="P651" s="1">
        <v>10</v>
      </c>
      <c r="Q651" s="19">
        <v>2</v>
      </c>
      <c r="R651" s="3">
        <f>Q651*VLOOKUP(P651,[1]Datos!$A$2:$D$14,2)</f>
        <v>16.38</v>
      </c>
      <c r="S651" s="10">
        <f>ROUNDUP(O651/R651,0)</f>
        <v>34</v>
      </c>
      <c r="T651" s="18">
        <v>62</v>
      </c>
      <c r="U651" s="3">
        <f>ROUNDDOWN(PI()*(G651-0.185)/T651,2)</f>
        <v>0.09</v>
      </c>
      <c r="V651" s="3"/>
      <c r="W651" s="1">
        <v>280</v>
      </c>
      <c r="X651" s="9">
        <v>2</v>
      </c>
      <c r="Y651" s="1">
        <v>6</v>
      </c>
      <c r="Z651" s="3">
        <f>X651*VLOOKUP(Y651,[1]Datos!$A$2:$D$14,2)</f>
        <v>5.68</v>
      </c>
      <c r="AA651" s="8">
        <v>0.15</v>
      </c>
      <c r="AB651" s="7">
        <f>IF(D651=0,0.9,0.5)*0.9*0.53*SQRT(W651)*G651*MAX(0.72*G651,0.9*((G651/2)+((G651-0.11)/PI())))*10</f>
        <v>115.05235319041492</v>
      </c>
      <c r="AC651" s="7">
        <f>0.9*Z651*4220*MAX(0.72*G651,0.9*((G651/2)+((G651-0.11)/PI())))/AA651/1000</f>
        <v>207.30517717217134</v>
      </c>
      <c r="AD651" s="6" t="str">
        <f>+IF(AC651&gt;K651-AB651,"Cumple","No Cumple")</f>
        <v>Cumple</v>
      </c>
      <c r="AE651" s="6"/>
      <c r="AH651" s="3"/>
    </row>
    <row r="652" spans="1:43" x14ac:dyDescent="0.3">
      <c r="A652" s="13"/>
      <c r="B652" s="1">
        <v>31</v>
      </c>
      <c r="C652" s="1">
        <v>303</v>
      </c>
      <c r="D652" s="1">
        <v>1</v>
      </c>
      <c r="E652" s="5">
        <v>1</v>
      </c>
      <c r="F652" s="3">
        <f>F651+E652</f>
        <v>31</v>
      </c>
      <c r="G652" s="5">
        <v>2</v>
      </c>
      <c r="H652" s="3">
        <f>PI()*(G652^2)/4</f>
        <v>3.1415926535897931</v>
      </c>
      <c r="I652" s="4">
        <v>4.7753999999999998E-2</v>
      </c>
      <c r="K652" s="3">
        <v>284.47787156082984</v>
      </c>
      <c r="L652" s="3">
        <v>859.68152999999995</v>
      </c>
      <c r="M652" s="3">
        <v>1174.48873</v>
      </c>
      <c r="N652" s="12">
        <f>I652/H652</f>
        <v>1.520057030482074E-2</v>
      </c>
      <c r="O652" s="11">
        <f>I652*10000</f>
        <v>477.53999999999996</v>
      </c>
      <c r="P652" s="1">
        <v>10</v>
      </c>
      <c r="Q652" s="19">
        <v>2</v>
      </c>
      <c r="R652" s="3">
        <f>Q652*VLOOKUP(P652,[1]Datos!$A$2:$D$14,2)</f>
        <v>16.38</v>
      </c>
      <c r="S652" s="10">
        <f>ROUNDUP(O652/R652,0)</f>
        <v>30</v>
      </c>
      <c r="T652" s="18">
        <v>62</v>
      </c>
      <c r="U652" s="3">
        <f>ROUNDDOWN(PI()*(G652-0.185)/T652,2)</f>
        <v>0.09</v>
      </c>
      <c r="V652" s="3"/>
      <c r="W652" s="1">
        <v>280</v>
      </c>
      <c r="X652" s="9">
        <v>2</v>
      </c>
      <c r="Y652" s="1">
        <v>6</v>
      </c>
      <c r="Z652" s="3">
        <f>X652*VLOOKUP(Y652,[1]Datos!$A$2:$D$14,2)</f>
        <v>5.68</v>
      </c>
      <c r="AA652" s="8">
        <v>0.15</v>
      </c>
      <c r="AB652" s="7">
        <f>IF(D652=0,0.9,0.5)*0.9*0.53*SQRT(W652)*G652*MAX(0.72*G652,0.9*((G652/2)+((G652-0.11)/PI())))*10</f>
        <v>115.05235319041492</v>
      </c>
      <c r="AC652" s="7">
        <f>0.9*Z652*4220*MAX(0.72*G652,0.9*((G652/2)+((G652-0.11)/PI())))/AA652/1000</f>
        <v>207.30517717217134</v>
      </c>
      <c r="AD652" s="6" t="str">
        <f>+IF(AC652&gt;K652-AB652,"Cumple","No Cumple")</f>
        <v>Cumple</v>
      </c>
      <c r="AE652" s="6"/>
      <c r="AH652" s="3"/>
    </row>
    <row r="653" spans="1:43" x14ac:dyDescent="0.3">
      <c r="A653" s="13"/>
      <c r="B653" s="1">
        <v>32</v>
      </c>
      <c r="C653" s="1">
        <v>305</v>
      </c>
      <c r="D653" s="1">
        <v>1</v>
      </c>
      <c r="E653" s="5">
        <v>1</v>
      </c>
      <c r="F653" s="3">
        <f>F652+E653</f>
        <v>32</v>
      </c>
      <c r="G653" s="5">
        <v>2</v>
      </c>
      <c r="H653" s="3">
        <f>PI()*(G653^2)/4</f>
        <v>3.1415926535897931</v>
      </c>
      <c r="I653" s="4">
        <v>3.8691000000000003E-2</v>
      </c>
      <c r="K653" s="3">
        <v>255.22018358966048</v>
      </c>
      <c r="L653" s="3">
        <v>676.30370000000005</v>
      </c>
      <c r="M653" s="3">
        <v>900.00226999999995</v>
      </c>
      <c r="N653" s="12">
        <f>I653/H653</f>
        <v>1.2315727806337046E-2</v>
      </c>
      <c r="O653" s="11">
        <f>I653*10000</f>
        <v>386.91</v>
      </c>
      <c r="P653" s="1">
        <v>10</v>
      </c>
      <c r="Q653" s="19">
        <v>2</v>
      </c>
      <c r="R653" s="3">
        <f>Q653*VLOOKUP(P653,[1]Datos!$A$2:$D$14,2)</f>
        <v>16.38</v>
      </c>
      <c r="S653" s="10">
        <f>ROUNDUP(O653/R653,0)</f>
        <v>24</v>
      </c>
      <c r="T653" s="18">
        <v>62</v>
      </c>
      <c r="U653" s="3">
        <f>ROUNDDOWN(PI()*(G653-0.185)/T653,2)</f>
        <v>0.09</v>
      </c>
      <c r="V653" s="3"/>
      <c r="W653" s="1">
        <v>280</v>
      </c>
      <c r="X653" s="9">
        <v>2</v>
      </c>
      <c r="Y653" s="1">
        <v>6</v>
      </c>
      <c r="Z653" s="3">
        <f>X653*VLOOKUP(Y653,[1]Datos!$A$2:$D$14,2)</f>
        <v>5.68</v>
      </c>
      <c r="AA653" s="8">
        <v>0.15</v>
      </c>
      <c r="AB653" s="7">
        <f>IF(D653=0,0.9,0.5)*0.9*0.53*SQRT(W653)*G653*MAX(0.72*G653,0.9*((G653/2)+((G653-0.11)/PI())))*10</f>
        <v>115.05235319041492</v>
      </c>
      <c r="AC653" s="7">
        <f>0.9*Z653*4220*MAX(0.72*G653,0.9*((G653/2)+((G653-0.11)/PI())))/AA653/1000</f>
        <v>207.30517717217134</v>
      </c>
      <c r="AD653" s="6" t="str">
        <f>+IF(AC653&gt;K653-AB653,"Cumple","No Cumple")</f>
        <v>Cumple</v>
      </c>
      <c r="AE653" s="6"/>
      <c r="AH653" s="3"/>
    </row>
    <row r="654" spans="1:43" x14ac:dyDescent="0.3">
      <c r="A654" s="13"/>
      <c r="B654" s="1">
        <v>33</v>
      </c>
      <c r="C654" s="1">
        <v>307</v>
      </c>
      <c r="D654" s="1">
        <v>1</v>
      </c>
      <c r="E654" s="5">
        <v>1</v>
      </c>
      <c r="F654" s="3">
        <f>F653+E654</f>
        <v>33</v>
      </c>
      <c r="G654" s="5">
        <v>2</v>
      </c>
      <c r="H654" s="3">
        <f>PI()*(G654^2)/4</f>
        <v>3.1415926535897931</v>
      </c>
      <c r="I654" s="4">
        <v>3.1415999999999999E-2</v>
      </c>
      <c r="K654" s="3">
        <v>219.27248888604336</v>
      </c>
      <c r="L654" s="3">
        <v>507.50184999999999</v>
      </c>
      <c r="M654" s="3">
        <v>656.70983999999999</v>
      </c>
      <c r="N654" s="12">
        <f>I654/H654</f>
        <v>1.0000023384349969E-2</v>
      </c>
      <c r="O654" s="11">
        <f>I654*10000</f>
        <v>314.15999999999997</v>
      </c>
      <c r="P654" s="1">
        <v>10</v>
      </c>
      <c r="Q654" s="1">
        <v>1</v>
      </c>
      <c r="R654" s="3">
        <f>Q654*VLOOKUP(P654,[1]Datos!$A$2:$D$14,2)</f>
        <v>8.19</v>
      </c>
      <c r="S654" s="10">
        <f>ROUNDUP(O654/R654,0)</f>
        <v>39</v>
      </c>
      <c r="T654" s="2">
        <v>39</v>
      </c>
      <c r="U654" s="3">
        <f>ROUNDDOWN(PI()*(G654-0.185)/T654,2)</f>
        <v>0.14000000000000001</v>
      </c>
      <c r="V654" s="3"/>
      <c r="W654" s="1">
        <v>280</v>
      </c>
      <c r="X654" s="9">
        <v>2</v>
      </c>
      <c r="Y654" s="1">
        <v>6</v>
      </c>
      <c r="Z654" s="3">
        <f>X654*VLOOKUP(Y654,[1]Datos!$A$2:$D$14,2)</f>
        <v>5.68</v>
      </c>
      <c r="AA654" s="8">
        <v>0.15</v>
      </c>
      <c r="AB654" s="7">
        <f>IF(D654=0,0.9,0.5)*0.9*0.53*SQRT(W654)*G654*MAX(0.72*G654,0.9*((G654/2)+((G654-0.11)/PI())))*10</f>
        <v>115.05235319041492</v>
      </c>
      <c r="AC654" s="7">
        <f>0.9*Z654*4220*MAX(0.72*G654,0.9*((G654/2)+((G654-0.11)/PI())))/AA654/1000</f>
        <v>207.30517717217134</v>
      </c>
      <c r="AD654" s="6" t="str">
        <f>+IF(AC654&gt;K654-AB654,"Cumple","No Cumple")</f>
        <v>Cumple</v>
      </c>
      <c r="AE654" s="6"/>
      <c r="AH654" s="3"/>
    </row>
    <row r="655" spans="1:43" x14ac:dyDescent="0.3">
      <c r="A655" s="13"/>
      <c r="B655" s="1">
        <v>34</v>
      </c>
      <c r="C655" s="1">
        <v>309</v>
      </c>
      <c r="D655" s="1">
        <v>1</v>
      </c>
      <c r="E655" s="5">
        <v>1</v>
      </c>
      <c r="F655" s="3">
        <f>F654+E655</f>
        <v>34</v>
      </c>
      <c r="G655" s="5">
        <v>2</v>
      </c>
      <c r="H655" s="3">
        <f>PI()*(G655^2)/4</f>
        <v>3.1415926535897931</v>
      </c>
      <c r="I655" s="4">
        <v>3.1415999999999999E-2</v>
      </c>
      <c r="K655" s="3">
        <v>180.26324679934066</v>
      </c>
      <c r="L655" s="3">
        <v>359.03899999999999</v>
      </c>
      <c r="M655" s="3">
        <v>454.05036000000001</v>
      </c>
      <c r="N655" s="12">
        <f>I655/H655</f>
        <v>1.0000023384349969E-2</v>
      </c>
      <c r="O655" s="11">
        <f>I655*10000</f>
        <v>314.15999999999997</v>
      </c>
      <c r="P655" s="1">
        <v>10</v>
      </c>
      <c r="Q655" s="1">
        <v>1</v>
      </c>
      <c r="R655" s="3">
        <f>Q655*VLOOKUP(P655,[1]Datos!$A$2:$D$14,2)</f>
        <v>8.19</v>
      </c>
      <c r="S655" s="10">
        <f>ROUNDUP(O655/R655,0)</f>
        <v>39</v>
      </c>
      <c r="T655" s="2">
        <v>39</v>
      </c>
      <c r="U655" s="3">
        <f>ROUNDDOWN(PI()*(G655-0.185)/T655,2)</f>
        <v>0.14000000000000001</v>
      </c>
      <c r="V655" s="3"/>
      <c r="W655" s="1">
        <v>280</v>
      </c>
      <c r="X655" s="9">
        <v>2</v>
      </c>
      <c r="Y655" s="1">
        <v>6</v>
      </c>
      <c r="Z655" s="3">
        <f>X655*VLOOKUP(Y655,[1]Datos!$A$2:$D$14,2)</f>
        <v>5.68</v>
      </c>
      <c r="AA655" s="8">
        <v>0.15</v>
      </c>
      <c r="AB655" s="7">
        <f>IF(D655=0,0.9,0.5)*0.9*0.53*SQRT(W655)*G655*MAX(0.72*G655,0.9*((G655/2)+((G655-0.11)/PI())))*10</f>
        <v>115.05235319041492</v>
      </c>
      <c r="AC655" s="7">
        <f>0.9*Z655*4220*MAX(0.72*G655,0.9*((G655/2)+((G655-0.11)/PI())))/AA655/1000</f>
        <v>207.30517717217134</v>
      </c>
      <c r="AD655" s="6" t="str">
        <f>+IF(AC655&gt;K655-AB655,"Cumple","No Cumple")</f>
        <v>Cumple</v>
      </c>
      <c r="AE655" s="6"/>
      <c r="AH655" s="3"/>
    </row>
    <row r="656" spans="1:43" x14ac:dyDescent="0.3">
      <c r="A656" s="13"/>
      <c r="B656" s="1">
        <v>35</v>
      </c>
      <c r="C656" s="1">
        <v>311</v>
      </c>
      <c r="D656" s="1">
        <v>1</v>
      </c>
      <c r="E656" s="5">
        <v>1</v>
      </c>
      <c r="F656" s="3">
        <f>F655+E656</f>
        <v>35</v>
      </c>
      <c r="G656" s="5">
        <v>2</v>
      </c>
      <c r="H656" s="3">
        <f>PI()*(G656^2)/4</f>
        <v>3.1415926535897931</v>
      </c>
      <c r="I656" s="4">
        <v>3.1415999999999999E-2</v>
      </c>
      <c r="K656" s="3">
        <v>141.27346262231984</v>
      </c>
      <c r="L656" s="3">
        <v>234.20141000000001</v>
      </c>
      <c r="M656" s="3">
        <v>285.95459</v>
      </c>
      <c r="N656" s="12">
        <f>I656/H656</f>
        <v>1.0000023384349969E-2</v>
      </c>
      <c r="O656" s="11">
        <f>I656*10000</f>
        <v>314.15999999999997</v>
      </c>
      <c r="P656" s="1">
        <v>10</v>
      </c>
      <c r="Q656" s="1">
        <v>1</v>
      </c>
      <c r="R656" s="3">
        <f>Q656*VLOOKUP(P656,[1]Datos!$A$2:$D$14,2)</f>
        <v>8.19</v>
      </c>
      <c r="S656" s="10">
        <f>ROUNDUP(O656/R656,0)</f>
        <v>39</v>
      </c>
      <c r="T656" s="2">
        <v>39</v>
      </c>
      <c r="U656" s="3">
        <f>ROUNDDOWN(PI()*(G656-0.185)/T656,2)</f>
        <v>0.14000000000000001</v>
      </c>
      <c r="V656" s="3"/>
      <c r="W656" s="1">
        <v>280</v>
      </c>
      <c r="X656" s="9">
        <v>2</v>
      </c>
      <c r="Y656" s="1">
        <v>4</v>
      </c>
      <c r="Z656" s="3">
        <f>X656*VLOOKUP(Y656,[1]Datos!$A$2:$D$14,2)</f>
        <v>2.58</v>
      </c>
      <c r="AA656" s="8">
        <v>0.3</v>
      </c>
      <c r="AB656" s="7">
        <f>IF(D656=0,0.9,0.5)*0.9*0.53*SQRT(W656)*G656*MAX(0.72*G656,0.9*((G656/2)+((G656-0.11)/PI())))*10</f>
        <v>115.05235319041492</v>
      </c>
      <c r="AC656" s="7">
        <f>0.9*Z656*4220*MAX(0.72*G656,0.9*((G656/2)+((G656-0.11)/PI())))/AA656/1000</f>
        <v>47.081633547905106</v>
      </c>
      <c r="AD656" s="6" t="str">
        <f>+IF(AC656&gt;K656-AB656,"Cumple","No Cumple")</f>
        <v>Cumple</v>
      </c>
      <c r="AE656" s="6"/>
      <c r="AH656" s="3"/>
    </row>
    <row r="657" spans="1:43" x14ac:dyDescent="0.3">
      <c r="A657" s="13"/>
      <c r="B657" s="1">
        <v>36</v>
      </c>
      <c r="C657" s="1">
        <v>313</v>
      </c>
      <c r="D657" s="1">
        <v>1</v>
      </c>
      <c r="E657" s="5">
        <v>1</v>
      </c>
      <c r="F657" s="3">
        <f>F656+E657</f>
        <v>36</v>
      </c>
      <c r="G657" s="5">
        <v>2</v>
      </c>
      <c r="H657" s="3">
        <f>PI()*(G657^2)/4</f>
        <v>3.1415926535897931</v>
      </c>
      <c r="I657" s="4">
        <v>3.1415999999999999E-2</v>
      </c>
      <c r="K657" s="3">
        <v>104.69730950545004</v>
      </c>
      <c r="L657" s="3">
        <v>134.17257000000001</v>
      </c>
      <c r="M657" s="3">
        <v>153.39178000000001</v>
      </c>
      <c r="N657" s="12">
        <f>I657/H657</f>
        <v>1.0000023384349969E-2</v>
      </c>
      <c r="O657" s="11">
        <f>I657*10000</f>
        <v>314.15999999999997</v>
      </c>
      <c r="P657" s="1">
        <v>10</v>
      </c>
      <c r="Q657" s="1">
        <v>1</v>
      </c>
      <c r="R657" s="3">
        <f>Q657*VLOOKUP(P657,[1]Datos!$A$2:$D$14,2)</f>
        <v>8.19</v>
      </c>
      <c r="S657" s="10">
        <f>ROUNDUP(O657/R657,0)</f>
        <v>39</v>
      </c>
      <c r="T657" s="2">
        <v>39</v>
      </c>
      <c r="U657" s="3">
        <f>ROUNDDOWN(PI()*(G657-0.185)/T657,2)</f>
        <v>0.14000000000000001</v>
      </c>
      <c r="V657" s="3"/>
      <c r="W657" s="1">
        <v>280</v>
      </c>
      <c r="X657" s="9">
        <v>2</v>
      </c>
      <c r="Y657" s="1">
        <v>4</v>
      </c>
      <c r="Z657" s="3">
        <f>X657*VLOOKUP(Y657,[1]Datos!$A$2:$D$14,2)</f>
        <v>2.58</v>
      </c>
      <c r="AA657" s="8">
        <v>0.3</v>
      </c>
      <c r="AB657" s="7">
        <f>IF(D657=0,0.9,0.5)*0.9*0.53*SQRT(W657)*G657*MAX(0.72*G657,0.9*((G657/2)+((G657-0.11)/PI())))*10</f>
        <v>115.05235319041492</v>
      </c>
      <c r="AC657" s="7">
        <f>0.9*Z657*4220*MAX(0.72*G657,0.9*((G657/2)+((G657-0.11)/PI())))/AA657/1000</f>
        <v>47.081633547905106</v>
      </c>
      <c r="AD657" s="6" t="str">
        <f>+IF(AC657&gt;K657-AB657,"Cumple","No Cumple")</f>
        <v>Cumple</v>
      </c>
      <c r="AE657" s="6"/>
      <c r="AH657" s="3"/>
    </row>
    <row r="658" spans="1:43" x14ac:dyDescent="0.3">
      <c r="A658" s="13"/>
      <c r="B658" s="1">
        <v>37</v>
      </c>
      <c r="C658" s="1">
        <v>315</v>
      </c>
      <c r="D658" s="1">
        <v>1</v>
      </c>
      <c r="E658" s="5">
        <v>1</v>
      </c>
      <c r="F658" s="3">
        <f>F657+E658</f>
        <v>37</v>
      </c>
      <c r="G658" s="5">
        <v>2</v>
      </c>
      <c r="H658" s="3">
        <f>PI()*(G658^2)/4</f>
        <v>3.1415926535897931</v>
      </c>
      <c r="I658" s="4">
        <v>3.1415999999999999E-2</v>
      </c>
      <c r="K658" s="3">
        <v>73.185577241489312</v>
      </c>
      <c r="L658" s="3">
        <v>59.251530000000002</v>
      </c>
      <c r="M658" s="3">
        <v>57.812460000000002</v>
      </c>
      <c r="N658" s="12">
        <f>I658/H658</f>
        <v>1.0000023384349969E-2</v>
      </c>
      <c r="O658" s="11">
        <f>I658*10000</f>
        <v>314.15999999999997</v>
      </c>
      <c r="P658" s="1">
        <v>10</v>
      </c>
      <c r="Q658" s="1">
        <v>1</v>
      </c>
      <c r="R658" s="3">
        <f>Q658*VLOOKUP(P658,[1]Datos!$A$2:$D$14,2)</f>
        <v>8.19</v>
      </c>
      <c r="S658" s="10">
        <f>ROUNDUP(O658/R658,0)</f>
        <v>39</v>
      </c>
      <c r="T658" s="2">
        <v>39</v>
      </c>
      <c r="U658" s="3">
        <f>ROUNDDOWN(PI()*(G658-0.185)/T658,2)</f>
        <v>0.14000000000000001</v>
      </c>
      <c r="V658" s="3"/>
      <c r="W658" s="1">
        <v>280</v>
      </c>
      <c r="X658" s="9">
        <v>2</v>
      </c>
      <c r="Y658" s="1">
        <v>4</v>
      </c>
      <c r="Z658" s="3">
        <f>X658*VLOOKUP(Y658,[1]Datos!$A$2:$D$14,2)</f>
        <v>2.58</v>
      </c>
      <c r="AA658" s="8">
        <v>0.3</v>
      </c>
      <c r="AB658" s="7">
        <f>IF(D658=0,0.9,0.5)*0.9*0.53*SQRT(W658)*G658*MAX(0.72*G658,0.9*((G658/2)+((G658-0.11)/PI())))*10</f>
        <v>115.05235319041492</v>
      </c>
      <c r="AC658" s="7">
        <f>0.9*Z658*4220*MAX(0.72*G658,0.9*((G658/2)+((G658-0.11)/PI())))/AA658/1000</f>
        <v>47.081633547905106</v>
      </c>
      <c r="AD658" s="6" t="str">
        <f>+IF(AC658&gt;K658-AB658,"Cumple","No Cumple")</f>
        <v>Cumple</v>
      </c>
      <c r="AE658" s="6"/>
      <c r="AH658" s="3"/>
    </row>
    <row r="659" spans="1:43" x14ac:dyDescent="0.3">
      <c r="A659" s="13"/>
      <c r="B659" s="1">
        <v>38</v>
      </c>
      <c r="C659" s="1">
        <v>317</v>
      </c>
      <c r="D659" s="1">
        <v>1</v>
      </c>
      <c r="E659" s="5">
        <v>1</v>
      </c>
      <c r="F659" s="3">
        <f>F658+E659</f>
        <v>38</v>
      </c>
      <c r="G659" s="5">
        <v>2</v>
      </c>
      <c r="H659" s="3">
        <f>PI()*(G659^2)/4</f>
        <v>3.1415926535897931</v>
      </c>
      <c r="I659" s="4">
        <v>3.1415999999999999E-2</v>
      </c>
      <c r="K659" s="3">
        <v>46.694161746411091</v>
      </c>
      <c r="L659" s="3">
        <v>38.426169999999999</v>
      </c>
      <c r="M659" s="3">
        <v>81.947590000000005</v>
      </c>
      <c r="N659" s="12">
        <f>I659/H659</f>
        <v>1.0000023384349969E-2</v>
      </c>
      <c r="O659" s="11">
        <f>I659*10000</f>
        <v>314.15999999999997</v>
      </c>
      <c r="P659" s="1">
        <v>10</v>
      </c>
      <c r="Q659" s="19">
        <v>1</v>
      </c>
      <c r="R659" s="3">
        <f>Q659*VLOOKUP(P659,[1]Datos!$A$2:$D$14,2)</f>
        <v>8.19</v>
      </c>
      <c r="S659" s="10">
        <f>ROUNDUP(O659/R659,0)</f>
        <v>39</v>
      </c>
      <c r="T659" s="18">
        <v>39</v>
      </c>
      <c r="U659" s="3">
        <f>ROUNDDOWN(PI()*(G659-0.185)/T659,2)</f>
        <v>0.14000000000000001</v>
      </c>
      <c r="V659" s="3"/>
      <c r="W659" s="1">
        <v>280</v>
      </c>
      <c r="X659" s="9">
        <v>2</v>
      </c>
      <c r="Y659" s="1">
        <v>4</v>
      </c>
      <c r="Z659" s="3">
        <f>X659*VLOOKUP(Y659,[1]Datos!$A$2:$D$14,2)</f>
        <v>2.58</v>
      </c>
      <c r="AA659" s="8">
        <v>0.3</v>
      </c>
      <c r="AB659" s="7">
        <f>IF(D659=0,0.9,0.5)*0.9*0.53*SQRT(W659)*G659*MAX(0.72*G659,0.9*((G659/2)+((G659-0.11)/PI())))*10</f>
        <v>115.05235319041492</v>
      </c>
      <c r="AC659" s="7">
        <f>0.9*Z659*4220*MAX(0.72*G659,0.9*((G659/2)+((G659-0.11)/PI())))/AA659/1000</f>
        <v>47.081633547905106</v>
      </c>
      <c r="AD659" s="6" t="str">
        <f>+IF(AC659&gt;K659-AB659,"Cumple","No Cumple")</f>
        <v>Cumple</v>
      </c>
      <c r="AE659" s="6"/>
      <c r="AH659" s="3"/>
    </row>
    <row r="660" spans="1:43" x14ac:dyDescent="0.3">
      <c r="A660" s="13"/>
      <c r="B660" s="1">
        <v>39</v>
      </c>
      <c r="C660" s="1">
        <v>319</v>
      </c>
      <c r="D660" s="1">
        <v>1</v>
      </c>
      <c r="E660" s="5">
        <v>1</v>
      </c>
      <c r="F660" s="3">
        <f>F659+E660</f>
        <v>39</v>
      </c>
      <c r="G660" s="5">
        <v>2</v>
      </c>
      <c r="H660" s="3">
        <f>PI()*(G660^2)/4</f>
        <v>3.1415926535897931</v>
      </c>
      <c r="I660" s="4">
        <v>3.1415999999999999E-2</v>
      </c>
      <c r="K660" s="3">
        <v>25.247033235808125</v>
      </c>
      <c r="L660" s="3">
        <v>57.602679999999999</v>
      </c>
      <c r="M660" s="3">
        <v>102.50722</v>
      </c>
      <c r="N660" s="12">
        <f>I660/H660</f>
        <v>1.0000023384349969E-2</v>
      </c>
      <c r="O660" s="11">
        <f>I660*10000</f>
        <v>314.15999999999997</v>
      </c>
      <c r="P660" s="1">
        <v>10</v>
      </c>
      <c r="Q660" s="19">
        <v>1</v>
      </c>
      <c r="R660" s="3">
        <f>Q660*VLOOKUP(P660,[1]Datos!$A$2:$D$14,2)</f>
        <v>8.19</v>
      </c>
      <c r="S660" s="10">
        <f>ROUNDUP(O660/R660,0)</f>
        <v>39</v>
      </c>
      <c r="T660" s="18">
        <v>39</v>
      </c>
      <c r="U660" s="3">
        <f>ROUNDDOWN(PI()*(G660-0.185)/T660,2)</f>
        <v>0.14000000000000001</v>
      </c>
      <c r="V660" s="3"/>
      <c r="W660" s="1">
        <v>280</v>
      </c>
      <c r="X660" s="9">
        <v>2</v>
      </c>
      <c r="Y660" s="1">
        <v>4</v>
      </c>
      <c r="Z660" s="3">
        <f>X660*VLOOKUP(Y660,[1]Datos!$A$2:$D$14,2)</f>
        <v>2.58</v>
      </c>
      <c r="AA660" s="8">
        <v>0.3</v>
      </c>
      <c r="AB660" s="7">
        <f>IF(D660=0,0.9,0.5)*0.9*0.53*SQRT(W660)*G660*MAX(0.72*G660,0.9*((G660/2)+((G660-0.11)/PI())))*10</f>
        <v>115.05235319041492</v>
      </c>
      <c r="AC660" s="7">
        <f>0.9*Z660*4220*MAX(0.72*G660,0.9*((G660/2)+((G660-0.11)/PI())))/AA660/1000</f>
        <v>47.081633547905106</v>
      </c>
      <c r="AD660" s="6" t="str">
        <f>+IF(AC660&gt;K660-AB660,"Cumple","No Cumple")</f>
        <v>Cumple</v>
      </c>
      <c r="AE660" s="6"/>
      <c r="AH660" s="3"/>
    </row>
    <row r="661" spans="1:43" x14ac:dyDescent="0.3">
      <c r="A661" s="13"/>
      <c r="B661" s="1">
        <v>40</v>
      </c>
      <c r="C661" s="1">
        <v>321</v>
      </c>
      <c r="D661" s="1">
        <v>1</v>
      </c>
      <c r="E661" s="5">
        <v>1</v>
      </c>
      <c r="F661" s="3">
        <f>F660+E661</f>
        <v>40</v>
      </c>
      <c r="G661" s="5">
        <v>2</v>
      </c>
      <c r="H661" s="3">
        <f>PI()*(G661^2)/4</f>
        <v>3.1415926535897931</v>
      </c>
      <c r="I661" s="4">
        <v>3.1415999999999999E-2</v>
      </c>
      <c r="K661" s="3">
        <v>10.333756603481621</v>
      </c>
      <c r="L661" s="3">
        <v>65.492130000000003</v>
      </c>
      <c r="M661" s="3">
        <v>107.38408</v>
      </c>
      <c r="N661" s="12">
        <f>I661/H661</f>
        <v>1.0000023384349969E-2</v>
      </c>
      <c r="O661" s="11">
        <f>I661*10000</f>
        <v>314.15999999999997</v>
      </c>
      <c r="P661" s="1">
        <v>10</v>
      </c>
      <c r="Q661" s="19">
        <v>1</v>
      </c>
      <c r="R661" s="3">
        <f>Q661*VLOOKUP(P661,[1]Datos!$A$2:$D$14,2)</f>
        <v>8.19</v>
      </c>
      <c r="S661" s="10">
        <f>ROUNDUP(O661/R661,0)</f>
        <v>39</v>
      </c>
      <c r="T661" s="18">
        <v>39</v>
      </c>
      <c r="U661" s="3">
        <f>ROUNDDOWN(PI()*(G661-0.185)/T661,2)</f>
        <v>0.14000000000000001</v>
      </c>
      <c r="V661" s="3"/>
      <c r="W661" s="1">
        <v>280</v>
      </c>
      <c r="X661" s="9">
        <v>2</v>
      </c>
      <c r="Y661" s="1">
        <v>4</v>
      </c>
      <c r="Z661" s="3">
        <f>X661*VLOOKUP(Y661,[1]Datos!$A$2:$D$14,2)</f>
        <v>2.58</v>
      </c>
      <c r="AA661" s="8">
        <v>0.3</v>
      </c>
      <c r="AB661" s="7">
        <f>IF(D661=0,0.9,0.5)*0.9*0.53*SQRT(W661)*G661*MAX(0.72*G661,0.9*((G661/2)+((G661-0.11)/PI())))*10</f>
        <v>115.05235319041492</v>
      </c>
      <c r="AC661" s="7">
        <f>0.9*Z661*4220*MAX(0.72*G661,0.9*((G661/2)+((G661-0.11)/PI())))/AA661/1000</f>
        <v>47.081633547905106</v>
      </c>
      <c r="AD661" s="6" t="str">
        <f>+IF(AC661&gt;K661-AB661,"Cumple","No Cumple")</f>
        <v>Cumple</v>
      </c>
      <c r="AE661" s="6"/>
      <c r="AH661" s="3"/>
    </row>
    <row r="662" spans="1:43" x14ac:dyDescent="0.3">
      <c r="A662" s="13"/>
      <c r="B662" s="1">
        <v>41</v>
      </c>
      <c r="C662" s="1">
        <v>323</v>
      </c>
      <c r="D662" s="1">
        <v>1</v>
      </c>
      <c r="E662" s="5">
        <v>1</v>
      </c>
      <c r="F662" s="3">
        <f>F661+E662</f>
        <v>41</v>
      </c>
      <c r="G662" s="5">
        <v>2</v>
      </c>
      <c r="H662" s="3">
        <f>PI()*(G662^2)/4</f>
        <v>3.1415926535897931</v>
      </c>
      <c r="I662" s="4">
        <v>3.1415999999999999E-2</v>
      </c>
      <c r="K662" s="3">
        <v>8.0009552329706235</v>
      </c>
      <c r="L662" s="3">
        <v>65.492130000000003</v>
      </c>
      <c r="M662" s="3">
        <v>107.38408</v>
      </c>
      <c r="N662" s="12">
        <f>I662/H662</f>
        <v>1.0000023384349969E-2</v>
      </c>
      <c r="O662" s="11">
        <f>I662*10000</f>
        <v>314.15999999999997</v>
      </c>
      <c r="P662" s="1">
        <v>10</v>
      </c>
      <c r="Q662" s="1">
        <v>1</v>
      </c>
      <c r="R662" s="3">
        <f>Q662*VLOOKUP(P662,[1]Datos!$A$2:$D$14,2)</f>
        <v>8.19</v>
      </c>
      <c r="S662" s="10">
        <f>ROUNDUP(O662/R662,0)</f>
        <v>39</v>
      </c>
      <c r="T662" s="2">
        <v>39</v>
      </c>
      <c r="U662" s="3">
        <f>ROUNDDOWN(PI()*(G662-0.185)/T662,2)</f>
        <v>0.14000000000000001</v>
      </c>
      <c r="V662" s="3"/>
      <c r="W662" s="1">
        <v>280</v>
      </c>
      <c r="X662" s="9">
        <v>2</v>
      </c>
      <c r="Y662" s="1">
        <v>4</v>
      </c>
      <c r="Z662" s="3">
        <f>X662*VLOOKUP(Y662,[1]Datos!$A$2:$D$14,2)</f>
        <v>2.58</v>
      </c>
      <c r="AA662" s="8">
        <v>0.3</v>
      </c>
      <c r="AB662" s="7">
        <f>IF(D662=0,0.9,0.5)*0.9*0.53*SQRT(W662)*G662*MAX(0.72*G662,0.9*((G662/2)+((G662-0.11)/PI())))*10</f>
        <v>115.05235319041492</v>
      </c>
      <c r="AC662" s="7">
        <f>0.9*Z662*4220*MAX(0.72*G662,0.9*((G662/2)+((G662-0.11)/PI())))/AA662/1000</f>
        <v>47.081633547905106</v>
      </c>
      <c r="AD662" s="6" t="str">
        <f>+IF(AC662&gt;K662-AB662,"Cumple","No Cumple")</f>
        <v>Cumple</v>
      </c>
      <c r="AE662" s="6"/>
      <c r="AH662" s="3"/>
    </row>
    <row r="663" spans="1:43" x14ac:dyDescent="0.3">
      <c r="A663" s="13"/>
      <c r="B663" s="1">
        <v>42</v>
      </c>
      <c r="C663" s="1">
        <v>325</v>
      </c>
      <c r="D663" s="1">
        <v>1</v>
      </c>
      <c r="E663" s="5">
        <v>1</v>
      </c>
      <c r="F663" s="3">
        <f>F662+E663</f>
        <v>42</v>
      </c>
      <c r="G663" s="5">
        <v>2</v>
      </c>
      <c r="H663" s="3">
        <f>PI()*(G663^2)/4</f>
        <v>3.1415926535897931</v>
      </c>
      <c r="I663" s="4">
        <v>3.1415999999999999E-2</v>
      </c>
      <c r="K663" s="3">
        <v>14.099273749026933</v>
      </c>
      <c r="L663" s="3">
        <v>64.673190000000005</v>
      </c>
      <c r="M663" s="3">
        <v>101.01045000000001</v>
      </c>
      <c r="N663" s="12">
        <f>I663/H663</f>
        <v>1.0000023384349969E-2</v>
      </c>
      <c r="O663" s="11">
        <f>I663*10000</f>
        <v>314.15999999999997</v>
      </c>
      <c r="P663" s="1">
        <v>10</v>
      </c>
      <c r="Q663" s="1">
        <v>1</v>
      </c>
      <c r="R663" s="3">
        <f>Q663*VLOOKUP(P663,[1]Datos!$A$2:$D$14,2)</f>
        <v>8.19</v>
      </c>
      <c r="S663" s="10">
        <f>ROUNDUP(O663/R663,0)</f>
        <v>39</v>
      </c>
      <c r="T663" s="2">
        <v>39</v>
      </c>
      <c r="U663" s="3">
        <f>ROUNDDOWN(PI()*(G663-0.185)/T663,2)</f>
        <v>0.14000000000000001</v>
      </c>
      <c r="V663" s="3"/>
      <c r="W663" s="1">
        <v>280</v>
      </c>
      <c r="X663" s="9">
        <v>2</v>
      </c>
      <c r="Y663" s="1">
        <v>4</v>
      </c>
      <c r="Z663" s="3">
        <f>X663*VLOOKUP(Y663,[1]Datos!$A$2:$D$14,2)</f>
        <v>2.58</v>
      </c>
      <c r="AA663" s="8">
        <v>0.3</v>
      </c>
      <c r="AB663" s="7">
        <f>IF(D663=0,0.9,0.5)*0.9*0.53*SQRT(W663)*G663*MAX(0.72*G663,0.9*((G663/2)+((G663-0.11)/PI())))*10</f>
        <v>115.05235319041492</v>
      </c>
      <c r="AC663" s="7">
        <f>0.9*Z663*4220*MAX(0.72*G663,0.9*((G663/2)+((G663-0.11)/PI())))/AA663/1000</f>
        <v>47.081633547905106</v>
      </c>
      <c r="AD663" s="6" t="str">
        <f>+IF(AC663&gt;K663-AB663,"Cumple","No Cumple")</f>
        <v>Cumple</v>
      </c>
      <c r="AE663" s="6"/>
      <c r="AH663" s="3"/>
    </row>
    <row r="664" spans="1:43" x14ac:dyDescent="0.3">
      <c r="A664" s="13"/>
      <c r="B664" s="1">
        <v>43</v>
      </c>
      <c r="C664" s="1">
        <v>327</v>
      </c>
      <c r="D664" s="1">
        <v>1</v>
      </c>
      <c r="E664" s="5">
        <v>1</v>
      </c>
      <c r="F664" s="3">
        <f>F663+E664</f>
        <v>43</v>
      </c>
      <c r="G664" s="5">
        <v>2</v>
      </c>
      <c r="H664" s="3">
        <f>PI()*(G664^2)/4</f>
        <v>3.1415926535897931</v>
      </c>
      <c r="I664" s="4">
        <v>3.1415999999999999E-2</v>
      </c>
      <c r="K664" s="3">
        <v>18.118073152518178</v>
      </c>
      <c r="L664" s="3">
        <v>57.879649999999998</v>
      </c>
      <c r="M664" s="3">
        <v>87.396789999999996</v>
      </c>
      <c r="N664" s="12">
        <f>I664/H664</f>
        <v>1.0000023384349969E-2</v>
      </c>
      <c r="O664" s="11">
        <f>I664*10000</f>
        <v>314.15999999999997</v>
      </c>
      <c r="P664" s="1">
        <v>10</v>
      </c>
      <c r="Q664" s="1">
        <v>1</v>
      </c>
      <c r="R664" s="3">
        <f>Q664*VLOOKUP(P664,[1]Datos!$A$2:$D$14,2)</f>
        <v>8.19</v>
      </c>
      <c r="S664" s="10">
        <f>ROUNDUP(O664/R664,0)</f>
        <v>39</v>
      </c>
      <c r="T664" s="2">
        <v>39</v>
      </c>
      <c r="U664" s="3">
        <f>ROUNDDOWN(PI()*(G664-0.185)/T664,2)</f>
        <v>0.14000000000000001</v>
      </c>
      <c r="V664" s="3"/>
      <c r="W664" s="1">
        <v>280</v>
      </c>
      <c r="X664" s="9">
        <v>2</v>
      </c>
      <c r="Y664" s="1">
        <v>4</v>
      </c>
      <c r="Z664" s="3">
        <f>X664*VLOOKUP(Y664,[1]Datos!$A$2:$D$14,2)</f>
        <v>2.58</v>
      </c>
      <c r="AA664" s="8">
        <v>0.3</v>
      </c>
      <c r="AB664" s="7">
        <f>IF(D664=0,0.9,0.5)*0.9*0.53*SQRT(W664)*G664*MAX(0.72*G664,0.9*((G664/2)+((G664-0.11)/PI())))*10</f>
        <v>115.05235319041492</v>
      </c>
      <c r="AC664" s="7">
        <f>0.9*Z664*4220*MAX(0.72*G664,0.9*((G664/2)+((G664-0.11)/PI())))/AA664/1000</f>
        <v>47.081633547905106</v>
      </c>
      <c r="AD664" s="6" t="str">
        <f>+IF(AC664&gt;K664-AB664,"Cumple","No Cumple")</f>
        <v>Cumple</v>
      </c>
      <c r="AE664" s="6"/>
      <c r="AH664" s="3"/>
    </row>
    <row r="665" spans="1:43" x14ac:dyDescent="0.3">
      <c r="A665" s="13"/>
      <c r="B665" s="1">
        <v>44</v>
      </c>
      <c r="C665" s="1">
        <v>329</v>
      </c>
      <c r="D665" s="1">
        <v>1</v>
      </c>
      <c r="E665" s="5">
        <v>1</v>
      </c>
      <c r="F665" s="3">
        <f>F664+E665</f>
        <v>44</v>
      </c>
      <c r="G665" s="5">
        <v>2</v>
      </c>
      <c r="H665" s="3">
        <f>PI()*(G665^2)/4</f>
        <v>3.1415926535897931</v>
      </c>
      <c r="I665" s="4">
        <v>3.1415999999999999E-2</v>
      </c>
      <c r="K665" s="3">
        <v>19.402258265727731</v>
      </c>
      <c r="L665" s="3">
        <v>47.519680000000001</v>
      </c>
      <c r="M665" s="3">
        <v>69.902680000000004</v>
      </c>
      <c r="N665" s="12">
        <f>I665/H665</f>
        <v>1.0000023384349969E-2</v>
      </c>
      <c r="O665" s="11">
        <f>I665*10000</f>
        <v>314.15999999999997</v>
      </c>
      <c r="P665" s="1">
        <v>10</v>
      </c>
      <c r="Q665" s="1">
        <v>1</v>
      </c>
      <c r="R665" s="3">
        <f>Q665*VLOOKUP(P665,[1]Datos!$A$2:$D$14,2)</f>
        <v>8.19</v>
      </c>
      <c r="S665" s="10">
        <f>ROUNDUP(O665/R665,0)</f>
        <v>39</v>
      </c>
      <c r="T665" s="2">
        <v>39</v>
      </c>
      <c r="U665" s="3">
        <f>ROUNDDOWN(PI()*(G665-0.185)/T665,2)</f>
        <v>0.14000000000000001</v>
      </c>
      <c r="V665" s="3"/>
      <c r="W665" s="1">
        <v>280</v>
      </c>
      <c r="X665" s="9">
        <v>2</v>
      </c>
      <c r="Y665" s="1">
        <v>4</v>
      </c>
      <c r="Z665" s="3">
        <f>X665*VLOOKUP(Y665,[1]Datos!$A$2:$D$14,2)</f>
        <v>2.58</v>
      </c>
      <c r="AA665" s="8">
        <v>0.3</v>
      </c>
      <c r="AB665" s="7">
        <f>IF(D665=0,0.9,0.5)*0.9*0.53*SQRT(W665)*G665*MAX(0.72*G665,0.9*((G665/2)+((G665-0.11)/PI())))*10</f>
        <v>115.05235319041492</v>
      </c>
      <c r="AC665" s="7">
        <f>0.9*Z665*4220*MAX(0.72*G665,0.9*((G665/2)+((G665-0.11)/PI())))/AA665/1000</f>
        <v>47.081633547905106</v>
      </c>
      <c r="AD665" s="6" t="str">
        <f>+IF(AC665&gt;K665-AB665,"Cumple","No Cumple")</f>
        <v>Cumple</v>
      </c>
      <c r="AE665" s="6"/>
      <c r="AH665" s="3"/>
    </row>
    <row r="666" spans="1:43" x14ac:dyDescent="0.3">
      <c r="A666" s="13"/>
      <c r="B666" s="1">
        <v>45</v>
      </c>
      <c r="C666" s="1">
        <v>331</v>
      </c>
      <c r="D666" s="1">
        <v>1</v>
      </c>
      <c r="E666" s="5">
        <v>1</v>
      </c>
      <c r="F666" s="3">
        <f>F665+E666</f>
        <v>45</v>
      </c>
      <c r="G666" s="5">
        <v>2</v>
      </c>
      <c r="H666" s="3">
        <f>PI()*(G666^2)/4</f>
        <v>3.1415926535897931</v>
      </c>
      <c r="I666" s="4">
        <v>3.1415999999999999E-2</v>
      </c>
      <c r="K666" s="3">
        <v>18.521074053088821</v>
      </c>
      <c r="L666" s="3">
        <v>35.602139999999999</v>
      </c>
      <c r="M666" s="3">
        <v>51.223730000000003</v>
      </c>
      <c r="N666" s="12">
        <f>I666/H666</f>
        <v>1.0000023384349969E-2</v>
      </c>
      <c r="O666" s="11">
        <f>I666*10000</f>
        <v>314.15999999999997</v>
      </c>
      <c r="P666" s="1">
        <v>10</v>
      </c>
      <c r="Q666" s="1">
        <v>1</v>
      </c>
      <c r="R666" s="3">
        <f>Q666*VLOOKUP(P666,[1]Datos!$A$2:$D$14,2)</f>
        <v>8.19</v>
      </c>
      <c r="S666" s="10">
        <f>ROUNDUP(O666/R666,0)</f>
        <v>39</v>
      </c>
      <c r="T666" s="2">
        <v>39</v>
      </c>
      <c r="U666" s="3">
        <f>ROUNDDOWN(PI()*(G666-0.185)/T666,2)</f>
        <v>0.14000000000000001</v>
      </c>
      <c r="V666" s="3"/>
      <c r="W666" s="1">
        <v>280</v>
      </c>
      <c r="X666" s="9">
        <v>2</v>
      </c>
      <c r="Y666" s="1">
        <v>4</v>
      </c>
      <c r="Z666" s="3">
        <f>X666*VLOOKUP(Y666,[1]Datos!$A$2:$D$14,2)</f>
        <v>2.58</v>
      </c>
      <c r="AA666" s="8">
        <v>0.3</v>
      </c>
      <c r="AB666" s="7">
        <f>IF(D666=0,0.9,0.5)*0.9*0.53*SQRT(W666)*G666*MAX(0.72*G666,0.9*((G666/2)+((G666-0.11)/PI())))*10</f>
        <v>115.05235319041492</v>
      </c>
      <c r="AC666" s="7">
        <f>0.9*Z666*4220*MAX(0.72*G666,0.9*((G666/2)+((G666-0.11)/PI())))/AA666/1000</f>
        <v>47.081633547905106</v>
      </c>
      <c r="AD666" s="6" t="str">
        <f>+IF(AC666&gt;K666-AB666,"Cumple","No Cumple")</f>
        <v>Cumple</v>
      </c>
      <c r="AE666" s="6"/>
      <c r="AH666" s="3"/>
    </row>
    <row r="667" spans="1:43" x14ac:dyDescent="0.3">
      <c r="A667" s="13"/>
      <c r="B667" s="1">
        <v>46</v>
      </c>
      <c r="C667" s="1">
        <v>160</v>
      </c>
      <c r="D667" s="1">
        <v>1</v>
      </c>
      <c r="E667" s="5">
        <v>1</v>
      </c>
      <c r="F667" s="3">
        <f>F666+E667</f>
        <v>46</v>
      </c>
      <c r="G667" s="5">
        <v>2</v>
      </c>
      <c r="H667" s="3">
        <f>PI()*(G667^2)/4</f>
        <v>3.1415926535897931</v>
      </c>
      <c r="I667" s="4">
        <v>3.1415999999999999E-2</v>
      </c>
      <c r="K667" s="3">
        <v>15.938715883658885</v>
      </c>
      <c r="L667" s="3">
        <v>23.76304</v>
      </c>
      <c r="M667" s="3">
        <v>33.471170000000001</v>
      </c>
      <c r="N667" s="12">
        <f>I667/H667</f>
        <v>1.0000023384349969E-2</v>
      </c>
      <c r="O667" s="11">
        <f>I667*10000</f>
        <v>314.15999999999997</v>
      </c>
      <c r="P667" s="1">
        <v>10</v>
      </c>
      <c r="Q667" s="1">
        <v>1</v>
      </c>
      <c r="R667" s="3">
        <f>Q667*VLOOKUP(P667,[1]Datos!$A$2:$D$14,2)</f>
        <v>8.19</v>
      </c>
      <c r="S667" s="10">
        <f>ROUNDUP(O667/R667,0)</f>
        <v>39</v>
      </c>
      <c r="T667" s="2">
        <v>39</v>
      </c>
      <c r="U667" s="3">
        <f>ROUNDDOWN(PI()*(G667-0.185)/T667,2)</f>
        <v>0.14000000000000001</v>
      </c>
      <c r="V667" s="3"/>
      <c r="W667" s="1">
        <v>280</v>
      </c>
      <c r="X667" s="9">
        <v>2</v>
      </c>
      <c r="Y667" s="1">
        <v>4</v>
      </c>
      <c r="Z667" s="3">
        <f>X667*VLOOKUP(Y667,[1]Datos!$A$2:$D$14,2)</f>
        <v>2.58</v>
      </c>
      <c r="AA667" s="8">
        <v>0.3</v>
      </c>
      <c r="AB667" s="7">
        <f>IF(D667=0,0.9,0.5)*0.9*0.53*SQRT(W667)*G667*MAX(0.72*G667,0.9*((G667/2)+((G667-0.11)/PI())))*10</f>
        <v>115.05235319041492</v>
      </c>
      <c r="AC667" s="7">
        <f>0.9*Z667*4220*MAX(0.72*G667,0.9*((G667/2)+((G667-0.11)/PI())))/AA667/1000</f>
        <v>47.081633547905106</v>
      </c>
      <c r="AD667" s="6" t="str">
        <f>+IF(AC667&gt;K667-AB667,"Cumple","No Cumple")</f>
        <v>Cumple</v>
      </c>
      <c r="AE667" s="6"/>
      <c r="AH667" s="3"/>
    </row>
    <row r="668" spans="1:43" x14ac:dyDescent="0.3">
      <c r="A668" s="13"/>
      <c r="B668" s="1">
        <v>47</v>
      </c>
      <c r="C668" s="1">
        <v>166</v>
      </c>
      <c r="D668" s="1">
        <v>1</v>
      </c>
      <c r="E668" s="5">
        <v>1</v>
      </c>
      <c r="F668" s="3">
        <f>F667+E668</f>
        <v>47</v>
      </c>
      <c r="G668" s="5">
        <v>2</v>
      </c>
      <c r="H668" s="3">
        <f>PI()*(G668^2)/4</f>
        <v>3.1415926535897931</v>
      </c>
      <c r="I668" s="4">
        <v>3.1415999999999999E-2</v>
      </c>
      <c r="K668" s="3">
        <v>12.018432427317633</v>
      </c>
      <c r="L668" s="3">
        <v>13.3239</v>
      </c>
      <c r="M668" s="3">
        <v>18.293759999999999</v>
      </c>
      <c r="N668" s="12">
        <f>I668/H668</f>
        <v>1.0000023384349969E-2</v>
      </c>
      <c r="O668" s="11">
        <f>I668*10000</f>
        <v>314.15999999999997</v>
      </c>
      <c r="P668" s="1">
        <v>10</v>
      </c>
      <c r="Q668" s="1">
        <v>1</v>
      </c>
      <c r="R668" s="3">
        <f>Q668*VLOOKUP(P668,[1]Datos!$A$2:$D$14,2)</f>
        <v>8.19</v>
      </c>
      <c r="S668" s="10">
        <f>ROUNDUP(O668/R668,0)</f>
        <v>39</v>
      </c>
      <c r="T668" s="2">
        <v>39</v>
      </c>
      <c r="U668" s="3">
        <f>ROUNDDOWN(PI()*(G668-0.185)/T668,2)</f>
        <v>0.14000000000000001</v>
      </c>
      <c r="V668" s="3"/>
      <c r="W668" s="1">
        <v>280</v>
      </c>
      <c r="X668" s="9">
        <v>2</v>
      </c>
      <c r="Y668" s="1">
        <v>4</v>
      </c>
      <c r="Z668" s="3">
        <f>X668*VLOOKUP(Y668,[1]Datos!$A$2:$D$14,2)</f>
        <v>2.58</v>
      </c>
      <c r="AA668" s="8">
        <v>0.3</v>
      </c>
      <c r="AB668" s="7">
        <f>IF(D668=0,0.9,0.5)*0.9*0.53*SQRT(W668)*G668*MAX(0.72*G668,0.9*((G668/2)+((G668-0.11)/PI())))*10</f>
        <v>115.05235319041492</v>
      </c>
      <c r="AC668" s="7">
        <f>0.9*Z668*4220*MAX(0.72*G668,0.9*((G668/2)+((G668-0.11)/PI())))/AA668/1000</f>
        <v>47.081633547905106</v>
      </c>
      <c r="AD668" s="6" t="str">
        <f>+IF(AC668&gt;K668-AB668,"Cumple","No Cumple")</f>
        <v>Cumple</v>
      </c>
      <c r="AE668" s="6"/>
      <c r="AH668" s="3"/>
    </row>
    <row r="669" spans="1:43" x14ac:dyDescent="0.3">
      <c r="A669" s="13"/>
      <c r="B669" s="1">
        <v>48</v>
      </c>
      <c r="C669" s="1">
        <v>179</v>
      </c>
      <c r="D669" s="1">
        <v>1</v>
      </c>
      <c r="E669" s="5">
        <v>1</v>
      </c>
      <c r="F669" s="3">
        <f>F668+E669</f>
        <v>48</v>
      </c>
      <c r="G669" s="5">
        <v>2</v>
      </c>
      <c r="H669" s="3">
        <f>PI()*(G669^2)/4</f>
        <v>3.1415926535897931</v>
      </c>
      <c r="I669" s="4">
        <v>3.1415999999999999E-2</v>
      </c>
      <c r="K669" s="3">
        <v>7.3414235029727033</v>
      </c>
      <c r="L669" s="3">
        <v>5.2939400000000001</v>
      </c>
      <c r="M669" s="3">
        <v>6.9535900000000002</v>
      </c>
      <c r="N669" s="12">
        <f>I669/H669</f>
        <v>1.0000023384349969E-2</v>
      </c>
      <c r="O669" s="11">
        <f>I669*10000</f>
        <v>314.15999999999997</v>
      </c>
      <c r="P669" s="1">
        <v>10</v>
      </c>
      <c r="Q669" s="1">
        <v>1</v>
      </c>
      <c r="R669" s="3">
        <f>Q669*VLOOKUP(P669,[1]Datos!$A$2:$D$14,2)</f>
        <v>8.19</v>
      </c>
      <c r="S669" s="10">
        <f>ROUNDUP(O669/R669,0)</f>
        <v>39</v>
      </c>
      <c r="T669" s="2">
        <v>39</v>
      </c>
      <c r="U669" s="3">
        <f>ROUNDDOWN(PI()*(G669-0.185)/T669,2)</f>
        <v>0.14000000000000001</v>
      </c>
      <c r="V669" s="3"/>
      <c r="W669" s="1">
        <v>280</v>
      </c>
      <c r="X669" s="9">
        <v>2</v>
      </c>
      <c r="Y669" s="1">
        <v>4</v>
      </c>
      <c r="Z669" s="3">
        <f>X669*VLOOKUP(Y669,[1]Datos!$A$2:$D$14,2)</f>
        <v>2.58</v>
      </c>
      <c r="AA669" s="8">
        <v>0.3</v>
      </c>
      <c r="AB669" s="7">
        <f>IF(D669=0,0.9,0.5)*0.9*0.53*SQRT(W669)*G669*MAX(0.72*G669,0.9*((G669/2)+((G669-0.11)/PI())))*10</f>
        <v>115.05235319041492</v>
      </c>
      <c r="AC669" s="7">
        <f>0.9*Z669*4220*MAX(0.72*G669,0.9*((G669/2)+((G669-0.11)/PI())))/AA669/1000</f>
        <v>47.081633547905106</v>
      </c>
      <c r="AD669" s="6" t="str">
        <f>+IF(AC669&gt;K669-AB669,"Cumple","No Cumple")</f>
        <v>Cumple</v>
      </c>
      <c r="AE669" s="6"/>
      <c r="AH669" s="3"/>
    </row>
    <row r="670" spans="1:43" ht="15" customHeight="1" x14ac:dyDescent="0.3">
      <c r="A670" s="13" t="s">
        <v>11</v>
      </c>
      <c r="B670" s="1">
        <v>1</v>
      </c>
      <c r="C670" s="1">
        <v>94</v>
      </c>
      <c r="D670" s="1">
        <v>0</v>
      </c>
      <c r="E670" s="5">
        <v>1</v>
      </c>
      <c r="F670" s="3">
        <f>E670</f>
        <v>1</v>
      </c>
      <c r="G670" s="5">
        <v>2</v>
      </c>
      <c r="H670" s="3">
        <f>PI()*(G670^2)/4</f>
        <v>3.1415926535897931</v>
      </c>
      <c r="I670" s="4">
        <v>4.4670000000000001E-2</v>
      </c>
      <c r="K670" s="3">
        <v>141.01402771299033</v>
      </c>
      <c r="L670" s="3">
        <v>666.59113000000002</v>
      </c>
      <c r="M670" s="3">
        <v>2360.6043500000001</v>
      </c>
      <c r="N670" s="12">
        <f>I670/H670</f>
        <v>1.4218902615829931E-2</v>
      </c>
      <c r="O670" s="11">
        <f>I670*10000</f>
        <v>446.7</v>
      </c>
      <c r="P670" s="1">
        <v>10</v>
      </c>
      <c r="Q670" s="1">
        <v>1</v>
      </c>
      <c r="R670" s="3">
        <f>Q670*VLOOKUP(P670,[1]Datos!$A$2:$D$14,2)</f>
        <v>8.19</v>
      </c>
      <c r="S670" s="10">
        <f>ROUNDUP(O670/R670,0)</f>
        <v>55</v>
      </c>
      <c r="T670" s="2">
        <v>55</v>
      </c>
      <c r="U670" s="3">
        <f>ROUNDDOWN(PI()*(G670-0.185)/T670,2)</f>
        <v>0.1</v>
      </c>
      <c r="V670" s="3"/>
      <c r="W670" s="1">
        <v>280</v>
      </c>
      <c r="X670" s="9">
        <v>2</v>
      </c>
      <c r="Y670" s="1">
        <v>6</v>
      </c>
      <c r="Z670" s="3">
        <f>X670*VLOOKUP(Y670,[1]Datos!$A$2:$D$14,2)</f>
        <v>5.68</v>
      </c>
      <c r="AA670" s="8">
        <v>7.4999999999999997E-2</v>
      </c>
      <c r="AB670" s="7">
        <f>IF(D670=0,0.9,0.5)*0.9*0.53*SQRT(W670)*G670*MAX(0.72*G670,0.9*((G670/2)+((G670-0.11)/PI())))*10</f>
        <v>207.09423574274689</v>
      </c>
      <c r="AC670" s="7">
        <f>0.9*Z670*4220*MAX(0.72*G670,0.9*((G670/2)+((G670-0.11)/PI())))/AA670/1000</f>
        <v>414.61035434434268</v>
      </c>
      <c r="AD670" s="6" t="str">
        <f>+IF(AC670&gt;K670-AB670,"Cumple","No Cumple")</f>
        <v>Cumple</v>
      </c>
      <c r="AE670" s="6"/>
      <c r="AF670" s="5">
        <v>22</v>
      </c>
      <c r="AG670" s="7">
        <f>ROUNDUP(MAX(0.45,G670,AF670/6),0)</f>
        <v>4</v>
      </c>
      <c r="AH670" s="3">
        <f>PI()*(G670-0.15)^2/4</f>
        <v>2.6880252142277672</v>
      </c>
      <c r="AI670" s="7">
        <f>G670-0.15-VLOOKUP(Y670,[1]Datos!$A$2:$D$14,3)/100</f>
        <v>1.8309000000000002</v>
      </c>
      <c r="AJ670" s="7">
        <f>SQRT((PI()*AI670)^2+AA670^2)</f>
        <v>5.7524309339691264</v>
      </c>
      <c r="AK670" s="1">
        <v>0.12</v>
      </c>
      <c r="AL670" s="16">
        <f>MAX(0.45*(H670/AH670-1),AK670)*(W670/4220)</f>
        <v>7.9620853080568724E-3</v>
      </c>
      <c r="AM670" s="7">
        <f>AG670*(AJ670/AA670)</f>
        <v>306.79631647835345</v>
      </c>
      <c r="AN670" s="17">
        <f>AM670*Z670/X670/10000</f>
        <v>8.7130153879852373E-2</v>
      </c>
      <c r="AO670" s="17">
        <f>AH670*AG670</f>
        <v>10.752100856911069</v>
      </c>
      <c r="AP670" s="16">
        <f>AN670/AO670</f>
        <v>8.1035469290495175E-3</v>
      </c>
      <c r="AQ670" s="6" t="str">
        <f>+IF(AP670&gt;AL670,"Cumple","No Cumple")</f>
        <v>Cumple</v>
      </c>
    </row>
    <row r="671" spans="1:43" ht="15" customHeight="1" x14ac:dyDescent="0.3">
      <c r="A671" s="13"/>
      <c r="B671" s="1">
        <v>2</v>
      </c>
      <c r="C671" s="1">
        <v>96</v>
      </c>
      <c r="D671" s="1">
        <v>0</v>
      </c>
      <c r="E671" s="5">
        <v>1</v>
      </c>
      <c r="F671" s="3">
        <f>F670+E671</f>
        <v>2</v>
      </c>
      <c r="G671" s="5">
        <v>2</v>
      </c>
      <c r="H671" s="3">
        <f>PI()*(G671^2)/4</f>
        <v>3.1415926535897931</v>
      </c>
      <c r="I671" s="4">
        <v>4.1325000000000001E-2</v>
      </c>
      <c r="K671" s="3">
        <v>141.01576710981647</v>
      </c>
      <c r="L671" s="3">
        <v>624.32538</v>
      </c>
      <c r="M671" s="3">
        <v>2250.9997499999999</v>
      </c>
      <c r="N671" s="12">
        <f>I671/H671</f>
        <v>1.315415604654515E-2</v>
      </c>
      <c r="O671" s="11">
        <f>I671*10000</f>
        <v>413.25</v>
      </c>
      <c r="P671" s="1">
        <v>10</v>
      </c>
      <c r="Q671" s="1">
        <v>1</v>
      </c>
      <c r="R671" s="3">
        <f>Q671*VLOOKUP(P671,[1]Datos!$A$2:$D$14,2)</f>
        <v>8.19</v>
      </c>
      <c r="S671" s="10">
        <f>ROUNDUP(O671/R671,0)</f>
        <v>51</v>
      </c>
      <c r="T671" s="2">
        <v>55</v>
      </c>
      <c r="U671" s="3">
        <f>ROUNDDOWN(PI()*(G671-0.185)/T671,2)</f>
        <v>0.1</v>
      </c>
      <c r="V671" s="3"/>
      <c r="W671" s="1">
        <v>280</v>
      </c>
      <c r="X671" s="9">
        <v>2</v>
      </c>
      <c r="Y671" s="1">
        <v>6</v>
      </c>
      <c r="Z671" s="3">
        <f>X671*VLOOKUP(Y671,[1]Datos!$A$2:$D$14,2)</f>
        <v>5.68</v>
      </c>
      <c r="AA671" s="8">
        <v>7.4999999999999997E-2</v>
      </c>
      <c r="AB671" s="7">
        <f>IF(D671=0,0.9,0.5)*0.9*0.53*SQRT(W671)*G671*MAX(0.72*G671,0.9*((G671/2)+((G671-0.11)/PI())))*10</f>
        <v>207.09423574274689</v>
      </c>
      <c r="AC671" s="7">
        <f>0.9*Z671*4220*MAX(0.72*G671,0.9*((G671/2)+((G671-0.11)/PI())))/AA671/1000</f>
        <v>414.61035434434268</v>
      </c>
      <c r="AD671" s="6" t="str">
        <f>+IF(AC671&gt;K671-AB671,"Cumple","No Cumple")</f>
        <v>Cumple</v>
      </c>
      <c r="AE671" s="6"/>
      <c r="AF671" s="5">
        <v>22</v>
      </c>
      <c r="AG671" s="7">
        <f>ROUNDUP(MAX(0.45,G671,AF671/6),0)</f>
        <v>4</v>
      </c>
      <c r="AH671" s="3">
        <f>PI()*(G671-0.15)^2/4</f>
        <v>2.6880252142277672</v>
      </c>
      <c r="AI671" s="7">
        <f>G671-0.15-VLOOKUP(Y671,[1]Datos!$A$2:$D$14,3)/100</f>
        <v>1.8309000000000002</v>
      </c>
      <c r="AJ671" s="7">
        <f>SQRT((PI()*AI671)^2+AA671^2)</f>
        <v>5.7524309339691264</v>
      </c>
      <c r="AK671" s="1">
        <v>0.12</v>
      </c>
      <c r="AL671" s="16">
        <f>MAX(0.45*(H671/AH671-1),AK671)*(W671/4220)</f>
        <v>7.9620853080568724E-3</v>
      </c>
      <c r="AM671" s="7">
        <f>AG671*(AJ671/AA671)</f>
        <v>306.79631647835345</v>
      </c>
      <c r="AN671" s="17">
        <f>AM671*Z671/X671/10000</f>
        <v>8.7130153879852373E-2</v>
      </c>
      <c r="AO671" s="17">
        <f>AH671*AG671</f>
        <v>10.752100856911069</v>
      </c>
      <c r="AP671" s="16">
        <f>AN671/AO671</f>
        <v>8.1035469290495175E-3</v>
      </c>
      <c r="AQ671" s="6" t="str">
        <f>+IF(AP671&gt;AL671,"Cumple","No Cumple")</f>
        <v>Cumple</v>
      </c>
    </row>
    <row r="672" spans="1:43" ht="15" customHeight="1" x14ac:dyDescent="0.3">
      <c r="A672" s="13"/>
      <c r="B672" s="1">
        <v>3</v>
      </c>
      <c r="C672" s="1">
        <v>98</v>
      </c>
      <c r="D672" s="1">
        <v>0</v>
      </c>
      <c r="E672" s="5">
        <v>1</v>
      </c>
      <c r="F672" s="3">
        <f>F671+E672</f>
        <v>3</v>
      </c>
      <c r="G672" s="5">
        <v>2</v>
      </c>
      <c r="H672" s="3">
        <f>PI()*(G672^2)/4</f>
        <v>3.1415926535897931</v>
      </c>
      <c r="I672" s="4">
        <v>3.7421000000000003E-2</v>
      </c>
      <c r="K672" s="3">
        <v>141.01748561880544</v>
      </c>
      <c r="L672" s="3">
        <v>581.94046000000003</v>
      </c>
      <c r="M672" s="3">
        <v>2140.9616599999999</v>
      </c>
      <c r="N672" s="12">
        <f>I672/H672</f>
        <v>1.1911474250883632E-2</v>
      </c>
      <c r="O672" s="11">
        <f>I672*10000</f>
        <v>374.21000000000004</v>
      </c>
      <c r="P672" s="1">
        <v>10</v>
      </c>
      <c r="Q672" s="1">
        <v>1</v>
      </c>
      <c r="R672" s="3">
        <f>Q672*VLOOKUP(P672,[1]Datos!$A$2:$D$14,2)</f>
        <v>8.19</v>
      </c>
      <c r="S672" s="10">
        <f>ROUNDUP(O672/R672,0)</f>
        <v>46</v>
      </c>
      <c r="T672" s="2">
        <v>55</v>
      </c>
      <c r="U672" s="3">
        <f>ROUNDDOWN(PI()*(G672-0.185)/T672,2)</f>
        <v>0.1</v>
      </c>
      <c r="V672" s="3"/>
      <c r="W672" s="1">
        <v>280</v>
      </c>
      <c r="X672" s="9">
        <v>2</v>
      </c>
      <c r="Y672" s="1">
        <v>6</v>
      </c>
      <c r="Z672" s="3">
        <f>X672*VLOOKUP(Y672,[1]Datos!$A$2:$D$14,2)</f>
        <v>5.68</v>
      </c>
      <c r="AA672" s="8">
        <v>7.4999999999999997E-2</v>
      </c>
      <c r="AB672" s="7">
        <f>IF(D672=0,0.9,0.5)*0.9*0.53*SQRT(W672)*G672*MAX(0.72*G672,0.9*((G672/2)+((G672-0.11)/PI())))*10</f>
        <v>207.09423574274689</v>
      </c>
      <c r="AC672" s="7">
        <f>0.9*Z672*4220*MAX(0.72*G672,0.9*((G672/2)+((G672-0.11)/PI())))/AA672/1000</f>
        <v>414.61035434434268</v>
      </c>
      <c r="AD672" s="6" t="str">
        <f>+IF(AC672&gt;K672-AB672,"Cumple","No Cumple")</f>
        <v>Cumple</v>
      </c>
      <c r="AE672" s="6"/>
      <c r="AF672" s="5">
        <v>22</v>
      </c>
      <c r="AG672" s="7">
        <f>ROUNDUP(MAX(0.45,G672,AF672/6),0)</f>
        <v>4</v>
      </c>
      <c r="AH672" s="3">
        <f>PI()*(G672-0.15)^2/4</f>
        <v>2.6880252142277672</v>
      </c>
      <c r="AI672" s="7">
        <f>G672-0.15-VLOOKUP(Y672,[1]Datos!$A$2:$D$14,3)/100</f>
        <v>1.8309000000000002</v>
      </c>
      <c r="AJ672" s="7">
        <f>SQRT((PI()*AI672)^2+AA672^2)</f>
        <v>5.7524309339691264</v>
      </c>
      <c r="AK672" s="1">
        <v>0.12</v>
      </c>
      <c r="AL672" s="16">
        <f>MAX(0.45*(H672/AH672-1),AK672)*(W672/4220)</f>
        <v>7.9620853080568724E-3</v>
      </c>
      <c r="AM672" s="7">
        <f>AG672*(AJ672/AA672)</f>
        <v>306.79631647835345</v>
      </c>
      <c r="AN672" s="17">
        <f>AM672*Z672/X672/10000</f>
        <v>8.7130153879852373E-2</v>
      </c>
      <c r="AO672" s="17">
        <f>AH672*AG672</f>
        <v>10.752100856911069</v>
      </c>
      <c r="AP672" s="16">
        <f>AN672/AO672</f>
        <v>8.1035469290495175E-3</v>
      </c>
      <c r="AQ672" s="6" t="str">
        <f>+IF(AP672&gt;AL672,"Cumple","No Cumple")</f>
        <v>Cumple</v>
      </c>
    </row>
    <row r="673" spans="1:43" ht="15" customHeight="1" x14ac:dyDescent="0.3">
      <c r="A673" s="13"/>
      <c r="B673" s="1">
        <v>4</v>
      </c>
      <c r="C673" s="1">
        <v>100</v>
      </c>
      <c r="D673" s="1">
        <v>0</v>
      </c>
      <c r="E673" s="5">
        <v>1</v>
      </c>
      <c r="F673" s="3">
        <f>F672+E673</f>
        <v>4</v>
      </c>
      <c r="G673" s="5">
        <v>2</v>
      </c>
      <c r="H673" s="3">
        <f>PI()*(G673^2)/4</f>
        <v>3.1415926535897931</v>
      </c>
      <c r="I673" s="4">
        <v>3.2840000000000001E-2</v>
      </c>
      <c r="K673" s="3">
        <v>141.0192250191441</v>
      </c>
      <c r="L673" s="3">
        <v>539.45210999999995</v>
      </c>
      <c r="M673" s="3">
        <v>2030.99314</v>
      </c>
      <c r="N673" s="12">
        <f>I673/H673</f>
        <v>1.0453296662275686E-2</v>
      </c>
      <c r="O673" s="11">
        <f>I673*10000</f>
        <v>328.40000000000003</v>
      </c>
      <c r="P673" s="1">
        <v>10</v>
      </c>
      <c r="Q673" s="19">
        <v>1</v>
      </c>
      <c r="R673" s="3">
        <f>Q673*VLOOKUP(P673,[1]Datos!$A$2:$D$14,2)</f>
        <v>8.19</v>
      </c>
      <c r="S673" s="10">
        <f>ROUNDUP(O673/R673,0)</f>
        <v>41</v>
      </c>
      <c r="T673" s="18">
        <v>55</v>
      </c>
      <c r="U673" s="3">
        <f>ROUNDDOWN(PI()*(G673-0.185)/T673,2)</f>
        <v>0.1</v>
      </c>
      <c r="V673" s="3"/>
      <c r="W673" s="1">
        <v>280</v>
      </c>
      <c r="X673" s="9">
        <v>2</v>
      </c>
      <c r="Y673" s="1">
        <v>6</v>
      </c>
      <c r="Z673" s="3">
        <f>X673*VLOOKUP(Y673,[1]Datos!$A$2:$D$14,2)</f>
        <v>5.68</v>
      </c>
      <c r="AA673" s="8">
        <v>7.4999999999999997E-2</v>
      </c>
      <c r="AB673" s="7">
        <f>IF(D673=0,0.9,0.5)*0.9*0.53*SQRT(W673)*G673*MAX(0.72*G673,0.9*((G673/2)+((G673-0.11)/PI())))*10</f>
        <v>207.09423574274689</v>
      </c>
      <c r="AC673" s="7">
        <f>0.9*Z673*4220*MAX(0.72*G673,0.9*((G673/2)+((G673-0.11)/PI())))/AA673/1000</f>
        <v>414.61035434434268</v>
      </c>
      <c r="AD673" s="6" t="str">
        <f>+IF(AC673&gt;K673-AB673,"Cumple","No Cumple")</f>
        <v>Cumple</v>
      </c>
      <c r="AE673" s="6"/>
      <c r="AF673" s="5">
        <v>22</v>
      </c>
      <c r="AG673" s="7">
        <f>ROUNDUP(MAX(0.45,G673,AF673/6),0)</f>
        <v>4</v>
      </c>
      <c r="AH673" s="3">
        <f>PI()*(G673-0.15)^2/4</f>
        <v>2.6880252142277672</v>
      </c>
      <c r="AI673" s="7">
        <f>G673-0.15-VLOOKUP(Y673,[1]Datos!$A$2:$D$14,3)/100</f>
        <v>1.8309000000000002</v>
      </c>
      <c r="AJ673" s="7">
        <f>SQRT((PI()*AI673)^2+AA673^2)</f>
        <v>5.7524309339691264</v>
      </c>
      <c r="AK673" s="1">
        <v>0.12</v>
      </c>
      <c r="AL673" s="16">
        <f>MAX(0.45*(H673/AH673-1),AK673)*(W673/4220)</f>
        <v>7.9620853080568724E-3</v>
      </c>
      <c r="AM673" s="7">
        <f>AG673*(AJ673/AA673)</f>
        <v>306.79631647835345</v>
      </c>
      <c r="AN673" s="17">
        <f>AM673*Z673/X673/10000</f>
        <v>8.7130153879852373E-2</v>
      </c>
      <c r="AO673" s="17">
        <f>AH673*AG673</f>
        <v>10.752100856911069</v>
      </c>
      <c r="AP673" s="16">
        <f>AN673/AO673</f>
        <v>8.1035469290495175E-3</v>
      </c>
      <c r="AQ673" s="6" t="str">
        <f>+IF(AP673&gt;AL673,"Cumple","No Cumple")</f>
        <v>Cumple</v>
      </c>
    </row>
    <row r="674" spans="1:43" ht="15" customHeight="1" x14ac:dyDescent="0.3">
      <c r="A674" s="13"/>
      <c r="B674" s="1">
        <v>5</v>
      </c>
      <c r="C674" s="1">
        <v>102</v>
      </c>
      <c r="D674" s="1">
        <v>0</v>
      </c>
      <c r="E674" s="5">
        <v>1</v>
      </c>
      <c r="F674" s="3">
        <f>F673+E674</f>
        <v>5</v>
      </c>
      <c r="G674" s="5">
        <v>2</v>
      </c>
      <c r="H674" s="3">
        <f>PI()*(G674^2)/4</f>
        <v>3.1415926535897931</v>
      </c>
      <c r="I674" s="4">
        <v>3.1415999999999999E-2</v>
      </c>
      <c r="K674" s="3">
        <v>141.02094353237038</v>
      </c>
      <c r="L674" s="3">
        <v>496.87666000000002</v>
      </c>
      <c r="M674" s="3">
        <v>1923.67031</v>
      </c>
      <c r="N674" s="12">
        <f>I674/H674</f>
        <v>1.0000023384349969E-2</v>
      </c>
      <c r="O674" s="11">
        <f>I674*10000</f>
        <v>314.15999999999997</v>
      </c>
      <c r="P674" s="1">
        <v>10</v>
      </c>
      <c r="Q674" s="19">
        <v>1</v>
      </c>
      <c r="R674" s="3">
        <f>Q674*VLOOKUP(P674,[1]Datos!$A$2:$D$14,2)</f>
        <v>8.19</v>
      </c>
      <c r="S674" s="10">
        <f>ROUNDUP(O674/R674,0)</f>
        <v>39</v>
      </c>
      <c r="T674" s="18">
        <v>55</v>
      </c>
      <c r="U674" s="3">
        <f>ROUNDDOWN(PI()*(G674-0.185)/T674,2)</f>
        <v>0.1</v>
      </c>
      <c r="V674" s="3"/>
      <c r="W674" s="1">
        <v>280</v>
      </c>
      <c r="X674" s="9">
        <v>2</v>
      </c>
      <c r="Y674" s="1">
        <v>4</v>
      </c>
      <c r="Z674" s="3">
        <f>X674*VLOOKUP(Y674,[1]Datos!$A$2:$D$14,2)</f>
        <v>2.58</v>
      </c>
      <c r="AA674" s="8">
        <v>0.3</v>
      </c>
      <c r="AB674" s="7">
        <f>IF(D674=0,0.9,0.5)*0.9*0.53*SQRT(W674)*G674*MAX(0.72*G674,0.9*((G674/2)+((G674-0.11)/PI())))*10</f>
        <v>207.09423574274689</v>
      </c>
      <c r="AC674" s="7">
        <f>0.9*Z674*4220*MAX(0.72*G674,0.9*((G674/2)+((G674-0.11)/PI())))/AA674/1000</f>
        <v>47.081633547905106</v>
      </c>
      <c r="AD674" s="6" t="str">
        <f>+IF(AC674&gt;K674-AB674,"Cumple","No Cumple")</f>
        <v>Cumple</v>
      </c>
      <c r="AE674" s="6"/>
      <c r="AG674" s="7"/>
      <c r="AH674" s="3"/>
      <c r="AI674" s="7"/>
      <c r="AJ674" s="7"/>
      <c r="AL674" s="16"/>
      <c r="AM674" s="7"/>
      <c r="AN674" s="17"/>
      <c r="AO674" s="17"/>
      <c r="AP674" s="16"/>
      <c r="AQ674" s="6"/>
    </row>
    <row r="675" spans="1:43" ht="15" customHeight="1" x14ac:dyDescent="0.3">
      <c r="A675" s="13"/>
      <c r="B675" s="1">
        <v>6</v>
      </c>
      <c r="C675" s="1">
        <v>104</v>
      </c>
      <c r="D675" s="1">
        <v>0</v>
      </c>
      <c r="E675" s="5">
        <v>1</v>
      </c>
      <c r="F675" s="3">
        <f>F674+E675</f>
        <v>6</v>
      </c>
      <c r="G675" s="5">
        <v>2</v>
      </c>
      <c r="H675" s="3">
        <f>PI()*(G675^2)/4</f>
        <v>3.1415926535897931</v>
      </c>
      <c r="I675" s="4">
        <v>3.1415999999999999E-2</v>
      </c>
      <c r="K675" s="3">
        <v>141.02268293622129</v>
      </c>
      <c r="L675" s="3">
        <v>454.23106000000001</v>
      </c>
      <c r="M675" s="3">
        <v>1818.73371</v>
      </c>
      <c r="N675" s="12">
        <f>I675/H675</f>
        <v>1.0000023384349969E-2</v>
      </c>
      <c r="O675" s="11">
        <f>I675*10000</f>
        <v>314.15999999999997</v>
      </c>
      <c r="P675" s="1">
        <v>10</v>
      </c>
      <c r="Q675" s="19">
        <v>1</v>
      </c>
      <c r="R675" s="3">
        <f>Q675*VLOOKUP(P675,[1]Datos!$A$2:$D$14,2)</f>
        <v>8.19</v>
      </c>
      <c r="S675" s="10">
        <f>ROUNDUP(O675/R675,0)</f>
        <v>39</v>
      </c>
      <c r="T675" s="18">
        <v>55</v>
      </c>
      <c r="U675" s="3">
        <f>ROUNDDOWN(PI()*(G675-0.185)/T675,2)</f>
        <v>0.1</v>
      </c>
      <c r="V675" s="3"/>
      <c r="W675" s="1">
        <v>280</v>
      </c>
      <c r="X675" s="9">
        <v>2</v>
      </c>
      <c r="Y675" s="1">
        <v>4</v>
      </c>
      <c r="Z675" s="3">
        <f>X675*VLOOKUP(Y675,[1]Datos!$A$2:$D$14,2)</f>
        <v>2.58</v>
      </c>
      <c r="AA675" s="8">
        <v>0.3</v>
      </c>
      <c r="AB675" s="7">
        <f>IF(D675=0,0.9,0.5)*0.9*0.53*SQRT(W675)*G675*MAX(0.72*G675,0.9*((G675/2)+((G675-0.11)/PI())))*10</f>
        <v>207.09423574274689</v>
      </c>
      <c r="AC675" s="7">
        <f>0.9*Z675*4220*MAX(0.72*G675,0.9*((G675/2)+((G675-0.11)/PI())))/AA675/1000</f>
        <v>47.081633547905106</v>
      </c>
      <c r="AD675" s="6" t="str">
        <f>+IF(AC675&gt;K675-AB675,"Cumple","No Cumple")</f>
        <v>Cumple</v>
      </c>
      <c r="AE675" s="6"/>
      <c r="AG675" s="7"/>
      <c r="AH675" s="3"/>
      <c r="AI675" s="7"/>
      <c r="AJ675" s="7"/>
      <c r="AL675" s="16"/>
      <c r="AM675" s="7"/>
      <c r="AN675" s="17"/>
      <c r="AO675" s="17"/>
      <c r="AP675" s="16"/>
      <c r="AQ675" s="6"/>
    </row>
    <row r="676" spans="1:43" ht="15" customHeight="1" x14ac:dyDescent="0.3">
      <c r="A676" s="13"/>
      <c r="B676" s="1">
        <v>7</v>
      </c>
      <c r="C676" s="1">
        <v>106</v>
      </c>
      <c r="D676" s="1">
        <v>0</v>
      </c>
      <c r="E676" s="5">
        <v>1</v>
      </c>
      <c r="F676" s="3">
        <f>F675+E676</f>
        <v>7</v>
      </c>
      <c r="G676" s="5">
        <v>2</v>
      </c>
      <c r="H676" s="3">
        <f>PI()*(G676^2)/4</f>
        <v>3.1415926535897931</v>
      </c>
      <c r="I676" s="4">
        <v>3.1415999999999999E-2</v>
      </c>
      <c r="K676" s="3">
        <v>141.02430365954658</v>
      </c>
      <c r="L676" s="3">
        <v>411.53286000000003</v>
      </c>
      <c r="M676" s="3">
        <v>1717.48101</v>
      </c>
      <c r="N676" s="12">
        <f>I676/H676</f>
        <v>1.0000023384349969E-2</v>
      </c>
      <c r="O676" s="11">
        <f>I676*10000</f>
        <v>314.15999999999997</v>
      </c>
      <c r="P676" s="1">
        <v>10</v>
      </c>
      <c r="Q676" s="1">
        <v>1</v>
      </c>
      <c r="R676" s="3">
        <f>Q676*VLOOKUP(P676,[1]Datos!$A$2:$D$14,2)</f>
        <v>8.19</v>
      </c>
      <c r="S676" s="10">
        <f>ROUNDUP(O676/R676,0)</f>
        <v>39</v>
      </c>
      <c r="T676" s="2">
        <v>39</v>
      </c>
      <c r="U676" s="3">
        <f>ROUNDDOWN(PI()*(G676-0.185)/T676,2)</f>
        <v>0.14000000000000001</v>
      </c>
      <c r="V676" s="3"/>
      <c r="W676" s="1">
        <v>280</v>
      </c>
      <c r="X676" s="9">
        <v>2</v>
      </c>
      <c r="Y676" s="1">
        <v>4</v>
      </c>
      <c r="Z676" s="3">
        <f>X676*VLOOKUP(Y676,[1]Datos!$A$2:$D$14,2)</f>
        <v>2.58</v>
      </c>
      <c r="AA676" s="8">
        <v>0.3</v>
      </c>
      <c r="AB676" s="7">
        <f>IF(D676=0,0.9,0.5)*0.9*0.53*SQRT(W676)*G676*MAX(0.72*G676,0.9*((G676/2)+((G676-0.11)/PI())))*10</f>
        <v>207.09423574274689</v>
      </c>
      <c r="AC676" s="7">
        <f>0.9*Z676*4220*MAX(0.72*G676,0.9*((G676/2)+((G676-0.11)/PI())))/AA676/1000</f>
        <v>47.081633547905106</v>
      </c>
      <c r="AD676" s="6" t="str">
        <f>+IF(AC676&gt;K676-AB676,"Cumple","No Cumple")</f>
        <v>Cumple</v>
      </c>
      <c r="AE676" s="6"/>
      <c r="AG676" s="7"/>
      <c r="AH676" s="3"/>
      <c r="AI676" s="7"/>
      <c r="AJ676" s="7"/>
      <c r="AL676" s="16"/>
      <c r="AM676" s="7"/>
      <c r="AN676" s="17"/>
      <c r="AO676" s="17"/>
      <c r="AP676" s="16"/>
      <c r="AQ676" s="6"/>
    </row>
    <row r="677" spans="1:43" ht="15" customHeight="1" x14ac:dyDescent="0.3">
      <c r="A677" s="13"/>
      <c r="B677" s="1">
        <v>8</v>
      </c>
      <c r="C677" s="1">
        <v>108</v>
      </c>
      <c r="D677" s="1">
        <v>0</v>
      </c>
      <c r="E677" s="5">
        <v>1</v>
      </c>
      <c r="F677" s="3">
        <f>F676+E677</f>
        <v>8</v>
      </c>
      <c r="G677" s="5">
        <v>2</v>
      </c>
      <c r="H677" s="3">
        <f>PI()*(G677^2)/4</f>
        <v>3.1415926535897931</v>
      </c>
      <c r="I677" s="4">
        <v>3.1415999999999999E-2</v>
      </c>
      <c r="K677" s="3">
        <v>141.02604306683926</v>
      </c>
      <c r="L677" s="3">
        <v>368.80031000000002</v>
      </c>
      <c r="M677" s="3">
        <v>1617.1931400000001</v>
      </c>
      <c r="N677" s="12">
        <f>I677/H677</f>
        <v>1.0000023384349969E-2</v>
      </c>
      <c r="O677" s="11">
        <f>I677*10000</f>
        <v>314.15999999999997</v>
      </c>
      <c r="P677" s="1">
        <v>10</v>
      </c>
      <c r="Q677" s="1">
        <v>1</v>
      </c>
      <c r="R677" s="3">
        <f>Q677*VLOOKUP(P677,[1]Datos!$A$2:$D$14,2)</f>
        <v>8.19</v>
      </c>
      <c r="S677" s="10">
        <f>ROUNDUP(O677/R677,0)</f>
        <v>39</v>
      </c>
      <c r="T677" s="2">
        <v>39</v>
      </c>
      <c r="U677" s="3">
        <f>ROUNDDOWN(PI()*(G677-0.185)/T677,2)</f>
        <v>0.14000000000000001</v>
      </c>
      <c r="V677" s="3"/>
      <c r="W677" s="1">
        <v>280</v>
      </c>
      <c r="X677" s="9">
        <v>2</v>
      </c>
      <c r="Y677" s="1">
        <v>4</v>
      </c>
      <c r="Z677" s="3">
        <f>X677*VLOOKUP(Y677,[1]Datos!$A$2:$D$14,2)</f>
        <v>2.58</v>
      </c>
      <c r="AA677" s="8">
        <v>0.3</v>
      </c>
      <c r="AB677" s="7">
        <f>IF(D677=0,0.9,0.5)*0.9*0.53*SQRT(W677)*G677*MAX(0.72*G677,0.9*((G677/2)+((G677-0.11)/PI())))*10</f>
        <v>207.09423574274689</v>
      </c>
      <c r="AC677" s="7">
        <f>0.9*Z677*4220*MAX(0.72*G677,0.9*((G677/2)+((G677-0.11)/PI())))/AA677/1000</f>
        <v>47.081633547905106</v>
      </c>
      <c r="AD677" s="6" t="str">
        <f>+IF(AC677&gt;K677-AB677,"Cumple","No Cumple")</f>
        <v>Cumple</v>
      </c>
      <c r="AE677" s="6"/>
      <c r="AG677" s="7"/>
      <c r="AH677" s="3"/>
      <c r="AI677" s="7"/>
      <c r="AJ677" s="7"/>
      <c r="AL677" s="16"/>
      <c r="AM677" s="7"/>
      <c r="AN677" s="17"/>
      <c r="AO677" s="17"/>
      <c r="AP677" s="16"/>
      <c r="AQ677" s="6"/>
    </row>
    <row r="678" spans="1:43" ht="15" customHeight="1" x14ac:dyDescent="0.3">
      <c r="A678" s="13"/>
      <c r="B678" s="1">
        <v>9</v>
      </c>
      <c r="C678" s="1">
        <v>110</v>
      </c>
      <c r="D678" s="1">
        <v>0</v>
      </c>
      <c r="E678" s="5">
        <v>1</v>
      </c>
      <c r="F678" s="3">
        <f>F677+E678</f>
        <v>9</v>
      </c>
      <c r="G678" s="5">
        <v>2</v>
      </c>
      <c r="H678" s="3">
        <f>PI()*(G678^2)/4</f>
        <v>3.1415926535897931</v>
      </c>
      <c r="I678" s="4">
        <v>3.1415999999999999E-2</v>
      </c>
      <c r="K678" s="3">
        <v>141.02776158845464</v>
      </c>
      <c r="L678" s="3">
        <v>326.05257999999998</v>
      </c>
      <c r="M678" s="3">
        <v>1516.66013</v>
      </c>
      <c r="N678" s="12">
        <f>I678/H678</f>
        <v>1.0000023384349969E-2</v>
      </c>
      <c r="O678" s="11">
        <f>I678*10000</f>
        <v>314.15999999999997</v>
      </c>
      <c r="P678" s="1">
        <v>10</v>
      </c>
      <c r="Q678" s="1">
        <v>1</v>
      </c>
      <c r="R678" s="3">
        <f>Q678*VLOOKUP(P678,[1]Datos!$A$2:$D$14,2)</f>
        <v>8.19</v>
      </c>
      <c r="S678" s="10">
        <f>ROUNDUP(O678/R678,0)</f>
        <v>39</v>
      </c>
      <c r="T678" s="2">
        <v>39</v>
      </c>
      <c r="U678" s="3">
        <f>ROUNDDOWN(PI()*(G678-0.185)/T678,2)</f>
        <v>0.14000000000000001</v>
      </c>
      <c r="V678" s="3"/>
      <c r="W678" s="1">
        <v>280</v>
      </c>
      <c r="X678" s="9">
        <v>2</v>
      </c>
      <c r="Y678" s="1">
        <v>4</v>
      </c>
      <c r="Z678" s="3">
        <f>X678*VLOOKUP(Y678,[1]Datos!$A$2:$D$14,2)</f>
        <v>2.58</v>
      </c>
      <c r="AA678" s="8">
        <v>0.3</v>
      </c>
      <c r="AB678" s="7">
        <f>IF(D678=0,0.9,0.5)*0.9*0.53*SQRT(W678)*G678*MAX(0.72*G678,0.9*((G678/2)+((G678-0.11)/PI())))*10</f>
        <v>207.09423574274689</v>
      </c>
      <c r="AC678" s="7">
        <f>0.9*Z678*4220*MAX(0.72*G678,0.9*((G678/2)+((G678-0.11)/PI())))/AA678/1000</f>
        <v>47.081633547905106</v>
      </c>
      <c r="AD678" s="6" t="str">
        <f>+IF(AC678&gt;K678-AB678,"Cumple","No Cumple")</f>
        <v>Cumple</v>
      </c>
      <c r="AE678" s="6"/>
      <c r="AG678" s="7"/>
      <c r="AH678" s="3"/>
      <c r="AI678" s="7"/>
      <c r="AJ678" s="7"/>
      <c r="AL678" s="16"/>
      <c r="AM678" s="7"/>
      <c r="AN678" s="17"/>
      <c r="AO678" s="17"/>
      <c r="AP678" s="16"/>
      <c r="AQ678" s="6"/>
    </row>
    <row r="679" spans="1:43" ht="15" customHeight="1" x14ac:dyDescent="0.3">
      <c r="A679" s="13"/>
      <c r="B679" s="1">
        <v>10</v>
      </c>
      <c r="C679" s="1">
        <v>112</v>
      </c>
      <c r="D679" s="1">
        <v>0</v>
      </c>
      <c r="E679" s="5">
        <v>1</v>
      </c>
      <c r="F679" s="3">
        <f>F678+E679</f>
        <v>10</v>
      </c>
      <c r="G679" s="5">
        <v>2</v>
      </c>
      <c r="H679" s="3">
        <f>PI()*(G679^2)/4</f>
        <v>3.1415926535897931</v>
      </c>
      <c r="I679" s="4">
        <v>3.1415999999999999E-2</v>
      </c>
      <c r="K679" s="3">
        <v>141.02950099925903</v>
      </c>
      <c r="L679" s="3">
        <v>283.31038000000001</v>
      </c>
      <c r="M679" s="3">
        <v>1415.8329699999999</v>
      </c>
      <c r="N679" s="12">
        <f>I679/H679</f>
        <v>1.0000023384349969E-2</v>
      </c>
      <c r="O679" s="11">
        <f>I679*10000</f>
        <v>314.15999999999997</v>
      </c>
      <c r="P679" s="1">
        <v>10</v>
      </c>
      <c r="Q679" s="1">
        <v>1</v>
      </c>
      <c r="R679" s="3">
        <f>Q679*VLOOKUP(P679,[1]Datos!$A$2:$D$14,2)</f>
        <v>8.19</v>
      </c>
      <c r="S679" s="10">
        <f>ROUNDUP(O679/R679,0)</f>
        <v>39</v>
      </c>
      <c r="T679" s="2">
        <v>39</v>
      </c>
      <c r="U679" s="3">
        <f>ROUNDDOWN(PI()*(G679-0.185)/T679,2)</f>
        <v>0.14000000000000001</v>
      </c>
      <c r="V679" s="3"/>
      <c r="W679" s="1">
        <v>280</v>
      </c>
      <c r="X679" s="9">
        <v>2</v>
      </c>
      <c r="Y679" s="1">
        <v>4</v>
      </c>
      <c r="Z679" s="3">
        <f>X679*VLOOKUP(Y679,[1]Datos!$A$2:$D$14,2)</f>
        <v>2.58</v>
      </c>
      <c r="AA679" s="8">
        <v>0.3</v>
      </c>
      <c r="AB679" s="7">
        <f>IF(D679=0,0.9,0.5)*0.9*0.53*SQRT(W679)*G679*MAX(0.72*G679,0.9*((G679/2)+((G679-0.11)/PI())))*10</f>
        <v>207.09423574274689</v>
      </c>
      <c r="AC679" s="7">
        <f>0.9*Z679*4220*MAX(0.72*G679,0.9*((G679/2)+((G679-0.11)/PI())))/AA679/1000</f>
        <v>47.081633547905106</v>
      </c>
      <c r="AD679" s="6" t="str">
        <f>+IF(AC679&gt;K679-AB679,"Cumple","No Cumple")</f>
        <v>Cumple</v>
      </c>
      <c r="AE679" s="6"/>
      <c r="AG679" s="7"/>
      <c r="AH679" s="3"/>
      <c r="AI679" s="7"/>
      <c r="AJ679" s="7"/>
      <c r="AL679" s="16"/>
      <c r="AM679" s="7"/>
      <c r="AN679" s="17"/>
      <c r="AO679" s="17"/>
      <c r="AP679" s="16"/>
      <c r="AQ679" s="6"/>
    </row>
    <row r="680" spans="1:43" ht="15" customHeight="1" x14ac:dyDescent="0.3">
      <c r="A680" s="13"/>
      <c r="B680" s="1">
        <v>11</v>
      </c>
      <c r="C680" s="1">
        <v>114</v>
      </c>
      <c r="D680" s="1">
        <v>0</v>
      </c>
      <c r="E680" s="5">
        <v>1</v>
      </c>
      <c r="F680" s="3">
        <f>F679+E680</f>
        <v>11</v>
      </c>
      <c r="G680" s="5">
        <v>2</v>
      </c>
      <c r="H680" s="3">
        <f>PI()*(G680^2)/4</f>
        <v>3.1415926535897931</v>
      </c>
      <c r="I680" s="4">
        <v>3.1415999999999999E-2</v>
      </c>
      <c r="K680" s="3">
        <v>141.03121952511083</v>
      </c>
      <c r="L680" s="3">
        <v>240.59777</v>
      </c>
      <c r="M680" s="3">
        <v>1314.70334</v>
      </c>
      <c r="N680" s="12">
        <f>I680/H680</f>
        <v>1.0000023384349969E-2</v>
      </c>
      <c r="O680" s="11">
        <f>I680*10000</f>
        <v>314.15999999999997</v>
      </c>
      <c r="P680" s="1">
        <v>10</v>
      </c>
      <c r="Q680" s="1">
        <v>1</v>
      </c>
      <c r="R680" s="3">
        <f>Q680*VLOOKUP(P680,[1]Datos!$A$2:$D$14,2)</f>
        <v>8.19</v>
      </c>
      <c r="S680" s="10">
        <f>ROUNDUP(O680/R680,0)</f>
        <v>39</v>
      </c>
      <c r="T680" s="2">
        <v>39</v>
      </c>
      <c r="U680" s="3">
        <f>ROUNDDOWN(PI()*(G680-0.185)/T680,2)</f>
        <v>0.14000000000000001</v>
      </c>
      <c r="V680" s="3"/>
      <c r="W680" s="1">
        <v>280</v>
      </c>
      <c r="X680" s="9">
        <v>2</v>
      </c>
      <c r="Y680" s="1">
        <v>4</v>
      </c>
      <c r="Z680" s="3">
        <f>X680*VLOOKUP(Y680,[1]Datos!$A$2:$D$14,2)</f>
        <v>2.58</v>
      </c>
      <c r="AA680" s="8">
        <v>0.3</v>
      </c>
      <c r="AB680" s="7">
        <f>IF(D680=0,0.9,0.5)*0.9*0.53*SQRT(W680)*G680*MAX(0.72*G680,0.9*((G680/2)+((G680-0.11)/PI())))*10</f>
        <v>207.09423574274689</v>
      </c>
      <c r="AC680" s="7">
        <f>0.9*Z680*4220*MAX(0.72*G680,0.9*((G680/2)+((G680-0.11)/PI())))/AA680/1000</f>
        <v>47.081633547905106</v>
      </c>
      <c r="AD680" s="6" t="str">
        <f>+IF(AC680&gt;K680-AB680,"Cumple","No Cumple")</f>
        <v>Cumple</v>
      </c>
      <c r="AE680" s="6"/>
      <c r="AH680" s="3"/>
    </row>
    <row r="681" spans="1:43" ht="15" customHeight="1" x14ac:dyDescent="0.3">
      <c r="A681" s="13"/>
      <c r="B681" s="1">
        <v>12</v>
      </c>
      <c r="C681" s="1">
        <v>116</v>
      </c>
      <c r="D681" s="1">
        <v>0</v>
      </c>
      <c r="E681" s="5">
        <v>1</v>
      </c>
      <c r="F681" s="3">
        <f>F680+E681</f>
        <v>12</v>
      </c>
      <c r="G681" s="5">
        <v>2</v>
      </c>
      <c r="H681" s="3">
        <f>PI()*(G681^2)/4</f>
        <v>3.1415926535897931</v>
      </c>
      <c r="I681" s="4">
        <v>3.1415999999999999E-2</v>
      </c>
      <c r="K681" s="3">
        <v>141.03295893942663</v>
      </c>
      <c r="L681" s="3">
        <v>197.94718</v>
      </c>
      <c r="M681" s="3">
        <v>1214.0249899999999</v>
      </c>
      <c r="N681" s="12">
        <f>I681/H681</f>
        <v>1.0000023384349969E-2</v>
      </c>
      <c r="O681" s="11">
        <f>I681*10000</f>
        <v>314.15999999999997</v>
      </c>
      <c r="P681" s="1">
        <v>10</v>
      </c>
      <c r="Q681" s="1">
        <v>1</v>
      </c>
      <c r="R681" s="3">
        <f>Q681*VLOOKUP(P681,[1]Datos!$A$2:$D$14,2)</f>
        <v>8.19</v>
      </c>
      <c r="S681" s="10">
        <f>ROUNDUP(O681/R681,0)</f>
        <v>39</v>
      </c>
      <c r="T681" s="2">
        <v>39</v>
      </c>
      <c r="U681" s="3">
        <f>ROUNDDOWN(PI()*(G681-0.185)/T681,2)</f>
        <v>0.14000000000000001</v>
      </c>
      <c r="V681" s="3"/>
      <c r="W681" s="1">
        <v>280</v>
      </c>
      <c r="X681" s="9">
        <v>2</v>
      </c>
      <c r="Y681" s="1">
        <v>4</v>
      </c>
      <c r="Z681" s="3">
        <f>X681*VLOOKUP(Y681,[1]Datos!$A$2:$D$14,2)</f>
        <v>2.58</v>
      </c>
      <c r="AA681" s="8">
        <v>0.3</v>
      </c>
      <c r="AB681" s="7">
        <f>IF(D681=0,0.9,0.5)*0.9*0.53*SQRT(W681)*G681*MAX(0.72*G681,0.9*((G681/2)+((G681-0.11)/PI())))*10</f>
        <v>207.09423574274689</v>
      </c>
      <c r="AC681" s="7">
        <f>0.9*Z681*4220*MAX(0.72*G681,0.9*((G681/2)+((G681-0.11)/PI())))/AA681/1000</f>
        <v>47.081633547905106</v>
      </c>
      <c r="AD681" s="6" t="str">
        <f>+IF(AC681&gt;K681-AB681,"Cumple","No Cumple")</f>
        <v>Cumple</v>
      </c>
      <c r="AE681" s="6"/>
      <c r="AH681" s="3"/>
    </row>
    <row r="682" spans="1:43" ht="15" customHeight="1" x14ac:dyDescent="0.3">
      <c r="A682" s="13"/>
      <c r="B682" s="1">
        <v>13</v>
      </c>
      <c r="C682" s="1">
        <v>118</v>
      </c>
      <c r="D682" s="1">
        <v>0</v>
      </c>
      <c r="E682" s="5">
        <v>1</v>
      </c>
      <c r="F682" s="3">
        <f>F681+E682</f>
        <v>13</v>
      </c>
      <c r="G682" s="5">
        <v>2</v>
      </c>
      <c r="H682" s="3">
        <f>PI()*(G682^2)/4</f>
        <v>3.1415926535897931</v>
      </c>
      <c r="I682" s="4">
        <v>3.1415999999999999E-2</v>
      </c>
      <c r="K682" s="3">
        <v>141.03467746951455</v>
      </c>
      <c r="L682" s="3">
        <v>155.41618</v>
      </c>
      <c r="M682" s="3">
        <v>1113.0944500000001</v>
      </c>
      <c r="N682" s="12">
        <f>I682/H682</f>
        <v>1.0000023384349969E-2</v>
      </c>
      <c r="O682" s="11">
        <f>I682*10000</f>
        <v>314.15999999999997</v>
      </c>
      <c r="P682" s="1">
        <v>10</v>
      </c>
      <c r="Q682" s="19">
        <v>1</v>
      </c>
      <c r="R682" s="3">
        <f>Q682*VLOOKUP(P682,[1]Datos!$A$2:$D$14,2)</f>
        <v>8.19</v>
      </c>
      <c r="S682" s="10">
        <f>ROUNDUP(O682/R682,0)</f>
        <v>39</v>
      </c>
      <c r="T682" s="18">
        <v>39</v>
      </c>
      <c r="U682" s="3">
        <f>ROUNDDOWN(PI()*(G682-0.185)/T682,2)</f>
        <v>0.14000000000000001</v>
      </c>
      <c r="V682" s="3"/>
      <c r="W682" s="1">
        <v>280</v>
      </c>
      <c r="X682" s="9">
        <v>2</v>
      </c>
      <c r="Y682" s="1">
        <v>4</v>
      </c>
      <c r="Z682" s="3">
        <f>X682*VLOOKUP(Y682,[1]Datos!$A$2:$D$14,2)</f>
        <v>2.58</v>
      </c>
      <c r="AA682" s="8">
        <v>0.3</v>
      </c>
      <c r="AB682" s="7">
        <f>IF(D682=0,0.9,0.5)*0.9*0.53*SQRT(W682)*G682*MAX(0.72*G682,0.9*((G682/2)+((G682-0.11)/PI())))*10</f>
        <v>207.09423574274689</v>
      </c>
      <c r="AC682" s="7">
        <f>0.9*Z682*4220*MAX(0.72*G682,0.9*((G682/2)+((G682-0.11)/PI())))/AA682/1000</f>
        <v>47.081633547905106</v>
      </c>
      <c r="AD682" s="6" t="str">
        <f>+IF(AC682&gt;K682-AB682,"Cumple","No Cumple")</f>
        <v>Cumple</v>
      </c>
      <c r="AE682" s="6"/>
      <c r="AH682" s="3"/>
    </row>
    <row r="683" spans="1:43" ht="15" customHeight="1" x14ac:dyDescent="0.3">
      <c r="A683" s="13"/>
      <c r="B683" s="1">
        <v>14</v>
      </c>
      <c r="C683" s="1">
        <v>120</v>
      </c>
      <c r="D683" s="1">
        <v>0</v>
      </c>
      <c r="E683" s="5">
        <v>1</v>
      </c>
      <c r="F683" s="3">
        <f>F682+E683</f>
        <v>14</v>
      </c>
      <c r="G683" s="5">
        <v>2</v>
      </c>
      <c r="H683" s="3">
        <f>PI()*(G683^2)/4</f>
        <v>3.1415926535897931</v>
      </c>
      <c r="I683" s="4">
        <v>3.1415999999999999E-2</v>
      </c>
      <c r="K683" s="3">
        <v>141.03641688734155</v>
      </c>
      <c r="L683" s="3">
        <v>113.16068</v>
      </c>
      <c r="M683" s="3">
        <v>1011.98831</v>
      </c>
      <c r="N683" s="12">
        <f>I683/H683</f>
        <v>1.0000023384349969E-2</v>
      </c>
      <c r="O683" s="11">
        <f>I683*10000</f>
        <v>314.15999999999997</v>
      </c>
      <c r="P683" s="1">
        <v>10</v>
      </c>
      <c r="Q683" s="19">
        <v>1</v>
      </c>
      <c r="R683" s="3">
        <f>Q683*VLOOKUP(P683,[1]Datos!$A$2:$D$14,2)</f>
        <v>8.19</v>
      </c>
      <c r="S683" s="10">
        <f>ROUNDUP(O683/R683,0)</f>
        <v>39</v>
      </c>
      <c r="T683" s="18">
        <v>39</v>
      </c>
      <c r="U683" s="3">
        <f>ROUNDDOWN(PI()*(G683-0.185)/T683,2)</f>
        <v>0.14000000000000001</v>
      </c>
      <c r="V683" s="3"/>
      <c r="W683" s="1">
        <v>280</v>
      </c>
      <c r="X683" s="9">
        <v>2</v>
      </c>
      <c r="Y683" s="1">
        <v>4</v>
      </c>
      <c r="Z683" s="3">
        <f>X683*VLOOKUP(Y683,[1]Datos!$A$2:$D$14,2)</f>
        <v>2.58</v>
      </c>
      <c r="AA683" s="8">
        <v>0.3</v>
      </c>
      <c r="AB683" s="7">
        <f>IF(D683=0,0.9,0.5)*0.9*0.53*SQRT(W683)*G683*MAX(0.72*G683,0.9*((G683/2)+((G683-0.11)/PI())))*10</f>
        <v>207.09423574274689</v>
      </c>
      <c r="AC683" s="7">
        <f>0.9*Z683*4220*MAX(0.72*G683,0.9*((G683/2)+((G683-0.11)/PI())))/AA683/1000</f>
        <v>47.081633547905106</v>
      </c>
      <c r="AD683" s="6" t="str">
        <f>+IF(AC683&gt;K683-AB683,"Cumple","No Cumple")</f>
        <v>Cumple</v>
      </c>
      <c r="AE683" s="6"/>
      <c r="AH683" s="3"/>
    </row>
    <row r="684" spans="1:43" ht="15" customHeight="1" x14ac:dyDescent="0.3">
      <c r="A684" s="13"/>
      <c r="B684" s="1">
        <v>15</v>
      </c>
      <c r="C684" s="1">
        <v>122</v>
      </c>
      <c r="D684" s="1">
        <v>0</v>
      </c>
      <c r="E684" s="5">
        <v>1</v>
      </c>
      <c r="F684" s="3">
        <f>F683+E684</f>
        <v>15</v>
      </c>
      <c r="G684" s="5">
        <v>2</v>
      </c>
      <c r="H684" s="3">
        <f>PI()*(G684^2)/4</f>
        <v>3.1415926535897931</v>
      </c>
      <c r="I684" s="4">
        <v>3.1415999999999999E-2</v>
      </c>
      <c r="K684" s="3">
        <v>141.03815630675976</v>
      </c>
      <c r="L684" s="3">
        <v>79.819010000000006</v>
      </c>
      <c r="M684" s="3">
        <v>911.57132999999999</v>
      </c>
      <c r="N684" s="12">
        <f>I684/H684</f>
        <v>1.0000023384349969E-2</v>
      </c>
      <c r="O684" s="11">
        <f>I684*10000</f>
        <v>314.15999999999997</v>
      </c>
      <c r="P684" s="1">
        <v>10</v>
      </c>
      <c r="Q684" s="19">
        <v>1</v>
      </c>
      <c r="R684" s="3">
        <f>Q684*VLOOKUP(P684,[1]Datos!$A$2:$D$14,2)</f>
        <v>8.19</v>
      </c>
      <c r="S684" s="10">
        <f>ROUNDUP(O684/R684,0)</f>
        <v>39</v>
      </c>
      <c r="T684" s="18">
        <v>39</v>
      </c>
      <c r="U684" s="3">
        <f>ROUNDDOWN(PI()*(G684-0.185)/T684,2)</f>
        <v>0.14000000000000001</v>
      </c>
      <c r="V684" s="3"/>
      <c r="W684" s="1">
        <v>280</v>
      </c>
      <c r="X684" s="9">
        <v>2</v>
      </c>
      <c r="Y684" s="1">
        <v>4</v>
      </c>
      <c r="Z684" s="3">
        <f>X684*VLOOKUP(Y684,[1]Datos!$A$2:$D$14,2)</f>
        <v>2.58</v>
      </c>
      <c r="AA684" s="8">
        <v>0.3</v>
      </c>
      <c r="AB684" s="7">
        <f>IF(D684=0,0.9,0.5)*0.9*0.53*SQRT(W684)*G684*MAX(0.72*G684,0.9*((G684/2)+((G684-0.11)/PI())))*10</f>
        <v>207.09423574274689</v>
      </c>
      <c r="AC684" s="7">
        <f>0.9*Z684*4220*MAX(0.72*G684,0.9*((G684/2)+((G684-0.11)/PI())))/AA684/1000</f>
        <v>47.081633547905106</v>
      </c>
      <c r="AD684" s="6" t="str">
        <f>+IF(AC684&gt;K684-AB684,"Cumple","No Cumple")</f>
        <v>Cumple</v>
      </c>
      <c r="AE684" s="6"/>
      <c r="AH684" s="3"/>
    </row>
    <row r="685" spans="1:43" ht="15" customHeight="1" x14ac:dyDescent="0.3">
      <c r="A685" s="13"/>
      <c r="B685" s="1">
        <v>16</v>
      </c>
      <c r="C685" s="1">
        <v>124</v>
      </c>
      <c r="D685" s="1">
        <v>0</v>
      </c>
      <c r="E685" s="5">
        <v>1</v>
      </c>
      <c r="F685" s="3">
        <f>F684+E685</f>
        <v>16</v>
      </c>
      <c r="G685" s="5">
        <v>2</v>
      </c>
      <c r="H685" s="3">
        <f>PI()*(G685^2)/4</f>
        <v>3.1415926535897931</v>
      </c>
      <c r="I685" s="4">
        <v>3.1415999999999999E-2</v>
      </c>
      <c r="K685" s="3">
        <v>141.03987484300319</v>
      </c>
      <c r="L685" s="3">
        <v>84.217669999999998</v>
      </c>
      <c r="M685" s="3">
        <v>877.30920000000003</v>
      </c>
      <c r="N685" s="12">
        <f>I685/H685</f>
        <v>1.0000023384349969E-2</v>
      </c>
      <c r="O685" s="11">
        <f>I685*10000</f>
        <v>314.15999999999997</v>
      </c>
      <c r="P685" s="1">
        <v>10</v>
      </c>
      <c r="Q685" s="1">
        <v>1</v>
      </c>
      <c r="R685" s="3">
        <f>Q685*VLOOKUP(P685,[1]Datos!$A$2:$D$14,2)</f>
        <v>8.19</v>
      </c>
      <c r="S685" s="10">
        <f>ROUNDUP(O685/R685,0)</f>
        <v>39</v>
      </c>
      <c r="T685" s="2">
        <v>39</v>
      </c>
      <c r="U685" s="3">
        <f>ROUNDDOWN(PI()*(G685-0.185)/T685,2)</f>
        <v>0.14000000000000001</v>
      </c>
      <c r="V685" s="3"/>
      <c r="W685" s="1">
        <v>280</v>
      </c>
      <c r="X685" s="9">
        <v>2</v>
      </c>
      <c r="Y685" s="1">
        <v>4</v>
      </c>
      <c r="Z685" s="3">
        <f>X685*VLOOKUP(Y685,[1]Datos!$A$2:$D$14,2)</f>
        <v>2.58</v>
      </c>
      <c r="AA685" s="8">
        <v>0.3</v>
      </c>
      <c r="AB685" s="7">
        <f>IF(D685=0,0.9,0.5)*0.9*0.53*SQRT(W685)*G685*MAX(0.72*G685,0.9*((G685/2)+((G685-0.11)/PI())))*10</f>
        <v>207.09423574274689</v>
      </c>
      <c r="AC685" s="7">
        <f>0.9*Z685*4220*MAX(0.72*G685,0.9*((G685/2)+((G685-0.11)/PI())))/AA685/1000</f>
        <v>47.081633547905106</v>
      </c>
      <c r="AD685" s="6" t="str">
        <f>+IF(AC685&gt;K685-AB685,"Cumple","No Cumple")</f>
        <v>Cumple</v>
      </c>
      <c r="AE685" s="6"/>
      <c r="AH685" s="3"/>
    </row>
    <row r="686" spans="1:43" ht="15" customHeight="1" x14ac:dyDescent="0.3">
      <c r="A686" s="13"/>
      <c r="B686" s="1">
        <v>17</v>
      </c>
      <c r="C686" s="1">
        <v>126</v>
      </c>
      <c r="D686" s="1">
        <v>0</v>
      </c>
      <c r="E686" s="5">
        <v>1</v>
      </c>
      <c r="F686" s="3">
        <f>F685+E686</f>
        <v>17</v>
      </c>
      <c r="G686" s="5">
        <v>2</v>
      </c>
      <c r="H686" s="3">
        <f>PI()*(G686^2)/4</f>
        <v>3.1415926535897931</v>
      </c>
      <c r="I686" s="4">
        <v>3.1415999999999999E-2</v>
      </c>
      <c r="K686" s="3">
        <v>141.04161426593217</v>
      </c>
      <c r="L686" s="3">
        <v>119.83936</v>
      </c>
      <c r="M686" s="3">
        <v>862.27239999999995</v>
      </c>
      <c r="N686" s="12">
        <f>I686/H686</f>
        <v>1.0000023384349969E-2</v>
      </c>
      <c r="O686" s="11">
        <f>I686*10000</f>
        <v>314.15999999999997</v>
      </c>
      <c r="P686" s="1">
        <v>10</v>
      </c>
      <c r="Q686" s="1">
        <v>1</v>
      </c>
      <c r="R686" s="3">
        <f>Q686*VLOOKUP(P686,[1]Datos!$A$2:$D$14,2)</f>
        <v>8.19</v>
      </c>
      <c r="S686" s="10">
        <f>ROUNDUP(O686/R686,0)</f>
        <v>39</v>
      </c>
      <c r="T686" s="2">
        <v>39</v>
      </c>
      <c r="U686" s="3">
        <f>ROUNDDOWN(PI()*(G686-0.185)/T686,2)</f>
        <v>0.14000000000000001</v>
      </c>
      <c r="V686" s="3"/>
      <c r="W686" s="1">
        <v>280</v>
      </c>
      <c r="X686" s="9">
        <v>2</v>
      </c>
      <c r="Y686" s="1">
        <v>4</v>
      </c>
      <c r="Z686" s="3">
        <f>X686*VLOOKUP(Y686,[1]Datos!$A$2:$D$14,2)</f>
        <v>2.58</v>
      </c>
      <c r="AA686" s="8">
        <v>0.3</v>
      </c>
      <c r="AB686" s="7">
        <f>IF(D686=0,0.9,0.5)*0.9*0.53*SQRT(W686)*G686*MAX(0.72*G686,0.9*((G686/2)+((G686-0.11)/PI())))*10</f>
        <v>207.09423574274689</v>
      </c>
      <c r="AC686" s="7">
        <f>0.9*Z686*4220*MAX(0.72*G686,0.9*((G686/2)+((G686-0.11)/PI())))/AA686/1000</f>
        <v>47.081633547905106</v>
      </c>
      <c r="AD686" s="6" t="str">
        <f>+IF(AC686&gt;K686-AB686,"Cumple","No Cumple")</f>
        <v>Cumple</v>
      </c>
      <c r="AE686" s="6"/>
      <c r="AH686" s="3"/>
    </row>
    <row r="687" spans="1:43" ht="15" customHeight="1" x14ac:dyDescent="0.3">
      <c r="A687" s="13"/>
      <c r="B687" s="1">
        <v>18</v>
      </c>
      <c r="C687" s="1">
        <v>128</v>
      </c>
      <c r="D687" s="1">
        <v>0</v>
      </c>
      <c r="E687" s="5">
        <v>1</v>
      </c>
      <c r="F687" s="3">
        <f>F686+E687</f>
        <v>18</v>
      </c>
      <c r="G687" s="5">
        <v>2</v>
      </c>
      <c r="H687" s="3">
        <f>PI()*(G687^2)/4</f>
        <v>3.1415926535897931</v>
      </c>
      <c r="I687" s="4">
        <v>3.1415999999999999E-2</v>
      </c>
      <c r="K687" s="3">
        <v>141.04343060139314</v>
      </c>
      <c r="L687" s="3">
        <v>155.94754</v>
      </c>
      <c r="M687" s="3">
        <v>884.49612999999999</v>
      </c>
      <c r="N687" s="12">
        <f>I687/H687</f>
        <v>1.0000023384349969E-2</v>
      </c>
      <c r="O687" s="11">
        <f>I687*10000</f>
        <v>314.15999999999997</v>
      </c>
      <c r="P687" s="1">
        <v>10</v>
      </c>
      <c r="Q687" s="1">
        <v>1</v>
      </c>
      <c r="R687" s="3">
        <f>Q687*VLOOKUP(P687,[1]Datos!$A$2:$D$14,2)</f>
        <v>8.19</v>
      </c>
      <c r="S687" s="10">
        <f>ROUNDUP(O687/R687,0)</f>
        <v>39</v>
      </c>
      <c r="T687" s="2">
        <v>39</v>
      </c>
      <c r="U687" s="3">
        <f>ROUNDDOWN(PI()*(G687-0.185)/T687,2)</f>
        <v>0.14000000000000001</v>
      </c>
      <c r="V687" s="3"/>
      <c r="W687" s="1">
        <v>280</v>
      </c>
      <c r="X687" s="9">
        <v>2</v>
      </c>
      <c r="Y687" s="1">
        <v>4</v>
      </c>
      <c r="Z687" s="3">
        <f>X687*VLOOKUP(Y687,[1]Datos!$A$2:$D$14,2)</f>
        <v>2.58</v>
      </c>
      <c r="AA687" s="8">
        <v>0.3</v>
      </c>
      <c r="AB687" s="7">
        <f>IF(D687=0,0.9,0.5)*0.9*0.53*SQRT(W687)*G687*MAX(0.72*G687,0.9*((G687/2)+((G687-0.11)/PI())))*10</f>
        <v>207.09423574274689</v>
      </c>
      <c r="AC687" s="7">
        <f>0.9*Z687*4220*MAX(0.72*G687,0.9*((G687/2)+((G687-0.11)/PI())))/AA687/1000</f>
        <v>47.081633547905106</v>
      </c>
      <c r="AD687" s="6" t="str">
        <f>+IF(AC687&gt;K687-AB687,"Cumple","No Cumple")</f>
        <v>Cumple</v>
      </c>
      <c r="AE687" s="6"/>
      <c r="AH687" s="3"/>
    </row>
    <row r="688" spans="1:43" ht="15" customHeight="1" x14ac:dyDescent="0.3">
      <c r="A688" s="13"/>
      <c r="B688" s="1">
        <v>19</v>
      </c>
      <c r="C688" s="1">
        <v>130</v>
      </c>
      <c r="D688" s="1">
        <v>0</v>
      </c>
      <c r="E688" s="5">
        <v>1</v>
      </c>
      <c r="F688" s="3">
        <f>F687+E688</f>
        <v>19</v>
      </c>
      <c r="G688" s="5">
        <v>2</v>
      </c>
      <c r="H688" s="3">
        <f>PI()*(G688^2)/4</f>
        <v>3.1415926535897931</v>
      </c>
      <c r="I688" s="4">
        <v>3.1415999999999999E-2</v>
      </c>
      <c r="K688" s="3">
        <v>141.04517002790277</v>
      </c>
      <c r="L688" s="3">
        <v>193.65967000000001</v>
      </c>
      <c r="M688" s="3">
        <v>938.81227000000001</v>
      </c>
      <c r="N688" s="12">
        <f>I688/H688</f>
        <v>1.0000023384349969E-2</v>
      </c>
      <c r="O688" s="11">
        <f>I688*10000</f>
        <v>314.15999999999997</v>
      </c>
      <c r="P688" s="1">
        <v>10</v>
      </c>
      <c r="Q688" s="1">
        <v>1</v>
      </c>
      <c r="R688" s="3">
        <f>Q688*VLOOKUP(P688,[1]Datos!$A$2:$D$14,2)</f>
        <v>8.19</v>
      </c>
      <c r="S688" s="10">
        <f>ROUNDUP(O688/R688,0)</f>
        <v>39</v>
      </c>
      <c r="T688" s="2">
        <v>39</v>
      </c>
      <c r="U688" s="3">
        <f>ROUNDDOWN(PI()*(G688-0.185)/T688,2)</f>
        <v>0.14000000000000001</v>
      </c>
      <c r="V688" s="3"/>
      <c r="W688" s="1">
        <v>280</v>
      </c>
      <c r="X688" s="9">
        <v>2</v>
      </c>
      <c r="Y688" s="1">
        <v>6</v>
      </c>
      <c r="Z688" s="3">
        <f>X688*VLOOKUP(Y688,[1]Datos!$A$2:$D$14,2)</f>
        <v>5.68</v>
      </c>
      <c r="AA688" s="8">
        <v>7.4999999999999997E-2</v>
      </c>
      <c r="AB688" s="7">
        <f>IF(D688=0,0.9,0.5)*0.9*0.53*SQRT(W688)*G688*MAX(0.72*G688,0.9*((G688/2)+((G688-0.11)/PI())))*10</f>
        <v>207.09423574274689</v>
      </c>
      <c r="AC688" s="7">
        <f>0.9*Z688*4220*MAX(0.72*G688,0.9*((G688/2)+((G688-0.11)/PI())))/AA688/1000</f>
        <v>414.61035434434268</v>
      </c>
      <c r="AD688" s="6" t="str">
        <f>+IF(AC688&gt;K688-AB688,"Cumple","No Cumple")</f>
        <v>Cumple</v>
      </c>
      <c r="AE688" s="6"/>
      <c r="AF688" s="5">
        <v>22</v>
      </c>
      <c r="AG688" s="7">
        <f>ROUNDUP(MAX(0.45,G688,AF688/6),0)</f>
        <v>4</v>
      </c>
      <c r="AH688" s="3">
        <f>PI()*(G688-0.15)^2/4</f>
        <v>2.6880252142277672</v>
      </c>
      <c r="AI688" s="7">
        <f>G688-0.15-VLOOKUP(Y688,[1]Datos!$A$2:$D$14,3)/100</f>
        <v>1.8309000000000002</v>
      </c>
      <c r="AJ688" s="7">
        <f>SQRT((PI()*AI688)^2+AA688^2)</f>
        <v>5.7524309339691264</v>
      </c>
      <c r="AK688" s="1">
        <v>0.12</v>
      </c>
      <c r="AL688" s="16">
        <f>MAX(0.45*(H688/AH688-1),AK688)*(W688/4220)</f>
        <v>7.9620853080568724E-3</v>
      </c>
      <c r="AM688" s="7">
        <f>AG688*(AJ688/AA688)</f>
        <v>306.79631647835345</v>
      </c>
      <c r="AN688" s="17">
        <f>AM688*Z688/X688/10000</f>
        <v>8.7130153879852373E-2</v>
      </c>
      <c r="AO688" s="17">
        <f>AH688*AG688</f>
        <v>10.752100856911069</v>
      </c>
      <c r="AP688" s="16">
        <f>AN688/AO688</f>
        <v>8.1035469290495175E-3</v>
      </c>
      <c r="AQ688" s="6" t="str">
        <f>+IF(AP688&gt;AL688,"Cumple","No Cumple")</f>
        <v>Cumple</v>
      </c>
    </row>
    <row r="689" spans="1:43" ht="15" customHeight="1" x14ac:dyDescent="0.3">
      <c r="A689" s="13"/>
      <c r="B689" s="1">
        <v>20</v>
      </c>
      <c r="C689" s="1">
        <v>132</v>
      </c>
      <c r="D689" s="1">
        <v>0</v>
      </c>
      <c r="E689" s="5">
        <v>1</v>
      </c>
      <c r="F689" s="3">
        <f>F688+E689</f>
        <v>20</v>
      </c>
      <c r="G689" s="5">
        <v>2</v>
      </c>
      <c r="H689" s="3">
        <f>PI()*(G689^2)/4</f>
        <v>3.1415926535897931</v>
      </c>
      <c r="I689" s="4">
        <v>3.1415999999999999E-2</v>
      </c>
      <c r="K689" s="3">
        <v>141.04698636784124</v>
      </c>
      <c r="L689" s="3">
        <v>233.59433999999999</v>
      </c>
      <c r="M689" s="3">
        <v>993.33698000000004</v>
      </c>
      <c r="N689" s="12">
        <f>I689/H689</f>
        <v>1.0000023384349969E-2</v>
      </c>
      <c r="O689" s="11">
        <f>I689*10000</f>
        <v>314.15999999999997</v>
      </c>
      <c r="P689" s="1">
        <v>10</v>
      </c>
      <c r="Q689" s="1">
        <v>1</v>
      </c>
      <c r="R689" s="3">
        <f>Q689*VLOOKUP(P689,[1]Datos!$A$2:$D$14,2)</f>
        <v>8.19</v>
      </c>
      <c r="S689" s="10">
        <f>ROUNDUP(O689/R689,0)</f>
        <v>39</v>
      </c>
      <c r="T689" s="2">
        <v>39</v>
      </c>
      <c r="U689" s="3">
        <f>ROUNDDOWN(PI()*(G689-0.185)/T689,2)</f>
        <v>0.14000000000000001</v>
      </c>
      <c r="V689" s="3"/>
      <c r="W689" s="1">
        <v>280</v>
      </c>
      <c r="X689" s="9">
        <v>2</v>
      </c>
      <c r="Y689" s="1">
        <v>6</v>
      </c>
      <c r="Z689" s="3">
        <f>X689*VLOOKUP(Y689,[1]Datos!$A$2:$D$14,2)</f>
        <v>5.68</v>
      </c>
      <c r="AA689" s="8">
        <v>7.4999999999999997E-2</v>
      </c>
      <c r="AB689" s="7">
        <f>IF(D689=0,0.9,0.5)*0.9*0.53*SQRT(W689)*G689*MAX(0.72*G689,0.9*((G689/2)+((G689-0.11)/PI())))*10</f>
        <v>207.09423574274689</v>
      </c>
      <c r="AC689" s="7">
        <f>0.9*Z689*4220*MAX(0.72*G689,0.9*((G689/2)+((G689-0.11)/PI())))/AA689/1000</f>
        <v>414.61035434434268</v>
      </c>
      <c r="AD689" s="6" t="str">
        <f>+IF(AC689&gt;K689-AB689,"Cumple","No Cumple")</f>
        <v>Cumple</v>
      </c>
      <c r="AE689" s="6"/>
      <c r="AF689" s="5">
        <v>22</v>
      </c>
      <c r="AG689" s="7">
        <f>ROUNDUP(MAX(0.45,G689,AF689/6),0)</f>
        <v>4</v>
      </c>
      <c r="AH689" s="3">
        <f>PI()*(G689-0.15)^2/4</f>
        <v>2.6880252142277672</v>
      </c>
      <c r="AI689" s="7">
        <f>G689-0.15-VLOOKUP(Y689,[1]Datos!$A$2:$D$14,3)/100</f>
        <v>1.8309000000000002</v>
      </c>
      <c r="AJ689" s="7">
        <f>SQRT((PI()*AI689)^2+AA689^2)</f>
        <v>5.7524309339691264</v>
      </c>
      <c r="AK689" s="1">
        <v>0.12</v>
      </c>
      <c r="AL689" s="16">
        <f>MAX(0.45*(H689/AH689-1),AK689)*(W689/4220)</f>
        <v>7.9620853080568724E-3</v>
      </c>
      <c r="AM689" s="7">
        <f>AG689*(AJ689/AA689)</f>
        <v>306.79631647835345</v>
      </c>
      <c r="AN689" s="17">
        <f>AM689*Z689/X689/10000</f>
        <v>8.7130153879852373E-2</v>
      </c>
      <c r="AO689" s="17">
        <f>AH689*AG689</f>
        <v>10.752100856911069</v>
      </c>
      <c r="AP689" s="16">
        <f>AN689/AO689</f>
        <v>8.1035469290495175E-3</v>
      </c>
      <c r="AQ689" s="6" t="str">
        <f>+IF(AP689&gt;AL689,"Cumple","No Cumple")</f>
        <v>Cumple</v>
      </c>
    </row>
    <row r="690" spans="1:43" ht="15" customHeight="1" x14ac:dyDescent="0.3">
      <c r="A690" s="13"/>
      <c r="B690" s="1">
        <v>21</v>
      </c>
      <c r="C690" s="1">
        <v>134</v>
      </c>
      <c r="D690" s="1">
        <v>0</v>
      </c>
      <c r="E690" s="5">
        <v>1</v>
      </c>
      <c r="F690" s="3">
        <f>F689+E690</f>
        <v>21</v>
      </c>
      <c r="G690" s="5">
        <v>2</v>
      </c>
      <c r="H690" s="3">
        <f>PI()*(G690^2)/4</f>
        <v>3.1415926535897931</v>
      </c>
      <c r="I690" s="4">
        <v>3.1415999999999999E-2</v>
      </c>
      <c r="K690" s="3">
        <v>141.04872579793124</v>
      </c>
      <c r="L690" s="3">
        <v>273.54734000000002</v>
      </c>
      <c r="M690" s="3">
        <v>1047.9929099999999</v>
      </c>
      <c r="N690" s="12">
        <f>I690/H690</f>
        <v>1.0000023384349969E-2</v>
      </c>
      <c r="O690" s="11">
        <f>I690*10000</f>
        <v>314.15999999999997</v>
      </c>
      <c r="P690" s="1">
        <v>10</v>
      </c>
      <c r="Q690" s="1">
        <v>1</v>
      </c>
      <c r="R690" s="3">
        <f>Q690*VLOOKUP(P690,[1]Datos!$A$2:$D$14,2)</f>
        <v>8.19</v>
      </c>
      <c r="S690" s="10">
        <f>ROUNDUP(O690/R690,0)</f>
        <v>39</v>
      </c>
      <c r="T690" s="2">
        <v>39</v>
      </c>
      <c r="U690" s="3">
        <f>ROUNDDOWN(PI()*(G690-0.185)/T690,2)</f>
        <v>0.14000000000000001</v>
      </c>
      <c r="V690" s="3"/>
      <c r="W690" s="1">
        <v>280</v>
      </c>
      <c r="X690" s="9">
        <v>2</v>
      </c>
      <c r="Y690" s="1">
        <v>6</v>
      </c>
      <c r="Z690" s="3">
        <f>X690*VLOOKUP(Y690,[1]Datos!$A$2:$D$14,2)</f>
        <v>5.68</v>
      </c>
      <c r="AA690" s="8">
        <v>7.4999999999999997E-2</v>
      </c>
      <c r="AB690" s="7">
        <f>IF(D690=0,0.9,0.5)*0.9*0.53*SQRT(W690)*G690*MAX(0.72*G690,0.9*((G690/2)+((G690-0.11)/PI())))*10</f>
        <v>207.09423574274689</v>
      </c>
      <c r="AC690" s="7">
        <f>0.9*Z690*4220*MAX(0.72*G690,0.9*((G690/2)+((G690-0.11)/PI())))/AA690/1000</f>
        <v>414.61035434434268</v>
      </c>
      <c r="AD690" s="6" t="str">
        <f>+IF(AC690&gt;K690-AB690,"Cumple","No Cumple")</f>
        <v>Cumple</v>
      </c>
      <c r="AE690" s="6"/>
      <c r="AF690" s="5">
        <v>22</v>
      </c>
      <c r="AG690" s="7">
        <f>ROUNDUP(MAX(0.45,G690,AF690/6),0)</f>
        <v>4</v>
      </c>
      <c r="AH690" s="3">
        <f>PI()*(G690-0.15)^2/4</f>
        <v>2.6880252142277672</v>
      </c>
      <c r="AI690" s="7">
        <f>G690-0.15-VLOOKUP(Y690,[1]Datos!$A$2:$D$14,3)/100</f>
        <v>1.8309000000000002</v>
      </c>
      <c r="AJ690" s="7">
        <f>SQRT((PI()*AI690)^2+AA690^2)</f>
        <v>5.7524309339691264</v>
      </c>
      <c r="AK690" s="1">
        <v>0.12</v>
      </c>
      <c r="AL690" s="16">
        <f>MAX(0.45*(H690/AH690-1),AK690)*(W690/4220)</f>
        <v>7.9620853080568724E-3</v>
      </c>
      <c r="AM690" s="7">
        <f>AG690*(AJ690/AA690)</f>
        <v>306.79631647835345</v>
      </c>
      <c r="AN690" s="17">
        <f>AM690*Z690/X690/10000</f>
        <v>8.7130153879852373E-2</v>
      </c>
      <c r="AO690" s="17">
        <f>AH690*AG690</f>
        <v>10.752100856911069</v>
      </c>
      <c r="AP690" s="16">
        <f>AN690/AO690</f>
        <v>8.1035469290495175E-3</v>
      </c>
      <c r="AQ690" s="6" t="str">
        <f>+IF(AP690&gt;AL690,"Cumple","No Cumple")</f>
        <v>Cumple</v>
      </c>
    </row>
    <row r="691" spans="1:43" ht="15" customHeight="1" x14ac:dyDescent="0.3">
      <c r="A691" s="13"/>
      <c r="B691" s="1">
        <v>22</v>
      </c>
      <c r="C691" s="1">
        <v>135</v>
      </c>
      <c r="D691" s="1">
        <v>0</v>
      </c>
      <c r="E691" s="5">
        <v>1</v>
      </c>
      <c r="F691" s="3">
        <f>F690+E691</f>
        <v>22</v>
      </c>
      <c r="G691" s="5">
        <v>2</v>
      </c>
      <c r="H691" s="3">
        <f>PI()*(G691^2)/4</f>
        <v>3.1415926535897931</v>
      </c>
      <c r="I691" s="4">
        <v>3.1415999999999999E-2</v>
      </c>
      <c r="K691" s="3">
        <v>141.05054214234696</v>
      </c>
      <c r="L691" s="3">
        <v>313.49065000000002</v>
      </c>
      <c r="M691" s="3">
        <v>1102.7149300000001</v>
      </c>
      <c r="N691" s="12">
        <f>I691/H691</f>
        <v>1.0000023384349969E-2</v>
      </c>
      <c r="O691" s="11">
        <f>I691*10000</f>
        <v>314.15999999999997</v>
      </c>
      <c r="P691" s="1">
        <v>10</v>
      </c>
      <c r="Q691" s="19">
        <v>2</v>
      </c>
      <c r="R691" s="3">
        <f>Q691*VLOOKUP(P691,[1]Datos!$A$2:$D$14,2)</f>
        <v>16.38</v>
      </c>
      <c r="S691" s="10">
        <f>ROUNDUP(O691/R691,0)</f>
        <v>20</v>
      </c>
      <c r="T691" s="18">
        <v>52</v>
      </c>
      <c r="U691" s="3">
        <f>ROUNDDOWN(PI()*(G691-0.185)/T691,2)</f>
        <v>0.1</v>
      </c>
      <c r="V691" s="3"/>
      <c r="W691" s="1">
        <v>280</v>
      </c>
      <c r="X691" s="9">
        <v>2</v>
      </c>
      <c r="Y691" s="1">
        <v>6</v>
      </c>
      <c r="Z691" s="3">
        <f>X691*VLOOKUP(Y691,[1]Datos!$A$2:$D$14,2)</f>
        <v>5.68</v>
      </c>
      <c r="AA691" s="8">
        <v>7.4999999999999997E-2</v>
      </c>
      <c r="AB691" s="7">
        <f>IF(D691=0,0.9,0.5)*0.9*0.53*SQRT(W691)*G691*MAX(0.72*G691,0.9*((G691/2)+((G691-0.11)/PI())))*10</f>
        <v>207.09423574274689</v>
      </c>
      <c r="AC691" s="7">
        <f>0.9*Z691*4220*MAX(0.72*G691,0.9*((G691/2)+((G691-0.11)/PI())))/AA691/1000</f>
        <v>414.61035434434268</v>
      </c>
      <c r="AD691" s="6" t="str">
        <f>+IF(AC691&gt;K691-AB691,"Cumple","No Cumple")</f>
        <v>Cumple</v>
      </c>
      <c r="AE691" s="6"/>
      <c r="AF691" s="5">
        <v>22</v>
      </c>
      <c r="AG691" s="7">
        <f>ROUNDUP(MAX(0.45,G691,AF691/6),0)</f>
        <v>4</v>
      </c>
      <c r="AH691" s="3">
        <f>PI()*(G691-0.15)^2/4</f>
        <v>2.6880252142277672</v>
      </c>
      <c r="AI691" s="7">
        <f>G691-0.15-VLOOKUP(Y691,[1]Datos!$A$2:$D$14,3)/100</f>
        <v>1.8309000000000002</v>
      </c>
      <c r="AJ691" s="7">
        <f>SQRT((PI()*AI691)^2+AA691^2)</f>
        <v>5.7524309339691264</v>
      </c>
      <c r="AK691" s="1">
        <v>0.12</v>
      </c>
      <c r="AL691" s="16">
        <f>MAX(0.45*(H691/AH691-1),AK691)*(W691/4220)</f>
        <v>7.9620853080568724E-3</v>
      </c>
      <c r="AM691" s="7">
        <f>AG691*(AJ691/AA691)</f>
        <v>306.79631647835345</v>
      </c>
      <c r="AN691" s="17">
        <f>AM691*Z691/X691/10000</f>
        <v>8.7130153879852373E-2</v>
      </c>
      <c r="AO691" s="17">
        <f>AH691*AG691</f>
        <v>10.752100856911069</v>
      </c>
      <c r="AP691" s="16">
        <f>AN691/AO691</f>
        <v>8.1035469290495175E-3</v>
      </c>
      <c r="AQ691" s="6" t="str">
        <f>+IF(AP691&gt;AL691,"Cumple","No Cumple")</f>
        <v>Cumple</v>
      </c>
    </row>
    <row r="692" spans="1:43" ht="15" customHeight="1" x14ac:dyDescent="0.3">
      <c r="A692" s="13"/>
      <c r="B692" s="1">
        <v>23</v>
      </c>
      <c r="C692" s="1">
        <v>335</v>
      </c>
      <c r="D692" s="1">
        <v>1</v>
      </c>
      <c r="E692" s="5">
        <v>1</v>
      </c>
      <c r="F692" s="3">
        <f>F691+E692</f>
        <v>23</v>
      </c>
      <c r="G692" s="5">
        <v>2</v>
      </c>
      <c r="H692" s="3">
        <f>PI()*(G692^2)/4</f>
        <v>3.1415926535897931</v>
      </c>
      <c r="I692" s="4">
        <v>7.7667E-2</v>
      </c>
      <c r="K692" s="3">
        <v>141.07760637563996</v>
      </c>
      <c r="L692" s="3">
        <v>694.66480000000001</v>
      </c>
      <c r="M692" s="3">
        <v>2072.1221399999999</v>
      </c>
      <c r="N692" s="12">
        <f>I692/H692</f>
        <v>2.4722173930236471E-2</v>
      </c>
      <c r="O692" s="11">
        <f>I692*10000</f>
        <v>776.67</v>
      </c>
      <c r="P692" s="1">
        <v>10</v>
      </c>
      <c r="Q692" s="19">
        <v>2</v>
      </c>
      <c r="R692" s="3">
        <f>Q692*VLOOKUP(P692,[1]Datos!$A$2:$D$14,2)</f>
        <v>16.38</v>
      </c>
      <c r="S692" s="10">
        <f>ROUNDUP(O692/R692,0)</f>
        <v>48</v>
      </c>
      <c r="T692" s="18">
        <v>52</v>
      </c>
      <c r="U692" s="3">
        <f>ROUNDDOWN(PI()*(G692-0.185)/T692,2)</f>
        <v>0.1</v>
      </c>
      <c r="V692" s="3"/>
      <c r="W692" s="1">
        <v>280</v>
      </c>
      <c r="X692" s="9">
        <v>2</v>
      </c>
      <c r="Y692" s="1">
        <v>6</v>
      </c>
      <c r="Z692" s="3">
        <f>X692*VLOOKUP(Y692,[1]Datos!$A$2:$D$14,2)</f>
        <v>5.68</v>
      </c>
      <c r="AA692" s="8">
        <v>7.4999999999999997E-2</v>
      </c>
      <c r="AB692" s="7">
        <f>IF(D692=0,0.9,0.5)*0.9*0.53*SQRT(W692)*G692*MAX(0.72*G692,0.9*((G692/2)+((G692-0.11)/PI())))*10</f>
        <v>115.05235319041492</v>
      </c>
      <c r="AC692" s="7">
        <f>0.9*Z692*4220*MAX(0.72*G692,0.9*((G692/2)+((G692-0.11)/PI())))/AA692/1000</f>
        <v>414.61035434434268</v>
      </c>
      <c r="AD692" s="6" t="str">
        <f>+IF(AC692&gt;K692-AB692,"Cumple","No Cumple")</f>
        <v>Cumple</v>
      </c>
      <c r="AE692" s="6"/>
      <c r="AG692" s="7">
        <f>ROUNDUP(MAX(0.45,3*G692,),0)</f>
        <v>6</v>
      </c>
      <c r="AH692" s="3">
        <f>PI()*(G692-0.15)^2/4</f>
        <v>2.6880252142277672</v>
      </c>
      <c r="AI692" s="7">
        <f>G692-0.15-VLOOKUP(Y692,[1]Datos!$A$2:$D$14,3)/100</f>
        <v>1.8309000000000002</v>
      </c>
      <c r="AJ692" s="7">
        <f>SQRT((PI()*AI692)^2+AA692^2)</f>
        <v>5.7524309339691264</v>
      </c>
      <c r="AK692" s="1">
        <v>0.12</v>
      </c>
      <c r="AL692" s="16">
        <f>MAX(0.45*(H692/AH692-1),AK692)*(W692/4220)</f>
        <v>7.9620853080568724E-3</v>
      </c>
      <c r="AM692" s="7">
        <f>AG692*(AJ692/AA692)</f>
        <v>460.19447471753017</v>
      </c>
      <c r="AN692" s="17">
        <f>AM692*Z692/X692/10000</f>
        <v>0.13069523081977857</v>
      </c>
      <c r="AO692" s="17">
        <f>AH692*AG692</f>
        <v>16.128151285366602</v>
      </c>
      <c r="AP692" s="16">
        <f>AN692/AO692</f>
        <v>8.1035469290495193E-3</v>
      </c>
      <c r="AQ692" s="6" t="str">
        <f>+IF(AP692&gt;AL692,"Cumple","No Cumple")</f>
        <v>Cumple</v>
      </c>
    </row>
    <row r="693" spans="1:43" ht="15" customHeight="1" x14ac:dyDescent="0.3">
      <c r="A693" s="13"/>
      <c r="B693" s="1">
        <v>24</v>
      </c>
      <c r="C693" s="1">
        <v>337</v>
      </c>
      <c r="D693" s="1">
        <v>1</v>
      </c>
      <c r="E693" s="5">
        <v>1</v>
      </c>
      <c r="F693" s="3">
        <f>F692+E693</f>
        <v>24</v>
      </c>
      <c r="G693" s="5">
        <v>2</v>
      </c>
      <c r="H693" s="3">
        <f>PI()*(G693^2)/4</f>
        <v>3.1415926535897931</v>
      </c>
      <c r="I693" s="4">
        <v>8.1327999999999998E-2</v>
      </c>
      <c r="K693" s="3">
        <v>132.61077406278122</v>
      </c>
      <c r="L693" s="3">
        <v>769.83797000000004</v>
      </c>
      <c r="M693" s="3">
        <v>2159.66966</v>
      </c>
      <c r="N693" s="12">
        <f>I693/H693</f>
        <v>2.5887506423555327E-2</v>
      </c>
      <c r="O693" s="11">
        <f>I693*10000</f>
        <v>813.28</v>
      </c>
      <c r="P693" s="1">
        <v>10</v>
      </c>
      <c r="Q693" s="19">
        <v>2</v>
      </c>
      <c r="R693" s="3">
        <f>Q693*VLOOKUP(P693,[1]Datos!$A$2:$D$14,2)</f>
        <v>16.38</v>
      </c>
      <c r="S693" s="10">
        <f>ROUNDUP(O693/R693,0)</f>
        <v>50</v>
      </c>
      <c r="T693" s="18">
        <v>52</v>
      </c>
      <c r="U693" s="3">
        <f>ROUNDDOWN(PI()*(G693-0.185)/T693,2)</f>
        <v>0.1</v>
      </c>
      <c r="V693" s="3"/>
      <c r="W693" s="1">
        <v>280</v>
      </c>
      <c r="X693" s="9">
        <v>2</v>
      </c>
      <c r="Y693" s="1">
        <v>6</v>
      </c>
      <c r="Z693" s="3">
        <f>X693*VLOOKUP(Y693,[1]Datos!$A$2:$D$14,2)</f>
        <v>5.68</v>
      </c>
      <c r="AA693" s="8">
        <v>7.4999999999999997E-2</v>
      </c>
      <c r="AB693" s="7">
        <f>IF(D693=0,0.9,0.5)*0.9*0.53*SQRT(W693)*G693*MAX(0.72*G693,0.9*((G693/2)+((G693-0.11)/PI())))*10</f>
        <v>115.05235319041492</v>
      </c>
      <c r="AC693" s="7">
        <f>0.9*Z693*4220*MAX(0.72*G693,0.9*((G693/2)+((G693-0.11)/PI())))/AA693/1000</f>
        <v>414.61035434434268</v>
      </c>
      <c r="AD693" s="6" t="str">
        <f>+IF(AC693&gt;K693-AB693,"Cumple","No Cumple")</f>
        <v>Cumple</v>
      </c>
      <c r="AE693" s="6"/>
      <c r="AG693" s="7">
        <f>ROUNDUP(MAX(0.45,3*G693,),0)</f>
        <v>6</v>
      </c>
      <c r="AH693" s="3">
        <f>PI()*(G693-0.15)^2/4</f>
        <v>2.6880252142277672</v>
      </c>
      <c r="AI693" s="7">
        <f>G693-0.15-VLOOKUP(Y693,[1]Datos!$A$2:$D$14,3)/100</f>
        <v>1.8309000000000002</v>
      </c>
      <c r="AJ693" s="7">
        <f>SQRT((PI()*AI693)^2+AA693^2)</f>
        <v>5.7524309339691264</v>
      </c>
      <c r="AK693" s="1">
        <v>0.12</v>
      </c>
      <c r="AL693" s="16">
        <f>MAX(0.45*(H693/AH693-1),AK693)*(W693/4220)</f>
        <v>7.9620853080568724E-3</v>
      </c>
      <c r="AM693" s="7">
        <f>AG693*(AJ693/AA693)</f>
        <v>460.19447471753017</v>
      </c>
      <c r="AN693" s="17">
        <f>AM693*Z693/X693/10000</f>
        <v>0.13069523081977857</v>
      </c>
      <c r="AO693" s="17">
        <f>AH693*AG693</f>
        <v>16.128151285366602</v>
      </c>
      <c r="AP693" s="16">
        <f>AN693/AO693</f>
        <v>8.1035469290495193E-3</v>
      </c>
      <c r="AQ693" s="6" t="str">
        <f>+IF(AP693&gt;AL693,"Cumple","No Cumple")</f>
        <v>Cumple</v>
      </c>
    </row>
    <row r="694" spans="1:43" ht="15" customHeight="1" x14ac:dyDescent="0.3">
      <c r="A694" s="13"/>
      <c r="B694" s="1">
        <v>25</v>
      </c>
      <c r="C694" s="1">
        <v>339</v>
      </c>
      <c r="D694" s="1">
        <v>1</v>
      </c>
      <c r="E694" s="5">
        <v>1</v>
      </c>
      <c r="F694" s="3">
        <f>F693+E694</f>
        <v>25</v>
      </c>
      <c r="G694" s="5">
        <v>2</v>
      </c>
      <c r="H694" s="3">
        <f>PI()*(G694^2)/4</f>
        <v>3.1415926535897931</v>
      </c>
      <c r="I694" s="4">
        <v>8.4170999999999996E-2</v>
      </c>
      <c r="K694" s="3">
        <v>119.61702899813221</v>
      </c>
      <c r="L694" s="3">
        <v>838.63822000000005</v>
      </c>
      <c r="M694" s="3">
        <v>2233.5750400000002</v>
      </c>
      <c r="N694" s="12">
        <f>I694/H694</f>
        <v>2.6792461429975843E-2</v>
      </c>
      <c r="O694" s="11">
        <f>I694*10000</f>
        <v>841.70999999999992</v>
      </c>
      <c r="P694" s="1">
        <v>10</v>
      </c>
      <c r="Q694" s="1">
        <v>2</v>
      </c>
      <c r="R694" s="3">
        <f>Q694*VLOOKUP(P694,[1]Datos!$A$2:$D$14,2)</f>
        <v>16.38</v>
      </c>
      <c r="S694" s="10">
        <f>ROUNDUP(O694/R694,0)</f>
        <v>52</v>
      </c>
      <c r="T694" s="2">
        <v>52</v>
      </c>
      <c r="U694" s="3">
        <f>ROUNDDOWN(PI()*(G694-0.185)/T694,2)</f>
        <v>0.1</v>
      </c>
      <c r="V694" s="3"/>
      <c r="W694" s="1">
        <v>280</v>
      </c>
      <c r="X694" s="9">
        <v>2</v>
      </c>
      <c r="Y694" s="1">
        <v>6</v>
      </c>
      <c r="Z694" s="3">
        <f>X694*VLOOKUP(Y694,[1]Datos!$A$2:$D$14,2)</f>
        <v>5.68</v>
      </c>
      <c r="AA694" s="8">
        <v>7.4999999999999997E-2</v>
      </c>
      <c r="AB694" s="7">
        <f>IF(D694=0,0.9,0.5)*0.9*0.53*SQRT(W694)*G694*MAX(0.72*G694,0.9*((G694/2)+((G694-0.11)/PI())))*10</f>
        <v>115.05235319041492</v>
      </c>
      <c r="AC694" s="7">
        <f>0.9*Z694*4220*MAX(0.72*G694,0.9*((G694/2)+((G694-0.11)/PI())))/AA694/1000</f>
        <v>414.61035434434268</v>
      </c>
      <c r="AD694" s="6" t="str">
        <f>+IF(AC694&gt;K694-AB694,"Cumple","No Cumple")</f>
        <v>Cumple</v>
      </c>
      <c r="AE694" s="6"/>
      <c r="AG694" s="7">
        <f>ROUNDUP(MAX(0.45,3*G694,),0)</f>
        <v>6</v>
      </c>
      <c r="AH694" s="3">
        <f>PI()*(G694-0.15)^2/4</f>
        <v>2.6880252142277672</v>
      </c>
      <c r="AI694" s="7">
        <f>G694-0.15-VLOOKUP(Y694,[1]Datos!$A$2:$D$14,3)/100</f>
        <v>1.8309000000000002</v>
      </c>
      <c r="AJ694" s="7">
        <f>SQRT((PI()*AI694)^2+AA694^2)</f>
        <v>5.7524309339691264</v>
      </c>
      <c r="AK694" s="1">
        <v>0.12</v>
      </c>
      <c r="AL694" s="16">
        <f>MAX(0.45*(H694/AH694-1),AK694)*(W694/4220)</f>
        <v>7.9620853080568724E-3</v>
      </c>
      <c r="AM694" s="7">
        <f>AG694*(AJ694/AA694)</f>
        <v>460.19447471753017</v>
      </c>
      <c r="AN694" s="17">
        <f>AM694*Z694/X694/10000</f>
        <v>0.13069523081977857</v>
      </c>
      <c r="AO694" s="17">
        <f>AH694*AG694</f>
        <v>16.128151285366602</v>
      </c>
      <c r="AP694" s="16">
        <f>AN694/AO694</f>
        <v>8.1035469290495193E-3</v>
      </c>
      <c r="AQ694" s="6" t="str">
        <f>+IF(AP694&gt;AL694,"Cumple","No Cumple")</f>
        <v>Cumple</v>
      </c>
    </row>
    <row r="695" spans="1:43" ht="15" customHeight="1" x14ac:dyDescent="0.3">
      <c r="A695" s="13"/>
      <c r="B695" s="1">
        <v>26</v>
      </c>
      <c r="C695" s="1">
        <v>341</v>
      </c>
      <c r="D695" s="1">
        <v>1</v>
      </c>
      <c r="E695" s="5">
        <v>1</v>
      </c>
      <c r="F695" s="3">
        <f>F694+E695</f>
        <v>26</v>
      </c>
      <c r="G695" s="5">
        <v>2</v>
      </c>
      <c r="H695" s="3">
        <f>PI()*(G695^2)/4</f>
        <v>3.1415926535897931</v>
      </c>
      <c r="I695" s="4">
        <v>8.4170999999999996E-2</v>
      </c>
      <c r="K695" s="3">
        <v>67.17630577108271</v>
      </c>
      <c r="L695" s="3">
        <v>871.82203000000004</v>
      </c>
      <c r="M695" s="3">
        <v>2249.0625100000002</v>
      </c>
      <c r="N695" s="12">
        <f>I695/H695</f>
        <v>2.6792461429975843E-2</v>
      </c>
      <c r="O695" s="11">
        <f>I695*10000</f>
        <v>841.70999999999992</v>
      </c>
      <c r="P695" s="1">
        <v>10</v>
      </c>
      <c r="Q695" s="1">
        <v>2</v>
      </c>
      <c r="R695" s="3">
        <f>Q695*VLOOKUP(P695,[1]Datos!$A$2:$D$14,2)</f>
        <v>16.38</v>
      </c>
      <c r="S695" s="10">
        <f>ROUNDUP(O695/R695,0)</f>
        <v>52</v>
      </c>
      <c r="T695" s="2">
        <v>52</v>
      </c>
      <c r="U695" s="3">
        <f>ROUNDDOWN(PI()*(G695-0.185)/T695,2)</f>
        <v>0.1</v>
      </c>
      <c r="V695" s="3"/>
      <c r="W695" s="1">
        <v>280</v>
      </c>
      <c r="X695" s="9">
        <v>2</v>
      </c>
      <c r="Y695" s="1">
        <v>6</v>
      </c>
      <c r="Z695" s="3">
        <f>X695*VLOOKUP(Y695,[1]Datos!$A$2:$D$14,2)</f>
        <v>5.68</v>
      </c>
      <c r="AA695" s="8">
        <v>7.4999999999999997E-2</v>
      </c>
      <c r="AB695" s="7">
        <f>IF(D695=0,0.9,0.5)*0.9*0.53*SQRT(W695)*G695*MAX(0.72*G695,0.9*((G695/2)+((G695-0.11)/PI())))*10</f>
        <v>115.05235319041492</v>
      </c>
      <c r="AC695" s="7">
        <f>0.9*Z695*4220*MAX(0.72*G695,0.9*((G695/2)+((G695-0.11)/PI())))/AA695/1000</f>
        <v>414.61035434434268</v>
      </c>
      <c r="AD695" s="6" t="str">
        <f>+IF(AC695&gt;K695-AB695,"Cumple","No Cumple")</f>
        <v>Cumple</v>
      </c>
      <c r="AE695" s="6"/>
      <c r="AG695" s="7">
        <f>ROUNDUP(MAX(0.45,3*G695,),0)</f>
        <v>6</v>
      </c>
      <c r="AH695" s="3">
        <f>PI()*(G695-0.15)^2/4</f>
        <v>2.6880252142277672</v>
      </c>
      <c r="AI695" s="7">
        <f>G695-0.15-VLOOKUP(Y695,[1]Datos!$A$2:$D$14,3)/100</f>
        <v>1.8309000000000002</v>
      </c>
      <c r="AJ695" s="7">
        <f>SQRT((PI()*AI695)^2+AA695^2)</f>
        <v>5.7524309339691264</v>
      </c>
      <c r="AK695" s="1">
        <v>0.12</v>
      </c>
      <c r="AL695" s="16">
        <f>MAX(0.45*(H695/AH695-1),AK695)*(W695/4220)</f>
        <v>7.9620853080568724E-3</v>
      </c>
      <c r="AM695" s="7">
        <f>AG695*(AJ695/AA695)</f>
        <v>460.19447471753017</v>
      </c>
      <c r="AN695" s="17">
        <f>AM695*Z695/X695/10000</f>
        <v>0.13069523081977857</v>
      </c>
      <c r="AO695" s="17">
        <f>AH695*AG695</f>
        <v>16.128151285366602</v>
      </c>
      <c r="AP695" s="16">
        <f>AN695/AO695</f>
        <v>8.1035469290495193E-3</v>
      </c>
      <c r="AQ695" s="6" t="str">
        <f>+IF(AP695&gt;AL695,"Cumple","No Cumple")</f>
        <v>Cumple</v>
      </c>
    </row>
    <row r="696" spans="1:43" ht="15" customHeight="1" x14ac:dyDescent="0.3">
      <c r="A696" s="13"/>
      <c r="B696" s="1">
        <v>27</v>
      </c>
      <c r="C696" s="1">
        <v>343</v>
      </c>
      <c r="D696" s="1">
        <v>1</v>
      </c>
      <c r="E696" s="5">
        <v>1</v>
      </c>
      <c r="F696" s="3">
        <f>F695+E696</f>
        <v>27</v>
      </c>
      <c r="G696" s="5">
        <v>2</v>
      </c>
      <c r="H696" s="3">
        <f>PI()*(G696^2)/4</f>
        <v>3.1415926535897931</v>
      </c>
      <c r="I696" s="4">
        <v>8.3919999999999995E-2</v>
      </c>
      <c r="K696" s="3">
        <v>95.30175351471766</v>
      </c>
      <c r="L696" s="3">
        <v>871.82203000000004</v>
      </c>
      <c r="M696" s="3">
        <v>2249.0625100000002</v>
      </c>
      <c r="N696" s="12">
        <f>I696/H696</f>
        <v>2.6712565648543712E-2</v>
      </c>
      <c r="O696" s="11">
        <f>I696*10000</f>
        <v>839.19999999999993</v>
      </c>
      <c r="P696" s="1">
        <v>10</v>
      </c>
      <c r="Q696" s="1">
        <v>2</v>
      </c>
      <c r="R696" s="3">
        <f>Q696*VLOOKUP(P696,[1]Datos!$A$2:$D$14,2)</f>
        <v>16.38</v>
      </c>
      <c r="S696" s="10">
        <f>ROUNDUP(O696/R696,0)</f>
        <v>52</v>
      </c>
      <c r="T696" s="2">
        <v>52</v>
      </c>
      <c r="U696" s="3">
        <f>ROUNDDOWN(PI()*(G696-0.185)/T696,2)</f>
        <v>0.1</v>
      </c>
      <c r="V696" s="3"/>
      <c r="W696" s="1">
        <v>280</v>
      </c>
      <c r="X696" s="9">
        <v>2</v>
      </c>
      <c r="Y696" s="1">
        <v>6</v>
      </c>
      <c r="Z696" s="3">
        <f>X696*VLOOKUP(Y696,[1]Datos!$A$2:$D$14,2)</f>
        <v>5.68</v>
      </c>
      <c r="AA696" s="8">
        <v>7.4999999999999997E-2</v>
      </c>
      <c r="AB696" s="7">
        <f>IF(D696=0,0.9,0.5)*0.9*0.53*SQRT(W696)*G696*MAX(0.72*G696,0.9*((G696/2)+((G696-0.11)/PI())))*10</f>
        <v>115.05235319041492</v>
      </c>
      <c r="AC696" s="7">
        <f>0.9*Z696*4220*MAX(0.72*G696,0.9*((G696/2)+((G696-0.11)/PI())))/AA696/1000</f>
        <v>414.61035434434268</v>
      </c>
      <c r="AD696" s="6" t="str">
        <f>+IF(AC696&gt;K696-AB696,"Cumple","No Cumple")</f>
        <v>Cumple</v>
      </c>
      <c r="AE696" s="6"/>
      <c r="AG696" s="7">
        <f>ROUNDUP(MAX(0.45,3*G696,),0)</f>
        <v>6</v>
      </c>
      <c r="AH696" s="3">
        <f>PI()*(G696-0.15)^2/4</f>
        <v>2.6880252142277672</v>
      </c>
      <c r="AI696" s="7">
        <f>G696-0.15-VLOOKUP(Y696,[1]Datos!$A$2:$D$14,3)/100</f>
        <v>1.8309000000000002</v>
      </c>
      <c r="AJ696" s="7">
        <f>SQRT((PI()*AI696)^2+AA696^2)</f>
        <v>5.7524309339691264</v>
      </c>
      <c r="AK696" s="1">
        <v>0.12</v>
      </c>
      <c r="AL696" s="16">
        <f>MAX(0.45*(H696/AH696-1),AK696)*(W696/4220)</f>
        <v>7.9620853080568724E-3</v>
      </c>
      <c r="AM696" s="7">
        <f>AG696*(AJ696/AA696)</f>
        <v>460.19447471753017</v>
      </c>
      <c r="AN696" s="17">
        <f>AM696*Z696/X696/10000</f>
        <v>0.13069523081977857</v>
      </c>
      <c r="AO696" s="17">
        <f>AH696*AG696</f>
        <v>16.128151285366602</v>
      </c>
      <c r="AP696" s="16">
        <f>AN696/AO696</f>
        <v>8.1035469290495193E-3</v>
      </c>
      <c r="AQ696" s="6" t="str">
        <f>+IF(AP696&gt;AL696,"Cumple","No Cumple")</f>
        <v>Cumple</v>
      </c>
    </row>
    <row r="697" spans="1:43" ht="15" customHeight="1" x14ac:dyDescent="0.3">
      <c r="A697" s="13"/>
      <c r="B697" s="1">
        <v>28</v>
      </c>
      <c r="C697" s="1">
        <v>345</v>
      </c>
      <c r="D697" s="1">
        <v>1</v>
      </c>
      <c r="E697" s="5">
        <v>1</v>
      </c>
      <c r="F697" s="3">
        <f>F696+E697</f>
        <v>28</v>
      </c>
      <c r="G697" s="5">
        <v>2</v>
      </c>
      <c r="H697" s="3">
        <f>PI()*(G697^2)/4</f>
        <v>3.1415926535897931</v>
      </c>
      <c r="I697" s="4">
        <v>8.0581E-2</v>
      </c>
      <c r="K697" s="3">
        <v>151.98508505919258</v>
      </c>
      <c r="L697" s="3">
        <v>869.61167999999998</v>
      </c>
      <c r="M697" s="3">
        <v>2194.3988599999998</v>
      </c>
      <c r="N697" s="12">
        <f>I697/H697</f>
        <v>2.5649728938576036E-2</v>
      </c>
      <c r="O697" s="11">
        <f>I697*10000</f>
        <v>805.81</v>
      </c>
      <c r="P697" s="1">
        <v>10</v>
      </c>
      <c r="Q697" s="1">
        <v>2</v>
      </c>
      <c r="R697" s="3">
        <f>Q697*VLOOKUP(P697,[1]Datos!$A$2:$D$14,2)</f>
        <v>16.38</v>
      </c>
      <c r="S697" s="10">
        <f>ROUNDUP(O697/R697,0)</f>
        <v>50</v>
      </c>
      <c r="T697" s="2">
        <v>52</v>
      </c>
      <c r="U697" s="3">
        <f>ROUNDDOWN(PI()*(G697-0.185)/T697,2)</f>
        <v>0.1</v>
      </c>
      <c r="V697" s="3"/>
      <c r="W697" s="1">
        <v>280</v>
      </c>
      <c r="X697" s="9">
        <v>2</v>
      </c>
      <c r="Y697" s="1">
        <v>6</v>
      </c>
      <c r="Z697" s="3">
        <f>X697*VLOOKUP(Y697,[1]Datos!$A$2:$D$14,2)</f>
        <v>5.68</v>
      </c>
      <c r="AA697" s="8">
        <v>7.4999999999999997E-2</v>
      </c>
      <c r="AB697" s="7">
        <f>IF(D697=0,0.9,0.5)*0.9*0.53*SQRT(W697)*G697*MAX(0.72*G697,0.9*((G697/2)+((G697-0.11)/PI())))*10</f>
        <v>115.05235319041492</v>
      </c>
      <c r="AC697" s="7">
        <f>0.9*Z697*4220*MAX(0.72*G697,0.9*((G697/2)+((G697-0.11)/PI())))/AA697/1000</f>
        <v>414.61035434434268</v>
      </c>
      <c r="AD697" s="6" t="str">
        <f>+IF(AC697&gt;K697-AB697,"Cumple","No Cumple")</f>
        <v>Cumple</v>
      </c>
      <c r="AE697" s="6"/>
      <c r="AG697" s="7">
        <f>ROUNDUP(MAX(0.45,3*G697,),0)</f>
        <v>6</v>
      </c>
      <c r="AH697" s="3">
        <f>PI()*(G697-0.15)^2/4</f>
        <v>2.6880252142277672</v>
      </c>
      <c r="AI697" s="7">
        <f>G697-0.15-VLOOKUP(Y697,[1]Datos!$A$2:$D$14,3)/100</f>
        <v>1.8309000000000002</v>
      </c>
      <c r="AJ697" s="7">
        <f>SQRT((PI()*AI697)^2+AA697^2)</f>
        <v>5.7524309339691264</v>
      </c>
      <c r="AK697" s="1">
        <v>0.12</v>
      </c>
      <c r="AL697" s="16">
        <f>MAX(0.45*(H697/AH697-1),AK697)*(W697/4220)</f>
        <v>7.9620853080568724E-3</v>
      </c>
      <c r="AM697" s="7">
        <f>AG697*(AJ697/AA697)</f>
        <v>460.19447471753017</v>
      </c>
      <c r="AN697" s="17">
        <f>AM697*Z697/X697/10000</f>
        <v>0.13069523081977857</v>
      </c>
      <c r="AO697" s="17">
        <f>AH697*AG697</f>
        <v>16.128151285366602</v>
      </c>
      <c r="AP697" s="16">
        <f>AN697/AO697</f>
        <v>8.1035469290495193E-3</v>
      </c>
      <c r="AQ697" s="6" t="str">
        <f>+IF(AP697&gt;AL697,"Cumple","No Cumple")</f>
        <v>Cumple</v>
      </c>
    </row>
    <row r="698" spans="1:43" ht="15" customHeight="1" x14ac:dyDescent="0.3">
      <c r="A698" s="13"/>
      <c r="B698" s="1">
        <v>29</v>
      </c>
      <c r="C698" s="1">
        <v>347</v>
      </c>
      <c r="D698" s="1">
        <v>1</v>
      </c>
      <c r="E698" s="5">
        <v>1</v>
      </c>
      <c r="F698" s="3">
        <f>F697+E698</f>
        <v>29</v>
      </c>
      <c r="G698" s="5">
        <v>2</v>
      </c>
      <c r="H698" s="3">
        <f>PI()*(G698^2)/4</f>
        <v>3.1415926535897931</v>
      </c>
      <c r="I698" s="4">
        <v>7.3805999999999997E-2</v>
      </c>
      <c r="K698" s="3">
        <v>202.9742107333343</v>
      </c>
      <c r="L698" s="3">
        <v>833.82352000000003</v>
      </c>
      <c r="M698" s="3">
        <v>2065.78908</v>
      </c>
      <c r="N698" s="12">
        <f>I698/H698</f>
        <v>2.3493179459680855E-2</v>
      </c>
      <c r="O698" s="11">
        <f>I698*10000</f>
        <v>738.06</v>
      </c>
      <c r="P698" s="1">
        <v>10</v>
      </c>
      <c r="Q698" s="1">
        <v>2</v>
      </c>
      <c r="R698" s="3">
        <f>Q698*VLOOKUP(P698,[1]Datos!$A$2:$D$14,2)</f>
        <v>16.38</v>
      </c>
      <c r="S698" s="10">
        <f>ROUNDUP(O698/R698,0)</f>
        <v>46</v>
      </c>
      <c r="T698" s="2">
        <v>52</v>
      </c>
      <c r="U698" s="3">
        <f>ROUNDDOWN(PI()*(G698-0.185)/T698,2)</f>
        <v>0.1</v>
      </c>
      <c r="V698" s="3"/>
      <c r="W698" s="1">
        <v>280</v>
      </c>
      <c r="X698" s="9">
        <v>2</v>
      </c>
      <c r="Y698" s="1">
        <v>6</v>
      </c>
      <c r="Z698" s="3">
        <f>X698*VLOOKUP(Y698,[1]Datos!$A$2:$D$14,2)</f>
        <v>5.68</v>
      </c>
      <c r="AA698" s="8">
        <v>7.4999999999999997E-2</v>
      </c>
      <c r="AB698" s="7">
        <f>IF(D698=0,0.9,0.5)*0.9*0.53*SQRT(W698)*G698*MAX(0.72*G698,0.9*((G698/2)+((G698-0.11)/PI())))*10</f>
        <v>115.05235319041492</v>
      </c>
      <c r="AC698" s="7">
        <f>0.9*Z698*4220*MAX(0.72*G698,0.9*((G698/2)+((G698-0.11)/PI())))/AA698/1000</f>
        <v>414.61035434434268</v>
      </c>
      <c r="AD698" s="6" t="str">
        <f>+IF(AC698&gt;K698-AB698,"Cumple","No Cumple")</f>
        <v>Cumple</v>
      </c>
      <c r="AE698" s="6"/>
      <c r="AG698" s="7">
        <f>ROUNDUP(MAX(0.45,3*G698,),0)</f>
        <v>6</v>
      </c>
      <c r="AH698" s="3">
        <f>PI()*(G698-0.15)^2/4</f>
        <v>2.6880252142277672</v>
      </c>
      <c r="AI698" s="7">
        <f>G698-0.15-VLOOKUP(Y698,[1]Datos!$A$2:$D$14,3)/100</f>
        <v>1.8309000000000002</v>
      </c>
      <c r="AJ698" s="7">
        <f>SQRT((PI()*AI698)^2+AA698^2)</f>
        <v>5.7524309339691264</v>
      </c>
      <c r="AK698" s="1">
        <v>0.12</v>
      </c>
      <c r="AL698" s="16">
        <f>MAX(0.45*(H698/AH698-1),AK698)*(W698/4220)</f>
        <v>7.9620853080568724E-3</v>
      </c>
      <c r="AM698" s="7">
        <f>AG698*(AJ698/AA698)</f>
        <v>460.19447471753017</v>
      </c>
      <c r="AN698" s="17">
        <f>AM698*Z698/X698/10000</f>
        <v>0.13069523081977857</v>
      </c>
      <c r="AO698" s="17">
        <f>AH698*AG698</f>
        <v>16.128151285366602</v>
      </c>
      <c r="AP698" s="16">
        <f>AN698/AO698</f>
        <v>8.1035469290495193E-3</v>
      </c>
      <c r="AQ698" s="6" t="str">
        <f>+IF(AP698&gt;AL698,"Cumple","No Cumple")</f>
        <v>Cumple</v>
      </c>
    </row>
    <row r="699" spans="1:43" ht="15" customHeight="1" x14ac:dyDescent="0.3">
      <c r="A699" s="13"/>
      <c r="B699" s="1">
        <v>30</v>
      </c>
      <c r="C699" s="1">
        <v>349</v>
      </c>
      <c r="D699" s="1">
        <v>1</v>
      </c>
      <c r="E699" s="5">
        <v>1</v>
      </c>
      <c r="F699" s="3">
        <f>F698+E699</f>
        <v>30</v>
      </c>
      <c r="G699" s="5">
        <v>2</v>
      </c>
      <c r="H699" s="3">
        <f>PI()*(G699^2)/4</f>
        <v>3.1415926535897931</v>
      </c>
      <c r="I699" s="4">
        <v>6.2757999999999994E-2</v>
      </c>
      <c r="K699" s="3">
        <v>236.8270002183028</v>
      </c>
      <c r="L699" s="3">
        <v>770.58243000000004</v>
      </c>
      <c r="M699" s="3">
        <v>1878.6536799999999</v>
      </c>
      <c r="N699" s="12">
        <f>I699/H699</f>
        <v>1.9976491837122332E-2</v>
      </c>
      <c r="O699" s="11">
        <f>I699*10000</f>
        <v>627.57999999999993</v>
      </c>
      <c r="P699" s="1">
        <v>10</v>
      </c>
      <c r="Q699" s="1">
        <v>2</v>
      </c>
      <c r="R699" s="3">
        <f>Q699*VLOOKUP(P699,[1]Datos!$A$2:$D$14,2)</f>
        <v>16.38</v>
      </c>
      <c r="S699" s="10">
        <f>ROUNDUP(O699/R699,0)</f>
        <v>39</v>
      </c>
      <c r="T699" s="2">
        <v>52</v>
      </c>
      <c r="U699" s="3">
        <f>ROUNDDOWN(PI()*(G699-0.185)/T699,2)</f>
        <v>0.1</v>
      </c>
      <c r="V699" s="3"/>
      <c r="W699" s="1">
        <v>280</v>
      </c>
      <c r="X699" s="9">
        <v>2</v>
      </c>
      <c r="Y699" s="1">
        <v>6</v>
      </c>
      <c r="Z699" s="3">
        <f>X699*VLOOKUP(Y699,[1]Datos!$A$2:$D$14,2)</f>
        <v>5.68</v>
      </c>
      <c r="AA699" s="8">
        <v>0.2</v>
      </c>
      <c r="AB699" s="7">
        <f>IF(D699=0,0.9,0.5)*0.9*0.53*SQRT(W699)*G699*MAX(0.72*G699,0.9*((G699/2)+((G699-0.11)/PI())))*10</f>
        <v>115.05235319041492</v>
      </c>
      <c r="AC699" s="7">
        <f>0.9*Z699*4220*MAX(0.72*G699,0.9*((G699/2)+((G699-0.11)/PI())))/AA699/1000</f>
        <v>155.47888287912846</v>
      </c>
      <c r="AD699" s="6" t="str">
        <f>+IF(AC699&gt;K699-AB699,"Cumple","No Cumple")</f>
        <v>Cumple</v>
      </c>
      <c r="AE699" s="6"/>
      <c r="AH699" s="3"/>
    </row>
    <row r="700" spans="1:43" ht="15" customHeight="1" x14ac:dyDescent="0.3">
      <c r="A700" s="13"/>
      <c r="B700" s="1">
        <v>31</v>
      </c>
      <c r="C700" s="1">
        <v>351</v>
      </c>
      <c r="D700" s="1">
        <v>1</v>
      </c>
      <c r="E700" s="5">
        <v>1</v>
      </c>
      <c r="F700" s="3">
        <f>F699+E700</f>
        <v>31</v>
      </c>
      <c r="G700" s="5">
        <v>2</v>
      </c>
      <c r="H700" s="3">
        <f>PI()*(G700^2)/4</f>
        <v>3.1415926535897931</v>
      </c>
      <c r="I700" s="4">
        <v>5.3685999999999998E-2</v>
      </c>
      <c r="K700" s="3">
        <v>254.16339294780434</v>
      </c>
      <c r="L700" s="3">
        <v>687.35835999999995</v>
      </c>
      <c r="M700" s="3">
        <v>1651.1771699999999</v>
      </c>
      <c r="N700" s="12">
        <f>I700/H700</f>
        <v>1.7088784549662984E-2</v>
      </c>
      <c r="O700" s="11">
        <f>I700*10000</f>
        <v>536.86</v>
      </c>
      <c r="P700" s="1">
        <v>10</v>
      </c>
      <c r="Q700" s="19">
        <v>2</v>
      </c>
      <c r="R700" s="3">
        <f>Q700*VLOOKUP(P700,[1]Datos!$A$2:$D$14,2)</f>
        <v>16.38</v>
      </c>
      <c r="S700" s="10">
        <f>ROUNDUP(O700/R700,0)</f>
        <v>33</v>
      </c>
      <c r="T700" s="18">
        <v>52</v>
      </c>
      <c r="U700" s="3">
        <f>ROUNDDOWN(PI()*(G700-0.185)/T700,2)</f>
        <v>0.1</v>
      </c>
      <c r="V700" s="3"/>
      <c r="W700" s="1">
        <v>280</v>
      </c>
      <c r="X700" s="9">
        <v>2</v>
      </c>
      <c r="Y700" s="1">
        <v>6</v>
      </c>
      <c r="Z700" s="3">
        <f>X700*VLOOKUP(Y700,[1]Datos!$A$2:$D$14,2)</f>
        <v>5.68</v>
      </c>
      <c r="AA700" s="8">
        <v>0.2</v>
      </c>
      <c r="AB700" s="7">
        <f>IF(D700=0,0.9,0.5)*0.9*0.53*SQRT(W700)*G700*MAX(0.72*G700,0.9*((G700/2)+((G700-0.11)/PI())))*10</f>
        <v>115.05235319041492</v>
      </c>
      <c r="AC700" s="7">
        <f>0.9*Z700*4220*MAX(0.72*G700,0.9*((G700/2)+((G700-0.11)/PI())))/AA700/1000</f>
        <v>155.47888287912846</v>
      </c>
      <c r="AD700" s="6" t="str">
        <f>+IF(AC700&gt;K700-AB700,"Cumple","No Cumple")</f>
        <v>Cumple</v>
      </c>
      <c r="AE700" s="6"/>
      <c r="AH700" s="3"/>
    </row>
    <row r="701" spans="1:43" ht="15" customHeight="1" x14ac:dyDescent="0.3">
      <c r="A701" s="13"/>
      <c r="B701" s="1">
        <v>32</v>
      </c>
      <c r="C701" s="1">
        <v>353</v>
      </c>
      <c r="D701" s="1">
        <v>1</v>
      </c>
      <c r="E701" s="5">
        <v>1</v>
      </c>
      <c r="F701" s="3">
        <f>F700+E701</f>
        <v>32</v>
      </c>
      <c r="G701" s="5">
        <v>2</v>
      </c>
      <c r="H701" s="3">
        <f>PI()*(G701^2)/4</f>
        <v>3.1415926535897931</v>
      </c>
      <c r="I701" s="4">
        <v>4.4826999999999999E-2</v>
      </c>
      <c r="K701" s="3">
        <v>258.41904689449655</v>
      </c>
      <c r="L701" s="3">
        <v>591.96545000000003</v>
      </c>
      <c r="M701" s="3">
        <v>1401.9376199999999</v>
      </c>
      <c r="N701" s="12">
        <f>I701/H701</f>
        <v>1.4268877267960785E-2</v>
      </c>
      <c r="O701" s="11">
        <f>I701*10000</f>
        <v>448.27</v>
      </c>
      <c r="P701" s="1">
        <v>10</v>
      </c>
      <c r="Q701" s="19">
        <v>2</v>
      </c>
      <c r="R701" s="3">
        <f>Q701*VLOOKUP(P701,[1]Datos!$A$2:$D$14,2)</f>
        <v>16.38</v>
      </c>
      <c r="S701" s="10">
        <f>ROUNDUP(O701/R701,0)</f>
        <v>28</v>
      </c>
      <c r="T701" s="18">
        <v>52</v>
      </c>
      <c r="U701" s="3">
        <f>ROUNDDOWN(PI()*(G701-0.185)/T701,2)</f>
        <v>0.1</v>
      </c>
      <c r="V701" s="3"/>
      <c r="W701" s="1">
        <v>280</v>
      </c>
      <c r="X701" s="9">
        <v>2</v>
      </c>
      <c r="Y701" s="1">
        <v>6</v>
      </c>
      <c r="Z701" s="3">
        <f>X701*VLOOKUP(Y701,[1]Datos!$A$2:$D$14,2)</f>
        <v>5.68</v>
      </c>
      <c r="AA701" s="8">
        <v>0.2</v>
      </c>
      <c r="AB701" s="7">
        <f>IF(D701=0,0.9,0.5)*0.9*0.53*SQRT(W701)*G701*MAX(0.72*G701,0.9*((G701/2)+((G701-0.11)/PI())))*10</f>
        <v>115.05235319041492</v>
      </c>
      <c r="AC701" s="7">
        <f>0.9*Z701*4220*MAX(0.72*G701,0.9*((G701/2)+((G701-0.11)/PI())))/AA701/1000</f>
        <v>155.47888287912846</v>
      </c>
      <c r="AD701" s="6" t="str">
        <f>+IF(AC701&gt;K701-AB701,"Cumple","No Cumple")</f>
        <v>Cumple</v>
      </c>
      <c r="AE701" s="6"/>
      <c r="AH701" s="3"/>
    </row>
    <row r="702" spans="1:43" ht="15" customHeight="1" x14ac:dyDescent="0.3">
      <c r="A702" s="13"/>
      <c r="B702" s="1">
        <v>33</v>
      </c>
      <c r="C702" s="1">
        <v>355</v>
      </c>
      <c r="D702" s="1">
        <v>1</v>
      </c>
      <c r="E702" s="5">
        <v>1</v>
      </c>
      <c r="F702" s="3">
        <f>F701+E702</f>
        <v>33</v>
      </c>
      <c r="G702" s="5">
        <v>2</v>
      </c>
      <c r="H702" s="3">
        <f>PI()*(G702^2)/4</f>
        <v>3.1415926535897931</v>
      </c>
      <c r="I702" s="4">
        <v>3.1415999999999999E-2</v>
      </c>
      <c r="K702" s="3">
        <v>248.00134894895231</v>
      </c>
      <c r="L702" s="3">
        <v>491.78478000000001</v>
      </c>
      <c r="M702" s="3">
        <v>1148.11364</v>
      </c>
      <c r="N702" s="12">
        <f>I702/H702</f>
        <v>1.0000023384349969E-2</v>
      </c>
      <c r="O702" s="11">
        <f>I702*10000</f>
        <v>314.15999999999997</v>
      </c>
      <c r="P702" s="1">
        <v>10</v>
      </c>
      <c r="Q702" s="19">
        <v>2</v>
      </c>
      <c r="R702" s="3">
        <f>Q702*VLOOKUP(P702,[1]Datos!$A$2:$D$14,2)</f>
        <v>16.38</v>
      </c>
      <c r="S702" s="10">
        <f>ROUNDUP(O702/R702,0)</f>
        <v>20</v>
      </c>
      <c r="T702" s="18">
        <v>52</v>
      </c>
      <c r="U702" s="3">
        <f>ROUNDDOWN(PI()*(G702-0.185)/T702,2)</f>
        <v>0.1</v>
      </c>
      <c r="V702" s="3"/>
      <c r="W702" s="1">
        <v>280</v>
      </c>
      <c r="X702" s="9">
        <v>2</v>
      </c>
      <c r="Y702" s="1">
        <v>6</v>
      </c>
      <c r="Z702" s="3">
        <f>X702*VLOOKUP(Y702,[1]Datos!$A$2:$D$14,2)</f>
        <v>5.68</v>
      </c>
      <c r="AA702" s="8">
        <v>0.2</v>
      </c>
      <c r="AB702" s="7">
        <f>IF(D702=0,0.9,0.5)*0.9*0.53*SQRT(W702)*G702*MAX(0.72*G702,0.9*((G702/2)+((G702-0.11)/PI())))*10</f>
        <v>115.05235319041492</v>
      </c>
      <c r="AC702" s="7">
        <f>0.9*Z702*4220*MAX(0.72*G702,0.9*((G702/2)+((G702-0.11)/PI())))/AA702/1000</f>
        <v>155.47888287912846</v>
      </c>
      <c r="AD702" s="6" t="str">
        <f>+IF(AC702&gt;K702-AB702,"Cumple","No Cumple")</f>
        <v>Cumple</v>
      </c>
      <c r="AE702" s="6"/>
      <c r="AH702" s="3"/>
    </row>
    <row r="703" spans="1:43" ht="15" customHeight="1" x14ac:dyDescent="0.3">
      <c r="A703" s="13"/>
      <c r="B703" s="1">
        <v>34</v>
      </c>
      <c r="C703" s="1">
        <v>357</v>
      </c>
      <c r="D703" s="1">
        <v>1</v>
      </c>
      <c r="E703" s="5">
        <v>1</v>
      </c>
      <c r="F703" s="3">
        <f>F702+E703</f>
        <v>34</v>
      </c>
      <c r="G703" s="5">
        <v>2</v>
      </c>
      <c r="H703" s="3">
        <f>PI()*(G703^2)/4</f>
        <v>3.1415926535897931</v>
      </c>
      <c r="I703" s="4">
        <v>3.1415999999999999E-2</v>
      </c>
      <c r="K703" s="3">
        <v>226.22391412797191</v>
      </c>
      <c r="L703" s="3">
        <v>393.22097000000002</v>
      </c>
      <c r="M703" s="3">
        <v>904.27281000000005</v>
      </c>
      <c r="N703" s="12">
        <f>I703/H703</f>
        <v>1.0000023384349969E-2</v>
      </c>
      <c r="O703" s="11">
        <f>I703*10000</f>
        <v>314.15999999999997</v>
      </c>
      <c r="P703" s="1">
        <v>10</v>
      </c>
      <c r="Q703" s="1">
        <v>1</v>
      </c>
      <c r="R703" s="3">
        <f>Q703*VLOOKUP(P703,[1]Datos!$A$2:$D$14,2)</f>
        <v>8.19</v>
      </c>
      <c r="S703" s="10">
        <f>ROUNDUP(O703/R703,0)</f>
        <v>39</v>
      </c>
      <c r="T703" s="2">
        <v>39</v>
      </c>
      <c r="U703" s="3">
        <f>ROUNDDOWN(PI()*(G703-0.185)/T703,2)</f>
        <v>0.14000000000000001</v>
      </c>
      <c r="V703" s="3"/>
      <c r="W703" s="1">
        <v>280</v>
      </c>
      <c r="X703" s="9">
        <v>2</v>
      </c>
      <c r="Y703" s="1">
        <v>6</v>
      </c>
      <c r="Z703" s="3">
        <f>X703*VLOOKUP(Y703,[1]Datos!$A$2:$D$14,2)</f>
        <v>5.68</v>
      </c>
      <c r="AA703" s="8">
        <v>0.2</v>
      </c>
      <c r="AB703" s="7">
        <f>IF(D703=0,0.9,0.5)*0.9*0.53*SQRT(W703)*G703*MAX(0.72*G703,0.9*((G703/2)+((G703-0.11)/PI())))*10</f>
        <v>115.05235319041492</v>
      </c>
      <c r="AC703" s="7">
        <f>0.9*Z703*4220*MAX(0.72*G703,0.9*((G703/2)+((G703-0.11)/PI())))/AA703/1000</f>
        <v>155.47888287912846</v>
      </c>
      <c r="AD703" s="6" t="str">
        <f>+IF(AC703&gt;K703-AB703,"Cumple","No Cumple")</f>
        <v>Cumple</v>
      </c>
      <c r="AE703" s="6"/>
      <c r="AH703" s="3"/>
    </row>
    <row r="704" spans="1:43" ht="15" customHeight="1" x14ac:dyDescent="0.3">
      <c r="A704" s="13"/>
      <c r="B704" s="1">
        <v>35</v>
      </c>
      <c r="C704" s="1">
        <v>359</v>
      </c>
      <c r="D704" s="1">
        <v>1</v>
      </c>
      <c r="E704" s="5">
        <v>1</v>
      </c>
      <c r="F704" s="3">
        <f>F703+E704</f>
        <v>35</v>
      </c>
      <c r="G704" s="5">
        <v>2</v>
      </c>
      <c r="H704" s="3">
        <f>PI()*(G704^2)/4</f>
        <v>3.1415926535897931</v>
      </c>
      <c r="I704" s="4">
        <v>3.1415999999999999E-2</v>
      </c>
      <c r="K704" s="3">
        <v>196.62919867506963</v>
      </c>
      <c r="L704" s="3">
        <v>301.38083</v>
      </c>
      <c r="M704" s="3">
        <v>681.69618000000003</v>
      </c>
      <c r="N704" s="12">
        <f>I704/H704</f>
        <v>1.0000023384349969E-2</v>
      </c>
      <c r="O704" s="11">
        <f>I704*10000</f>
        <v>314.15999999999997</v>
      </c>
      <c r="P704" s="1">
        <v>10</v>
      </c>
      <c r="Q704" s="1">
        <v>1</v>
      </c>
      <c r="R704" s="3">
        <f>Q704*VLOOKUP(P704,[1]Datos!$A$2:$D$14,2)</f>
        <v>8.19</v>
      </c>
      <c r="S704" s="10">
        <f>ROUNDUP(O704/R704,0)</f>
        <v>39</v>
      </c>
      <c r="T704" s="2">
        <v>39</v>
      </c>
      <c r="U704" s="3">
        <f>ROUNDDOWN(PI()*(G704-0.185)/T704,2)</f>
        <v>0.14000000000000001</v>
      </c>
      <c r="V704" s="3"/>
      <c r="W704" s="1">
        <v>280</v>
      </c>
      <c r="X704" s="9">
        <v>2</v>
      </c>
      <c r="Y704" s="1">
        <v>6</v>
      </c>
      <c r="Z704" s="3">
        <f>X704*VLOOKUP(Y704,[1]Datos!$A$2:$D$14,2)</f>
        <v>5.68</v>
      </c>
      <c r="AA704" s="8">
        <v>0.2</v>
      </c>
      <c r="AB704" s="7">
        <f>IF(D704=0,0.9,0.5)*0.9*0.53*SQRT(W704)*G704*MAX(0.72*G704,0.9*((G704/2)+((G704-0.11)/PI())))*10</f>
        <v>115.05235319041492</v>
      </c>
      <c r="AC704" s="7">
        <f>0.9*Z704*4220*MAX(0.72*G704,0.9*((G704/2)+((G704-0.11)/PI())))/AA704/1000</f>
        <v>155.47888287912846</v>
      </c>
      <c r="AD704" s="6" t="str">
        <f>+IF(AC704&gt;K704-AB704,"Cumple","No Cumple")</f>
        <v>Cumple</v>
      </c>
      <c r="AE704" s="6"/>
      <c r="AH704" s="3"/>
    </row>
    <row r="705" spans="1:43" ht="15" customHeight="1" x14ac:dyDescent="0.3">
      <c r="A705" s="13"/>
      <c r="B705" s="1">
        <v>36</v>
      </c>
      <c r="C705" s="1">
        <v>361</v>
      </c>
      <c r="D705" s="1">
        <v>1</v>
      </c>
      <c r="E705" s="5">
        <v>1</v>
      </c>
      <c r="F705" s="3">
        <f>F704+E705</f>
        <v>36</v>
      </c>
      <c r="G705" s="5">
        <v>2</v>
      </c>
      <c r="H705" s="3">
        <f>PI()*(G705^2)/4</f>
        <v>3.1415926535897931</v>
      </c>
      <c r="I705" s="4">
        <v>3.1415999999999999E-2</v>
      </c>
      <c r="K705" s="3">
        <v>162.63012924455296</v>
      </c>
      <c r="L705" s="3">
        <v>219.94533999999999</v>
      </c>
      <c r="M705" s="3">
        <v>488.15751999999998</v>
      </c>
      <c r="N705" s="12">
        <f>I705/H705</f>
        <v>1.0000023384349969E-2</v>
      </c>
      <c r="O705" s="11">
        <f>I705*10000</f>
        <v>314.15999999999997</v>
      </c>
      <c r="P705" s="1">
        <v>10</v>
      </c>
      <c r="Q705" s="1">
        <v>1</v>
      </c>
      <c r="R705" s="3">
        <f>Q705*VLOOKUP(P705,[1]Datos!$A$2:$D$14,2)</f>
        <v>8.19</v>
      </c>
      <c r="S705" s="10">
        <f>ROUNDUP(O705/R705,0)</f>
        <v>39</v>
      </c>
      <c r="T705" s="2">
        <v>39</v>
      </c>
      <c r="U705" s="3">
        <f>ROUNDDOWN(PI()*(G705-0.185)/T705,2)</f>
        <v>0.14000000000000001</v>
      </c>
      <c r="V705" s="3"/>
      <c r="W705" s="1">
        <v>280</v>
      </c>
      <c r="X705" s="9">
        <v>2</v>
      </c>
      <c r="Y705" s="1">
        <v>6</v>
      </c>
      <c r="Z705" s="3">
        <f>X705*VLOOKUP(Y705,[1]Datos!$A$2:$D$14,2)</f>
        <v>5.68</v>
      </c>
      <c r="AA705" s="8">
        <v>0.2</v>
      </c>
      <c r="AB705" s="7">
        <f>IF(D705=0,0.9,0.5)*0.9*0.53*SQRT(W705)*G705*MAX(0.72*G705,0.9*((G705/2)+((G705-0.11)/PI())))*10</f>
        <v>115.05235319041492</v>
      </c>
      <c r="AC705" s="7">
        <f>0.9*Z705*4220*MAX(0.72*G705,0.9*((G705/2)+((G705-0.11)/PI())))/AA705/1000</f>
        <v>155.47888287912846</v>
      </c>
      <c r="AD705" s="6" t="str">
        <f>+IF(AC705&gt;K705-AB705,"Cumple","No Cumple")</f>
        <v>Cumple</v>
      </c>
      <c r="AE705" s="6"/>
      <c r="AH705" s="3"/>
    </row>
    <row r="706" spans="1:43" ht="15" customHeight="1" x14ac:dyDescent="0.3">
      <c r="A706" s="13"/>
      <c r="B706" s="1">
        <v>37</v>
      </c>
      <c r="C706" s="1">
        <v>363</v>
      </c>
      <c r="D706" s="1">
        <v>1</v>
      </c>
      <c r="E706" s="5">
        <v>1</v>
      </c>
      <c r="F706" s="3">
        <f>F705+E706</f>
        <v>37</v>
      </c>
      <c r="G706" s="5">
        <v>2</v>
      </c>
      <c r="H706" s="3">
        <f>PI()*(G706^2)/4</f>
        <v>3.1415926535897931</v>
      </c>
      <c r="I706" s="4">
        <v>3.1415999999999999E-2</v>
      </c>
      <c r="K706" s="3">
        <v>127.26601157025389</v>
      </c>
      <c r="L706" s="3">
        <v>151.19560999999999</v>
      </c>
      <c r="M706" s="3">
        <v>328.05381</v>
      </c>
      <c r="N706" s="12">
        <f>I706/H706</f>
        <v>1.0000023384349969E-2</v>
      </c>
      <c r="O706" s="11">
        <f>I706*10000</f>
        <v>314.15999999999997</v>
      </c>
      <c r="P706" s="1">
        <v>10</v>
      </c>
      <c r="Q706" s="1">
        <v>1</v>
      </c>
      <c r="R706" s="3">
        <f>Q706*VLOOKUP(P706,[1]Datos!$A$2:$D$14,2)</f>
        <v>8.19</v>
      </c>
      <c r="S706" s="10">
        <f>ROUNDUP(O706/R706,0)</f>
        <v>39</v>
      </c>
      <c r="T706" s="2">
        <v>39</v>
      </c>
      <c r="U706" s="3">
        <f>ROUNDDOWN(PI()*(G706-0.185)/T706,2)</f>
        <v>0.14000000000000001</v>
      </c>
      <c r="V706" s="3"/>
      <c r="W706" s="1">
        <v>280</v>
      </c>
      <c r="X706" s="9">
        <v>2</v>
      </c>
      <c r="Y706" s="1">
        <v>4</v>
      </c>
      <c r="Z706" s="3">
        <f>X706*VLOOKUP(Y706,[1]Datos!$A$2:$D$14,2)</f>
        <v>2.58</v>
      </c>
      <c r="AA706" s="8">
        <v>0.3</v>
      </c>
      <c r="AB706" s="7">
        <f>IF(D706=0,0.9,0.5)*0.9*0.53*SQRT(W706)*G706*MAX(0.72*G706,0.9*((G706/2)+((G706-0.11)/PI())))*10</f>
        <v>115.05235319041492</v>
      </c>
      <c r="AC706" s="7">
        <f>0.9*Z706*4220*MAX(0.72*G706,0.9*((G706/2)+((G706-0.11)/PI())))/AA706/1000</f>
        <v>47.081633547905106</v>
      </c>
      <c r="AD706" s="6" t="str">
        <f>+IF(AC706&gt;K706-AB706,"Cumple","No Cumple")</f>
        <v>Cumple</v>
      </c>
      <c r="AE706" s="6"/>
      <c r="AH706" s="3"/>
    </row>
    <row r="707" spans="1:43" ht="15" customHeight="1" x14ac:dyDescent="0.3">
      <c r="A707" s="13"/>
      <c r="B707" s="1">
        <v>38</v>
      </c>
      <c r="C707" s="1">
        <v>365</v>
      </c>
      <c r="D707" s="1">
        <v>1</v>
      </c>
      <c r="E707" s="5">
        <v>1</v>
      </c>
      <c r="F707" s="3">
        <f>F706+E707</f>
        <v>38</v>
      </c>
      <c r="G707" s="5">
        <v>2</v>
      </c>
      <c r="H707" s="3">
        <f>PI()*(G707^2)/4</f>
        <v>3.1415926535897931</v>
      </c>
      <c r="I707" s="4">
        <v>3.1415999999999999E-2</v>
      </c>
      <c r="K707" s="3">
        <v>93.071439796158742</v>
      </c>
      <c r="L707" s="3">
        <v>96.148269999999997</v>
      </c>
      <c r="M707" s="3">
        <v>202.77485999999999</v>
      </c>
      <c r="N707" s="12">
        <f>I707/H707</f>
        <v>1.0000023384349969E-2</v>
      </c>
      <c r="O707" s="11">
        <f>I707*10000</f>
        <v>314.15999999999997</v>
      </c>
      <c r="P707" s="1">
        <v>10</v>
      </c>
      <c r="Q707" s="1">
        <v>1</v>
      </c>
      <c r="R707" s="3">
        <f>Q707*VLOOKUP(P707,[1]Datos!$A$2:$D$14,2)</f>
        <v>8.19</v>
      </c>
      <c r="S707" s="10">
        <f>ROUNDUP(O707/R707,0)</f>
        <v>39</v>
      </c>
      <c r="T707" s="2">
        <v>39</v>
      </c>
      <c r="U707" s="3">
        <f>ROUNDDOWN(PI()*(G707-0.185)/T707,2)</f>
        <v>0.14000000000000001</v>
      </c>
      <c r="V707" s="3"/>
      <c r="W707" s="1">
        <v>280</v>
      </c>
      <c r="X707" s="9">
        <v>2</v>
      </c>
      <c r="Y707" s="1">
        <v>4</v>
      </c>
      <c r="Z707" s="3">
        <f>X707*VLOOKUP(Y707,[1]Datos!$A$2:$D$14,2)</f>
        <v>2.58</v>
      </c>
      <c r="AA707" s="8">
        <v>0.3</v>
      </c>
      <c r="AB707" s="7">
        <f>IF(D707=0,0.9,0.5)*0.9*0.53*SQRT(W707)*G707*MAX(0.72*G707,0.9*((G707/2)+((G707-0.11)/PI())))*10</f>
        <v>115.05235319041492</v>
      </c>
      <c r="AC707" s="7">
        <f>0.9*Z707*4220*MAX(0.72*G707,0.9*((G707/2)+((G707-0.11)/PI())))/AA707/1000</f>
        <v>47.081633547905106</v>
      </c>
      <c r="AD707" s="6" t="str">
        <f>+IF(AC707&gt;K707-AB707,"Cumple","No Cumple")</f>
        <v>Cumple</v>
      </c>
      <c r="AE707" s="6"/>
      <c r="AH707" s="3"/>
    </row>
    <row r="708" spans="1:43" ht="15" customHeight="1" x14ac:dyDescent="0.3">
      <c r="A708" s="13"/>
      <c r="B708" s="1">
        <v>39</v>
      </c>
      <c r="C708" s="1">
        <v>367</v>
      </c>
      <c r="D708" s="1">
        <v>1</v>
      </c>
      <c r="E708" s="5">
        <v>1</v>
      </c>
      <c r="F708" s="3">
        <f>F707+E708</f>
        <v>39</v>
      </c>
      <c r="G708" s="5">
        <v>2</v>
      </c>
      <c r="H708" s="3">
        <f>PI()*(G708^2)/4</f>
        <v>3.1415926535897931</v>
      </c>
      <c r="I708" s="4">
        <v>3.1415999999999999E-2</v>
      </c>
      <c r="K708" s="3">
        <v>62.046538636736216</v>
      </c>
      <c r="L708" s="3">
        <v>54.754260000000002</v>
      </c>
      <c r="M708" s="3">
        <v>111.20217</v>
      </c>
      <c r="N708" s="12">
        <f>I708/H708</f>
        <v>1.0000023384349969E-2</v>
      </c>
      <c r="O708" s="11">
        <f>I708*10000</f>
        <v>314.15999999999997</v>
      </c>
      <c r="P708" s="1">
        <v>10</v>
      </c>
      <c r="Q708" s="1">
        <v>1</v>
      </c>
      <c r="R708" s="3">
        <f>Q708*VLOOKUP(P708,[1]Datos!$A$2:$D$14,2)</f>
        <v>8.19</v>
      </c>
      <c r="S708" s="10">
        <f>ROUNDUP(O708/R708,0)</f>
        <v>39</v>
      </c>
      <c r="T708" s="2">
        <v>39</v>
      </c>
      <c r="U708" s="3">
        <f>ROUNDDOWN(PI()*(G708-0.185)/T708,2)</f>
        <v>0.14000000000000001</v>
      </c>
      <c r="V708" s="3"/>
      <c r="W708" s="1">
        <v>280</v>
      </c>
      <c r="X708" s="9">
        <v>2</v>
      </c>
      <c r="Y708" s="1">
        <v>4</v>
      </c>
      <c r="Z708" s="3">
        <f>X708*VLOOKUP(Y708,[1]Datos!$A$2:$D$14,2)</f>
        <v>2.58</v>
      </c>
      <c r="AA708" s="8">
        <v>0.3</v>
      </c>
      <c r="AB708" s="7">
        <f>IF(D708=0,0.9,0.5)*0.9*0.53*SQRT(W708)*G708*MAX(0.72*G708,0.9*((G708/2)+((G708-0.11)/PI())))*10</f>
        <v>115.05235319041492</v>
      </c>
      <c r="AC708" s="7">
        <f>0.9*Z708*4220*MAX(0.72*G708,0.9*((G708/2)+((G708-0.11)/PI())))/AA708/1000</f>
        <v>47.081633547905106</v>
      </c>
      <c r="AD708" s="6" t="str">
        <f>+IF(AC708&gt;K708-AB708,"Cumple","No Cumple")</f>
        <v>Cumple</v>
      </c>
      <c r="AE708" s="6"/>
      <c r="AH708" s="3"/>
    </row>
    <row r="709" spans="1:43" ht="15" customHeight="1" x14ac:dyDescent="0.3">
      <c r="A709" s="13"/>
      <c r="B709" s="1">
        <v>40</v>
      </c>
      <c r="C709" s="1">
        <v>187</v>
      </c>
      <c r="D709" s="1">
        <v>1</v>
      </c>
      <c r="E709" s="5">
        <v>1</v>
      </c>
      <c r="F709" s="3">
        <f>F708+E709</f>
        <v>40</v>
      </c>
      <c r="G709" s="5">
        <v>2</v>
      </c>
      <c r="H709" s="3">
        <f>PI()*(G709^2)/4</f>
        <v>3.1415926535897931</v>
      </c>
      <c r="I709" s="4">
        <v>3.1415999999999999E-2</v>
      </c>
      <c r="K709" s="3">
        <v>35.726235484024897</v>
      </c>
      <c r="L709" s="3">
        <v>26.114889999999999</v>
      </c>
      <c r="M709" s="3">
        <v>50.233890000000002</v>
      </c>
      <c r="N709" s="12">
        <f>I709/H709</f>
        <v>1.0000023384349969E-2</v>
      </c>
      <c r="O709" s="11">
        <f>I709*10000</f>
        <v>314.15999999999997</v>
      </c>
      <c r="P709" s="1">
        <v>10</v>
      </c>
      <c r="Q709" s="1">
        <v>1</v>
      </c>
      <c r="R709" s="3">
        <f>Q709*VLOOKUP(P709,[1]Datos!$A$2:$D$14,2)</f>
        <v>8.19</v>
      </c>
      <c r="S709" s="10">
        <f>ROUNDUP(O709/R709,0)</f>
        <v>39</v>
      </c>
      <c r="T709" s="2">
        <v>39</v>
      </c>
      <c r="U709" s="3">
        <f>ROUNDDOWN(PI()*(G709-0.185)/T709,2)</f>
        <v>0.14000000000000001</v>
      </c>
      <c r="V709" s="3"/>
      <c r="W709" s="1">
        <v>280</v>
      </c>
      <c r="X709" s="9">
        <v>2</v>
      </c>
      <c r="Y709" s="1">
        <v>4</v>
      </c>
      <c r="Z709" s="3">
        <f>X709*VLOOKUP(Y709,[1]Datos!$A$2:$D$14,2)</f>
        <v>2.58</v>
      </c>
      <c r="AA709" s="8">
        <v>0.3</v>
      </c>
      <c r="AB709" s="7">
        <f>IF(D709=0,0.9,0.5)*0.9*0.53*SQRT(W709)*G709*MAX(0.72*G709,0.9*((G709/2)+((G709-0.11)/PI())))*10</f>
        <v>115.05235319041492</v>
      </c>
      <c r="AC709" s="7">
        <f>0.9*Z709*4220*MAX(0.72*G709,0.9*((G709/2)+((G709-0.11)/PI())))/AA709/1000</f>
        <v>47.081633547905106</v>
      </c>
      <c r="AD709" s="6" t="str">
        <f>+IF(AC709&gt;K709-AB709,"Cumple","No Cumple")</f>
        <v>Cumple</v>
      </c>
      <c r="AE709" s="6"/>
      <c r="AH709" s="3"/>
    </row>
    <row r="710" spans="1:43" ht="15" customHeight="1" x14ac:dyDescent="0.3">
      <c r="A710" s="13"/>
      <c r="B710" s="1">
        <v>41</v>
      </c>
      <c r="C710" s="1">
        <v>287</v>
      </c>
      <c r="D710" s="1">
        <v>1</v>
      </c>
      <c r="E710" s="5">
        <v>1</v>
      </c>
      <c r="F710" s="3">
        <f>F709+E710</f>
        <v>41</v>
      </c>
      <c r="G710" s="5">
        <v>2</v>
      </c>
      <c r="H710" s="3">
        <f>PI()*(G710^2)/4</f>
        <v>3.1415926535897931</v>
      </c>
      <c r="I710" s="4">
        <v>3.1415999999999999E-2</v>
      </c>
      <c r="K710" s="3">
        <v>15.471391725374936</v>
      </c>
      <c r="L710" s="3">
        <v>8.6497700000000002</v>
      </c>
      <c r="M710" s="3">
        <v>15.22082</v>
      </c>
      <c r="N710" s="12">
        <f>I710/H710</f>
        <v>1.0000023384349969E-2</v>
      </c>
      <c r="O710" s="11">
        <f>I710*10000</f>
        <v>314.15999999999997</v>
      </c>
      <c r="P710" s="1">
        <v>10</v>
      </c>
      <c r="Q710" s="1">
        <v>1</v>
      </c>
      <c r="R710" s="3">
        <f>Q710*VLOOKUP(P710,[1]Datos!$A$2:$D$14,2)</f>
        <v>8.19</v>
      </c>
      <c r="S710" s="10">
        <f>ROUNDUP(O710/R710,0)</f>
        <v>39</v>
      </c>
      <c r="T710" s="2">
        <v>39</v>
      </c>
      <c r="U710" s="3">
        <f>ROUNDDOWN(PI()*(G710-0.185)/T710,2)</f>
        <v>0.14000000000000001</v>
      </c>
      <c r="V710" s="3"/>
      <c r="W710" s="1">
        <v>280</v>
      </c>
      <c r="X710" s="9">
        <v>2</v>
      </c>
      <c r="Y710" s="1">
        <v>4</v>
      </c>
      <c r="Z710" s="3">
        <f>X710*VLOOKUP(Y710,[1]Datos!$A$2:$D$14,2)</f>
        <v>2.58</v>
      </c>
      <c r="AA710" s="8">
        <v>0.3</v>
      </c>
      <c r="AB710" s="7">
        <f>IF(D710=0,0.9,0.5)*0.9*0.53*SQRT(W710)*G710*MAX(0.72*G710,0.9*((G710/2)+((G710-0.11)/PI())))*10</f>
        <v>115.05235319041492</v>
      </c>
      <c r="AC710" s="7">
        <f>0.9*Z710*4220*MAX(0.72*G710,0.9*((G710/2)+((G710-0.11)/PI())))/AA710/1000</f>
        <v>47.081633547905106</v>
      </c>
      <c r="AD710" s="6" t="str">
        <f>+IF(AC710&gt;K710-AB710,"Cumple","No Cumple")</f>
        <v>Cumple</v>
      </c>
      <c r="AE710" s="6"/>
      <c r="AH710" s="3"/>
    </row>
    <row r="711" spans="1:43" ht="15" customHeight="1" x14ac:dyDescent="0.3">
      <c r="A711" s="13" t="s">
        <v>10</v>
      </c>
      <c r="B711" s="1">
        <v>1</v>
      </c>
      <c r="C711" s="1">
        <v>93</v>
      </c>
      <c r="D711" s="1">
        <v>0</v>
      </c>
      <c r="E711" s="5">
        <v>1</v>
      </c>
      <c r="F711" s="3">
        <f>E711</f>
        <v>1</v>
      </c>
      <c r="G711" s="5">
        <v>2</v>
      </c>
      <c r="H711" s="3">
        <f>PI()*(G711^2)/4</f>
        <v>3.1415926535897931</v>
      </c>
      <c r="I711" s="4">
        <v>4.7345999999999999E-2</v>
      </c>
      <c r="K711" s="3">
        <v>162.03319414120057</v>
      </c>
      <c r="L711" s="3">
        <v>705.73814000000004</v>
      </c>
      <c r="M711" s="3">
        <v>2433.6129599999999</v>
      </c>
      <c r="N711" s="12">
        <f>I711/H711</f>
        <v>1.5070699871257753E-2</v>
      </c>
      <c r="O711" s="11">
        <f>I711*10000</f>
        <v>473.46</v>
      </c>
      <c r="P711" s="1">
        <v>10</v>
      </c>
      <c r="Q711" s="1">
        <v>1</v>
      </c>
      <c r="R711" s="3">
        <f>Q711*VLOOKUP(P711,[1]Datos!$A$2:$D$14,2)</f>
        <v>8.19</v>
      </c>
      <c r="S711" s="10">
        <f>ROUNDUP(O711/R711,0)</f>
        <v>58</v>
      </c>
      <c r="T711" s="2">
        <v>58</v>
      </c>
      <c r="U711" s="3">
        <f>ROUNDDOWN(PI()*(G711-0.185)/T711,2)</f>
        <v>0.09</v>
      </c>
      <c r="V711" s="3"/>
      <c r="W711" s="1">
        <v>280</v>
      </c>
      <c r="X711" s="9">
        <v>2</v>
      </c>
      <c r="Y711" s="1">
        <v>6</v>
      </c>
      <c r="Z711" s="3">
        <f>X711*VLOOKUP(Y711,[1]Datos!$A$2:$D$14,2)</f>
        <v>5.68</v>
      </c>
      <c r="AA711" s="8">
        <v>7.4999999999999997E-2</v>
      </c>
      <c r="AB711" s="7">
        <f>IF(D711=0,0.9,0.5)*0.9*0.53*SQRT(W711)*G711*MAX(0.72*G711,0.9*((G711/2)+((G711-0.11)/PI())))*10</f>
        <v>207.09423574274689</v>
      </c>
      <c r="AC711" s="7">
        <f>0.9*Z711*4220*MAX(0.72*G711,0.9*((G711/2)+((G711-0.11)/PI())))/AA711/1000</f>
        <v>414.61035434434268</v>
      </c>
      <c r="AD711" s="6" t="str">
        <f>+IF(AC711&gt;K711-AB711,"Cumple","No Cumple")</f>
        <v>Cumple</v>
      </c>
      <c r="AE711" s="6"/>
      <c r="AF711" s="5">
        <v>21</v>
      </c>
      <c r="AG711" s="7">
        <f>ROUNDUP(MAX(0.45,G711,AF711/6),0)</f>
        <v>4</v>
      </c>
      <c r="AH711" s="3">
        <f>PI()*(G711-0.15)^2/4</f>
        <v>2.6880252142277672</v>
      </c>
      <c r="AI711" s="7">
        <f>G711-0.15-VLOOKUP(Y711,[1]Datos!$A$2:$D$14,3)/100</f>
        <v>1.8309000000000002</v>
      </c>
      <c r="AJ711" s="7">
        <f>SQRT((PI()*AI711)^2+AA711^2)</f>
        <v>5.7524309339691264</v>
      </c>
      <c r="AK711" s="1">
        <v>0.12</v>
      </c>
      <c r="AL711" s="16">
        <f>MAX(0.45*(H711/AH711-1),AK711)*(W711/4220)</f>
        <v>7.9620853080568724E-3</v>
      </c>
      <c r="AM711" s="7">
        <f>AG711*(AJ711/AA711)</f>
        <v>306.79631647835345</v>
      </c>
      <c r="AN711" s="17">
        <f>AM711*Z711/X711/10000</f>
        <v>8.7130153879852373E-2</v>
      </c>
      <c r="AO711" s="17">
        <f>AH711*AG711</f>
        <v>10.752100856911069</v>
      </c>
      <c r="AP711" s="16">
        <f>AN711/AO711</f>
        <v>8.1035469290495175E-3</v>
      </c>
      <c r="AQ711" s="6" t="str">
        <f>+IF(AP711&gt;AL711,"Cumple","No Cumple")</f>
        <v>Cumple</v>
      </c>
    </row>
    <row r="712" spans="1:43" ht="15" customHeight="1" x14ac:dyDescent="0.3">
      <c r="A712" s="13"/>
      <c r="B712" s="1">
        <v>2</v>
      </c>
      <c r="C712" s="1">
        <v>95</v>
      </c>
      <c r="D712" s="1">
        <v>0</v>
      </c>
      <c r="E712" s="5">
        <v>1</v>
      </c>
      <c r="F712" s="3">
        <f>F711+E712</f>
        <v>2</v>
      </c>
      <c r="G712" s="5">
        <v>2</v>
      </c>
      <c r="H712" s="3">
        <f>PI()*(G712^2)/4</f>
        <v>3.1415926535897931</v>
      </c>
      <c r="I712" s="4">
        <v>4.4173999999999998E-2</v>
      </c>
      <c r="K712" s="3">
        <v>162.03501519933891</v>
      </c>
      <c r="L712" s="3">
        <v>659.37755000000004</v>
      </c>
      <c r="M712" s="3">
        <v>2316.7435</v>
      </c>
      <c r="N712" s="12">
        <f>I712/H712</f>
        <v>1.4061020912282769E-2</v>
      </c>
      <c r="O712" s="11">
        <f>I712*10000</f>
        <v>441.73999999999995</v>
      </c>
      <c r="P712" s="1">
        <v>10</v>
      </c>
      <c r="Q712" s="1">
        <v>1</v>
      </c>
      <c r="R712" s="3">
        <f>Q712*VLOOKUP(P712,[1]Datos!$A$2:$D$14,2)</f>
        <v>8.19</v>
      </c>
      <c r="S712" s="10">
        <f>ROUNDUP(O712/R712,0)</f>
        <v>54</v>
      </c>
      <c r="T712" s="2">
        <v>58</v>
      </c>
      <c r="U712" s="3">
        <f>ROUNDDOWN(PI()*(G712-0.185)/T712,2)</f>
        <v>0.09</v>
      </c>
      <c r="V712" s="3"/>
      <c r="W712" s="1">
        <v>280</v>
      </c>
      <c r="X712" s="9">
        <v>2</v>
      </c>
      <c r="Y712" s="1">
        <v>6</v>
      </c>
      <c r="Z712" s="3">
        <f>X712*VLOOKUP(Y712,[1]Datos!$A$2:$D$14,2)</f>
        <v>5.68</v>
      </c>
      <c r="AA712" s="8">
        <v>7.4999999999999997E-2</v>
      </c>
      <c r="AB712" s="7">
        <f>IF(D712=0,0.9,0.5)*0.9*0.53*SQRT(W712)*G712*MAX(0.72*G712,0.9*((G712/2)+((G712-0.11)/PI())))*10</f>
        <v>207.09423574274689</v>
      </c>
      <c r="AC712" s="7">
        <f>0.9*Z712*4220*MAX(0.72*G712,0.9*((G712/2)+((G712-0.11)/PI())))/AA712/1000</f>
        <v>414.61035434434268</v>
      </c>
      <c r="AD712" s="6" t="str">
        <f>+IF(AC712&gt;K712-AB712,"Cumple","No Cumple")</f>
        <v>Cumple</v>
      </c>
      <c r="AE712" s="6"/>
      <c r="AF712" s="5">
        <v>21</v>
      </c>
      <c r="AG712" s="7">
        <f>ROUNDUP(MAX(0.45,G712,AF712/6),0)</f>
        <v>4</v>
      </c>
      <c r="AH712" s="3">
        <f>PI()*(G712-0.15)^2/4</f>
        <v>2.6880252142277672</v>
      </c>
      <c r="AI712" s="7">
        <f>G712-0.15-VLOOKUP(Y712,[1]Datos!$A$2:$D$14,3)/100</f>
        <v>1.8309000000000002</v>
      </c>
      <c r="AJ712" s="7">
        <f>SQRT((PI()*AI712)^2+AA712^2)</f>
        <v>5.7524309339691264</v>
      </c>
      <c r="AK712" s="1">
        <v>0.12</v>
      </c>
      <c r="AL712" s="16">
        <f>MAX(0.45*(H712/AH712-1),AK712)*(W712/4220)</f>
        <v>7.9620853080568724E-3</v>
      </c>
      <c r="AM712" s="7">
        <f>AG712*(AJ712/AA712)</f>
        <v>306.79631647835345</v>
      </c>
      <c r="AN712" s="17">
        <f>AM712*Z712/X712/10000</f>
        <v>8.7130153879852373E-2</v>
      </c>
      <c r="AO712" s="17">
        <f>AH712*AG712</f>
        <v>10.752100856911069</v>
      </c>
      <c r="AP712" s="16">
        <f>AN712/AO712</f>
        <v>8.1035469290495175E-3</v>
      </c>
      <c r="AQ712" s="6" t="str">
        <f>+IF(AP712&gt;AL712,"Cumple","No Cumple")</f>
        <v>Cumple</v>
      </c>
    </row>
    <row r="713" spans="1:43" ht="15" customHeight="1" x14ac:dyDescent="0.3">
      <c r="A713" s="13"/>
      <c r="B713" s="1">
        <v>3</v>
      </c>
      <c r="C713" s="1">
        <v>97</v>
      </c>
      <c r="D713" s="1">
        <v>0</v>
      </c>
      <c r="E713" s="5">
        <v>1</v>
      </c>
      <c r="F713" s="3">
        <f>F712+E713</f>
        <v>3</v>
      </c>
      <c r="G713" s="5">
        <v>2</v>
      </c>
      <c r="H713" s="3">
        <f>PI()*(G713^2)/4</f>
        <v>3.1415926535897931</v>
      </c>
      <c r="I713" s="4">
        <v>4.0464E-2</v>
      </c>
      <c r="K713" s="3">
        <v>162.03673829909684</v>
      </c>
      <c r="L713" s="3">
        <v>612.89736000000005</v>
      </c>
      <c r="M713" s="3">
        <v>2199.3786700000001</v>
      </c>
      <c r="N713" s="12">
        <f>I713/H713</f>
        <v>1.2880091234540906E-2</v>
      </c>
      <c r="O713" s="11">
        <f>I713*10000</f>
        <v>404.64</v>
      </c>
      <c r="P713" s="1">
        <v>10</v>
      </c>
      <c r="Q713" s="1">
        <v>1</v>
      </c>
      <c r="R713" s="3">
        <f>Q713*VLOOKUP(P713,[1]Datos!$A$2:$D$14,2)</f>
        <v>8.19</v>
      </c>
      <c r="S713" s="10">
        <f>ROUNDUP(O713/R713,0)</f>
        <v>50</v>
      </c>
      <c r="T713" s="2">
        <v>58</v>
      </c>
      <c r="U713" s="3">
        <f>ROUNDDOWN(PI()*(G713-0.185)/T713,2)</f>
        <v>0.09</v>
      </c>
      <c r="V713" s="3"/>
      <c r="W713" s="1">
        <v>280</v>
      </c>
      <c r="X713" s="9">
        <v>2</v>
      </c>
      <c r="Y713" s="1">
        <v>6</v>
      </c>
      <c r="Z713" s="3">
        <f>X713*VLOOKUP(Y713,[1]Datos!$A$2:$D$14,2)</f>
        <v>5.68</v>
      </c>
      <c r="AA713" s="8">
        <v>7.4999999999999997E-2</v>
      </c>
      <c r="AB713" s="7">
        <f>IF(D713=0,0.9,0.5)*0.9*0.53*SQRT(W713)*G713*MAX(0.72*G713,0.9*((G713/2)+((G713-0.11)/PI())))*10</f>
        <v>207.09423574274689</v>
      </c>
      <c r="AC713" s="7">
        <f>0.9*Z713*4220*MAX(0.72*G713,0.9*((G713/2)+((G713-0.11)/PI())))/AA713/1000</f>
        <v>414.61035434434268</v>
      </c>
      <c r="AD713" s="6" t="str">
        <f>+IF(AC713&gt;K713-AB713,"Cumple","No Cumple")</f>
        <v>Cumple</v>
      </c>
      <c r="AE713" s="6"/>
      <c r="AF713" s="5">
        <v>21</v>
      </c>
      <c r="AG713" s="7">
        <f>ROUNDUP(MAX(0.45,G713,AF713/6),0)</f>
        <v>4</v>
      </c>
      <c r="AH713" s="3">
        <f>PI()*(G713-0.15)^2/4</f>
        <v>2.6880252142277672</v>
      </c>
      <c r="AI713" s="7">
        <f>G713-0.15-VLOOKUP(Y713,[1]Datos!$A$2:$D$14,3)/100</f>
        <v>1.8309000000000002</v>
      </c>
      <c r="AJ713" s="7">
        <f>SQRT((PI()*AI713)^2+AA713^2)</f>
        <v>5.7524309339691264</v>
      </c>
      <c r="AK713" s="1">
        <v>0.12</v>
      </c>
      <c r="AL713" s="16">
        <f>MAX(0.45*(H713/AH713-1),AK713)*(W713/4220)</f>
        <v>7.9620853080568724E-3</v>
      </c>
      <c r="AM713" s="7">
        <f>AG713*(AJ713/AA713)</f>
        <v>306.79631647835345</v>
      </c>
      <c r="AN713" s="17">
        <f>AM713*Z713/X713/10000</f>
        <v>8.7130153879852373E-2</v>
      </c>
      <c r="AO713" s="17">
        <f>AH713*AG713</f>
        <v>10.752100856911069</v>
      </c>
      <c r="AP713" s="16">
        <f>AN713/AO713</f>
        <v>8.1035469290495175E-3</v>
      </c>
      <c r="AQ713" s="6" t="str">
        <f>+IF(AP713&gt;AL713,"Cumple","No Cumple")</f>
        <v>Cumple</v>
      </c>
    </row>
    <row r="714" spans="1:43" ht="15" customHeight="1" x14ac:dyDescent="0.3">
      <c r="A714" s="13"/>
      <c r="B714" s="1">
        <v>4</v>
      </c>
      <c r="C714" s="1">
        <v>99</v>
      </c>
      <c r="D714" s="1">
        <v>0</v>
      </c>
      <c r="E714" s="5">
        <v>1</v>
      </c>
      <c r="F714" s="3">
        <f>F713+E714</f>
        <v>4</v>
      </c>
      <c r="G714" s="5">
        <v>2</v>
      </c>
      <c r="H714" s="3">
        <f>PI()*(G714^2)/4</f>
        <v>3.1415926535897931</v>
      </c>
      <c r="I714" s="4">
        <v>3.6068999999999997E-2</v>
      </c>
      <c r="K714" s="3">
        <v>162.03848149405746</v>
      </c>
      <c r="L714" s="3">
        <v>566.31628999999998</v>
      </c>
      <c r="M714" s="3">
        <v>2081.5646200000001</v>
      </c>
      <c r="N714" s="12">
        <f>I714/H714</f>
        <v>1.1481119284763145E-2</v>
      </c>
      <c r="O714" s="11">
        <f>I714*10000</f>
        <v>360.68999999999994</v>
      </c>
      <c r="P714" s="1">
        <v>10</v>
      </c>
      <c r="Q714" s="15">
        <v>1</v>
      </c>
      <c r="R714" s="3">
        <f>Q714*VLOOKUP(P714,[1]Datos!$A$2:$D$14,2)</f>
        <v>8.19</v>
      </c>
      <c r="S714" s="10">
        <f>ROUNDUP(O714/R714,0)</f>
        <v>45</v>
      </c>
      <c r="T714" s="14">
        <v>58</v>
      </c>
      <c r="U714" s="3">
        <f>ROUNDDOWN(PI()*(G714-0.185)/T714,2)</f>
        <v>0.09</v>
      </c>
      <c r="V714" s="3"/>
      <c r="W714" s="1">
        <v>280</v>
      </c>
      <c r="X714" s="9">
        <v>2</v>
      </c>
      <c r="Y714" s="1">
        <v>6</v>
      </c>
      <c r="Z714" s="3">
        <f>X714*VLOOKUP(Y714,[1]Datos!$A$2:$D$14,2)</f>
        <v>5.68</v>
      </c>
      <c r="AA714" s="8">
        <v>7.4999999999999997E-2</v>
      </c>
      <c r="AB714" s="7">
        <f>IF(D714=0,0.9,0.5)*0.9*0.53*SQRT(W714)*G714*MAX(0.72*G714,0.9*((G714/2)+((G714-0.11)/PI())))*10</f>
        <v>207.09423574274689</v>
      </c>
      <c r="AC714" s="7">
        <f>0.9*Z714*4220*MAX(0.72*G714,0.9*((G714/2)+((G714-0.11)/PI())))/AA714/1000</f>
        <v>414.61035434434268</v>
      </c>
      <c r="AD714" s="6" t="str">
        <f>+IF(AC714&gt;K714-AB714,"Cumple","No Cumple")</f>
        <v>Cumple</v>
      </c>
      <c r="AE714" s="6"/>
      <c r="AF714" s="5">
        <v>21</v>
      </c>
      <c r="AG714" s="7">
        <f>ROUNDUP(MAX(0.45,G714,AF714/6),0)</f>
        <v>4</v>
      </c>
      <c r="AH714" s="3">
        <f>PI()*(G714-0.15)^2/4</f>
        <v>2.6880252142277672</v>
      </c>
      <c r="AI714" s="7">
        <f>G714-0.15-VLOOKUP(Y714,[1]Datos!$A$2:$D$14,3)/100</f>
        <v>1.8309000000000002</v>
      </c>
      <c r="AJ714" s="7">
        <f>SQRT((PI()*AI714)^2+AA714^2)</f>
        <v>5.7524309339691264</v>
      </c>
      <c r="AK714" s="1">
        <v>0.12</v>
      </c>
      <c r="AL714" s="16">
        <f>MAX(0.45*(H714/AH714-1),AK714)*(W714/4220)</f>
        <v>7.9620853080568724E-3</v>
      </c>
      <c r="AM714" s="7">
        <f>AG714*(AJ714/AA714)</f>
        <v>306.79631647835345</v>
      </c>
      <c r="AN714" s="17">
        <f>AM714*Z714/X714/10000</f>
        <v>8.7130153879852373E-2</v>
      </c>
      <c r="AO714" s="17">
        <f>AH714*AG714</f>
        <v>10.752100856911069</v>
      </c>
      <c r="AP714" s="16">
        <f>AN714/AO714</f>
        <v>8.1035469290495175E-3</v>
      </c>
      <c r="AQ714" s="6" t="str">
        <f>+IF(AP714&gt;AL714,"Cumple","No Cumple")</f>
        <v>Cumple</v>
      </c>
    </row>
    <row r="715" spans="1:43" ht="15" customHeight="1" x14ac:dyDescent="0.3">
      <c r="A715" s="13"/>
      <c r="B715" s="1">
        <v>5</v>
      </c>
      <c r="C715" s="1">
        <v>101</v>
      </c>
      <c r="D715" s="1">
        <v>0</v>
      </c>
      <c r="E715" s="5">
        <v>1</v>
      </c>
      <c r="F715" s="3">
        <f>F714+E715</f>
        <v>5</v>
      </c>
      <c r="G715" s="5">
        <v>2</v>
      </c>
      <c r="H715" s="3">
        <f>PI()*(G715^2)/4</f>
        <v>3.1415926535897931</v>
      </c>
      <c r="I715" s="4">
        <v>3.1415999999999999E-2</v>
      </c>
      <c r="K715" s="3">
        <v>162.04020459731592</v>
      </c>
      <c r="L715" s="3">
        <v>519.65389000000005</v>
      </c>
      <c r="M715" s="3">
        <v>1963.6623199999999</v>
      </c>
      <c r="N715" s="12">
        <f>I715/H715</f>
        <v>1.0000023384349969E-2</v>
      </c>
      <c r="O715" s="11">
        <f>I715*10000</f>
        <v>314.15999999999997</v>
      </c>
      <c r="P715" s="1">
        <v>10</v>
      </c>
      <c r="Q715" s="15">
        <v>1</v>
      </c>
      <c r="R715" s="3">
        <f>Q715*VLOOKUP(P715,[1]Datos!$A$2:$D$14,2)</f>
        <v>8.19</v>
      </c>
      <c r="S715" s="10">
        <f>ROUNDUP(O715/R715,0)</f>
        <v>39</v>
      </c>
      <c r="T715" s="14">
        <v>58</v>
      </c>
      <c r="U715" s="3">
        <f>ROUNDDOWN(PI()*(G715-0.185)/T715,2)</f>
        <v>0.09</v>
      </c>
      <c r="V715" s="3"/>
      <c r="W715" s="1">
        <v>280</v>
      </c>
      <c r="X715" s="9">
        <v>2</v>
      </c>
      <c r="Y715" s="1">
        <v>4</v>
      </c>
      <c r="Z715" s="3">
        <f>X715*VLOOKUP(Y715,[1]Datos!$A$2:$D$14,2)</f>
        <v>2.58</v>
      </c>
      <c r="AA715" s="8">
        <v>0.3</v>
      </c>
      <c r="AB715" s="7">
        <f>IF(D715=0,0.9,0.5)*0.9*0.53*SQRT(W715)*G715*MAX(0.72*G715,0.9*((G715/2)+((G715-0.11)/PI())))*10</f>
        <v>207.09423574274689</v>
      </c>
      <c r="AC715" s="7">
        <f>0.9*Z715*4220*MAX(0.72*G715,0.9*((G715/2)+((G715-0.11)/PI())))/AA715/1000</f>
        <v>47.081633547905106</v>
      </c>
      <c r="AD715" s="6" t="str">
        <f>+IF(AC715&gt;K715-AB715,"Cumple","No Cumple")</f>
        <v>Cumple</v>
      </c>
      <c r="AE715" s="6"/>
      <c r="AH715" s="3"/>
    </row>
    <row r="716" spans="1:43" ht="15" customHeight="1" x14ac:dyDescent="0.3">
      <c r="A716" s="13"/>
      <c r="B716" s="1">
        <v>6</v>
      </c>
      <c r="C716" s="1">
        <v>103</v>
      </c>
      <c r="D716" s="1">
        <v>0</v>
      </c>
      <c r="E716" s="5">
        <v>1</v>
      </c>
      <c r="F716" s="3">
        <f>F715+E716</f>
        <v>6</v>
      </c>
      <c r="G716" s="5">
        <v>2</v>
      </c>
      <c r="H716" s="3">
        <f>PI()*(G716^2)/4</f>
        <v>3.1415926535897931</v>
      </c>
      <c r="I716" s="4">
        <v>3.1415999999999999E-2</v>
      </c>
      <c r="K716" s="3">
        <v>162.04194779516197</v>
      </c>
      <c r="L716" s="3">
        <v>472.93052</v>
      </c>
      <c r="M716" s="3">
        <v>1849.3893599999999</v>
      </c>
      <c r="N716" s="12">
        <f>I716/H716</f>
        <v>1.0000023384349969E-2</v>
      </c>
      <c r="O716" s="11">
        <f>I716*10000</f>
        <v>314.15999999999997</v>
      </c>
      <c r="P716" s="1">
        <v>10</v>
      </c>
      <c r="Q716" s="15">
        <v>1</v>
      </c>
      <c r="R716" s="3">
        <f>Q716*VLOOKUP(P716,[1]Datos!$A$2:$D$14,2)</f>
        <v>8.19</v>
      </c>
      <c r="S716" s="10">
        <f>ROUNDUP(O716/R716,0)</f>
        <v>39</v>
      </c>
      <c r="T716" s="14">
        <v>58</v>
      </c>
      <c r="U716" s="3">
        <f>ROUNDDOWN(PI()*(G716-0.185)/T716,2)</f>
        <v>0.09</v>
      </c>
      <c r="V716" s="3"/>
      <c r="W716" s="1">
        <v>280</v>
      </c>
      <c r="X716" s="9">
        <v>2</v>
      </c>
      <c r="Y716" s="1">
        <v>4</v>
      </c>
      <c r="Z716" s="3">
        <f>X716*VLOOKUP(Y716,[1]Datos!$A$2:$D$14,2)</f>
        <v>2.58</v>
      </c>
      <c r="AA716" s="8">
        <v>0.3</v>
      </c>
      <c r="AB716" s="7">
        <f>IF(D716=0,0.9,0.5)*0.9*0.53*SQRT(W716)*G716*MAX(0.72*G716,0.9*((G716/2)+((G716-0.11)/PI())))*10</f>
        <v>207.09423574274689</v>
      </c>
      <c r="AC716" s="7">
        <f>0.9*Z716*4220*MAX(0.72*G716,0.9*((G716/2)+((G716-0.11)/PI())))/AA716/1000</f>
        <v>47.081633547905106</v>
      </c>
      <c r="AD716" s="6" t="str">
        <f>+IF(AC716&gt;K716-AB716,"Cumple","No Cumple")</f>
        <v>Cumple</v>
      </c>
      <c r="AE716" s="6"/>
      <c r="AH716" s="3"/>
    </row>
    <row r="717" spans="1:43" ht="15" customHeight="1" x14ac:dyDescent="0.3">
      <c r="A717" s="13"/>
      <c r="B717" s="1">
        <v>7</v>
      </c>
      <c r="C717" s="1">
        <v>105</v>
      </c>
      <c r="D717" s="1">
        <v>0</v>
      </c>
      <c r="E717" s="5">
        <v>1</v>
      </c>
      <c r="F717" s="3">
        <f>F716+E717</f>
        <v>7</v>
      </c>
      <c r="G717" s="5">
        <v>2</v>
      </c>
      <c r="H717" s="3">
        <f>PI()*(G717^2)/4</f>
        <v>3.1415926535897931</v>
      </c>
      <c r="I717" s="4">
        <v>3.1415999999999999E-2</v>
      </c>
      <c r="K717" s="3">
        <v>162.04367090192076</v>
      </c>
      <c r="L717" s="3">
        <v>426.16730999999999</v>
      </c>
      <c r="M717" s="3">
        <v>1738.2755400000001</v>
      </c>
      <c r="N717" s="12">
        <f>I717/H717</f>
        <v>1.0000023384349969E-2</v>
      </c>
      <c r="O717" s="11">
        <f>I717*10000</f>
        <v>314.15999999999997</v>
      </c>
      <c r="P717" s="1">
        <v>10</v>
      </c>
      <c r="Q717" s="1">
        <v>1</v>
      </c>
      <c r="R717" s="3">
        <f>Q717*VLOOKUP(P717,[1]Datos!$A$2:$D$14,2)</f>
        <v>8.19</v>
      </c>
      <c r="S717" s="10">
        <f>ROUNDUP(O717/R717,0)</f>
        <v>39</v>
      </c>
      <c r="T717" s="2">
        <v>39</v>
      </c>
      <c r="U717" s="3">
        <f>ROUNDDOWN(PI()*(G717-0.185)/T717,2)</f>
        <v>0.14000000000000001</v>
      </c>
      <c r="V717" s="3"/>
      <c r="W717" s="1">
        <v>280</v>
      </c>
      <c r="X717" s="9">
        <v>2</v>
      </c>
      <c r="Y717" s="1">
        <v>4</v>
      </c>
      <c r="Z717" s="3">
        <f>X717*VLOOKUP(Y717,[1]Datos!$A$2:$D$14,2)</f>
        <v>2.58</v>
      </c>
      <c r="AA717" s="8">
        <v>0.3</v>
      </c>
      <c r="AB717" s="7">
        <f>IF(D717=0,0.9,0.5)*0.9*0.53*SQRT(W717)*G717*MAX(0.72*G717,0.9*((G717/2)+((G717-0.11)/PI())))*10</f>
        <v>207.09423574274689</v>
      </c>
      <c r="AC717" s="7">
        <f>0.9*Z717*4220*MAX(0.72*G717,0.9*((G717/2)+((G717-0.11)/PI())))/AA717/1000</f>
        <v>47.081633547905106</v>
      </c>
      <c r="AD717" s="6" t="str">
        <f>+IF(AC717&gt;K717-AB717,"Cumple","No Cumple")</f>
        <v>Cumple</v>
      </c>
      <c r="AE717" s="6"/>
      <c r="AH717" s="3"/>
    </row>
    <row r="718" spans="1:43" x14ac:dyDescent="0.3">
      <c r="A718" s="13"/>
      <c r="B718" s="1">
        <v>8</v>
      </c>
      <c r="C718" s="1">
        <v>107</v>
      </c>
      <c r="D718" s="1">
        <v>0</v>
      </c>
      <c r="E718" s="5">
        <v>1</v>
      </c>
      <c r="F718" s="3">
        <f>F717+E718</f>
        <v>8</v>
      </c>
      <c r="G718" s="5">
        <v>2</v>
      </c>
      <c r="H718" s="3">
        <f>PI()*(G718^2)/4</f>
        <v>3.1415926535897931</v>
      </c>
      <c r="I718" s="4">
        <v>3.1415999999999999E-2</v>
      </c>
      <c r="K718" s="3">
        <v>162.0454141026521</v>
      </c>
      <c r="L718" s="3">
        <v>379.3861</v>
      </c>
      <c r="M718" s="3">
        <v>1632.0452499999999</v>
      </c>
      <c r="N718" s="12">
        <f>I718/H718</f>
        <v>1.0000023384349969E-2</v>
      </c>
      <c r="O718" s="11">
        <f>I718*10000</f>
        <v>314.15999999999997</v>
      </c>
      <c r="P718" s="1">
        <v>10</v>
      </c>
      <c r="Q718" s="1">
        <v>1</v>
      </c>
      <c r="R718" s="3">
        <f>Q718*VLOOKUP(P718,[1]Datos!$A$2:$D$14,2)</f>
        <v>8.19</v>
      </c>
      <c r="S718" s="10">
        <f>ROUNDUP(O718/R718,0)</f>
        <v>39</v>
      </c>
      <c r="T718" s="2">
        <v>39</v>
      </c>
      <c r="U718" s="3">
        <f>ROUNDDOWN(PI()*(G718-0.185)/T718,2)</f>
        <v>0.14000000000000001</v>
      </c>
      <c r="V718" s="3"/>
      <c r="W718" s="1">
        <v>280</v>
      </c>
      <c r="X718" s="9">
        <v>2</v>
      </c>
      <c r="Y718" s="1">
        <v>4</v>
      </c>
      <c r="Z718" s="3">
        <f>X718*VLOOKUP(Y718,[1]Datos!$A$2:$D$14,2)</f>
        <v>2.58</v>
      </c>
      <c r="AA718" s="8">
        <v>0.3</v>
      </c>
      <c r="AB718" s="7">
        <f>IF(D718=0,0.9,0.5)*0.9*0.53*SQRT(W718)*G718*MAX(0.72*G718,0.9*((G718/2)+((G718-0.11)/PI())))*10</f>
        <v>207.09423574274689</v>
      </c>
      <c r="AC718" s="7">
        <f>0.9*Z718*4220*MAX(0.72*G718,0.9*((G718/2)+((G718-0.11)/PI())))/AA718/1000</f>
        <v>47.081633547905106</v>
      </c>
      <c r="AD718" s="6" t="str">
        <f>+IF(AC718&gt;K718-AB718,"Cumple","No Cumple")</f>
        <v>Cumple</v>
      </c>
      <c r="AE718" s="6"/>
      <c r="AH718" s="3"/>
    </row>
    <row r="719" spans="1:43" x14ac:dyDescent="0.3">
      <c r="A719" s="13"/>
      <c r="B719" s="1">
        <v>9</v>
      </c>
      <c r="C719" s="1">
        <v>109</v>
      </c>
      <c r="D719" s="1">
        <v>0</v>
      </c>
      <c r="E719" s="5">
        <v>1</v>
      </c>
      <c r="F719" s="3">
        <f>F718+E719</f>
        <v>9</v>
      </c>
      <c r="G719" s="5">
        <v>2</v>
      </c>
      <c r="H719" s="3">
        <f>PI()*(G719^2)/4</f>
        <v>3.1415926535897931</v>
      </c>
      <c r="I719" s="4">
        <v>3.1415999999999999E-2</v>
      </c>
      <c r="K719" s="3">
        <v>162.047137212911</v>
      </c>
      <c r="L719" s="3">
        <v>332.60957999999999</v>
      </c>
      <c r="M719" s="3">
        <v>1526.3036300000001</v>
      </c>
      <c r="N719" s="12">
        <f>I719/H719</f>
        <v>1.0000023384349969E-2</v>
      </c>
      <c r="O719" s="11">
        <f>I719*10000</f>
        <v>314.15999999999997</v>
      </c>
      <c r="P719" s="1">
        <v>10</v>
      </c>
      <c r="Q719" s="1">
        <v>1</v>
      </c>
      <c r="R719" s="3">
        <f>Q719*VLOOKUP(P719,[1]Datos!$A$2:$D$14,2)</f>
        <v>8.19</v>
      </c>
      <c r="S719" s="10">
        <f>ROUNDUP(O719/R719,0)</f>
        <v>39</v>
      </c>
      <c r="T719" s="2">
        <v>39</v>
      </c>
      <c r="U719" s="3">
        <f>ROUNDDOWN(PI()*(G719-0.185)/T719,2)</f>
        <v>0.14000000000000001</v>
      </c>
      <c r="V719" s="3"/>
      <c r="W719" s="1">
        <v>280</v>
      </c>
      <c r="X719" s="9">
        <v>2</v>
      </c>
      <c r="Y719" s="1">
        <v>4</v>
      </c>
      <c r="Z719" s="3">
        <f>X719*VLOOKUP(Y719,[1]Datos!$A$2:$D$14,2)</f>
        <v>2.58</v>
      </c>
      <c r="AA719" s="8">
        <v>0.3</v>
      </c>
      <c r="AB719" s="7">
        <f>IF(D719=0,0.9,0.5)*0.9*0.53*SQRT(W719)*G719*MAX(0.72*G719,0.9*((G719/2)+((G719-0.11)/PI())))*10</f>
        <v>207.09423574274689</v>
      </c>
      <c r="AC719" s="7">
        <f>0.9*Z719*4220*MAX(0.72*G719,0.9*((G719/2)+((G719-0.11)/PI())))/AA719/1000</f>
        <v>47.081633547905106</v>
      </c>
      <c r="AD719" s="6" t="str">
        <f>+IF(AC719&gt;K719-AB719,"Cumple","No Cumple")</f>
        <v>Cumple</v>
      </c>
      <c r="AE719" s="6"/>
      <c r="AH719" s="3"/>
    </row>
    <row r="720" spans="1:43" x14ac:dyDescent="0.3">
      <c r="A720" s="13"/>
      <c r="B720" s="1">
        <v>10</v>
      </c>
      <c r="C720" s="1">
        <v>111</v>
      </c>
      <c r="D720" s="1">
        <v>0</v>
      </c>
      <c r="E720" s="5">
        <v>1</v>
      </c>
      <c r="F720" s="3">
        <f>F719+E720</f>
        <v>10</v>
      </c>
      <c r="G720" s="5">
        <v>2</v>
      </c>
      <c r="H720" s="3">
        <f>PI()*(G720^2)/4</f>
        <v>3.1415926535897931</v>
      </c>
      <c r="I720" s="4">
        <v>3.1415999999999999E-2</v>
      </c>
      <c r="K720" s="3">
        <v>162.04897837740293</v>
      </c>
      <c r="L720" s="3">
        <v>285.86198999999999</v>
      </c>
      <c r="M720" s="3">
        <v>1420.3132599999999</v>
      </c>
      <c r="N720" s="12">
        <f>I720/H720</f>
        <v>1.0000023384349969E-2</v>
      </c>
      <c r="O720" s="11">
        <f>I720*10000</f>
        <v>314.15999999999997</v>
      </c>
      <c r="P720" s="1">
        <v>10</v>
      </c>
      <c r="Q720" s="1">
        <v>1</v>
      </c>
      <c r="R720" s="3">
        <f>Q720*VLOOKUP(P720,[1]Datos!$A$2:$D$14,2)</f>
        <v>8.19</v>
      </c>
      <c r="S720" s="10">
        <f>ROUNDUP(O720/R720,0)</f>
        <v>39</v>
      </c>
      <c r="T720" s="2">
        <v>39</v>
      </c>
      <c r="U720" s="3">
        <f>ROUNDDOWN(PI()*(G720-0.185)/T720,2)</f>
        <v>0.14000000000000001</v>
      </c>
      <c r="V720" s="3"/>
      <c r="W720" s="1">
        <v>280</v>
      </c>
      <c r="X720" s="9">
        <v>2</v>
      </c>
      <c r="Y720" s="1">
        <v>4</v>
      </c>
      <c r="Z720" s="3">
        <f>X720*VLOOKUP(Y720,[1]Datos!$A$2:$D$14,2)</f>
        <v>2.58</v>
      </c>
      <c r="AA720" s="8">
        <v>0.3</v>
      </c>
      <c r="AB720" s="7">
        <f>IF(D720=0,0.9,0.5)*0.9*0.53*SQRT(W720)*G720*MAX(0.72*G720,0.9*((G720/2)+((G720-0.11)/PI())))*10</f>
        <v>207.09423574274689</v>
      </c>
      <c r="AC720" s="7">
        <f>0.9*Z720*4220*MAX(0.72*G720,0.9*((G720/2)+((G720-0.11)/PI())))/AA720/1000</f>
        <v>47.081633547905106</v>
      </c>
      <c r="AD720" s="6" t="str">
        <f>+IF(AC720&gt;K720-AB720,"Cumple","No Cumple")</f>
        <v>Cumple</v>
      </c>
      <c r="AE720" s="6"/>
      <c r="AH720" s="3"/>
    </row>
    <row r="721" spans="1:43" x14ac:dyDescent="0.3">
      <c r="A721" s="13"/>
      <c r="B721" s="1">
        <v>11</v>
      </c>
      <c r="C721" s="1">
        <v>113</v>
      </c>
      <c r="D721" s="1">
        <v>0</v>
      </c>
      <c r="E721" s="5">
        <v>1</v>
      </c>
      <c r="F721" s="3">
        <f>F720+E721</f>
        <v>11</v>
      </c>
      <c r="G721" s="5">
        <v>2</v>
      </c>
      <c r="H721" s="3">
        <f>PI()*(G721^2)/4</f>
        <v>3.1415926535897931</v>
      </c>
      <c r="I721" s="4">
        <v>3.1415999999999999E-2</v>
      </c>
      <c r="K721" s="3">
        <v>162.05070149123083</v>
      </c>
      <c r="L721" s="3">
        <v>239.17161999999999</v>
      </c>
      <c r="M721" s="3">
        <v>1314.03748</v>
      </c>
      <c r="N721" s="12">
        <f>I721/H721</f>
        <v>1.0000023384349969E-2</v>
      </c>
      <c r="O721" s="11">
        <f>I721*10000</f>
        <v>314.15999999999997</v>
      </c>
      <c r="P721" s="1">
        <v>10</v>
      </c>
      <c r="Q721" s="1">
        <v>1</v>
      </c>
      <c r="R721" s="3">
        <f>Q721*VLOOKUP(P721,[1]Datos!$A$2:$D$14,2)</f>
        <v>8.19</v>
      </c>
      <c r="S721" s="10">
        <f>ROUNDUP(O721/R721,0)</f>
        <v>39</v>
      </c>
      <c r="T721" s="2">
        <v>39</v>
      </c>
      <c r="U721" s="3">
        <f>ROUNDDOWN(PI()*(G721-0.185)/T721,2)</f>
        <v>0.14000000000000001</v>
      </c>
      <c r="V721" s="3"/>
      <c r="W721" s="1">
        <v>280</v>
      </c>
      <c r="X721" s="9">
        <v>2</v>
      </c>
      <c r="Y721" s="1">
        <v>4</v>
      </c>
      <c r="Z721" s="3">
        <f>X721*VLOOKUP(Y721,[1]Datos!$A$2:$D$14,2)</f>
        <v>2.58</v>
      </c>
      <c r="AA721" s="8">
        <v>0.3</v>
      </c>
      <c r="AB721" s="7">
        <f>IF(D721=0,0.9,0.5)*0.9*0.53*SQRT(W721)*G721*MAX(0.72*G721,0.9*((G721/2)+((G721-0.11)/PI())))*10</f>
        <v>207.09423574274689</v>
      </c>
      <c r="AC721" s="7">
        <f>0.9*Z721*4220*MAX(0.72*G721,0.9*((G721/2)+((G721-0.11)/PI())))/AA721/1000</f>
        <v>47.081633547905106</v>
      </c>
      <c r="AD721" s="6" t="str">
        <f>+IF(AC721&gt;K721-AB721,"Cumple","No Cumple")</f>
        <v>Cumple</v>
      </c>
      <c r="AE721" s="6"/>
      <c r="AH721" s="3"/>
    </row>
    <row r="722" spans="1:43" x14ac:dyDescent="0.3">
      <c r="A722" s="13"/>
      <c r="B722" s="1">
        <v>12</v>
      </c>
      <c r="C722" s="1">
        <v>115</v>
      </c>
      <c r="D722" s="1">
        <v>0</v>
      </c>
      <c r="E722" s="5">
        <v>1</v>
      </c>
      <c r="F722" s="3">
        <f>F721+E722</f>
        <v>12</v>
      </c>
      <c r="G722" s="5">
        <v>2</v>
      </c>
      <c r="H722" s="3">
        <f>PI()*(G722^2)/4</f>
        <v>3.1415926535897931</v>
      </c>
      <c r="I722" s="4">
        <v>3.1415999999999999E-2</v>
      </c>
      <c r="K722" s="3">
        <v>162.05244469778913</v>
      </c>
      <c r="L722" s="3">
        <v>192.57866000000001</v>
      </c>
      <c r="M722" s="3">
        <v>1208.31116</v>
      </c>
      <c r="N722" s="12">
        <f>I722/H722</f>
        <v>1.0000023384349969E-2</v>
      </c>
      <c r="O722" s="11">
        <f>I722*10000</f>
        <v>314.15999999999997</v>
      </c>
      <c r="P722" s="1">
        <v>10</v>
      </c>
      <c r="Q722" s="1">
        <v>1</v>
      </c>
      <c r="R722" s="3">
        <f>Q722*VLOOKUP(P722,[1]Datos!$A$2:$D$14,2)</f>
        <v>8.19</v>
      </c>
      <c r="S722" s="10">
        <f>ROUNDUP(O722/R722,0)</f>
        <v>39</v>
      </c>
      <c r="T722" s="2">
        <v>39</v>
      </c>
      <c r="U722" s="3">
        <f>ROUNDDOWN(PI()*(G722-0.185)/T722,2)</f>
        <v>0.14000000000000001</v>
      </c>
      <c r="V722" s="3"/>
      <c r="W722" s="1">
        <v>280</v>
      </c>
      <c r="X722" s="9">
        <v>2</v>
      </c>
      <c r="Y722" s="1">
        <v>4</v>
      </c>
      <c r="Z722" s="3">
        <f>X722*VLOOKUP(Y722,[1]Datos!$A$2:$D$14,2)</f>
        <v>2.58</v>
      </c>
      <c r="AA722" s="8">
        <v>0.3</v>
      </c>
      <c r="AB722" s="7">
        <f>IF(D722=0,0.9,0.5)*0.9*0.53*SQRT(W722)*G722*MAX(0.72*G722,0.9*((G722/2)+((G722-0.11)/PI())))*10</f>
        <v>207.09423574274689</v>
      </c>
      <c r="AC722" s="7">
        <f>0.9*Z722*4220*MAX(0.72*G722,0.9*((G722/2)+((G722-0.11)/PI())))/AA722/1000</f>
        <v>47.081633547905106</v>
      </c>
      <c r="AD722" s="6" t="str">
        <f>+IF(AC722&gt;K722-AB722,"Cumple","No Cumple")</f>
        <v>Cumple</v>
      </c>
      <c r="AE722" s="6"/>
      <c r="AH722" s="3"/>
    </row>
    <row r="723" spans="1:43" x14ac:dyDescent="0.3">
      <c r="A723" s="13"/>
      <c r="B723" s="1">
        <v>13</v>
      </c>
      <c r="C723" s="1">
        <v>117</v>
      </c>
      <c r="D723" s="1">
        <v>0</v>
      </c>
      <c r="E723" s="5">
        <v>1</v>
      </c>
      <c r="F723" s="3">
        <f>F722+E723</f>
        <v>13</v>
      </c>
      <c r="G723" s="5">
        <v>2</v>
      </c>
      <c r="H723" s="3">
        <f>PI()*(G723^2)/4</f>
        <v>3.1415926535897931</v>
      </c>
      <c r="I723" s="4">
        <v>3.1415999999999999E-2</v>
      </c>
      <c r="K723" s="3">
        <v>162.05416781511667</v>
      </c>
      <c r="L723" s="3">
        <v>146.16497000000001</v>
      </c>
      <c r="M723" s="3">
        <v>1102.42698</v>
      </c>
      <c r="N723" s="12">
        <f>I723/H723</f>
        <v>1.0000023384349969E-2</v>
      </c>
      <c r="O723" s="11">
        <f>I723*10000</f>
        <v>314.15999999999997</v>
      </c>
      <c r="P723" s="1">
        <v>10</v>
      </c>
      <c r="Q723" s="15">
        <v>1</v>
      </c>
      <c r="R723" s="3">
        <f>Q723*VLOOKUP(P723,[1]Datos!$A$2:$D$14,2)</f>
        <v>8.19</v>
      </c>
      <c r="S723" s="10">
        <f>ROUNDUP(O723/R723,0)</f>
        <v>39</v>
      </c>
      <c r="T723" s="14">
        <v>41</v>
      </c>
      <c r="U723" s="3">
        <f>ROUNDDOWN(PI()*(G723-0.185)/T723,2)</f>
        <v>0.13</v>
      </c>
      <c r="V723" s="3"/>
      <c r="W723" s="1">
        <v>280</v>
      </c>
      <c r="X723" s="9">
        <v>2</v>
      </c>
      <c r="Y723" s="1">
        <v>4</v>
      </c>
      <c r="Z723" s="3">
        <f>X723*VLOOKUP(Y723,[1]Datos!$A$2:$D$14,2)</f>
        <v>2.58</v>
      </c>
      <c r="AA723" s="8">
        <v>0.3</v>
      </c>
      <c r="AB723" s="7">
        <f>IF(D723=0,0.9,0.5)*0.9*0.53*SQRT(W723)*G723*MAX(0.72*G723,0.9*((G723/2)+((G723-0.11)/PI())))*10</f>
        <v>207.09423574274689</v>
      </c>
      <c r="AC723" s="7">
        <f>0.9*Z723*4220*MAX(0.72*G723,0.9*((G723/2)+((G723-0.11)/PI())))/AA723/1000</f>
        <v>47.081633547905106</v>
      </c>
      <c r="AD723" s="6" t="str">
        <f>+IF(AC723&gt;K723-AB723,"Cumple","No Cumple")</f>
        <v>Cumple</v>
      </c>
      <c r="AE723" s="6"/>
      <c r="AH723" s="3"/>
    </row>
    <row r="724" spans="1:43" x14ac:dyDescent="0.3">
      <c r="A724" s="13"/>
      <c r="B724" s="1">
        <v>14</v>
      </c>
      <c r="C724" s="1">
        <v>119</v>
      </c>
      <c r="D724" s="1">
        <v>0</v>
      </c>
      <c r="E724" s="5">
        <v>1</v>
      </c>
      <c r="F724" s="3">
        <f>F723+E724</f>
        <v>14</v>
      </c>
      <c r="G724" s="5">
        <v>2</v>
      </c>
      <c r="H724" s="3">
        <f>PI()*(G724^2)/4</f>
        <v>3.1415926535897931</v>
      </c>
      <c r="I724" s="4">
        <v>3.1415999999999999E-2</v>
      </c>
      <c r="K724" s="3">
        <v>162.05600898568989</v>
      </c>
      <c r="L724" s="3">
        <v>100.21738000000001</v>
      </c>
      <c r="M724" s="3">
        <v>996.61667999999997</v>
      </c>
      <c r="N724" s="12">
        <f>I724/H724</f>
        <v>1.0000023384349969E-2</v>
      </c>
      <c r="O724" s="11">
        <f>I724*10000</f>
        <v>314.15999999999997</v>
      </c>
      <c r="P724" s="1">
        <v>10</v>
      </c>
      <c r="Q724" s="15">
        <v>1</v>
      </c>
      <c r="R724" s="3">
        <f>Q724*VLOOKUP(P724,[1]Datos!$A$2:$D$14,2)</f>
        <v>8.19</v>
      </c>
      <c r="S724" s="10">
        <f>ROUNDUP(O724/R724,0)</f>
        <v>39</v>
      </c>
      <c r="T724" s="14">
        <v>41</v>
      </c>
      <c r="U724" s="3">
        <f>ROUNDDOWN(PI()*(G724-0.185)/T724,2)</f>
        <v>0.13</v>
      </c>
      <c r="V724" s="3"/>
      <c r="W724" s="1">
        <v>280</v>
      </c>
      <c r="X724" s="9">
        <v>2</v>
      </c>
      <c r="Y724" s="1">
        <v>4</v>
      </c>
      <c r="Z724" s="3">
        <f>X724*VLOOKUP(Y724,[1]Datos!$A$2:$D$14,2)</f>
        <v>2.58</v>
      </c>
      <c r="AA724" s="8">
        <v>0.3</v>
      </c>
      <c r="AB724" s="7">
        <f>IF(D724=0,0.9,0.5)*0.9*0.53*SQRT(W724)*G724*MAX(0.72*G724,0.9*((G724/2)+((G724-0.11)/PI())))*10</f>
        <v>207.09423574274689</v>
      </c>
      <c r="AC724" s="7">
        <f>0.9*Z724*4220*MAX(0.72*G724,0.9*((G724/2)+((G724-0.11)/PI())))/AA724/1000</f>
        <v>47.081633547905106</v>
      </c>
      <c r="AD724" s="6" t="str">
        <f>+IF(AC724&gt;K724-AB724,"Cumple","No Cumple")</f>
        <v>Cumple</v>
      </c>
      <c r="AE724" s="6"/>
      <c r="AH724" s="3"/>
    </row>
    <row r="725" spans="1:43" x14ac:dyDescent="0.3">
      <c r="A725" s="13"/>
      <c r="B725" s="1">
        <v>15</v>
      </c>
      <c r="C725" s="1">
        <v>121</v>
      </c>
      <c r="D725" s="1">
        <v>0</v>
      </c>
      <c r="E725" s="5">
        <v>1</v>
      </c>
      <c r="F725" s="3">
        <f>F724+E725</f>
        <v>15</v>
      </c>
      <c r="G725" s="5">
        <v>2</v>
      </c>
      <c r="H725" s="3">
        <f>PI()*(G725^2)/4</f>
        <v>3.1415926535897931</v>
      </c>
      <c r="I725" s="4">
        <v>3.1415999999999999E-2</v>
      </c>
      <c r="K725" s="3">
        <v>162.05773210658603</v>
      </c>
      <c r="L725" s="3">
        <v>78.338440000000006</v>
      </c>
      <c r="M725" s="3">
        <v>909.46442000000002</v>
      </c>
      <c r="N725" s="12">
        <f>I725/H725</f>
        <v>1.0000023384349969E-2</v>
      </c>
      <c r="O725" s="11">
        <f>I725*10000</f>
        <v>314.15999999999997</v>
      </c>
      <c r="P725" s="1">
        <v>10</v>
      </c>
      <c r="Q725" s="15">
        <v>1</v>
      </c>
      <c r="R725" s="3">
        <f>Q725*VLOOKUP(P725,[1]Datos!$A$2:$D$14,2)</f>
        <v>8.19</v>
      </c>
      <c r="S725" s="10">
        <f>ROUNDUP(O725/R725,0)</f>
        <v>39</v>
      </c>
      <c r="T725" s="14">
        <v>41</v>
      </c>
      <c r="U725" s="3">
        <f>ROUNDDOWN(PI()*(G725-0.185)/T725,2)</f>
        <v>0.13</v>
      </c>
      <c r="V725" s="3"/>
      <c r="W725" s="1">
        <v>280</v>
      </c>
      <c r="X725" s="9">
        <v>2</v>
      </c>
      <c r="Y725" s="1">
        <v>4</v>
      </c>
      <c r="Z725" s="3">
        <f>X725*VLOOKUP(Y725,[1]Datos!$A$2:$D$14,2)</f>
        <v>2.58</v>
      </c>
      <c r="AA725" s="8">
        <v>0.3</v>
      </c>
      <c r="AB725" s="7">
        <f>IF(D725=0,0.9,0.5)*0.9*0.53*SQRT(W725)*G725*MAX(0.72*G725,0.9*((G725/2)+((G725-0.11)/PI())))*10</f>
        <v>207.09423574274689</v>
      </c>
      <c r="AC725" s="7">
        <f>0.9*Z725*4220*MAX(0.72*G725,0.9*((G725/2)+((G725-0.11)/PI())))/AA725/1000</f>
        <v>47.081633547905106</v>
      </c>
      <c r="AD725" s="6" t="str">
        <f>+IF(AC725&gt;K725-AB725,"Cumple","No Cumple")</f>
        <v>Cumple</v>
      </c>
      <c r="AE725" s="6"/>
      <c r="AH725" s="3"/>
    </row>
    <row r="726" spans="1:43" x14ac:dyDescent="0.3">
      <c r="A726" s="13"/>
      <c r="B726" s="1">
        <v>16</v>
      </c>
      <c r="C726" s="1">
        <v>123</v>
      </c>
      <c r="D726" s="1">
        <v>0</v>
      </c>
      <c r="E726" s="5">
        <v>1</v>
      </c>
      <c r="F726" s="3">
        <f>F725+E726</f>
        <v>16</v>
      </c>
      <c r="G726" s="5">
        <v>2</v>
      </c>
      <c r="H726" s="3">
        <f>PI()*(G726^2)/4</f>
        <v>3.1415926535897931</v>
      </c>
      <c r="I726" s="4">
        <v>3.1415999999999999E-2</v>
      </c>
      <c r="K726" s="3">
        <v>162.05957328022924</v>
      </c>
      <c r="L726" s="3">
        <v>107.7975</v>
      </c>
      <c r="M726" s="3">
        <v>898.58866999999998</v>
      </c>
      <c r="N726" s="12">
        <f>I726/H726</f>
        <v>1.0000023384349969E-2</v>
      </c>
      <c r="O726" s="11">
        <f>I726*10000</f>
        <v>314.15999999999997</v>
      </c>
      <c r="P726" s="1">
        <v>10</v>
      </c>
      <c r="Q726" s="1">
        <v>1</v>
      </c>
      <c r="R726" s="3">
        <f>Q726*VLOOKUP(P726,[1]Datos!$A$2:$D$14,2)</f>
        <v>8.19</v>
      </c>
      <c r="S726" s="10">
        <f>ROUNDUP(O726/R726,0)</f>
        <v>39</v>
      </c>
      <c r="T726" s="2">
        <v>41</v>
      </c>
      <c r="U726" s="3">
        <f>ROUNDDOWN(PI()*(G726-0.185)/T726,2)</f>
        <v>0.13</v>
      </c>
      <c r="V726" s="3"/>
      <c r="W726" s="1">
        <v>280</v>
      </c>
      <c r="X726" s="9">
        <v>2</v>
      </c>
      <c r="Y726" s="1">
        <v>4</v>
      </c>
      <c r="Z726" s="3">
        <f>X726*VLOOKUP(Y726,[1]Datos!$A$2:$D$14,2)</f>
        <v>2.58</v>
      </c>
      <c r="AA726" s="8">
        <v>0.3</v>
      </c>
      <c r="AB726" s="7">
        <f>IF(D726=0,0.9,0.5)*0.9*0.53*SQRT(W726)*G726*MAX(0.72*G726,0.9*((G726/2)+((G726-0.11)/PI())))*10</f>
        <v>207.09423574274689</v>
      </c>
      <c r="AC726" s="7">
        <f>0.9*Z726*4220*MAX(0.72*G726,0.9*((G726/2)+((G726-0.11)/PI())))/AA726/1000</f>
        <v>47.081633547905106</v>
      </c>
      <c r="AD726" s="6" t="str">
        <f>+IF(AC726&gt;K726-AB726,"Cumple","No Cumple")</f>
        <v>Cumple</v>
      </c>
      <c r="AE726" s="6"/>
      <c r="AH726" s="3"/>
    </row>
    <row r="727" spans="1:43" x14ac:dyDescent="0.3">
      <c r="A727" s="13"/>
      <c r="B727" s="1">
        <v>17</v>
      </c>
      <c r="C727" s="1">
        <v>125</v>
      </c>
      <c r="D727" s="1">
        <v>0</v>
      </c>
      <c r="E727" s="5">
        <v>1</v>
      </c>
      <c r="F727" s="3">
        <f>F726+E727</f>
        <v>17</v>
      </c>
      <c r="G727" s="5">
        <v>2</v>
      </c>
      <c r="H727" s="3">
        <f>PI()*(G727^2)/4</f>
        <v>3.1415926535897931</v>
      </c>
      <c r="I727" s="4">
        <v>3.1415999999999999E-2</v>
      </c>
      <c r="K727" s="3">
        <v>162.06139436602413</v>
      </c>
      <c r="L727" s="3">
        <v>147.53964999999999</v>
      </c>
      <c r="M727" s="3">
        <v>903.79019000000005</v>
      </c>
      <c r="N727" s="12">
        <f>I727/H727</f>
        <v>1.0000023384349969E-2</v>
      </c>
      <c r="O727" s="11">
        <f>I727*10000</f>
        <v>314.15999999999997</v>
      </c>
      <c r="P727" s="1">
        <v>10</v>
      </c>
      <c r="Q727" s="1">
        <v>1</v>
      </c>
      <c r="R727" s="3">
        <f>Q727*VLOOKUP(P727,[1]Datos!$A$2:$D$14,2)</f>
        <v>8.19</v>
      </c>
      <c r="S727" s="10">
        <f>ROUNDUP(O727/R727,0)</f>
        <v>39</v>
      </c>
      <c r="T727" s="2">
        <v>41</v>
      </c>
      <c r="U727" s="3">
        <f>ROUNDDOWN(PI()*(G727-0.185)/T727,2)</f>
        <v>0.13</v>
      </c>
      <c r="V727" s="3"/>
      <c r="W727" s="1">
        <v>280</v>
      </c>
      <c r="X727" s="9">
        <v>2</v>
      </c>
      <c r="Y727" s="1">
        <v>4</v>
      </c>
      <c r="Z727" s="3">
        <f>X727*VLOOKUP(Y727,[1]Datos!$A$2:$D$14,2)</f>
        <v>2.58</v>
      </c>
      <c r="AA727" s="8">
        <v>0.3</v>
      </c>
      <c r="AB727" s="7">
        <f>IF(D727=0,0.9,0.5)*0.9*0.53*SQRT(W727)*G727*MAX(0.72*G727,0.9*((G727/2)+((G727-0.11)/PI())))*10</f>
        <v>207.09423574274689</v>
      </c>
      <c r="AC727" s="7">
        <f>0.9*Z727*4220*MAX(0.72*G727,0.9*((G727/2)+((G727-0.11)/PI())))/AA727/1000</f>
        <v>47.081633547905106</v>
      </c>
      <c r="AD727" s="6" t="str">
        <f>+IF(AC727&gt;K727-AB727,"Cumple","No Cumple")</f>
        <v>Cumple</v>
      </c>
      <c r="AE727" s="6"/>
      <c r="AH727" s="3"/>
    </row>
    <row r="728" spans="1:43" x14ac:dyDescent="0.3">
      <c r="A728" s="13"/>
      <c r="B728" s="1">
        <v>18</v>
      </c>
      <c r="C728" s="1">
        <v>127</v>
      </c>
      <c r="D728" s="1">
        <v>0</v>
      </c>
      <c r="E728" s="5">
        <v>1</v>
      </c>
      <c r="F728" s="3">
        <f>F727+E728</f>
        <v>18</v>
      </c>
      <c r="G728" s="5">
        <v>2</v>
      </c>
      <c r="H728" s="3">
        <f>PI()*(G728^2)/4</f>
        <v>3.1415926535897931</v>
      </c>
      <c r="I728" s="4">
        <v>3.1415999999999999E-2</v>
      </c>
      <c r="K728" s="3">
        <v>162.06321545387775</v>
      </c>
      <c r="L728" s="3">
        <v>187.64842999999999</v>
      </c>
      <c r="M728" s="3">
        <v>968.86950999999999</v>
      </c>
      <c r="N728" s="12">
        <f>I728/H728</f>
        <v>1.0000023384349969E-2</v>
      </c>
      <c r="O728" s="11">
        <f>I728*10000</f>
        <v>314.15999999999997</v>
      </c>
      <c r="P728" s="1">
        <v>10</v>
      </c>
      <c r="Q728" s="1">
        <v>1</v>
      </c>
      <c r="R728" s="3">
        <f>Q728*VLOOKUP(P728,[1]Datos!$A$2:$D$14,2)</f>
        <v>8.19</v>
      </c>
      <c r="S728" s="10">
        <f>ROUNDUP(O728/R728,0)</f>
        <v>39</v>
      </c>
      <c r="T728" s="2">
        <v>41</v>
      </c>
      <c r="U728" s="3">
        <f>ROUNDDOWN(PI()*(G728-0.185)/T728,2)</f>
        <v>0.13</v>
      </c>
      <c r="V728" s="3"/>
      <c r="W728" s="1">
        <v>280</v>
      </c>
      <c r="X728" s="9">
        <v>2</v>
      </c>
      <c r="Y728" s="1">
        <v>6</v>
      </c>
      <c r="Z728" s="3">
        <f>X728*VLOOKUP(Y728,[1]Datos!$A$2:$D$14,2)</f>
        <v>5.68</v>
      </c>
      <c r="AA728" s="8">
        <v>7.4999999999999997E-2</v>
      </c>
      <c r="AB728" s="7">
        <f>IF(D728=0,0.9,0.5)*0.9*0.53*SQRT(W728)*G728*MAX(0.72*G728,0.9*((G728/2)+((G728-0.11)/PI())))*10</f>
        <v>207.09423574274689</v>
      </c>
      <c r="AC728" s="7">
        <f>0.9*Z728*4220*MAX(0.72*G728,0.9*((G728/2)+((G728-0.11)/PI())))/AA728/1000</f>
        <v>414.61035434434268</v>
      </c>
      <c r="AD728" s="6" t="str">
        <f>+IF(AC728&gt;K728-AB728,"Cumple","No Cumple")</f>
        <v>Cumple</v>
      </c>
      <c r="AE728" s="6"/>
      <c r="AF728" s="5">
        <v>21</v>
      </c>
      <c r="AG728" s="7">
        <f>ROUNDUP(MAX(0.45,G728,AF728/6),0)</f>
        <v>4</v>
      </c>
      <c r="AH728" s="3">
        <f>PI()*(G728-0.15)^2/4</f>
        <v>2.6880252142277672</v>
      </c>
      <c r="AI728" s="7">
        <f>G728-0.15-VLOOKUP(Y728,[1]Datos!$A$2:$D$14,3)/100</f>
        <v>1.8309000000000002</v>
      </c>
      <c r="AJ728" s="7">
        <f>SQRT((PI()*AI728)^2+AA728^2)</f>
        <v>5.7524309339691264</v>
      </c>
      <c r="AK728" s="1">
        <v>0.12</v>
      </c>
      <c r="AL728" s="16">
        <f>MAX(0.45*(H728/AH728-1),AK728)*(W728/4220)</f>
        <v>7.9620853080568724E-3</v>
      </c>
      <c r="AM728" s="7">
        <f>AG728*(AJ728/AA728)</f>
        <v>306.79631647835345</v>
      </c>
      <c r="AN728" s="17">
        <f>AM728*Z728/X728/10000</f>
        <v>8.7130153879852373E-2</v>
      </c>
      <c r="AO728" s="17">
        <f>AH728*AG728</f>
        <v>10.752100856911069</v>
      </c>
      <c r="AP728" s="16">
        <f>AN728/AO728</f>
        <v>8.1035469290495175E-3</v>
      </c>
      <c r="AQ728" s="6" t="str">
        <f>+IF(AP728&gt;AL728,"Cumple","No Cumple")</f>
        <v>Cumple</v>
      </c>
    </row>
    <row r="729" spans="1:43" x14ac:dyDescent="0.3">
      <c r="A729" s="13"/>
      <c r="B729" s="1">
        <v>19</v>
      </c>
      <c r="C729" s="1">
        <v>129</v>
      </c>
      <c r="D729" s="1">
        <v>0</v>
      </c>
      <c r="E729" s="5">
        <v>1</v>
      </c>
      <c r="F729" s="3">
        <f>F728+E729</f>
        <v>19</v>
      </c>
      <c r="G729" s="5">
        <v>2</v>
      </c>
      <c r="H729" s="3">
        <f>PI()*(G729^2)/4</f>
        <v>3.1415926535897931</v>
      </c>
      <c r="I729" s="4">
        <v>3.1415999999999999E-2</v>
      </c>
      <c r="K729" s="3">
        <v>162.06505663235984</v>
      </c>
      <c r="L729" s="3">
        <v>231.63927000000001</v>
      </c>
      <c r="M729" s="3">
        <v>1034.2710400000001</v>
      </c>
      <c r="N729" s="12">
        <f>I729/H729</f>
        <v>1.0000023384349969E-2</v>
      </c>
      <c r="O729" s="11">
        <f>I729*10000</f>
        <v>314.15999999999997</v>
      </c>
      <c r="P729" s="1">
        <v>10</v>
      </c>
      <c r="Q729" s="1">
        <v>1</v>
      </c>
      <c r="R729" s="3">
        <f>Q729*VLOOKUP(P729,[1]Datos!$A$2:$D$14,2)</f>
        <v>8.19</v>
      </c>
      <c r="S729" s="10">
        <f>ROUNDUP(O729/R729,0)</f>
        <v>39</v>
      </c>
      <c r="T729" s="2">
        <v>41</v>
      </c>
      <c r="U729" s="3">
        <f>ROUNDDOWN(PI()*(G729-0.185)/T729,2)</f>
        <v>0.13</v>
      </c>
      <c r="V729" s="3"/>
      <c r="W729" s="1">
        <v>280</v>
      </c>
      <c r="X729" s="9">
        <v>2</v>
      </c>
      <c r="Y729" s="1">
        <v>6</v>
      </c>
      <c r="Z729" s="3">
        <f>X729*VLOOKUP(Y729,[1]Datos!$A$2:$D$14,2)</f>
        <v>5.68</v>
      </c>
      <c r="AA729" s="8">
        <v>7.4999999999999997E-2</v>
      </c>
      <c r="AB729" s="7">
        <f>IF(D729=0,0.9,0.5)*0.9*0.53*SQRT(W729)*G729*MAX(0.72*G729,0.9*((G729/2)+((G729-0.11)/PI())))*10</f>
        <v>207.09423574274689</v>
      </c>
      <c r="AC729" s="7">
        <f>0.9*Z729*4220*MAX(0.72*G729,0.9*((G729/2)+((G729-0.11)/PI())))/AA729/1000</f>
        <v>414.61035434434268</v>
      </c>
      <c r="AD729" s="6" t="str">
        <f>+IF(AC729&gt;K729-AB729,"Cumple","No Cumple")</f>
        <v>Cumple</v>
      </c>
      <c r="AE729" s="6"/>
      <c r="AF729" s="5">
        <v>21</v>
      </c>
      <c r="AG729" s="7">
        <f>ROUNDUP(MAX(0.45,G729,AF729/6),0)</f>
        <v>4</v>
      </c>
      <c r="AH729" s="3">
        <f>PI()*(G729-0.15)^2/4</f>
        <v>2.6880252142277672</v>
      </c>
      <c r="AI729" s="7">
        <f>G729-0.15-VLOOKUP(Y729,[1]Datos!$A$2:$D$14,3)/100</f>
        <v>1.8309000000000002</v>
      </c>
      <c r="AJ729" s="7">
        <f>SQRT((PI()*AI729)^2+AA729^2)</f>
        <v>5.7524309339691264</v>
      </c>
      <c r="AK729" s="1">
        <v>0.12</v>
      </c>
      <c r="AL729" s="16">
        <f>MAX(0.45*(H729/AH729-1),AK729)*(W729/4220)</f>
        <v>7.9620853080568724E-3</v>
      </c>
      <c r="AM729" s="7">
        <f>AG729*(AJ729/AA729)</f>
        <v>306.79631647835345</v>
      </c>
      <c r="AN729" s="17">
        <f>AM729*Z729/X729/10000</f>
        <v>8.7130153879852373E-2</v>
      </c>
      <c r="AO729" s="17">
        <f>AH729*AG729</f>
        <v>10.752100856911069</v>
      </c>
      <c r="AP729" s="16">
        <f>AN729/AO729</f>
        <v>8.1035469290495175E-3</v>
      </c>
      <c r="AQ729" s="6" t="str">
        <f>+IF(AP729&gt;AL729,"Cumple","No Cumple")</f>
        <v>Cumple</v>
      </c>
    </row>
    <row r="730" spans="1:43" x14ac:dyDescent="0.3">
      <c r="A730" s="13"/>
      <c r="B730" s="1">
        <v>20</v>
      </c>
      <c r="C730" s="1">
        <v>131</v>
      </c>
      <c r="D730" s="1">
        <v>0</v>
      </c>
      <c r="E730" s="5">
        <v>1</v>
      </c>
      <c r="F730" s="3">
        <f>F729+E730</f>
        <v>20</v>
      </c>
      <c r="G730" s="5">
        <v>2</v>
      </c>
      <c r="H730" s="3">
        <f>PI()*(G730^2)/4</f>
        <v>3.1415926535897931</v>
      </c>
      <c r="I730" s="4">
        <v>3.1415999999999999E-2</v>
      </c>
      <c r="K730" s="3">
        <v>162.06687772398161</v>
      </c>
      <c r="L730" s="3">
        <v>275.66431999999998</v>
      </c>
      <c r="M730" s="3">
        <v>1099.88319</v>
      </c>
      <c r="N730" s="12">
        <f>I730/H730</f>
        <v>1.0000023384349969E-2</v>
      </c>
      <c r="O730" s="11">
        <f>I730*10000</f>
        <v>314.15999999999997</v>
      </c>
      <c r="P730" s="1">
        <v>10</v>
      </c>
      <c r="Q730" s="1">
        <v>1</v>
      </c>
      <c r="R730" s="3">
        <f>Q730*VLOOKUP(P730,[1]Datos!$A$2:$D$14,2)</f>
        <v>8.19</v>
      </c>
      <c r="S730" s="10">
        <f>ROUNDUP(O730/R730,0)</f>
        <v>39</v>
      </c>
      <c r="T730" s="2">
        <v>41</v>
      </c>
      <c r="U730" s="3">
        <f>ROUNDDOWN(PI()*(G730-0.185)/T730,2)</f>
        <v>0.13</v>
      </c>
      <c r="V730" s="3"/>
      <c r="W730" s="1">
        <v>280</v>
      </c>
      <c r="X730" s="9">
        <v>2</v>
      </c>
      <c r="Y730" s="1">
        <v>6</v>
      </c>
      <c r="Z730" s="3">
        <f>X730*VLOOKUP(Y730,[1]Datos!$A$2:$D$14,2)</f>
        <v>5.68</v>
      </c>
      <c r="AA730" s="8">
        <v>7.4999999999999997E-2</v>
      </c>
      <c r="AB730" s="7">
        <f>IF(D730=0,0.9,0.5)*0.9*0.53*SQRT(W730)*G730*MAX(0.72*G730,0.9*((G730/2)+((G730-0.11)/PI())))*10</f>
        <v>207.09423574274689</v>
      </c>
      <c r="AC730" s="7">
        <f>0.9*Z730*4220*MAX(0.72*G730,0.9*((G730/2)+((G730-0.11)/PI())))/AA730/1000</f>
        <v>414.61035434434268</v>
      </c>
      <c r="AD730" s="6" t="str">
        <f>+IF(AC730&gt;K730-AB730,"Cumple","No Cumple")</f>
        <v>Cumple</v>
      </c>
      <c r="AE730" s="6"/>
      <c r="AF730" s="5">
        <v>21</v>
      </c>
      <c r="AG730" s="7">
        <f>ROUNDUP(MAX(0.45,G730,AF730/6),0)</f>
        <v>4</v>
      </c>
      <c r="AH730" s="3">
        <f>PI()*(G730-0.15)^2/4</f>
        <v>2.6880252142277672</v>
      </c>
      <c r="AI730" s="7">
        <f>G730-0.15-VLOOKUP(Y730,[1]Datos!$A$2:$D$14,3)/100</f>
        <v>1.8309000000000002</v>
      </c>
      <c r="AJ730" s="7">
        <f>SQRT((PI()*AI730)^2+AA730^2)</f>
        <v>5.7524309339691264</v>
      </c>
      <c r="AK730" s="1">
        <v>0.12</v>
      </c>
      <c r="AL730" s="16">
        <f>MAX(0.45*(H730/AH730-1),AK730)*(W730/4220)</f>
        <v>7.9620853080568724E-3</v>
      </c>
      <c r="AM730" s="7">
        <f>AG730*(AJ730/AA730)</f>
        <v>306.79631647835345</v>
      </c>
      <c r="AN730" s="17">
        <f>AM730*Z730/X730/10000</f>
        <v>8.7130153879852373E-2</v>
      </c>
      <c r="AO730" s="17">
        <f>AH730*AG730</f>
        <v>10.752100856911069</v>
      </c>
      <c r="AP730" s="16">
        <f>AN730/AO730</f>
        <v>8.1035469290495175E-3</v>
      </c>
      <c r="AQ730" s="6" t="str">
        <f>+IF(AP730&gt;AL730,"Cumple","No Cumple")</f>
        <v>Cumple</v>
      </c>
    </row>
    <row r="731" spans="1:43" x14ac:dyDescent="0.3">
      <c r="A731" s="13"/>
      <c r="B731" s="1">
        <v>21</v>
      </c>
      <c r="C731" s="1">
        <v>133</v>
      </c>
      <c r="D731" s="1">
        <v>0</v>
      </c>
      <c r="E731" s="5">
        <v>1</v>
      </c>
      <c r="F731" s="3">
        <f>F730+E731</f>
        <v>21</v>
      </c>
      <c r="G731" s="5">
        <v>2</v>
      </c>
      <c r="H731" s="3">
        <f>PI()*(G731^2)/4</f>
        <v>3.1415926535897931</v>
      </c>
      <c r="I731" s="4">
        <v>3.2760999999999998E-2</v>
      </c>
      <c r="K731" s="3">
        <v>162.06881686718762</v>
      </c>
      <c r="L731" s="3">
        <v>319.68750999999997</v>
      </c>
      <c r="M731" s="3">
        <v>1165.61502</v>
      </c>
      <c r="N731" s="12">
        <f>I731/H731</f>
        <v>1.0428150181267167E-2</v>
      </c>
      <c r="O731" s="11">
        <f>I731*10000</f>
        <v>327.60999999999996</v>
      </c>
      <c r="P731" s="1">
        <v>10</v>
      </c>
      <c r="Q731" s="1">
        <v>1</v>
      </c>
      <c r="R731" s="3">
        <f>Q731*VLOOKUP(P731,[1]Datos!$A$2:$D$14,2)</f>
        <v>8.19</v>
      </c>
      <c r="S731" s="10">
        <f>ROUNDUP(O731/R731,0)</f>
        <v>41</v>
      </c>
      <c r="T731" s="2">
        <v>41</v>
      </c>
      <c r="U731" s="3">
        <f>ROUNDDOWN(PI()*(G731-0.185)/T731,2)</f>
        <v>0.13</v>
      </c>
      <c r="V731" s="3"/>
      <c r="W731" s="1">
        <v>280</v>
      </c>
      <c r="X731" s="9">
        <v>2</v>
      </c>
      <c r="Y731" s="1">
        <v>6</v>
      </c>
      <c r="Z731" s="3">
        <f>X731*VLOOKUP(Y731,[1]Datos!$A$2:$D$14,2)</f>
        <v>5.68</v>
      </c>
      <c r="AA731" s="8">
        <v>7.4999999999999997E-2</v>
      </c>
      <c r="AB731" s="7">
        <f>IF(D731=0,0.9,0.5)*0.9*0.53*SQRT(W731)*G731*MAX(0.72*G731,0.9*((G731/2)+((G731-0.11)/PI())))*10</f>
        <v>207.09423574274689</v>
      </c>
      <c r="AC731" s="7">
        <f>0.9*Z731*4220*MAX(0.72*G731,0.9*((G731/2)+((G731-0.11)/PI())))/AA731/1000</f>
        <v>414.61035434434268</v>
      </c>
      <c r="AD731" s="6" t="str">
        <f>+IF(AC731&gt;K731-AB731,"Cumple","No Cumple")</f>
        <v>Cumple</v>
      </c>
      <c r="AE731" s="6"/>
      <c r="AF731" s="5">
        <v>21</v>
      </c>
      <c r="AG731" s="7">
        <f>ROUNDUP(MAX(0.45,G731,AF731/6),0)</f>
        <v>4</v>
      </c>
      <c r="AH731" s="3">
        <f>PI()*(G731-0.15)^2/4</f>
        <v>2.6880252142277672</v>
      </c>
      <c r="AI731" s="7">
        <f>G731-0.15-VLOOKUP(Y731,[1]Datos!$A$2:$D$14,3)/100</f>
        <v>1.8309000000000002</v>
      </c>
      <c r="AJ731" s="7">
        <f>SQRT((PI()*AI731)^2+AA731^2)</f>
        <v>5.7524309339691264</v>
      </c>
      <c r="AK731" s="1">
        <v>0.12</v>
      </c>
      <c r="AL731" s="16">
        <f>MAX(0.45*(H731/AH731-1),AK731)*(W731/4220)</f>
        <v>7.9620853080568724E-3</v>
      </c>
      <c r="AM731" s="7">
        <f>AG731*(AJ731/AA731)</f>
        <v>306.79631647835345</v>
      </c>
      <c r="AN731" s="17">
        <f>AM731*Z731/X731/10000</f>
        <v>8.7130153879852373E-2</v>
      </c>
      <c r="AO731" s="17">
        <f>AH731*AG731</f>
        <v>10.752100856911069</v>
      </c>
      <c r="AP731" s="16">
        <f>AN731/AO731</f>
        <v>8.1035469290495175E-3</v>
      </c>
      <c r="AQ731" s="6" t="str">
        <f>+IF(AP731&gt;AL731,"Cumple","No Cumple")</f>
        <v>Cumple</v>
      </c>
    </row>
    <row r="732" spans="1:43" x14ac:dyDescent="0.3">
      <c r="A732" s="13"/>
      <c r="B732" s="1">
        <v>22</v>
      </c>
      <c r="C732" s="1">
        <v>333</v>
      </c>
      <c r="D732" s="1">
        <v>1</v>
      </c>
      <c r="E732" s="5">
        <v>1</v>
      </c>
      <c r="F732" s="3">
        <f>F731+E732</f>
        <v>22</v>
      </c>
      <c r="G732" s="5">
        <v>2</v>
      </c>
      <c r="H732" s="3">
        <f>PI()*(G732^2)/4</f>
        <v>3.1415926535897931</v>
      </c>
      <c r="I732" s="4">
        <v>8.3353999999999998E-2</v>
      </c>
      <c r="K732" s="3">
        <v>162.1142611845423</v>
      </c>
      <c r="L732" s="3">
        <v>714.39679000000001</v>
      </c>
      <c r="M732" s="3">
        <v>2206.0409399999999</v>
      </c>
      <c r="N732" s="12">
        <f>I732/H732</f>
        <v>2.6532402252963688E-2</v>
      </c>
      <c r="O732" s="11">
        <f>I732*10000</f>
        <v>833.54</v>
      </c>
      <c r="P732" s="1">
        <v>10</v>
      </c>
      <c r="Q732" s="15">
        <v>2</v>
      </c>
      <c r="R732" s="3">
        <f>Q732*VLOOKUP(P732,[1]Datos!$A$2:$D$14,2)</f>
        <v>16.38</v>
      </c>
      <c r="S732" s="10">
        <f>ROUNDUP(O732/R732,0)</f>
        <v>51</v>
      </c>
      <c r="T732" s="14">
        <v>56</v>
      </c>
      <c r="U732" s="3">
        <f>ROUNDDOWN(PI()*(G732-0.185)/T732,2)</f>
        <v>0.1</v>
      </c>
      <c r="V732" s="3"/>
      <c r="W732" s="1">
        <v>280</v>
      </c>
      <c r="X732" s="9">
        <v>2</v>
      </c>
      <c r="Y732" s="1">
        <v>6</v>
      </c>
      <c r="Z732" s="3">
        <f>X732*VLOOKUP(Y732,[1]Datos!$A$2:$D$14,2)</f>
        <v>5.68</v>
      </c>
      <c r="AA732" s="8">
        <v>7.4999999999999997E-2</v>
      </c>
      <c r="AB732" s="7">
        <f>IF(D732=0,0.9,0.5)*0.9*0.53*SQRT(W732)*G732*MAX(0.72*G732,0.9*((G732/2)+((G732-0.11)/PI())))*10</f>
        <v>115.05235319041492</v>
      </c>
      <c r="AC732" s="7">
        <f>0.9*Z732*4220*MAX(0.72*G732,0.9*((G732/2)+((G732-0.11)/PI())))/AA732/1000</f>
        <v>414.61035434434268</v>
      </c>
      <c r="AD732" s="6" t="str">
        <f>+IF(AC732&gt;K732-AB732,"Cumple","No Cumple")</f>
        <v>Cumple</v>
      </c>
      <c r="AE732" s="6"/>
      <c r="AG732" s="7">
        <f>ROUNDUP(MAX(0.45,3*G732,),0)</f>
        <v>6</v>
      </c>
      <c r="AH732" s="3">
        <f>PI()*(G732-0.15)^2/4</f>
        <v>2.6880252142277672</v>
      </c>
      <c r="AI732" s="7">
        <f>G732-0.15-VLOOKUP(Y732,[1]Datos!$A$2:$D$14,3)/100</f>
        <v>1.8309000000000002</v>
      </c>
      <c r="AJ732" s="7">
        <f>SQRT((PI()*AI732)^2+AA732^2)</f>
        <v>5.7524309339691264</v>
      </c>
      <c r="AK732" s="1">
        <v>0.12</v>
      </c>
      <c r="AL732" s="16">
        <f>MAX(0.45*(H732/AH732-1),AK732)*(W732/4220)</f>
        <v>7.9620853080568724E-3</v>
      </c>
      <c r="AM732" s="7">
        <f>AG732*(AJ732/AA732)</f>
        <v>460.19447471753017</v>
      </c>
      <c r="AN732" s="17">
        <f>AM732*Z732/X732/10000</f>
        <v>0.13069523081977857</v>
      </c>
      <c r="AO732" s="17">
        <f>AH732*AG732</f>
        <v>16.128151285366602</v>
      </c>
      <c r="AP732" s="16">
        <f>AN732/AO732</f>
        <v>8.1035469290495193E-3</v>
      </c>
      <c r="AQ732" s="6" t="str">
        <f>+IF(AP732&gt;AL732,"Cumple","No Cumple")</f>
        <v>Cumple</v>
      </c>
    </row>
    <row r="733" spans="1:43" x14ac:dyDescent="0.3">
      <c r="A733" s="13"/>
      <c r="B733" s="1">
        <v>23</v>
      </c>
      <c r="C733" s="1">
        <v>334</v>
      </c>
      <c r="D733" s="1">
        <v>1</v>
      </c>
      <c r="E733" s="5">
        <v>1</v>
      </c>
      <c r="F733" s="3">
        <f>F732+E733</f>
        <v>23</v>
      </c>
      <c r="G733" s="5">
        <v>2</v>
      </c>
      <c r="H733" s="3">
        <f>PI()*(G733^2)/4</f>
        <v>3.1415926535897931</v>
      </c>
      <c r="I733" s="4">
        <v>8.7243000000000001E-2</v>
      </c>
      <c r="K733" s="3">
        <v>152.7095047614915</v>
      </c>
      <c r="L733" s="3">
        <v>797.48928000000001</v>
      </c>
      <c r="M733" s="3">
        <v>2312.6374700000001</v>
      </c>
      <c r="N733" s="12">
        <f>I733/H733</f>
        <v>2.7770309400332451E-2</v>
      </c>
      <c r="O733" s="11">
        <f>I733*10000</f>
        <v>872.43000000000006</v>
      </c>
      <c r="P733" s="1">
        <v>10</v>
      </c>
      <c r="Q733" s="15">
        <v>2</v>
      </c>
      <c r="R733" s="3">
        <f>Q733*VLOOKUP(P733,[1]Datos!$A$2:$D$14,2)</f>
        <v>16.38</v>
      </c>
      <c r="S733" s="10">
        <f>ROUNDUP(O733/R733,0)</f>
        <v>54</v>
      </c>
      <c r="T733" s="14">
        <v>56</v>
      </c>
      <c r="U733" s="3">
        <f>ROUNDDOWN(PI()*(G733-0.185)/T733,2)</f>
        <v>0.1</v>
      </c>
      <c r="V733" s="3"/>
      <c r="W733" s="1">
        <v>280</v>
      </c>
      <c r="X733" s="9">
        <v>2</v>
      </c>
      <c r="Y733" s="1">
        <v>6</v>
      </c>
      <c r="Z733" s="3">
        <f>X733*VLOOKUP(Y733,[1]Datos!$A$2:$D$14,2)</f>
        <v>5.68</v>
      </c>
      <c r="AA733" s="8">
        <v>7.4999999999999997E-2</v>
      </c>
      <c r="AB733" s="7">
        <f>IF(D733=0,0.9,0.5)*0.9*0.53*SQRT(W733)*G733*MAX(0.72*G733,0.9*((G733/2)+((G733-0.11)/PI())))*10</f>
        <v>115.05235319041492</v>
      </c>
      <c r="AC733" s="7">
        <f>0.9*Z733*4220*MAX(0.72*G733,0.9*((G733/2)+((G733-0.11)/PI())))/AA733/1000</f>
        <v>414.61035434434268</v>
      </c>
      <c r="AD733" s="6" t="str">
        <f>+IF(AC733&gt;K733-AB733,"Cumple","No Cumple")</f>
        <v>Cumple</v>
      </c>
      <c r="AE733" s="6"/>
      <c r="AG733" s="7">
        <f>ROUNDUP(MAX(0.45,3*G733,),0)</f>
        <v>6</v>
      </c>
      <c r="AH733" s="3">
        <f>PI()*(G733-0.15)^2/4</f>
        <v>2.6880252142277672</v>
      </c>
      <c r="AI733" s="7">
        <f>G733-0.15-VLOOKUP(Y733,[1]Datos!$A$2:$D$14,3)/100</f>
        <v>1.8309000000000002</v>
      </c>
      <c r="AJ733" s="7">
        <f>SQRT((PI()*AI733)^2+AA733^2)</f>
        <v>5.7524309339691264</v>
      </c>
      <c r="AK733" s="1">
        <v>0.12</v>
      </c>
      <c r="AL733" s="16">
        <f>MAX(0.45*(H733/AH733-1),AK733)*(W733/4220)</f>
        <v>7.9620853080568724E-3</v>
      </c>
      <c r="AM733" s="7">
        <f>AG733*(AJ733/AA733)</f>
        <v>460.19447471753017</v>
      </c>
      <c r="AN733" s="17">
        <f>AM733*Z733/X733/10000</f>
        <v>0.13069523081977857</v>
      </c>
      <c r="AO733" s="17">
        <f>AH733*AG733</f>
        <v>16.128151285366602</v>
      </c>
      <c r="AP733" s="16">
        <f>AN733/AO733</f>
        <v>8.1035469290495193E-3</v>
      </c>
      <c r="AQ733" s="6" t="str">
        <f>+IF(AP733&gt;AL733,"Cumple","No Cumple")</f>
        <v>Cumple</v>
      </c>
    </row>
    <row r="734" spans="1:43" x14ac:dyDescent="0.3">
      <c r="A734" s="13"/>
      <c r="B734" s="1">
        <v>24</v>
      </c>
      <c r="C734" s="1">
        <v>336</v>
      </c>
      <c r="D734" s="1">
        <v>1</v>
      </c>
      <c r="E734" s="5">
        <v>1</v>
      </c>
      <c r="F734" s="3">
        <f>F733+E734</f>
        <v>24</v>
      </c>
      <c r="G734" s="5">
        <v>2</v>
      </c>
      <c r="H734" s="3">
        <f>PI()*(G734^2)/4</f>
        <v>3.1415926535897931</v>
      </c>
      <c r="I734" s="4">
        <v>9.0287999999999993E-2</v>
      </c>
      <c r="K734" s="3">
        <v>138.05802560785807</v>
      </c>
      <c r="L734" s="3">
        <v>873.83846000000005</v>
      </c>
      <c r="M734" s="3">
        <v>2404.2588700000001</v>
      </c>
      <c r="N734" s="12">
        <f>I734/H734</f>
        <v>2.8739563003762091E-2</v>
      </c>
      <c r="O734" s="11">
        <f>I734*10000</f>
        <v>902.87999999999988</v>
      </c>
      <c r="P734" s="1">
        <v>10</v>
      </c>
      <c r="Q734" s="15">
        <v>2</v>
      </c>
      <c r="R734" s="3">
        <f>Q734*VLOOKUP(P734,[1]Datos!$A$2:$D$14,2)</f>
        <v>16.38</v>
      </c>
      <c r="S734" s="10">
        <f>ROUNDUP(O734/R734,0)</f>
        <v>56</v>
      </c>
      <c r="T734" s="14">
        <v>56</v>
      </c>
      <c r="U734" s="3">
        <f>ROUNDDOWN(PI()*(G734-0.185)/T734,2)</f>
        <v>0.1</v>
      </c>
      <c r="V734" s="3"/>
      <c r="W734" s="1">
        <v>280</v>
      </c>
      <c r="X734" s="9">
        <v>2</v>
      </c>
      <c r="Y734" s="1">
        <v>6</v>
      </c>
      <c r="Z734" s="3">
        <f>X734*VLOOKUP(Y734,[1]Datos!$A$2:$D$14,2)</f>
        <v>5.68</v>
      </c>
      <c r="AA734" s="8">
        <v>7.4999999999999997E-2</v>
      </c>
      <c r="AB734" s="7">
        <f>IF(D734=0,0.9,0.5)*0.9*0.53*SQRT(W734)*G734*MAX(0.72*G734,0.9*((G734/2)+((G734-0.11)/PI())))*10</f>
        <v>115.05235319041492</v>
      </c>
      <c r="AC734" s="7">
        <f>0.9*Z734*4220*MAX(0.72*G734,0.9*((G734/2)+((G734-0.11)/PI())))/AA734/1000</f>
        <v>414.61035434434268</v>
      </c>
      <c r="AD734" s="6" t="str">
        <f>+IF(AC734&gt;K734-AB734,"Cumple","No Cumple")</f>
        <v>Cumple</v>
      </c>
      <c r="AE734" s="6"/>
      <c r="AG734" s="7">
        <f>ROUNDUP(MAX(0.45,3*G734,),0)</f>
        <v>6</v>
      </c>
      <c r="AH734" s="3">
        <f>PI()*(G734-0.15)^2/4</f>
        <v>2.6880252142277672</v>
      </c>
      <c r="AI734" s="7">
        <f>G734-0.15-VLOOKUP(Y734,[1]Datos!$A$2:$D$14,3)/100</f>
        <v>1.8309000000000002</v>
      </c>
      <c r="AJ734" s="7">
        <f>SQRT((PI()*AI734)^2+AA734^2)</f>
        <v>5.7524309339691264</v>
      </c>
      <c r="AK734" s="1">
        <v>0.12</v>
      </c>
      <c r="AL734" s="16">
        <f>MAX(0.45*(H734/AH734-1),AK734)*(W734/4220)</f>
        <v>7.9620853080568724E-3</v>
      </c>
      <c r="AM734" s="7">
        <f>AG734*(AJ734/AA734)</f>
        <v>460.19447471753017</v>
      </c>
      <c r="AN734" s="17">
        <f>AM734*Z734/X734/10000</f>
        <v>0.13069523081977857</v>
      </c>
      <c r="AO734" s="17">
        <f>AH734*AG734</f>
        <v>16.128151285366602</v>
      </c>
      <c r="AP734" s="16">
        <f>AN734/AO734</f>
        <v>8.1035469290495193E-3</v>
      </c>
      <c r="AQ734" s="6" t="str">
        <f>+IF(AP734&gt;AL734,"Cumple","No Cumple")</f>
        <v>Cumple</v>
      </c>
    </row>
    <row r="735" spans="1:43" x14ac:dyDescent="0.3">
      <c r="A735" s="13"/>
      <c r="B735" s="1">
        <v>25</v>
      </c>
      <c r="C735" s="1">
        <v>338</v>
      </c>
      <c r="D735" s="1">
        <v>1</v>
      </c>
      <c r="E735" s="5">
        <v>1</v>
      </c>
      <c r="F735" s="3">
        <f>F734+E735</f>
        <v>25</v>
      </c>
      <c r="G735" s="5">
        <v>2</v>
      </c>
      <c r="H735" s="3">
        <f>PI()*(G735^2)/4</f>
        <v>3.1415926535897931</v>
      </c>
      <c r="I735" s="4">
        <v>9.0393000000000001E-2</v>
      </c>
      <c r="K735" s="3">
        <v>72.728403342985615</v>
      </c>
      <c r="L735" s="3">
        <v>911.42434000000003</v>
      </c>
      <c r="M735" s="3">
        <v>2409.9041000000002</v>
      </c>
      <c r="N735" s="12">
        <f>I735/H735</f>
        <v>2.8772985541811392E-2</v>
      </c>
      <c r="O735" s="11">
        <f>I735*10000</f>
        <v>903.93000000000006</v>
      </c>
      <c r="P735" s="1">
        <v>10</v>
      </c>
      <c r="Q735" s="1">
        <v>2</v>
      </c>
      <c r="R735" s="3">
        <f>Q735*VLOOKUP(P735,[1]Datos!$A$2:$D$14,2)</f>
        <v>16.38</v>
      </c>
      <c r="S735" s="10">
        <f>ROUNDUP(O735/R735,0)</f>
        <v>56</v>
      </c>
      <c r="T735" s="2">
        <v>56</v>
      </c>
      <c r="U735" s="3">
        <f>ROUNDDOWN(PI()*(G735-0.185)/T735,2)</f>
        <v>0.1</v>
      </c>
      <c r="V735" s="3"/>
      <c r="W735" s="1">
        <v>280</v>
      </c>
      <c r="X735" s="9">
        <v>2</v>
      </c>
      <c r="Y735" s="1">
        <v>6</v>
      </c>
      <c r="Z735" s="3">
        <f>X735*VLOOKUP(Y735,[1]Datos!$A$2:$D$14,2)</f>
        <v>5.68</v>
      </c>
      <c r="AA735" s="8">
        <v>7.4999999999999997E-2</v>
      </c>
      <c r="AB735" s="7">
        <f>IF(D735=0,0.9,0.5)*0.9*0.53*SQRT(W735)*G735*MAX(0.72*G735,0.9*((G735/2)+((G735-0.11)/PI())))*10</f>
        <v>115.05235319041492</v>
      </c>
      <c r="AC735" s="7">
        <f>0.9*Z735*4220*MAX(0.72*G735,0.9*((G735/2)+((G735-0.11)/PI())))/AA735/1000</f>
        <v>414.61035434434268</v>
      </c>
      <c r="AD735" s="6" t="str">
        <f>+IF(AC735&gt;K735-AB735,"Cumple","No Cumple")</f>
        <v>Cumple</v>
      </c>
      <c r="AE735" s="6"/>
      <c r="AG735" s="7">
        <f>ROUNDUP(MAX(0.45,3*G735,),0)</f>
        <v>6</v>
      </c>
      <c r="AH735" s="3">
        <f>PI()*(G735-0.15)^2/4</f>
        <v>2.6880252142277672</v>
      </c>
      <c r="AI735" s="7">
        <f>G735-0.15-VLOOKUP(Y735,[1]Datos!$A$2:$D$14,3)/100</f>
        <v>1.8309000000000002</v>
      </c>
      <c r="AJ735" s="7">
        <f>SQRT((PI()*AI735)^2+AA735^2)</f>
        <v>5.7524309339691264</v>
      </c>
      <c r="AK735" s="1">
        <v>0.12</v>
      </c>
      <c r="AL735" s="16">
        <f>MAX(0.45*(H735/AH735-1),AK735)*(W735/4220)</f>
        <v>7.9620853080568724E-3</v>
      </c>
      <c r="AM735" s="7">
        <f>AG735*(AJ735/AA735)</f>
        <v>460.19447471753017</v>
      </c>
      <c r="AN735" s="17">
        <f>AM735*Z735/X735/10000</f>
        <v>0.13069523081977857</v>
      </c>
      <c r="AO735" s="17">
        <f>AH735*AG735</f>
        <v>16.128151285366602</v>
      </c>
      <c r="AP735" s="16">
        <f>AN735/AO735</f>
        <v>8.1035469290495193E-3</v>
      </c>
      <c r="AQ735" s="6" t="str">
        <f>+IF(AP735&gt;AL735,"Cumple","No Cumple")</f>
        <v>Cumple</v>
      </c>
    </row>
    <row r="736" spans="1:43" x14ac:dyDescent="0.3">
      <c r="A736" s="13"/>
      <c r="B736" s="1">
        <v>26</v>
      </c>
      <c r="C736" s="1">
        <v>340</v>
      </c>
      <c r="D736" s="1">
        <v>1</v>
      </c>
      <c r="E736" s="5">
        <v>1</v>
      </c>
      <c r="F736" s="3">
        <f>F735+E736</f>
        <v>26</v>
      </c>
      <c r="G736" s="5">
        <v>2</v>
      </c>
      <c r="H736" s="3">
        <f>PI()*(G736^2)/4</f>
        <v>3.1415926535897931</v>
      </c>
      <c r="I736" s="4">
        <v>9.0393000000000001E-2</v>
      </c>
      <c r="K736" s="3">
        <v>97.147573936254318</v>
      </c>
      <c r="L736" s="3">
        <v>911.42434000000003</v>
      </c>
      <c r="M736" s="3">
        <v>2409.9041099999999</v>
      </c>
      <c r="N736" s="12">
        <f>I736/H736</f>
        <v>2.8772985541811392E-2</v>
      </c>
      <c r="O736" s="11">
        <f>I736*10000</f>
        <v>903.93000000000006</v>
      </c>
      <c r="P736" s="1">
        <v>10</v>
      </c>
      <c r="Q736" s="1">
        <v>2</v>
      </c>
      <c r="R736" s="3">
        <f>Q736*VLOOKUP(P736,[1]Datos!$A$2:$D$14,2)</f>
        <v>16.38</v>
      </c>
      <c r="S736" s="10">
        <f>ROUNDUP(O736/R736,0)</f>
        <v>56</v>
      </c>
      <c r="T736" s="2">
        <v>56</v>
      </c>
      <c r="U736" s="3">
        <f>ROUNDDOWN(PI()*(G736-0.185)/T736,2)</f>
        <v>0.1</v>
      </c>
      <c r="V736" s="3"/>
      <c r="W736" s="1">
        <v>280</v>
      </c>
      <c r="X736" s="9">
        <v>2</v>
      </c>
      <c r="Y736" s="1">
        <v>6</v>
      </c>
      <c r="Z736" s="3">
        <f>X736*VLOOKUP(Y736,[1]Datos!$A$2:$D$14,2)</f>
        <v>5.68</v>
      </c>
      <c r="AA736" s="8">
        <v>7.4999999999999997E-2</v>
      </c>
      <c r="AB736" s="7">
        <f>IF(D736=0,0.9,0.5)*0.9*0.53*SQRT(W736)*G736*MAX(0.72*G736,0.9*((G736/2)+((G736-0.11)/PI())))*10</f>
        <v>115.05235319041492</v>
      </c>
      <c r="AC736" s="7">
        <f>0.9*Z736*4220*MAX(0.72*G736,0.9*((G736/2)+((G736-0.11)/PI())))/AA736/1000</f>
        <v>414.61035434434268</v>
      </c>
      <c r="AD736" s="6" t="str">
        <f>+IF(AC736&gt;K736-AB736,"Cumple","No Cumple")</f>
        <v>Cumple</v>
      </c>
      <c r="AE736" s="6"/>
      <c r="AG736" s="7">
        <f>ROUNDUP(MAX(0.45,3*G736,),0)</f>
        <v>6</v>
      </c>
      <c r="AH736" s="3">
        <f>PI()*(G736-0.15)^2/4</f>
        <v>2.6880252142277672</v>
      </c>
      <c r="AI736" s="7">
        <f>G736-0.15-VLOOKUP(Y736,[1]Datos!$A$2:$D$14,3)/100</f>
        <v>1.8309000000000002</v>
      </c>
      <c r="AJ736" s="7">
        <f>SQRT((PI()*AI736)^2+AA736^2)</f>
        <v>5.7524309339691264</v>
      </c>
      <c r="AK736" s="1">
        <v>0.12</v>
      </c>
      <c r="AL736" s="16">
        <f>MAX(0.45*(H736/AH736-1),AK736)*(W736/4220)</f>
        <v>7.9620853080568724E-3</v>
      </c>
      <c r="AM736" s="7">
        <f>AG736*(AJ736/AA736)</f>
        <v>460.19447471753017</v>
      </c>
      <c r="AN736" s="17">
        <f>AM736*Z736/X736/10000</f>
        <v>0.13069523081977857</v>
      </c>
      <c r="AO736" s="17">
        <f>AH736*AG736</f>
        <v>16.128151285366602</v>
      </c>
      <c r="AP736" s="16">
        <f>AN736/AO736</f>
        <v>8.1035469290495193E-3</v>
      </c>
      <c r="AQ736" s="6" t="str">
        <f>+IF(AP736&gt;AL736,"Cumple","No Cumple")</f>
        <v>Cumple</v>
      </c>
    </row>
    <row r="737" spans="1:43" x14ac:dyDescent="0.3">
      <c r="A737" s="13"/>
      <c r="B737" s="1">
        <v>27</v>
      </c>
      <c r="C737" s="1">
        <v>342</v>
      </c>
      <c r="D737" s="1">
        <v>1</v>
      </c>
      <c r="E737" s="5">
        <v>1</v>
      </c>
      <c r="F737" s="3">
        <f>F736+E737</f>
        <v>27</v>
      </c>
      <c r="G737" s="5">
        <v>2</v>
      </c>
      <c r="H737" s="3">
        <f>PI()*(G737^2)/4</f>
        <v>3.1415926535897931</v>
      </c>
      <c r="I737" s="4">
        <v>8.7635000000000005E-2</v>
      </c>
      <c r="K737" s="3">
        <v>158.24416599954009</v>
      </c>
      <c r="L737" s="3">
        <v>911.37905999999998</v>
      </c>
      <c r="M737" s="3">
        <v>2358.7151199999998</v>
      </c>
      <c r="N737" s="12">
        <f>I737/H737</f>
        <v>2.7895086875716499E-2</v>
      </c>
      <c r="O737" s="11">
        <f>I737*10000</f>
        <v>876.35</v>
      </c>
      <c r="P737" s="1">
        <v>10</v>
      </c>
      <c r="Q737" s="1">
        <v>2</v>
      </c>
      <c r="R737" s="3">
        <f>Q737*VLOOKUP(P737,[1]Datos!$A$2:$D$14,2)</f>
        <v>16.38</v>
      </c>
      <c r="S737" s="10">
        <f>ROUNDUP(O737/R737,0)</f>
        <v>54</v>
      </c>
      <c r="T737" s="2">
        <v>56</v>
      </c>
      <c r="U737" s="3">
        <f>ROUNDDOWN(PI()*(G737-0.185)/T737,2)</f>
        <v>0.1</v>
      </c>
      <c r="V737" s="3"/>
      <c r="W737" s="1">
        <v>280</v>
      </c>
      <c r="X737" s="9">
        <v>2</v>
      </c>
      <c r="Y737" s="1">
        <v>6</v>
      </c>
      <c r="Z737" s="3">
        <f>X737*VLOOKUP(Y737,[1]Datos!$A$2:$D$14,2)</f>
        <v>5.68</v>
      </c>
      <c r="AA737" s="8">
        <v>7.4999999999999997E-2</v>
      </c>
      <c r="AB737" s="7">
        <f>IF(D737=0,0.9,0.5)*0.9*0.53*SQRT(W737)*G737*MAX(0.72*G737,0.9*((G737/2)+((G737-0.11)/PI())))*10</f>
        <v>115.05235319041492</v>
      </c>
      <c r="AC737" s="7">
        <f>0.9*Z737*4220*MAX(0.72*G737,0.9*((G737/2)+((G737-0.11)/PI())))/AA737/1000</f>
        <v>414.61035434434268</v>
      </c>
      <c r="AD737" s="6" t="str">
        <f>+IF(AC737&gt;K737-AB737,"Cumple","No Cumple")</f>
        <v>Cumple</v>
      </c>
      <c r="AE737" s="6"/>
      <c r="AG737" s="7">
        <f>ROUNDUP(MAX(0.45,3*G737,),0)</f>
        <v>6</v>
      </c>
      <c r="AH737" s="3">
        <f>PI()*(G737-0.15)^2/4</f>
        <v>2.6880252142277672</v>
      </c>
      <c r="AI737" s="7">
        <f>G737-0.15-VLOOKUP(Y737,[1]Datos!$A$2:$D$14,3)/100</f>
        <v>1.8309000000000002</v>
      </c>
      <c r="AJ737" s="7">
        <f>SQRT((PI()*AI737)^2+AA737^2)</f>
        <v>5.7524309339691264</v>
      </c>
      <c r="AK737" s="1">
        <v>0.12</v>
      </c>
      <c r="AL737" s="16">
        <f>MAX(0.45*(H737/AH737-1),AK737)*(W737/4220)</f>
        <v>7.9620853080568724E-3</v>
      </c>
      <c r="AM737" s="7">
        <f>AG737*(AJ737/AA737)</f>
        <v>460.19447471753017</v>
      </c>
      <c r="AN737" s="17">
        <f>AM737*Z737/X737/10000</f>
        <v>0.13069523081977857</v>
      </c>
      <c r="AO737" s="17">
        <f>AH737*AG737</f>
        <v>16.128151285366602</v>
      </c>
      <c r="AP737" s="16">
        <f>AN737/AO737</f>
        <v>8.1035469290495193E-3</v>
      </c>
      <c r="AQ737" s="6" t="str">
        <f>+IF(AP737&gt;AL737,"Cumple","No Cumple")</f>
        <v>Cumple</v>
      </c>
    </row>
    <row r="738" spans="1:43" x14ac:dyDescent="0.3">
      <c r="A738" s="13"/>
      <c r="B738" s="1">
        <v>28</v>
      </c>
      <c r="C738" s="1">
        <v>344</v>
      </c>
      <c r="D738" s="1">
        <v>1</v>
      </c>
      <c r="E738" s="5">
        <v>1</v>
      </c>
      <c r="F738" s="3">
        <f>F737+E738</f>
        <v>28</v>
      </c>
      <c r="G738" s="5">
        <v>2</v>
      </c>
      <c r="H738" s="3">
        <f>PI()*(G738^2)/4</f>
        <v>3.1415926535897931</v>
      </c>
      <c r="I738" s="4">
        <v>8.1753000000000006E-2</v>
      </c>
      <c r="K738" s="3">
        <v>215.28683457587462</v>
      </c>
      <c r="L738" s="3">
        <v>876.29184999999995</v>
      </c>
      <c r="M738" s="3">
        <v>2226.6118000000001</v>
      </c>
      <c r="N738" s="12">
        <f>I738/H738</f>
        <v>2.6022788125183442E-2</v>
      </c>
      <c r="O738" s="11">
        <f>I738*10000</f>
        <v>817.53000000000009</v>
      </c>
      <c r="P738" s="1">
        <v>10</v>
      </c>
      <c r="Q738" s="1">
        <v>2</v>
      </c>
      <c r="R738" s="3">
        <f>Q738*VLOOKUP(P738,[1]Datos!$A$2:$D$14,2)</f>
        <v>16.38</v>
      </c>
      <c r="S738" s="10">
        <f>ROUNDUP(O738/R738,0)</f>
        <v>50</v>
      </c>
      <c r="T738" s="2">
        <v>56</v>
      </c>
      <c r="U738" s="3">
        <f>ROUNDDOWN(PI()*(G738-0.185)/T738,2)</f>
        <v>0.1</v>
      </c>
      <c r="V738" s="3"/>
      <c r="W738" s="1">
        <v>280</v>
      </c>
      <c r="X738" s="9">
        <v>2</v>
      </c>
      <c r="Y738" s="1">
        <v>6</v>
      </c>
      <c r="Z738" s="3">
        <f>X738*VLOOKUP(Y738,[1]Datos!$A$2:$D$14,2)</f>
        <v>5.68</v>
      </c>
      <c r="AA738" s="8">
        <v>7.4999999999999997E-2</v>
      </c>
      <c r="AB738" s="7">
        <f>IF(D738=0,0.9,0.5)*0.9*0.53*SQRT(W738)*G738*MAX(0.72*G738,0.9*((G738/2)+((G738-0.11)/PI())))*10</f>
        <v>115.05235319041492</v>
      </c>
      <c r="AC738" s="7">
        <f>0.9*Z738*4220*MAX(0.72*G738,0.9*((G738/2)+((G738-0.11)/PI())))/AA738/1000</f>
        <v>414.61035434434268</v>
      </c>
      <c r="AD738" s="6" t="str">
        <f>+IF(AC738&gt;K738-AB738,"Cumple","No Cumple")</f>
        <v>Cumple</v>
      </c>
      <c r="AE738" s="6"/>
      <c r="AG738" s="7">
        <f>ROUNDUP(MAX(0.45,3*G738,),0)</f>
        <v>6</v>
      </c>
      <c r="AH738" s="3">
        <f>PI()*(G738-0.15)^2/4</f>
        <v>2.6880252142277672</v>
      </c>
      <c r="AI738" s="7">
        <f>G738-0.15-VLOOKUP(Y738,[1]Datos!$A$2:$D$14,3)/100</f>
        <v>1.8309000000000002</v>
      </c>
      <c r="AJ738" s="7">
        <f>SQRT((PI()*AI738)^2+AA738^2)</f>
        <v>5.7524309339691264</v>
      </c>
      <c r="AK738" s="1">
        <v>0.12</v>
      </c>
      <c r="AL738" s="16">
        <f>MAX(0.45*(H738/AH738-1),AK738)*(W738/4220)</f>
        <v>7.9620853080568724E-3</v>
      </c>
      <c r="AM738" s="7">
        <f>AG738*(AJ738/AA738)</f>
        <v>460.19447471753017</v>
      </c>
      <c r="AN738" s="17">
        <f>AM738*Z738/X738/10000</f>
        <v>0.13069523081977857</v>
      </c>
      <c r="AO738" s="17">
        <f>AH738*AG738</f>
        <v>16.128151285366602</v>
      </c>
      <c r="AP738" s="16">
        <f>AN738/AO738</f>
        <v>8.1035469290495193E-3</v>
      </c>
      <c r="AQ738" s="6" t="str">
        <f>+IF(AP738&gt;AL738,"Cumple","No Cumple")</f>
        <v>Cumple</v>
      </c>
    </row>
    <row r="739" spans="1:43" x14ac:dyDescent="0.3">
      <c r="A739" s="13"/>
      <c r="B739" s="1">
        <v>29</v>
      </c>
      <c r="C739" s="1">
        <v>346</v>
      </c>
      <c r="D739" s="1">
        <v>1</v>
      </c>
      <c r="E739" s="5">
        <v>1</v>
      </c>
      <c r="F739" s="3">
        <f>F738+E739</f>
        <v>29</v>
      </c>
      <c r="G739" s="5">
        <v>2</v>
      </c>
      <c r="H739" s="3">
        <f>PI()*(G739^2)/4</f>
        <v>3.1415926535897931</v>
      </c>
      <c r="I739" s="4">
        <v>7.2051000000000004E-2</v>
      </c>
      <c r="K739" s="3">
        <v>253.62812085180934</v>
      </c>
      <c r="L739" s="3">
        <v>811.82583</v>
      </c>
      <c r="M739" s="3">
        <v>2029.98921</v>
      </c>
      <c r="N739" s="12">
        <f>I739/H739</f>
        <v>2.2934545609428304E-2</v>
      </c>
      <c r="O739" s="11">
        <f>I739*10000</f>
        <v>720.51</v>
      </c>
      <c r="P739" s="1">
        <v>10</v>
      </c>
      <c r="Q739" s="1">
        <v>2</v>
      </c>
      <c r="R739" s="3">
        <f>Q739*VLOOKUP(P739,[1]Datos!$A$2:$D$14,2)</f>
        <v>16.38</v>
      </c>
      <c r="S739" s="10">
        <f>ROUNDUP(O739/R739,0)</f>
        <v>44</v>
      </c>
      <c r="T739" s="2">
        <v>56</v>
      </c>
      <c r="U739" s="3">
        <f>ROUNDDOWN(PI()*(G739-0.185)/T739,2)</f>
        <v>0.1</v>
      </c>
      <c r="V739" s="3"/>
      <c r="W739" s="1">
        <v>280</v>
      </c>
      <c r="X739" s="9">
        <v>2</v>
      </c>
      <c r="Y739" s="1">
        <v>6</v>
      </c>
      <c r="Z739" s="3">
        <f>X739*VLOOKUP(Y739,[1]Datos!$A$2:$D$14,2)</f>
        <v>5.68</v>
      </c>
      <c r="AA739" s="8">
        <v>0.15</v>
      </c>
      <c r="AB739" s="7">
        <f>IF(D739=0,0.9,0.5)*0.9*0.53*SQRT(W739)*G739*MAX(0.72*G739,0.9*((G739/2)+((G739-0.11)/PI())))*10</f>
        <v>115.05235319041492</v>
      </c>
      <c r="AC739" s="7">
        <f>0.9*Z739*4220*MAX(0.72*G739,0.9*((G739/2)+((G739-0.11)/PI())))/AA739/1000</f>
        <v>207.30517717217134</v>
      </c>
      <c r="AD739" s="6" t="str">
        <f>+IF(AC739&gt;K739-AB739,"Cumple","No Cumple")</f>
        <v>Cumple</v>
      </c>
      <c r="AE739" s="6"/>
      <c r="AH739" s="3"/>
    </row>
    <row r="740" spans="1:43" x14ac:dyDescent="0.3">
      <c r="A740" s="13"/>
      <c r="B740" s="1">
        <v>30</v>
      </c>
      <c r="C740" s="1">
        <v>348</v>
      </c>
      <c r="D740" s="1">
        <v>1</v>
      </c>
      <c r="E740" s="5">
        <v>1</v>
      </c>
      <c r="F740" s="3">
        <f>F739+E740</f>
        <v>30</v>
      </c>
      <c r="G740" s="5">
        <v>2</v>
      </c>
      <c r="H740" s="3">
        <f>PI()*(G740^2)/4</f>
        <v>3.1415926535897931</v>
      </c>
      <c r="I740" s="4">
        <v>5.7430000000000002E-2</v>
      </c>
      <c r="K740" s="3">
        <v>272.69324830314372</v>
      </c>
      <c r="L740" s="3">
        <v>725.87917000000004</v>
      </c>
      <c r="M740" s="3">
        <v>1788.5369499999999</v>
      </c>
      <c r="N740" s="12">
        <f>I740/H740</f>
        <v>1.82805367635351E-2</v>
      </c>
      <c r="O740" s="11">
        <f>I740*10000</f>
        <v>574.30000000000007</v>
      </c>
      <c r="P740" s="1">
        <v>10</v>
      </c>
      <c r="Q740" s="1">
        <v>2</v>
      </c>
      <c r="R740" s="3">
        <f>Q740*VLOOKUP(P740,[1]Datos!$A$2:$D$14,2)</f>
        <v>16.38</v>
      </c>
      <c r="S740" s="10">
        <f>ROUNDUP(O740/R740,0)</f>
        <v>36</v>
      </c>
      <c r="T740" s="2">
        <v>56</v>
      </c>
      <c r="U740" s="3">
        <f>ROUNDDOWN(PI()*(G740-0.185)/T740,2)</f>
        <v>0.1</v>
      </c>
      <c r="V740" s="3"/>
      <c r="W740" s="1">
        <v>280</v>
      </c>
      <c r="X740" s="9">
        <v>2</v>
      </c>
      <c r="Y740" s="1">
        <v>6</v>
      </c>
      <c r="Z740" s="3">
        <f>X740*VLOOKUP(Y740,[1]Datos!$A$2:$D$14,2)</f>
        <v>5.68</v>
      </c>
      <c r="AA740" s="8">
        <v>0.15</v>
      </c>
      <c r="AB740" s="7">
        <f>IF(D740=0,0.9,0.5)*0.9*0.53*SQRT(W740)*G740*MAX(0.72*G740,0.9*((G740/2)+((G740-0.11)/PI())))*10</f>
        <v>115.05235319041492</v>
      </c>
      <c r="AC740" s="7">
        <f>0.9*Z740*4220*MAX(0.72*G740,0.9*((G740/2)+((G740-0.11)/PI())))/AA740/1000</f>
        <v>207.30517717217134</v>
      </c>
      <c r="AD740" s="6" t="str">
        <f>+IF(AC740&gt;K740-AB740,"Cumple","No Cumple")</f>
        <v>Cumple</v>
      </c>
      <c r="AE740" s="6"/>
      <c r="AH740" s="3"/>
    </row>
    <row r="741" spans="1:43" x14ac:dyDescent="0.3">
      <c r="A741" s="13"/>
      <c r="B741" s="1">
        <v>31</v>
      </c>
      <c r="C741" s="1">
        <v>350</v>
      </c>
      <c r="D741" s="1">
        <v>1</v>
      </c>
      <c r="E741" s="5">
        <v>1</v>
      </c>
      <c r="F741" s="3">
        <f>F740+E741</f>
        <v>31</v>
      </c>
      <c r="G741" s="5">
        <v>2</v>
      </c>
      <c r="H741" s="3">
        <f>PI()*(G741^2)/4</f>
        <v>3.1415926535897931</v>
      </c>
      <c r="I741" s="4">
        <v>4.9903000000000003E-2</v>
      </c>
      <c r="K741" s="3">
        <v>276.8510433556645</v>
      </c>
      <c r="L741" s="3">
        <v>626.73762999999997</v>
      </c>
      <c r="M741" s="3">
        <v>1522.4395199999999</v>
      </c>
      <c r="N741" s="12">
        <f>I741/H741</f>
        <v>1.5884618250229708E-2</v>
      </c>
      <c r="O741" s="11">
        <f>I741*10000</f>
        <v>499.03000000000003</v>
      </c>
      <c r="P741" s="1">
        <v>10</v>
      </c>
      <c r="Q741" s="15">
        <v>2</v>
      </c>
      <c r="R741" s="3">
        <f>Q741*VLOOKUP(P741,[1]Datos!$A$2:$D$14,2)</f>
        <v>16.38</v>
      </c>
      <c r="S741" s="10">
        <f>ROUNDUP(O741/R741,0)</f>
        <v>31</v>
      </c>
      <c r="T741" s="14">
        <v>56</v>
      </c>
      <c r="U741" s="3">
        <f>ROUNDDOWN(PI()*(G741-0.185)/T741,2)</f>
        <v>0.1</v>
      </c>
      <c r="V741" s="3"/>
      <c r="W741" s="1">
        <v>280</v>
      </c>
      <c r="X741" s="9">
        <v>2</v>
      </c>
      <c r="Y741" s="1">
        <v>6</v>
      </c>
      <c r="Z741" s="3">
        <f>X741*VLOOKUP(Y741,[1]Datos!$A$2:$D$14,2)</f>
        <v>5.68</v>
      </c>
      <c r="AA741" s="8">
        <v>0.15</v>
      </c>
      <c r="AB741" s="7">
        <f>IF(D741=0,0.9,0.5)*0.9*0.53*SQRT(W741)*G741*MAX(0.72*G741,0.9*((G741/2)+((G741-0.11)/PI())))*10</f>
        <v>115.05235319041492</v>
      </c>
      <c r="AC741" s="7">
        <f>0.9*Z741*4220*MAX(0.72*G741,0.9*((G741/2)+((G741-0.11)/PI())))/AA741/1000</f>
        <v>207.30517717217134</v>
      </c>
      <c r="AD741" s="6" t="str">
        <f>+IF(AC741&gt;K741-AB741,"Cumple","No Cumple")</f>
        <v>Cumple</v>
      </c>
      <c r="AE741" s="6"/>
      <c r="AH741" s="3"/>
    </row>
    <row r="742" spans="1:43" x14ac:dyDescent="0.3">
      <c r="A742" s="13"/>
      <c r="B742" s="1">
        <v>32</v>
      </c>
      <c r="C742" s="1">
        <v>352</v>
      </c>
      <c r="D742" s="1">
        <v>1</v>
      </c>
      <c r="E742" s="5">
        <v>1</v>
      </c>
      <c r="F742" s="3">
        <f>F741+E742</f>
        <v>32</v>
      </c>
      <c r="G742" s="5">
        <v>2</v>
      </c>
      <c r="H742" s="3">
        <f>PI()*(G742^2)/4</f>
        <v>3.1415926535897931</v>
      </c>
      <c r="I742" s="4">
        <v>3.7489000000000001E-2</v>
      </c>
      <c r="K742" s="3">
        <v>266.3939779266791</v>
      </c>
      <c r="L742" s="3">
        <v>522.24675000000002</v>
      </c>
      <c r="M742" s="3">
        <v>1250.4177400000001</v>
      </c>
      <c r="N742" s="12">
        <f>I742/H742</f>
        <v>1.193311932314413E-2</v>
      </c>
      <c r="O742" s="11">
        <f>I742*10000</f>
        <v>374.89000000000004</v>
      </c>
      <c r="P742" s="1">
        <v>10</v>
      </c>
      <c r="Q742" s="15">
        <v>2</v>
      </c>
      <c r="R742" s="3">
        <f>Q742*VLOOKUP(P742,[1]Datos!$A$2:$D$14,2)</f>
        <v>16.38</v>
      </c>
      <c r="S742" s="10">
        <f>ROUNDUP(O742/R742,0)</f>
        <v>23</v>
      </c>
      <c r="T742" s="14">
        <v>56</v>
      </c>
      <c r="U742" s="3">
        <f>ROUNDDOWN(PI()*(G742-0.185)/T742,2)</f>
        <v>0.1</v>
      </c>
      <c r="V742" s="3"/>
      <c r="W742" s="1">
        <v>280</v>
      </c>
      <c r="X742" s="9">
        <v>2</v>
      </c>
      <c r="Y742" s="1">
        <v>6</v>
      </c>
      <c r="Z742" s="3">
        <f>X742*VLOOKUP(Y742,[1]Datos!$A$2:$D$14,2)</f>
        <v>5.68</v>
      </c>
      <c r="AA742" s="8">
        <v>0.15</v>
      </c>
      <c r="AB742" s="7">
        <f>IF(D742=0,0.9,0.5)*0.9*0.53*SQRT(W742)*G742*MAX(0.72*G742,0.9*((G742/2)+((G742-0.11)/PI())))*10</f>
        <v>115.05235319041492</v>
      </c>
      <c r="AC742" s="7">
        <f>0.9*Z742*4220*MAX(0.72*G742,0.9*((G742/2)+((G742-0.11)/PI())))/AA742/1000</f>
        <v>207.30517717217134</v>
      </c>
      <c r="AD742" s="6" t="str">
        <f>+IF(AC742&gt;K742-AB742,"Cumple","No Cumple")</f>
        <v>Cumple</v>
      </c>
      <c r="AE742" s="6"/>
      <c r="AH742" s="3"/>
    </row>
    <row r="743" spans="1:43" x14ac:dyDescent="0.3">
      <c r="A743" s="13"/>
      <c r="B743" s="1">
        <v>33</v>
      </c>
      <c r="C743" s="1">
        <v>354</v>
      </c>
      <c r="D743" s="1">
        <v>1</v>
      </c>
      <c r="E743" s="5">
        <v>1</v>
      </c>
      <c r="F743" s="3">
        <f>F742+E743</f>
        <v>33</v>
      </c>
      <c r="G743" s="5">
        <v>2</v>
      </c>
      <c r="H743" s="3">
        <f>PI()*(G743^2)/4</f>
        <v>3.1415926535897931</v>
      </c>
      <c r="I743" s="4">
        <v>3.1415999999999999E-2</v>
      </c>
      <c r="K743" s="3">
        <v>243.48110354163009</v>
      </c>
      <c r="L743" s="3">
        <v>419.22906</v>
      </c>
      <c r="M743" s="3">
        <v>988.39580999999998</v>
      </c>
      <c r="N743" s="12">
        <f>I743/H743</f>
        <v>1.0000023384349969E-2</v>
      </c>
      <c r="O743" s="11">
        <f>I743*10000</f>
        <v>314.15999999999997</v>
      </c>
      <c r="P743" s="1">
        <v>10</v>
      </c>
      <c r="Q743" s="15">
        <v>2</v>
      </c>
      <c r="R743" s="3">
        <f>Q743*VLOOKUP(P743,[1]Datos!$A$2:$D$14,2)</f>
        <v>16.38</v>
      </c>
      <c r="S743" s="10">
        <f>ROUNDUP(O743/R743,0)</f>
        <v>20</v>
      </c>
      <c r="T743" s="14">
        <v>56</v>
      </c>
      <c r="U743" s="3">
        <f>ROUNDDOWN(PI()*(G743-0.185)/T743,2)</f>
        <v>0.1</v>
      </c>
      <c r="V743" s="3"/>
      <c r="W743" s="1">
        <v>280</v>
      </c>
      <c r="X743" s="9">
        <v>2</v>
      </c>
      <c r="Y743" s="1">
        <v>6</v>
      </c>
      <c r="Z743" s="3">
        <f>X743*VLOOKUP(Y743,[1]Datos!$A$2:$D$14,2)</f>
        <v>5.68</v>
      </c>
      <c r="AA743" s="8">
        <v>0.15</v>
      </c>
      <c r="AB743" s="7">
        <f>IF(D743=0,0.9,0.5)*0.9*0.53*SQRT(W743)*G743*MAX(0.72*G743,0.9*((G743/2)+((G743-0.11)/PI())))*10</f>
        <v>115.05235319041492</v>
      </c>
      <c r="AC743" s="7">
        <f>0.9*Z743*4220*MAX(0.72*G743,0.9*((G743/2)+((G743-0.11)/PI())))/AA743/1000</f>
        <v>207.30517717217134</v>
      </c>
      <c r="AD743" s="6" t="str">
        <f>+IF(AC743&gt;K743-AB743,"Cumple","No Cumple")</f>
        <v>Cumple</v>
      </c>
      <c r="AE743" s="6"/>
      <c r="AH743" s="3"/>
    </row>
    <row r="744" spans="1:43" x14ac:dyDescent="0.3">
      <c r="A744" s="13"/>
      <c r="B744" s="1">
        <v>34</v>
      </c>
      <c r="C744" s="1">
        <v>356</v>
      </c>
      <c r="D744" s="1">
        <v>1</v>
      </c>
      <c r="E744" s="5">
        <v>1</v>
      </c>
      <c r="F744" s="3">
        <f>F743+E744</f>
        <v>34</v>
      </c>
      <c r="G744" s="5">
        <v>2</v>
      </c>
      <c r="H744" s="3">
        <f>PI()*(G744^2)/4</f>
        <v>3.1415926535897931</v>
      </c>
      <c r="I744" s="4">
        <v>3.1415999999999999E-2</v>
      </c>
      <c r="K744" s="3">
        <v>211.96497349951477</v>
      </c>
      <c r="L744" s="3">
        <v>323.13467000000003</v>
      </c>
      <c r="M744" s="3">
        <v>748.74715000000003</v>
      </c>
      <c r="N744" s="12">
        <f>I744/H744</f>
        <v>1.0000023384349969E-2</v>
      </c>
      <c r="O744" s="11">
        <f>I744*10000</f>
        <v>314.15999999999997</v>
      </c>
      <c r="P744" s="1">
        <v>10</v>
      </c>
      <c r="Q744" s="1">
        <v>1</v>
      </c>
      <c r="R744" s="3">
        <f>Q744*VLOOKUP(P744,[1]Datos!$A$2:$D$14,2)</f>
        <v>8.19</v>
      </c>
      <c r="S744" s="10">
        <f>ROUNDUP(O744/R744,0)</f>
        <v>39</v>
      </c>
      <c r="T744" s="2">
        <v>39</v>
      </c>
      <c r="U744" s="3">
        <f>ROUNDDOWN(PI()*(G744-0.185)/T744,2)</f>
        <v>0.14000000000000001</v>
      </c>
      <c r="V744" s="3"/>
      <c r="W744" s="1">
        <v>280</v>
      </c>
      <c r="X744" s="9">
        <v>2</v>
      </c>
      <c r="Y744" s="1">
        <v>6</v>
      </c>
      <c r="Z744" s="3">
        <f>X744*VLOOKUP(Y744,[1]Datos!$A$2:$D$14,2)</f>
        <v>5.68</v>
      </c>
      <c r="AA744" s="8">
        <v>0.15</v>
      </c>
      <c r="AB744" s="7">
        <f>IF(D744=0,0.9,0.5)*0.9*0.53*SQRT(W744)*G744*MAX(0.72*G744,0.9*((G744/2)+((G744-0.11)/PI())))*10</f>
        <v>115.05235319041492</v>
      </c>
      <c r="AC744" s="7">
        <f>0.9*Z744*4220*MAX(0.72*G744,0.9*((G744/2)+((G744-0.11)/PI())))/AA744/1000</f>
        <v>207.30517717217134</v>
      </c>
      <c r="AD744" s="6" t="str">
        <f>+IF(AC744&gt;K744-AB744,"Cumple","No Cumple")</f>
        <v>Cumple</v>
      </c>
      <c r="AE744" s="6"/>
      <c r="AH744" s="3"/>
    </row>
    <row r="745" spans="1:43" x14ac:dyDescent="0.3">
      <c r="A745" s="13"/>
      <c r="B745" s="1">
        <v>35</v>
      </c>
      <c r="C745" s="1">
        <v>358</v>
      </c>
      <c r="D745" s="1">
        <v>1</v>
      </c>
      <c r="E745" s="5">
        <v>1</v>
      </c>
      <c r="F745" s="3">
        <f>F744+E745</f>
        <v>35</v>
      </c>
      <c r="G745" s="5">
        <v>2</v>
      </c>
      <c r="H745" s="3">
        <f>PI()*(G745^2)/4</f>
        <v>3.1415926535897931</v>
      </c>
      <c r="I745" s="4">
        <v>3.1415999999999999E-2</v>
      </c>
      <c r="K745" s="3">
        <v>175.58056917008216</v>
      </c>
      <c r="L745" s="3">
        <v>237.89500000000001</v>
      </c>
      <c r="M745" s="3">
        <v>540.03241000000003</v>
      </c>
      <c r="N745" s="12">
        <f>I745/H745</f>
        <v>1.0000023384349969E-2</v>
      </c>
      <c r="O745" s="11">
        <f>I745*10000</f>
        <v>314.15999999999997</v>
      </c>
      <c r="P745" s="1">
        <v>10</v>
      </c>
      <c r="Q745" s="1">
        <v>1</v>
      </c>
      <c r="R745" s="3">
        <f>Q745*VLOOKUP(P745,[1]Datos!$A$2:$D$14,2)</f>
        <v>8.19</v>
      </c>
      <c r="S745" s="10">
        <f>ROUNDUP(O745/R745,0)</f>
        <v>39</v>
      </c>
      <c r="T745" s="2">
        <v>39</v>
      </c>
      <c r="U745" s="3">
        <f>ROUNDDOWN(PI()*(G745-0.185)/T745,2)</f>
        <v>0.14000000000000001</v>
      </c>
      <c r="V745" s="3"/>
      <c r="W745" s="1">
        <v>280</v>
      </c>
      <c r="X745" s="9">
        <v>2</v>
      </c>
      <c r="Y745" s="1">
        <v>6</v>
      </c>
      <c r="Z745" s="3">
        <f>X745*VLOOKUP(Y745,[1]Datos!$A$2:$D$14,2)</f>
        <v>5.68</v>
      </c>
      <c r="AA745" s="8">
        <v>0.15</v>
      </c>
      <c r="AB745" s="7">
        <f>IF(D745=0,0.9,0.5)*0.9*0.53*SQRT(W745)*G745*MAX(0.72*G745,0.9*((G745/2)+((G745-0.11)/PI())))*10</f>
        <v>115.05235319041492</v>
      </c>
      <c r="AC745" s="7">
        <f>0.9*Z745*4220*MAX(0.72*G745,0.9*((G745/2)+((G745-0.11)/PI())))/AA745/1000</f>
        <v>207.30517717217134</v>
      </c>
      <c r="AD745" s="6" t="str">
        <f>+IF(AC745&gt;K745-AB745,"Cumple","No Cumple")</f>
        <v>Cumple</v>
      </c>
      <c r="AE745" s="6"/>
      <c r="AH745" s="3"/>
    </row>
    <row r="746" spans="1:43" x14ac:dyDescent="0.3">
      <c r="A746" s="13"/>
      <c r="B746" s="1">
        <v>36</v>
      </c>
      <c r="C746" s="1">
        <v>360</v>
      </c>
      <c r="D746" s="1">
        <v>1</v>
      </c>
      <c r="E746" s="5">
        <v>1</v>
      </c>
      <c r="F746" s="3">
        <f>F745+E746</f>
        <v>36</v>
      </c>
      <c r="G746" s="5">
        <v>2</v>
      </c>
      <c r="H746" s="3">
        <f>PI()*(G746^2)/4</f>
        <v>3.1415926535897931</v>
      </c>
      <c r="I746" s="4">
        <v>3.1415999999999999E-2</v>
      </c>
      <c r="K746" s="3">
        <v>137.68123146039187</v>
      </c>
      <c r="L746" s="3">
        <v>165.93842000000001</v>
      </c>
      <c r="M746" s="3">
        <v>367.11871000000002</v>
      </c>
      <c r="N746" s="12">
        <f>I746/H746</f>
        <v>1.0000023384349969E-2</v>
      </c>
      <c r="O746" s="11">
        <f>I746*10000</f>
        <v>314.15999999999997</v>
      </c>
      <c r="P746" s="1">
        <v>10</v>
      </c>
      <c r="Q746" s="1">
        <v>1</v>
      </c>
      <c r="R746" s="3">
        <f>Q746*VLOOKUP(P746,[1]Datos!$A$2:$D$14,2)</f>
        <v>8.19</v>
      </c>
      <c r="S746" s="10">
        <f>ROUNDUP(O746/R746,0)</f>
        <v>39</v>
      </c>
      <c r="T746" s="2">
        <v>39</v>
      </c>
      <c r="U746" s="3">
        <f>ROUNDDOWN(PI()*(G746-0.185)/T746,2)</f>
        <v>0.14000000000000001</v>
      </c>
      <c r="V746" s="3"/>
      <c r="W746" s="1">
        <v>280</v>
      </c>
      <c r="X746" s="9">
        <v>2</v>
      </c>
      <c r="Y746" s="1">
        <v>4</v>
      </c>
      <c r="Z746" s="3">
        <f>X746*VLOOKUP(Y746,[1]Datos!$A$2:$D$14,2)</f>
        <v>2.58</v>
      </c>
      <c r="AA746" s="8">
        <v>0.3</v>
      </c>
      <c r="AB746" s="7">
        <f>IF(D746=0,0.9,0.5)*0.9*0.53*SQRT(W746)*G746*MAX(0.72*G746,0.9*((G746/2)+((G746-0.11)/PI())))*10</f>
        <v>115.05235319041492</v>
      </c>
      <c r="AC746" s="7">
        <f>0.9*Z746*4220*MAX(0.72*G746,0.9*((G746/2)+((G746-0.11)/PI())))/AA746/1000</f>
        <v>47.081633547905106</v>
      </c>
      <c r="AD746" s="6" t="str">
        <f>+IF(AC746&gt;K746-AB746,"Cumple","No Cumple")</f>
        <v>Cumple</v>
      </c>
      <c r="AE746" s="6"/>
      <c r="AH746" s="3"/>
    </row>
    <row r="747" spans="1:43" x14ac:dyDescent="0.3">
      <c r="A747" s="13"/>
      <c r="B747" s="1">
        <v>37</v>
      </c>
      <c r="C747" s="1">
        <v>362</v>
      </c>
      <c r="D747" s="1">
        <v>1</v>
      </c>
      <c r="E747" s="5">
        <v>1</v>
      </c>
      <c r="F747" s="3">
        <f>F746+E747</f>
        <v>37</v>
      </c>
      <c r="G747" s="5">
        <v>2</v>
      </c>
      <c r="H747" s="3">
        <f>PI()*(G747^2)/4</f>
        <v>3.1415926535897931</v>
      </c>
      <c r="I747" s="4">
        <v>3.1415999999999999E-2</v>
      </c>
      <c r="K747" s="3">
        <v>101.09577859203617</v>
      </c>
      <c r="L747" s="3">
        <v>108.32032</v>
      </c>
      <c r="M747" s="3">
        <v>231.55994999999999</v>
      </c>
      <c r="N747" s="12">
        <f>I747/H747</f>
        <v>1.0000023384349969E-2</v>
      </c>
      <c r="O747" s="11">
        <f>I747*10000</f>
        <v>314.15999999999997</v>
      </c>
      <c r="P747" s="1">
        <v>10</v>
      </c>
      <c r="Q747" s="1">
        <v>1</v>
      </c>
      <c r="R747" s="3">
        <f>Q747*VLOOKUP(P747,[1]Datos!$A$2:$D$14,2)</f>
        <v>8.19</v>
      </c>
      <c r="S747" s="10">
        <f>ROUNDUP(O747/R747,0)</f>
        <v>39</v>
      </c>
      <c r="T747" s="2">
        <v>39</v>
      </c>
      <c r="U747" s="3">
        <f>ROUNDDOWN(PI()*(G747-0.185)/T747,2)</f>
        <v>0.14000000000000001</v>
      </c>
      <c r="V747" s="3"/>
      <c r="W747" s="1">
        <v>280</v>
      </c>
      <c r="X747" s="9">
        <v>2</v>
      </c>
      <c r="Y747" s="1">
        <v>4</v>
      </c>
      <c r="Z747" s="3">
        <f>X747*VLOOKUP(Y747,[1]Datos!$A$2:$D$14,2)</f>
        <v>2.58</v>
      </c>
      <c r="AA747" s="8">
        <v>0.3</v>
      </c>
      <c r="AB747" s="7">
        <f>IF(D747=0,0.9,0.5)*0.9*0.53*SQRT(W747)*G747*MAX(0.72*G747,0.9*((G747/2)+((G747-0.11)/PI())))*10</f>
        <v>115.05235319041492</v>
      </c>
      <c r="AC747" s="7">
        <f>0.9*Z747*4220*MAX(0.72*G747,0.9*((G747/2)+((G747-0.11)/PI())))/AA747/1000</f>
        <v>47.081633547905106</v>
      </c>
      <c r="AD747" s="6" t="str">
        <f>+IF(AC747&gt;K747-AB747,"Cumple","No Cumple")</f>
        <v>Cumple</v>
      </c>
      <c r="AE747" s="6"/>
      <c r="AH747" s="3"/>
    </row>
    <row r="748" spans="1:43" x14ac:dyDescent="0.3">
      <c r="A748" s="13"/>
      <c r="B748" s="1">
        <v>38</v>
      </c>
      <c r="C748" s="1">
        <v>364</v>
      </c>
      <c r="D748" s="1">
        <v>1</v>
      </c>
      <c r="E748" s="5">
        <v>1</v>
      </c>
      <c r="F748" s="3">
        <f>F747+E748</f>
        <v>38</v>
      </c>
      <c r="G748" s="5">
        <v>2</v>
      </c>
      <c r="H748" s="3">
        <f>PI()*(G748^2)/4</f>
        <v>3.1415926535897931</v>
      </c>
      <c r="I748" s="4">
        <v>3.1415999999999999E-2</v>
      </c>
      <c r="K748" s="3">
        <v>68.094196388899405</v>
      </c>
      <c r="L748" s="3">
        <v>64.919240000000002</v>
      </c>
      <c r="M748" s="3">
        <v>132.12164000000001</v>
      </c>
      <c r="N748" s="12">
        <f>I748/H748</f>
        <v>1.0000023384349969E-2</v>
      </c>
      <c r="O748" s="11">
        <f>I748*10000</f>
        <v>314.15999999999997</v>
      </c>
      <c r="P748" s="1">
        <v>10</v>
      </c>
      <c r="Q748" s="1">
        <v>1</v>
      </c>
      <c r="R748" s="3">
        <f>Q748*VLOOKUP(P748,[1]Datos!$A$2:$D$14,2)</f>
        <v>8.19</v>
      </c>
      <c r="S748" s="10">
        <f>ROUNDUP(O748/R748,0)</f>
        <v>39</v>
      </c>
      <c r="T748" s="2">
        <v>39</v>
      </c>
      <c r="U748" s="3">
        <f>ROUNDDOWN(PI()*(G748-0.185)/T748,2)</f>
        <v>0.14000000000000001</v>
      </c>
      <c r="V748" s="3"/>
      <c r="W748" s="1">
        <v>280</v>
      </c>
      <c r="X748" s="9">
        <v>2</v>
      </c>
      <c r="Y748" s="1">
        <v>4</v>
      </c>
      <c r="Z748" s="3">
        <f>X748*VLOOKUP(Y748,[1]Datos!$A$2:$D$14,2)</f>
        <v>2.58</v>
      </c>
      <c r="AA748" s="8">
        <v>0.3</v>
      </c>
      <c r="AB748" s="7">
        <f>IF(D748=0,0.9,0.5)*0.9*0.53*SQRT(W748)*G748*MAX(0.72*G748,0.9*((G748/2)+((G748-0.11)/PI())))*10</f>
        <v>115.05235319041492</v>
      </c>
      <c r="AC748" s="7">
        <f>0.9*Z748*4220*MAX(0.72*G748,0.9*((G748/2)+((G748-0.11)/PI())))/AA748/1000</f>
        <v>47.081633547905106</v>
      </c>
      <c r="AD748" s="6" t="str">
        <f>+IF(AC748&gt;K748-AB748,"Cumple","No Cumple")</f>
        <v>Cumple</v>
      </c>
      <c r="AE748" s="6"/>
      <c r="AH748" s="3"/>
    </row>
    <row r="749" spans="1:43" x14ac:dyDescent="0.3">
      <c r="A749" s="13"/>
      <c r="B749" s="1">
        <v>39</v>
      </c>
      <c r="C749" s="1">
        <v>366</v>
      </c>
      <c r="D749" s="1">
        <v>1</v>
      </c>
      <c r="E749" s="5">
        <v>1</v>
      </c>
      <c r="F749" s="3">
        <f>F748+E749</f>
        <v>39</v>
      </c>
      <c r="G749" s="5">
        <v>2</v>
      </c>
      <c r="H749" s="3">
        <f>PI()*(G749^2)/4</f>
        <v>3.1415926535897931</v>
      </c>
      <c r="I749" s="4">
        <v>3.1415999999999999E-2</v>
      </c>
      <c r="K749" s="3">
        <v>40.452698875723975</v>
      </c>
      <c r="L749" s="3">
        <v>34.652079999999998</v>
      </c>
      <c r="M749" s="3">
        <v>65.345280000000002</v>
      </c>
      <c r="N749" s="12">
        <f>I749/H749</f>
        <v>1.0000023384349969E-2</v>
      </c>
      <c r="O749" s="11">
        <f>I749*10000</f>
        <v>314.15999999999997</v>
      </c>
      <c r="P749" s="1">
        <v>10</v>
      </c>
      <c r="Q749" s="1">
        <v>1</v>
      </c>
      <c r="R749" s="3">
        <f>Q749*VLOOKUP(P749,[1]Datos!$A$2:$D$14,2)</f>
        <v>8.19</v>
      </c>
      <c r="S749" s="10">
        <f>ROUNDUP(O749/R749,0)</f>
        <v>39</v>
      </c>
      <c r="T749" s="2">
        <v>39</v>
      </c>
      <c r="U749" s="3">
        <f>ROUNDDOWN(PI()*(G749-0.185)/T749,2)</f>
        <v>0.14000000000000001</v>
      </c>
      <c r="V749" s="3"/>
      <c r="W749" s="1">
        <v>280</v>
      </c>
      <c r="X749" s="9">
        <v>2</v>
      </c>
      <c r="Y749" s="1">
        <v>4</v>
      </c>
      <c r="Z749" s="3">
        <f>X749*VLOOKUP(Y749,[1]Datos!$A$2:$D$14,2)</f>
        <v>2.58</v>
      </c>
      <c r="AA749" s="8">
        <v>0.3</v>
      </c>
      <c r="AB749" s="7">
        <f>IF(D749=0,0.9,0.5)*0.9*0.53*SQRT(W749)*G749*MAX(0.72*G749,0.9*((G749/2)+((G749-0.11)/PI())))*10</f>
        <v>115.05235319041492</v>
      </c>
      <c r="AC749" s="7">
        <f>0.9*Z749*4220*MAX(0.72*G749,0.9*((G749/2)+((G749-0.11)/PI())))/AA749/1000</f>
        <v>47.081633547905106</v>
      </c>
      <c r="AD749" s="6" t="str">
        <f>+IF(AC749&gt;K749-AB749,"Cumple","No Cumple")</f>
        <v>Cumple</v>
      </c>
      <c r="AE749" s="6"/>
      <c r="AH749" s="3"/>
    </row>
    <row r="750" spans="1:43" x14ac:dyDescent="0.3">
      <c r="A750" s="13"/>
      <c r="B750" s="1">
        <v>40</v>
      </c>
      <c r="C750" s="1">
        <v>186</v>
      </c>
      <c r="D750" s="1">
        <v>1</v>
      </c>
      <c r="E750" s="5">
        <v>1</v>
      </c>
      <c r="F750" s="3">
        <f>F749+E750</f>
        <v>40</v>
      </c>
      <c r="G750" s="5">
        <v>2</v>
      </c>
      <c r="H750" s="3">
        <f>PI()*(G750^2)/4</f>
        <v>3.1415926535897931</v>
      </c>
      <c r="I750" s="4">
        <v>3.1415999999999999E-2</v>
      </c>
      <c r="K750" s="3">
        <v>19.657927397617481</v>
      </c>
      <c r="L750" s="3">
        <v>15.65518</v>
      </c>
      <c r="M750" s="3">
        <v>26.047730000000001</v>
      </c>
      <c r="N750" s="12">
        <f>I750/H750</f>
        <v>1.0000023384349969E-2</v>
      </c>
      <c r="O750" s="11">
        <f>I750*10000</f>
        <v>314.15999999999997</v>
      </c>
      <c r="P750" s="1">
        <v>10</v>
      </c>
      <c r="Q750" s="1">
        <v>1</v>
      </c>
      <c r="R750" s="3">
        <f>Q750*VLOOKUP(P750,[1]Datos!$A$2:$D$14,2)</f>
        <v>8.19</v>
      </c>
      <c r="S750" s="10">
        <f>ROUNDUP(O750/R750,0)</f>
        <v>39</v>
      </c>
      <c r="T750" s="2">
        <v>39</v>
      </c>
      <c r="U750" s="3">
        <f>ROUNDDOWN(PI()*(G750-0.185)/T750,2)</f>
        <v>0.14000000000000001</v>
      </c>
      <c r="V750" s="3"/>
      <c r="W750" s="1">
        <v>280</v>
      </c>
      <c r="X750" s="9">
        <v>2</v>
      </c>
      <c r="Y750" s="1">
        <v>4</v>
      </c>
      <c r="Z750" s="3">
        <f>X750*VLOOKUP(Y750,[1]Datos!$A$2:$D$14,2)</f>
        <v>2.58</v>
      </c>
      <c r="AA750" s="8">
        <v>0.3</v>
      </c>
      <c r="AB750" s="7">
        <f>IF(D750=0,0.9,0.5)*0.9*0.53*SQRT(W750)*G750*MAX(0.72*G750,0.9*((G750/2)+((G750-0.11)/PI())))*10</f>
        <v>115.05235319041492</v>
      </c>
      <c r="AC750" s="7">
        <f>0.9*Z750*4220*MAX(0.72*G750,0.9*((G750/2)+((G750-0.11)/PI())))/AA750/1000</f>
        <v>47.081633547905106</v>
      </c>
      <c r="AD750" s="6" t="str">
        <f>+IF(AC750&gt;K750-AB750,"Cumple","No Cumple")</f>
        <v>Cumple</v>
      </c>
      <c r="AE750" s="6"/>
      <c r="AH750" s="3"/>
    </row>
    <row r="751" spans="1:43" x14ac:dyDescent="0.3">
      <c r="A751" s="13"/>
      <c r="B751" s="1">
        <v>41</v>
      </c>
      <c r="C751" s="1">
        <v>286</v>
      </c>
      <c r="D751" s="1">
        <v>1</v>
      </c>
      <c r="E751" s="5">
        <v>1</v>
      </c>
      <c r="F751" s="3">
        <f>F750+E751</f>
        <v>41</v>
      </c>
      <c r="G751" s="5">
        <v>2</v>
      </c>
      <c r="H751" s="3">
        <f>PI()*(G751^2)/4</f>
        <v>3.1415926535897931</v>
      </c>
      <c r="I751" s="4">
        <v>3.1415999999999999E-2</v>
      </c>
      <c r="K751" s="3">
        <v>7.7205034686864824</v>
      </c>
      <c r="L751" s="3">
        <v>5.3147399999999996</v>
      </c>
      <c r="M751" s="3">
        <v>7.4309399999999997</v>
      </c>
      <c r="N751" s="12">
        <f>I751/H751</f>
        <v>1.0000023384349969E-2</v>
      </c>
      <c r="O751" s="11">
        <f>I751*10000</f>
        <v>314.15999999999997</v>
      </c>
      <c r="P751" s="1">
        <v>10</v>
      </c>
      <c r="Q751" s="1">
        <v>1</v>
      </c>
      <c r="R751" s="3">
        <f>Q751*VLOOKUP(P751,[1]Datos!$A$2:$D$14,2)</f>
        <v>8.19</v>
      </c>
      <c r="S751" s="10">
        <f>ROUNDUP(O751/R751,0)</f>
        <v>39</v>
      </c>
      <c r="T751" s="2">
        <v>39</v>
      </c>
      <c r="U751" s="3">
        <f>ROUNDDOWN(PI()*(G751-0.185)/T751,2)</f>
        <v>0.14000000000000001</v>
      </c>
      <c r="V751" s="3"/>
      <c r="W751" s="1">
        <v>280</v>
      </c>
      <c r="X751" s="9">
        <v>2</v>
      </c>
      <c r="Y751" s="1">
        <v>4</v>
      </c>
      <c r="Z751" s="3">
        <f>X751*VLOOKUP(Y751,[1]Datos!$A$2:$D$14,2)</f>
        <v>2.58</v>
      </c>
      <c r="AA751" s="8">
        <v>0.3</v>
      </c>
      <c r="AB751" s="7">
        <f>IF(D751=0,0.9,0.5)*0.9*0.53*SQRT(W751)*G751*MAX(0.72*G751,0.9*((G751/2)+((G751-0.11)/PI())))*10</f>
        <v>115.05235319041492</v>
      </c>
      <c r="AC751" s="7">
        <f>0.9*Z751*4220*MAX(0.72*G751,0.9*((G751/2)+((G751-0.11)/PI())))/AA751/1000</f>
        <v>47.081633547905106</v>
      </c>
      <c r="AD751" s="6" t="str">
        <f>+IF(AC751&gt;K751-AB751,"Cumple","No Cumple")</f>
        <v>Cumple</v>
      </c>
      <c r="AE751" s="6"/>
      <c r="AH751" s="3"/>
    </row>
    <row r="752" spans="1:43" ht="15" customHeight="1" x14ac:dyDescent="0.3">
      <c r="A752" s="13" t="s">
        <v>9</v>
      </c>
      <c r="B752" s="1">
        <v>1</v>
      </c>
      <c r="C752" s="1">
        <v>137</v>
      </c>
      <c r="D752" s="1">
        <v>0</v>
      </c>
      <c r="E752" s="5">
        <v>1</v>
      </c>
      <c r="F752" s="3">
        <f>E752</f>
        <v>1</v>
      </c>
      <c r="G752" s="5">
        <v>2</v>
      </c>
      <c r="H752" s="3">
        <f>PI()*(G752^2)/4</f>
        <v>3.1415926535897931</v>
      </c>
      <c r="I752" s="4">
        <v>3.1415999999999999E-2</v>
      </c>
      <c r="K752" s="3">
        <v>181.9851079028721</v>
      </c>
      <c r="L752" s="3">
        <v>475.29300999999998</v>
      </c>
      <c r="M752" s="3">
        <v>387.29340000000002</v>
      </c>
      <c r="N752" s="12">
        <f>I752/H752</f>
        <v>1.0000023384349969E-2</v>
      </c>
      <c r="O752" s="11">
        <f>I752*10000</f>
        <v>314.15999999999997</v>
      </c>
      <c r="P752" s="1">
        <v>10</v>
      </c>
      <c r="Q752" s="1">
        <v>1</v>
      </c>
      <c r="R752" s="3">
        <f>Q752*VLOOKUP(P752,[1]Datos!$A$2:$D$14,2)</f>
        <v>8.19</v>
      </c>
      <c r="S752" s="10">
        <f>ROUNDUP(O752/R752,0)</f>
        <v>39</v>
      </c>
      <c r="T752" s="2">
        <v>39</v>
      </c>
      <c r="U752" s="3">
        <f>ROUNDDOWN(PI()*(G752-0.185)/T752,2)</f>
        <v>0.14000000000000001</v>
      </c>
      <c r="V752" s="3"/>
      <c r="W752" s="1">
        <v>280</v>
      </c>
      <c r="X752" s="9">
        <v>2</v>
      </c>
      <c r="Y752" s="1">
        <v>6</v>
      </c>
      <c r="Z752" s="3">
        <f>X752*VLOOKUP(Y752,[1]Datos!$A$2:$D$14,2)</f>
        <v>5.68</v>
      </c>
      <c r="AA752" s="8">
        <v>7.4999999999999997E-2</v>
      </c>
      <c r="AB752" s="7">
        <f>IF(D752=0,0.9,0.5)*0.9*0.53*SQRT(W752)*G752*MAX(0.72*G752,0.9*((G752/2)+((G752-0.11)/PI())))*10</f>
        <v>207.09423574274689</v>
      </c>
      <c r="AC752" s="7">
        <f>0.9*Z752*4220*MAX(0.72*G752,0.9*((G752/2)+((G752-0.11)/PI())))/AA752/1000</f>
        <v>414.61035434434268</v>
      </c>
      <c r="AD752" s="6" t="str">
        <f>+IF(AC752&gt;K752-AB752,"Cumple","No Cumple")</f>
        <v>Cumple</v>
      </c>
      <c r="AE752" s="6"/>
      <c r="AF752" s="5">
        <v>12</v>
      </c>
      <c r="AG752" s="7">
        <f>ROUNDUP(MAX(0.45,G752,AF752/6),0)</f>
        <v>2</v>
      </c>
      <c r="AH752" s="3">
        <f>PI()*(G752-0.15)^2/4</f>
        <v>2.6880252142277672</v>
      </c>
      <c r="AI752" s="7">
        <f>G752-0.15-VLOOKUP(Y752,[1]Datos!$A$2:$D$14,3)/100</f>
        <v>1.8309000000000002</v>
      </c>
      <c r="AJ752" s="7">
        <f>SQRT((PI()*AI752)^2+AA752^2)</f>
        <v>5.7524309339691264</v>
      </c>
      <c r="AK752" s="1">
        <v>0.12</v>
      </c>
      <c r="AL752" s="16">
        <f>MAX(0.45*(H752/AH752-1),AK752)*(W752/4220)</f>
        <v>7.9620853080568724E-3</v>
      </c>
      <c r="AM752" s="7">
        <f>AG752*(AJ752/AA752)</f>
        <v>153.39815823917672</v>
      </c>
      <c r="AN752" s="17">
        <f>AM752*Z752/X752/10000</f>
        <v>4.3565076939926187E-2</v>
      </c>
      <c r="AO752" s="17">
        <f>AH752*AG752</f>
        <v>5.3760504284555344</v>
      </c>
      <c r="AP752" s="16">
        <f>AN752/AO752</f>
        <v>8.1035469290495175E-3</v>
      </c>
      <c r="AQ752" s="6" t="str">
        <f>+IF(AP752&gt;AL752,"Cumple","No Cumple")</f>
        <v>Cumple</v>
      </c>
    </row>
    <row r="753" spans="1:43" ht="15" customHeight="1" x14ac:dyDescent="0.3">
      <c r="A753" s="13"/>
      <c r="B753" s="1">
        <v>2</v>
      </c>
      <c r="C753" s="1">
        <v>139</v>
      </c>
      <c r="D753" s="1">
        <v>0</v>
      </c>
      <c r="E753" s="5">
        <v>1</v>
      </c>
      <c r="F753" s="3">
        <f>F752+E753</f>
        <v>2</v>
      </c>
      <c r="G753" s="5">
        <v>2</v>
      </c>
      <c r="H753" s="3">
        <f>PI()*(G753^2)/4</f>
        <v>3.1415926535897931</v>
      </c>
      <c r="I753" s="4">
        <v>3.1415999999999999E-2</v>
      </c>
      <c r="K753" s="3">
        <v>181.9851079028721</v>
      </c>
      <c r="L753" s="3">
        <v>429.35655000000003</v>
      </c>
      <c r="M753" s="3">
        <v>478.93351000000001</v>
      </c>
      <c r="N753" s="12">
        <f>I753/H753</f>
        <v>1.0000023384349969E-2</v>
      </c>
      <c r="O753" s="11">
        <f>I753*10000</f>
        <v>314.15999999999997</v>
      </c>
      <c r="P753" s="1">
        <v>10</v>
      </c>
      <c r="Q753" s="1">
        <v>1</v>
      </c>
      <c r="R753" s="3">
        <f>Q753*VLOOKUP(P753,[1]Datos!$A$2:$D$14,2)</f>
        <v>8.19</v>
      </c>
      <c r="S753" s="10">
        <f>ROUNDUP(O753/R753,0)</f>
        <v>39</v>
      </c>
      <c r="T753" s="2">
        <v>39</v>
      </c>
      <c r="U753" s="3">
        <f>ROUNDDOWN(PI()*(G753-0.185)/T753,2)</f>
        <v>0.14000000000000001</v>
      </c>
      <c r="V753" s="3"/>
      <c r="W753" s="1">
        <v>280</v>
      </c>
      <c r="X753" s="9">
        <v>2</v>
      </c>
      <c r="Y753" s="1">
        <v>6</v>
      </c>
      <c r="Z753" s="3">
        <f>X753*VLOOKUP(Y753,[1]Datos!$A$2:$D$14,2)</f>
        <v>5.68</v>
      </c>
      <c r="AA753" s="8">
        <v>7.4999999999999997E-2</v>
      </c>
      <c r="AB753" s="7">
        <f>IF(D753=0,0.9,0.5)*0.9*0.53*SQRT(W753)*G753*MAX(0.72*G753,0.9*((G753/2)+((G753-0.11)/PI())))*10</f>
        <v>207.09423574274689</v>
      </c>
      <c r="AC753" s="7">
        <f>0.9*Z753*4220*MAX(0.72*G753,0.9*((G753/2)+((G753-0.11)/PI())))/AA753/1000</f>
        <v>414.61035434434268</v>
      </c>
      <c r="AD753" s="6" t="str">
        <f>+IF(AC753&gt;K753-AB753,"Cumple","No Cumple")</f>
        <v>Cumple</v>
      </c>
      <c r="AE753" s="6"/>
      <c r="AF753" s="5">
        <v>12</v>
      </c>
      <c r="AG753" s="7">
        <f>ROUNDUP(MAX(0.45,G753,AF753/6),0)</f>
        <v>2</v>
      </c>
      <c r="AH753" s="3">
        <f>PI()*(G753-0.15)^2/4</f>
        <v>2.6880252142277672</v>
      </c>
      <c r="AI753" s="7">
        <f>G753-0.15-VLOOKUP(Y753,[1]Datos!$A$2:$D$14,3)/100</f>
        <v>1.8309000000000002</v>
      </c>
      <c r="AJ753" s="7">
        <f>SQRT((PI()*AI753)^2+AA753^2)</f>
        <v>5.7524309339691264</v>
      </c>
      <c r="AK753" s="1">
        <v>0.12</v>
      </c>
      <c r="AL753" s="16">
        <f>MAX(0.45*(H753/AH753-1),AK753)*(W753/4220)</f>
        <v>7.9620853080568724E-3</v>
      </c>
      <c r="AM753" s="7">
        <f>AG753*(AJ753/AA753)</f>
        <v>153.39815823917672</v>
      </c>
      <c r="AN753" s="17">
        <f>AM753*Z753/X753/10000</f>
        <v>4.3565076939926187E-2</v>
      </c>
      <c r="AO753" s="17">
        <f>AH753*AG753</f>
        <v>5.3760504284555344</v>
      </c>
      <c r="AP753" s="16">
        <f>AN753/AO753</f>
        <v>8.1035469290495175E-3</v>
      </c>
      <c r="AQ753" s="6" t="str">
        <f>+IF(AP753&gt;AL753,"Cumple","No Cumple")</f>
        <v>Cumple</v>
      </c>
    </row>
    <row r="754" spans="1:43" ht="15" customHeight="1" x14ac:dyDescent="0.3">
      <c r="A754" s="13"/>
      <c r="B754" s="1">
        <v>3</v>
      </c>
      <c r="C754" s="1">
        <v>141</v>
      </c>
      <c r="D754" s="1">
        <v>0</v>
      </c>
      <c r="E754" s="5">
        <v>1</v>
      </c>
      <c r="F754" s="3">
        <f>F753+E754</f>
        <v>3</v>
      </c>
      <c r="G754" s="5">
        <v>2</v>
      </c>
      <c r="H754" s="3">
        <f>PI()*(G754^2)/4</f>
        <v>3.1415926535897931</v>
      </c>
      <c r="I754" s="4">
        <v>3.1415999999999999E-2</v>
      </c>
      <c r="K754" s="3">
        <v>181.9851079028721</v>
      </c>
      <c r="L754" s="3">
        <v>383.73791999999997</v>
      </c>
      <c r="M754" s="3">
        <v>574.79241999999999</v>
      </c>
      <c r="N754" s="12">
        <f>I754/H754</f>
        <v>1.0000023384349969E-2</v>
      </c>
      <c r="O754" s="11">
        <f>I754*10000</f>
        <v>314.15999999999997</v>
      </c>
      <c r="P754" s="1">
        <v>10</v>
      </c>
      <c r="Q754" s="1">
        <v>1</v>
      </c>
      <c r="R754" s="3">
        <f>Q754*VLOOKUP(P754,[1]Datos!$A$2:$D$14,2)</f>
        <v>8.19</v>
      </c>
      <c r="S754" s="10">
        <f>ROUNDUP(O754/R754,0)</f>
        <v>39</v>
      </c>
      <c r="T754" s="2">
        <v>39</v>
      </c>
      <c r="U754" s="3">
        <f>ROUNDDOWN(PI()*(G754-0.185)/T754,2)</f>
        <v>0.14000000000000001</v>
      </c>
      <c r="V754" s="3"/>
      <c r="W754" s="1">
        <v>280</v>
      </c>
      <c r="X754" s="9">
        <v>2</v>
      </c>
      <c r="Y754" s="1">
        <v>4</v>
      </c>
      <c r="Z754" s="3">
        <f>X754*VLOOKUP(Y754,[1]Datos!$A$2:$D$14,2)</f>
        <v>2.58</v>
      </c>
      <c r="AA754" s="8">
        <v>0.3</v>
      </c>
      <c r="AB754" s="7">
        <f>IF(D754=0,0.9,0.5)*0.9*0.53*SQRT(W754)*G754*MAX(0.72*G754,0.9*((G754/2)+((G754-0.11)/PI())))*10</f>
        <v>207.09423574274689</v>
      </c>
      <c r="AC754" s="7">
        <f>0.9*Z754*4220*MAX(0.72*G754,0.9*((G754/2)+((G754-0.11)/PI())))/AA754/1000</f>
        <v>47.081633547905106</v>
      </c>
      <c r="AD754" s="6" t="str">
        <f>+IF(AC754&gt;K754-AB754,"Cumple","No Cumple")</f>
        <v>Cumple</v>
      </c>
      <c r="AE754" s="6"/>
      <c r="AH754" s="3"/>
    </row>
    <row r="755" spans="1:43" ht="15" customHeight="1" x14ac:dyDescent="0.3">
      <c r="A755" s="13"/>
      <c r="B755" s="1">
        <v>4</v>
      </c>
      <c r="C755" s="1">
        <v>143</v>
      </c>
      <c r="D755" s="1">
        <v>0</v>
      </c>
      <c r="E755" s="5">
        <v>1</v>
      </c>
      <c r="F755" s="3">
        <f>F754+E755</f>
        <v>4</v>
      </c>
      <c r="G755" s="5">
        <v>2</v>
      </c>
      <c r="H755" s="3">
        <f>PI()*(G755^2)/4</f>
        <v>3.1415926535897931</v>
      </c>
      <c r="I755" s="4">
        <v>3.1415999999999999E-2</v>
      </c>
      <c r="K755" s="3">
        <v>181.9851079028721</v>
      </c>
      <c r="L755" s="3">
        <v>338.57121999999998</v>
      </c>
      <c r="M755" s="3">
        <v>673.65089</v>
      </c>
      <c r="N755" s="12">
        <f>I755/H755</f>
        <v>1.0000023384349969E-2</v>
      </c>
      <c r="O755" s="11">
        <f>I755*10000</f>
        <v>314.15999999999997</v>
      </c>
      <c r="P755" s="1">
        <v>10</v>
      </c>
      <c r="Q755" s="15">
        <v>1</v>
      </c>
      <c r="R755" s="3">
        <f>Q755*VLOOKUP(P755,[1]Datos!$A$2:$D$14,2)</f>
        <v>8.19</v>
      </c>
      <c r="S755" s="10">
        <f>ROUNDUP(O755/R755,0)</f>
        <v>39</v>
      </c>
      <c r="T755" s="14">
        <v>56</v>
      </c>
      <c r="U755" s="3">
        <f>ROUNDDOWN(PI()*(G755-0.185)/T755,2)</f>
        <v>0.1</v>
      </c>
      <c r="V755" s="3"/>
      <c r="W755" s="1">
        <v>280</v>
      </c>
      <c r="X755" s="9">
        <v>2</v>
      </c>
      <c r="Y755" s="1">
        <v>4</v>
      </c>
      <c r="Z755" s="3">
        <f>X755*VLOOKUP(Y755,[1]Datos!$A$2:$D$14,2)</f>
        <v>2.58</v>
      </c>
      <c r="AA755" s="8">
        <v>0.3</v>
      </c>
      <c r="AB755" s="7">
        <f>IF(D755=0,0.9,0.5)*0.9*0.53*SQRT(W755)*G755*MAX(0.72*G755,0.9*((G755/2)+((G755-0.11)/PI())))*10</f>
        <v>207.09423574274689</v>
      </c>
      <c r="AC755" s="7">
        <f>0.9*Z755*4220*MAX(0.72*G755,0.9*((G755/2)+((G755-0.11)/PI())))/AA755/1000</f>
        <v>47.081633547905106</v>
      </c>
      <c r="AD755" s="6" t="str">
        <f>+IF(AC755&gt;K755-AB755,"Cumple","No Cumple")</f>
        <v>Cumple</v>
      </c>
      <c r="AE755" s="6"/>
      <c r="AH755" s="3"/>
    </row>
    <row r="756" spans="1:43" ht="15" customHeight="1" x14ac:dyDescent="0.3">
      <c r="A756" s="13"/>
      <c r="B756" s="1">
        <v>5</v>
      </c>
      <c r="C756" s="1">
        <v>145</v>
      </c>
      <c r="D756" s="1">
        <v>0</v>
      </c>
      <c r="E756" s="5">
        <v>1</v>
      </c>
      <c r="F756" s="3">
        <f>F755+E756</f>
        <v>5</v>
      </c>
      <c r="G756" s="5">
        <v>2</v>
      </c>
      <c r="H756" s="3">
        <f>PI()*(G756^2)/4</f>
        <v>3.1415926535897931</v>
      </c>
      <c r="I756" s="4">
        <v>3.1415999999999999E-2</v>
      </c>
      <c r="K756" s="3">
        <v>181.98520465469164</v>
      </c>
      <c r="L756" s="3">
        <v>293.99013000000002</v>
      </c>
      <c r="M756" s="3">
        <v>774.26922000000002</v>
      </c>
      <c r="N756" s="12">
        <f>I756/H756</f>
        <v>1.0000023384349969E-2</v>
      </c>
      <c r="O756" s="11">
        <f>I756*10000</f>
        <v>314.15999999999997</v>
      </c>
      <c r="P756" s="1">
        <v>10</v>
      </c>
      <c r="Q756" s="15">
        <v>1</v>
      </c>
      <c r="R756" s="3">
        <f>Q756*VLOOKUP(P756,[1]Datos!$A$2:$D$14,2)</f>
        <v>8.19</v>
      </c>
      <c r="S756" s="10">
        <f>ROUNDUP(O756/R756,0)</f>
        <v>39</v>
      </c>
      <c r="T756" s="14">
        <v>56</v>
      </c>
      <c r="U756" s="3">
        <f>ROUNDDOWN(PI()*(G756-0.185)/T756,2)</f>
        <v>0.1</v>
      </c>
      <c r="V756" s="3"/>
      <c r="W756" s="1">
        <v>280</v>
      </c>
      <c r="X756" s="9">
        <v>2</v>
      </c>
      <c r="Y756" s="1">
        <v>4</v>
      </c>
      <c r="Z756" s="3">
        <f>X756*VLOOKUP(Y756,[1]Datos!$A$2:$D$14,2)</f>
        <v>2.58</v>
      </c>
      <c r="AA756" s="8">
        <v>0.3</v>
      </c>
      <c r="AB756" s="7">
        <f>IF(D756=0,0.9,0.5)*0.9*0.53*SQRT(W756)*G756*MAX(0.72*G756,0.9*((G756/2)+((G756-0.11)/PI())))*10</f>
        <v>207.09423574274689</v>
      </c>
      <c r="AC756" s="7">
        <f>0.9*Z756*4220*MAX(0.72*G756,0.9*((G756/2)+((G756-0.11)/PI())))/AA756/1000</f>
        <v>47.081633547905106</v>
      </c>
      <c r="AD756" s="6" t="str">
        <f>+IF(AC756&gt;K756-AB756,"Cumple","No Cumple")</f>
        <v>Cumple</v>
      </c>
      <c r="AE756" s="6"/>
      <c r="AH756" s="3"/>
    </row>
    <row r="757" spans="1:43" ht="15" customHeight="1" x14ac:dyDescent="0.3">
      <c r="A757" s="13"/>
      <c r="B757" s="1">
        <v>6</v>
      </c>
      <c r="C757" s="1">
        <v>147</v>
      </c>
      <c r="D757" s="1">
        <v>0</v>
      </c>
      <c r="E757" s="5">
        <v>1</v>
      </c>
      <c r="F757" s="3">
        <f>F756+E757</f>
        <v>6</v>
      </c>
      <c r="G757" s="5">
        <v>2</v>
      </c>
      <c r="H757" s="3">
        <f>PI()*(G757^2)/4</f>
        <v>3.1415926535897931</v>
      </c>
      <c r="I757" s="4">
        <v>3.1415999999999999E-2</v>
      </c>
      <c r="K757" s="3">
        <v>181.98520465469164</v>
      </c>
      <c r="L757" s="3">
        <v>250.08695</v>
      </c>
      <c r="M757" s="3">
        <v>875.85820999999999</v>
      </c>
      <c r="N757" s="12">
        <f>I757/H757</f>
        <v>1.0000023384349969E-2</v>
      </c>
      <c r="O757" s="11">
        <f>I757*10000</f>
        <v>314.15999999999997</v>
      </c>
      <c r="P757" s="1">
        <v>10</v>
      </c>
      <c r="Q757" s="15">
        <v>1</v>
      </c>
      <c r="R757" s="3">
        <f>Q757*VLOOKUP(P757,[1]Datos!$A$2:$D$14,2)</f>
        <v>8.19</v>
      </c>
      <c r="S757" s="10">
        <f>ROUNDUP(O757/R757,0)</f>
        <v>39</v>
      </c>
      <c r="T757" s="14">
        <v>56</v>
      </c>
      <c r="U757" s="3">
        <f>ROUNDDOWN(PI()*(G757-0.185)/T757,2)</f>
        <v>0.1</v>
      </c>
      <c r="V757" s="3"/>
      <c r="W757" s="1">
        <v>280</v>
      </c>
      <c r="X757" s="9">
        <v>2</v>
      </c>
      <c r="Y757" s="1">
        <v>4</v>
      </c>
      <c r="Z757" s="3">
        <f>X757*VLOOKUP(Y757,[1]Datos!$A$2:$D$14,2)</f>
        <v>2.58</v>
      </c>
      <c r="AA757" s="8">
        <v>0.3</v>
      </c>
      <c r="AB757" s="7">
        <f>IF(D757=0,0.9,0.5)*0.9*0.53*SQRT(W757)*G757*MAX(0.72*G757,0.9*((G757/2)+((G757-0.11)/PI())))*10</f>
        <v>207.09423574274689</v>
      </c>
      <c r="AC757" s="7">
        <f>0.9*Z757*4220*MAX(0.72*G757,0.9*((G757/2)+((G757-0.11)/PI())))/AA757/1000</f>
        <v>47.081633547905106</v>
      </c>
      <c r="AD757" s="6" t="str">
        <f>+IF(AC757&gt;K757-AB757,"Cumple","No Cumple")</f>
        <v>Cumple</v>
      </c>
      <c r="AE757" s="6"/>
      <c r="AH757" s="3"/>
    </row>
    <row r="758" spans="1:43" ht="15" customHeight="1" x14ac:dyDescent="0.3">
      <c r="A758" s="13"/>
      <c r="B758" s="1">
        <v>7</v>
      </c>
      <c r="C758" s="1">
        <v>149</v>
      </c>
      <c r="D758" s="1">
        <v>0</v>
      </c>
      <c r="E758" s="5">
        <v>1</v>
      </c>
      <c r="F758" s="3">
        <f>F757+E758</f>
        <v>7</v>
      </c>
      <c r="G758" s="5">
        <v>2</v>
      </c>
      <c r="H758" s="3">
        <f>PI()*(G758^2)/4</f>
        <v>3.1415926535897931</v>
      </c>
      <c r="I758" s="4">
        <v>3.5450000000000002E-2</v>
      </c>
      <c r="K758" s="3">
        <v>181.98530140651468</v>
      </c>
      <c r="L758" s="3">
        <v>206.90085999999999</v>
      </c>
      <c r="M758" s="3">
        <v>977.98797000000002</v>
      </c>
      <c r="N758" s="12">
        <f>I758/H758</f>
        <v>1.1284085465215381E-2</v>
      </c>
      <c r="O758" s="11">
        <f>I758*10000</f>
        <v>354.5</v>
      </c>
      <c r="P758" s="1">
        <v>10</v>
      </c>
      <c r="Q758" s="1">
        <v>1</v>
      </c>
      <c r="R758" s="3">
        <f>Q758*VLOOKUP(P758,[1]Datos!$A$2:$D$14,2)</f>
        <v>8.19</v>
      </c>
      <c r="S758" s="10">
        <f>ROUNDUP(O758/R758,0)</f>
        <v>44</v>
      </c>
      <c r="T758" s="2">
        <v>56</v>
      </c>
      <c r="U758" s="3">
        <f>ROUNDDOWN(PI()*(G758-0.185)/T758,2)</f>
        <v>0.1</v>
      </c>
      <c r="V758" s="3"/>
      <c r="W758" s="1">
        <v>280</v>
      </c>
      <c r="X758" s="9">
        <v>2</v>
      </c>
      <c r="Y758" s="1">
        <v>4</v>
      </c>
      <c r="Z758" s="3">
        <f>X758*VLOOKUP(Y758,[1]Datos!$A$2:$D$14,2)</f>
        <v>2.58</v>
      </c>
      <c r="AA758" s="8">
        <v>0.3</v>
      </c>
      <c r="AB758" s="7">
        <f>IF(D758=0,0.9,0.5)*0.9*0.53*SQRT(W758)*G758*MAX(0.72*G758,0.9*((G758/2)+((G758-0.11)/PI())))*10</f>
        <v>207.09423574274689</v>
      </c>
      <c r="AC758" s="7">
        <f>0.9*Z758*4220*MAX(0.72*G758,0.9*((G758/2)+((G758-0.11)/PI())))/AA758/1000</f>
        <v>47.081633547905106</v>
      </c>
      <c r="AD758" s="6" t="str">
        <f>+IF(AC758&gt;K758-AB758,"Cumple","No Cumple")</f>
        <v>Cumple</v>
      </c>
      <c r="AE758" s="6"/>
      <c r="AH758" s="3"/>
    </row>
    <row r="759" spans="1:43" ht="15" customHeight="1" x14ac:dyDescent="0.3">
      <c r="A759" s="13"/>
      <c r="B759" s="1">
        <v>8</v>
      </c>
      <c r="C759" s="1">
        <v>151</v>
      </c>
      <c r="D759" s="1">
        <v>0</v>
      </c>
      <c r="E759" s="5">
        <v>1</v>
      </c>
      <c r="F759" s="3">
        <f>F758+E759</f>
        <v>8</v>
      </c>
      <c r="G759" s="5">
        <v>2</v>
      </c>
      <c r="H759" s="3">
        <f>PI()*(G759^2)/4</f>
        <v>3.1415926535897931</v>
      </c>
      <c r="I759" s="4">
        <v>4.0996999999999999E-2</v>
      </c>
      <c r="K759" s="3">
        <v>181.98530140651468</v>
      </c>
      <c r="L759" s="3">
        <v>164.50027</v>
      </c>
      <c r="M759" s="3">
        <v>1080.42019</v>
      </c>
      <c r="N759" s="12">
        <f>I759/H759</f>
        <v>1.3049750403876867E-2</v>
      </c>
      <c r="O759" s="11">
        <f>I759*10000</f>
        <v>409.96999999999997</v>
      </c>
      <c r="P759" s="1">
        <v>10</v>
      </c>
      <c r="Q759" s="1">
        <v>1</v>
      </c>
      <c r="R759" s="3">
        <f>Q759*VLOOKUP(P759,[1]Datos!$A$2:$D$14,2)</f>
        <v>8.19</v>
      </c>
      <c r="S759" s="10">
        <f>ROUNDUP(O759/R759,0)</f>
        <v>51</v>
      </c>
      <c r="T759" s="2">
        <v>56</v>
      </c>
      <c r="U759" s="3">
        <f>ROUNDDOWN(PI()*(G759-0.185)/T759,2)</f>
        <v>0.1</v>
      </c>
      <c r="V759" s="3"/>
      <c r="W759" s="1">
        <v>280</v>
      </c>
      <c r="X759" s="9">
        <v>2</v>
      </c>
      <c r="Y759" s="1">
        <v>4</v>
      </c>
      <c r="Z759" s="3">
        <f>X759*VLOOKUP(Y759,[1]Datos!$A$2:$D$14,2)</f>
        <v>2.58</v>
      </c>
      <c r="AA759" s="8">
        <v>0.3</v>
      </c>
      <c r="AB759" s="7">
        <f>IF(D759=0,0.9,0.5)*0.9*0.53*SQRT(W759)*G759*MAX(0.72*G759,0.9*((G759/2)+((G759-0.11)/PI())))*10</f>
        <v>207.09423574274689</v>
      </c>
      <c r="AC759" s="7">
        <f>0.9*Z759*4220*MAX(0.72*G759,0.9*((G759/2)+((G759-0.11)/PI())))/AA759/1000</f>
        <v>47.081633547905106</v>
      </c>
      <c r="AD759" s="6" t="str">
        <f>+IF(AC759&gt;K759-AB759,"Cumple","No Cumple")</f>
        <v>Cumple</v>
      </c>
      <c r="AE759" s="6"/>
      <c r="AH759" s="3"/>
    </row>
    <row r="760" spans="1:43" ht="15" customHeight="1" x14ac:dyDescent="0.3">
      <c r="A760" s="13"/>
      <c r="B760" s="1">
        <v>9</v>
      </c>
      <c r="C760" s="1">
        <v>153</v>
      </c>
      <c r="D760" s="1">
        <v>0</v>
      </c>
      <c r="E760" s="5">
        <v>1</v>
      </c>
      <c r="F760" s="3">
        <f>F759+E760</f>
        <v>9</v>
      </c>
      <c r="G760" s="5">
        <v>2</v>
      </c>
      <c r="H760" s="3">
        <f>PI()*(G760^2)/4</f>
        <v>3.1415926535897931</v>
      </c>
      <c r="I760" s="4">
        <v>4.5516000000000001E-2</v>
      </c>
      <c r="K760" s="3">
        <v>181.98539815834124</v>
      </c>
      <c r="L760" s="3">
        <v>123.2924</v>
      </c>
      <c r="M760" s="3">
        <v>1183.0131200000001</v>
      </c>
      <c r="N760" s="12">
        <f>I760/H760</f>
        <v>1.4488192779541416E-2</v>
      </c>
      <c r="O760" s="11">
        <f>I760*10000</f>
        <v>455.16</v>
      </c>
      <c r="P760" s="1">
        <v>10</v>
      </c>
      <c r="Q760" s="1">
        <v>1</v>
      </c>
      <c r="R760" s="3">
        <f>Q760*VLOOKUP(P760,[1]Datos!$A$2:$D$14,2)</f>
        <v>8.19</v>
      </c>
      <c r="S760" s="10">
        <f>ROUNDUP(O760/R760,0)</f>
        <v>56</v>
      </c>
      <c r="T760" s="2">
        <v>56</v>
      </c>
      <c r="U760" s="3">
        <f>ROUNDDOWN(PI()*(G760-0.185)/T760,2)</f>
        <v>0.1</v>
      </c>
      <c r="V760" s="3"/>
      <c r="W760" s="1">
        <v>280</v>
      </c>
      <c r="X760" s="9">
        <v>2</v>
      </c>
      <c r="Y760" s="1">
        <v>4</v>
      </c>
      <c r="Z760" s="3">
        <f>X760*VLOOKUP(Y760,[1]Datos!$A$2:$D$14,2)</f>
        <v>2.58</v>
      </c>
      <c r="AA760" s="8">
        <v>0.3</v>
      </c>
      <c r="AB760" s="7">
        <f>IF(D760=0,0.9,0.5)*0.9*0.53*SQRT(W760)*G760*MAX(0.72*G760,0.9*((G760/2)+((G760-0.11)/PI())))*10</f>
        <v>207.09423574274689</v>
      </c>
      <c r="AC760" s="7">
        <f>0.9*Z760*4220*MAX(0.72*G760,0.9*((G760/2)+((G760-0.11)/PI())))/AA760/1000</f>
        <v>47.081633547905106</v>
      </c>
      <c r="AD760" s="6" t="str">
        <f>+IF(AC760&gt;K760-AB760,"Cumple","No Cumple")</f>
        <v>Cumple</v>
      </c>
      <c r="AE760" s="6"/>
      <c r="AH760" s="3"/>
    </row>
    <row r="761" spans="1:43" ht="15" customHeight="1" x14ac:dyDescent="0.3">
      <c r="A761" s="13"/>
      <c r="B761" s="1">
        <v>10</v>
      </c>
      <c r="C761" s="1">
        <v>155</v>
      </c>
      <c r="D761" s="1">
        <v>0</v>
      </c>
      <c r="E761" s="5">
        <v>1</v>
      </c>
      <c r="F761" s="3">
        <f>F760+E761</f>
        <v>10</v>
      </c>
      <c r="G761" s="5">
        <v>2</v>
      </c>
      <c r="H761" s="3">
        <f>PI()*(G761^2)/4</f>
        <v>3.1415926535897931</v>
      </c>
      <c r="I761" s="4">
        <v>4.9288999999999999E-2</v>
      </c>
      <c r="K761" s="3">
        <v>181.98549491017135</v>
      </c>
      <c r="L761" s="3">
        <v>104.02338</v>
      </c>
      <c r="M761" s="3">
        <v>1285.6756800000001</v>
      </c>
      <c r="N761" s="12">
        <f>I761/H761</f>
        <v>1.5689175980112859E-2</v>
      </c>
      <c r="O761" s="11">
        <f>I761*10000</f>
        <v>492.89</v>
      </c>
      <c r="P761" s="1">
        <v>10</v>
      </c>
      <c r="Q761" s="15">
        <v>1</v>
      </c>
      <c r="R761" s="3">
        <f>Q761*VLOOKUP(P761,[1]Datos!$A$2:$D$14,2)</f>
        <v>8.19</v>
      </c>
      <c r="S761" s="10">
        <f>ROUNDUP(O761/R761,0)</f>
        <v>61</v>
      </c>
      <c r="T761" s="14">
        <v>77</v>
      </c>
      <c r="U761" s="3">
        <f>ROUNDDOWN(PI()*(G761-0.185)/T761,2)</f>
        <v>7.0000000000000007E-2</v>
      </c>
      <c r="V761" s="3"/>
      <c r="W761" s="1">
        <v>280</v>
      </c>
      <c r="X761" s="9">
        <v>2</v>
      </c>
      <c r="Y761" s="1">
        <v>4</v>
      </c>
      <c r="Z761" s="3">
        <f>X761*VLOOKUP(Y761,[1]Datos!$A$2:$D$14,2)</f>
        <v>2.58</v>
      </c>
      <c r="AA761" s="8">
        <v>0.3</v>
      </c>
      <c r="AB761" s="7">
        <f>IF(D761=0,0.9,0.5)*0.9*0.53*SQRT(W761)*G761*MAX(0.72*G761,0.9*((G761/2)+((G761-0.11)/PI())))*10</f>
        <v>207.09423574274689</v>
      </c>
      <c r="AC761" s="7">
        <f>0.9*Z761*4220*MAX(0.72*G761,0.9*((G761/2)+((G761-0.11)/PI())))/AA761/1000</f>
        <v>47.081633547905106</v>
      </c>
      <c r="AD761" s="6" t="str">
        <f>+IF(AC761&gt;K761-AB761,"Cumple","No Cumple")</f>
        <v>Cumple</v>
      </c>
      <c r="AE761" s="6"/>
      <c r="AH761" s="3"/>
    </row>
    <row r="762" spans="1:43" ht="15" customHeight="1" x14ac:dyDescent="0.3">
      <c r="A762" s="13"/>
      <c r="B762" s="1">
        <v>11</v>
      </c>
      <c r="C762" s="1">
        <v>157</v>
      </c>
      <c r="D762" s="1">
        <v>0</v>
      </c>
      <c r="E762" s="5">
        <v>1</v>
      </c>
      <c r="F762" s="3">
        <f>F761+E762</f>
        <v>11</v>
      </c>
      <c r="G762" s="5">
        <v>2</v>
      </c>
      <c r="H762" s="3">
        <f>PI()*(G762^2)/4</f>
        <v>3.1415926535897931</v>
      </c>
      <c r="I762" s="4">
        <v>5.2500999999999999E-2</v>
      </c>
      <c r="K762" s="3">
        <v>181.98559166200494</v>
      </c>
      <c r="L762" s="3">
        <v>124.37430999999999</v>
      </c>
      <c r="M762" s="3">
        <v>1388.3450700000001</v>
      </c>
      <c r="N762" s="12">
        <f>I762/H762</f>
        <v>1.6711587334535195E-2</v>
      </c>
      <c r="O762" s="11">
        <f>I762*10000</f>
        <v>525.01</v>
      </c>
      <c r="P762" s="1">
        <v>10</v>
      </c>
      <c r="Q762" s="15">
        <v>1</v>
      </c>
      <c r="R762" s="3">
        <f>Q762*VLOOKUP(P762,[1]Datos!$A$2:$D$14,2)</f>
        <v>8.19</v>
      </c>
      <c r="S762" s="10">
        <f>ROUNDUP(O762/R762,0)</f>
        <v>65</v>
      </c>
      <c r="T762" s="14">
        <v>77</v>
      </c>
      <c r="U762" s="3">
        <f>ROUNDDOWN(PI()*(G762-0.185)/T762,2)</f>
        <v>7.0000000000000007E-2</v>
      </c>
      <c r="V762" s="3"/>
      <c r="W762" s="1">
        <v>280</v>
      </c>
      <c r="X762" s="9">
        <v>2</v>
      </c>
      <c r="Y762" s="1">
        <v>6</v>
      </c>
      <c r="Z762" s="3">
        <f>X762*VLOOKUP(Y762,[1]Datos!$A$2:$D$14,2)</f>
        <v>5.68</v>
      </c>
      <c r="AA762" s="8">
        <v>7.4999999999999997E-2</v>
      </c>
      <c r="AB762" s="7">
        <f>IF(D762=0,0.9,0.5)*0.9*0.53*SQRT(W762)*G762*MAX(0.72*G762,0.9*((G762/2)+((G762-0.11)/PI())))*10</f>
        <v>207.09423574274689</v>
      </c>
      <c r="AC762" s="7">
        <f>0.9*Z762*4220*MAX(0.72*G762,0.9*((G762/2)+((G762-0.11)/PI())))/AA762/1000</f>
        <v>414.61035434434268</v>
      </c>
      <c r="AD762" s="6" t="str">
        <f>+IF(AC762&gt;K762-AB762,"Cumple","No Cumple")</f>
        <v>Cumple</v>
      </c>
      <c r="AE762" s="6"/>
      <c r="AF762" s="5">
        <v>12</v>
      </c>
      <c r="AG762" s="7">
        <f>ROUNDUP(MAX(0.45,G762,AF762/6),0)</f>
        <v>2</v>
      </c>
      <c r="AH762" s="3">
        <f>PI()*(G762-0.15)^2/4</f>
        <v>2.6880252142277672</v>
      </c>
      <c r="AI762" s="7">
        <f>G762-0.15-VLOOKUP(Y762,[1]Datos!$A$2:$D$14,3)/100</f>
        <v>1.8309000000000002</v>
      </c>
      <c r="AJ762" s="7">
        <f>SQRT((PI()*AI762)^2+AA762^2)</f>
        <v>5.7524309339691264</v>
      </c>
      <c r="AK762" s="1">
        <v>0.12</v>
      </c>
      <c r="AL762" s="16">
        <f>MAX(0.45*(H762/AH762-1),AK762)*(W762/4220)</f>
        <v>7.9620853080568724E-3</v>
      </c>
      <c r="AM762" s="7">
        <f>AG762*(AJ762/AA762)</f>
        <v>153.39815823917672</v>
      </c>
      <c r="AN762" s="17">
        <f>AM762*Z762/X762/10000</f>
        <v>4.3565076939926187E-2</v>
      </c>
      <c r="AO762" s="17">
        <f>AH762*AG762</f>
        <v>5.3760504284555344</v>
      </c>
      <c r="AP762" s="16">
        <f>AN762/AO762</f>
        <v>8.1035469290495175E-3</v>
      </c>
      <c r="AQ762" s="6" t="str">
        <f>+IF(AP762&gt;AL762,"Cumple","No Cumple")</f>
        <v>Cumple</v>
      </c>
    </row>
    <row r="763" spans="1:43" ht="15" customHeight="1" x14ac:dyDescent="0.3">
      <c r="A763" s="13"/>
      <c r="B763" s="1">
        <v>12</v>
      </c>
      <c r="C763" s="1">
        <v>159</v>
      </c>
      <c r="D763" s="1">
        <v>0</v>
      </c>
      <c r="E763" s="5">
        <v>1</v>
      </c>
      <c r="F763" s="3">
        <f>F762+E763</f>
        <v>12</v>
      </c>
      <c r="G763" s="5">
        <v>2</v>
      </c>
      <c r="H763" s="3">
        <f>PI()*(G763^2)/4</f>
        <v>3.1415926535897931</v>
      </c>
      <c r="I763" s="4">
        <v>5.5238000000000002E-2</v>
      </c>
      <c r="K763" s="3">
        <v>181.98568841384204</v>
      </c>
      <c r="L763" s="3">
        <v>166.36838</v>
      </c>
      <c r="M763" s="3">
        <v>1490.97522</v>
      </c>
      <c r="N763" s="12">
        <f>I763/H763</f>
        <v>1.7582801493020231E-2</v>
      </c>
      <c r="O763" s="11">
        <f>I763*10000</f>
        <v>552.38</v>
      </c>
      <c r="P763" s="1">
        <v>10</v>
      </c>
      <c r="Q763" s="15">
        <v>1</v>
      </c>
      <c r="R763" s="3">
        <f>Q763*VLOOKUP(P763,[1]Datos!$A$2:$D$14,2)</f>
        <v>8.19</v>
      </c>
      <c r="S763" s="10">
        <f>ROUNDUP(O763/R763,0)</f>
        <v>68</v>
      </c>
      <c r="T763" s="14">
        <v>77</v>
      </c>
      <c r="U763" s="3">
        <f>ROUNDDOWN(PI()*(G763-0.185)/T763,2)</f>
        <v>7.0000000000000007E-2</v>
      </c>
      <c r="V763" s="3"/>
      <c r="W763" s="1">
        <v>280</v>
      </c>
      <c r="X763" s="9">
        <v>2</v>
      </c>
      <c r="Y763" s="1">
        <v>6</v>
      </c>
      <c r="Z763" s="3">
        <f>X763*VLOOKUP(Y763,[1]Datos!$A$2:$D$14,2)</f>
        <v>5.68</v>
      </c>
      <c r="AA763" s="8">
        <v>7.4999999999999997E-2</v>
      </c>
      <c r="AB763" s="7">
        <f>IF(D763=0,0.9,0.5)*0.9*0.53*SQRT(W763)*G763*MAX(0.72*G763,0.9*((G763/2)+((G763-0.11)/PI())))*10</f>
        <v>207.09423574274689</v>
      </c>
      <c r="AC763" s="7">
        <f>0.9*Z763*4220*MAX(0.72*G763,0.9*((G763/2)+((G763-0.11)/PI())))/AA763/1000</f>
        <v>414.61035434434268</v>
      </c>
      <c r="AD763" s="6" t="str">
        <f>+IF(AC763&gt;K763-AB763,"Cumple","No Cumple")</f>
        <v>Cumple</v>
      </c>
      <c r="AE763" s="6"/>
      <c r="AF763" s="5">
        <v>12</v>
      </c>
      <c r="AG763" s="7">
        <f>ROUNDUP(MAX(0.45,G763,AF763/6),0)</f>
        <v>2</v>
      </c>
      <c r="AH763" s="3">
        <f>PI()*(G763-0.15)^2/4</f>
        <v>2.6880252142277672</v>
      </c>
      <c r="AI763" s="7">
        <f>G763-0.15-VLOOKUP(Y763,[1]Datos!$A$2:$D$14,3)/100</f>
        <v>1.8309000000000002</v>
      </c>
      <c r="AJ763" s="7">
        <f>SQRT((PI()*AI763)^2+AA763^2)</f>
        <v>5.7524309339691264</v>
      </c>
      <c r="AK763" s="1">
        <v>0.12</v>
      </c>
      <c r="AL763" s="16">
        <f>MAX(0.45*(H763/AH763-1),AK763)*(W763/4220)</f>
        <v>7.9620853080568724E-3</v>
      </c>
      <c r="AM763" s="7">
        <f>AG763*(AJ763/AA763)</f>
        <v>153.39815823917672</v>
      </c>
      <c r="AN763" s="17">
        <f>AM763*Z763/X763/10000</f>
        <v>4.3565076939926187E-2</v>
      </c>
      <c r="AO763" s="17">
        <f>AH763*AG763</f>
        <v>5.3760504284555344</v>
      </c>
      <c r="AP763" s="16">
        <f>AN763/AO763</f>
        <v>8.1035469290495175E-3</v>
      </c>
      <c r="AQ763" s="6" t="str">
        <f>+IF(AP763&gt;AL763,"Cumple","No Cumple")</f>
        <v>Cumple</v>
      </c>
    </row>
    <row r="764" spans="1:43" ht="15" customHeight="1" x14ac:dyDescent="0.3">
      <c r="A764" s="13"/>
      <c r="B764" s="1">
        <v>13</v>
      </c>
      <c r="C764" s="1">
        <v>375</v>
      </c>
      <c r="D764" s="1">
        <v>1</v>
      </c>
      <c r="E764" s="5">
        <v>1</v>
      </c>
      <c r="F764" s="3">
        <f>F763+E764</f>
        <v>13</v>
      </c>
      <c r="G764" s="5">
        <v>2</v>
      </c>
      <c r="H764" s="3">
        <f>PI()*(G764^2)/4</f>
        <v>3.1415926535897931</v>
      </c>
      <c r="I764" s="4">
        <v>0.118216</v>
      </c>
      <c r="K764" s="3">
        <v>182.03347886971233</v>
      </c>
      <c r="L764" s="3">
        <v>400.02945999999997</v>
      </c>
      <c r="M764" s="3">
        <v>2759.0118499999999</v>
      </c>
      <c r="N764" s="12">
        <f>I764/H764</f>
        <v>3.7629321505103001E-2</v>
      </c>
      <c r="O764" s="11">
        <f>I764*10000</f>
        <v>1182.1600000000001</v>
      </c>
      <c r="P764" s="1">
        <v>10</v>
      </c>
      <c r="Q764" s="15">
        <v>2</v>
      </c>
      <c r="R764" s="3">
        <f>Q764*VLOOKUP(P764,[1]Datos!$A$2:$D$14,2)</f>
        <v>16.38</v>
      </c>
      <c r="S764" s="10">
        <f>ROUNDUP(O764/R764,0)</f>
        <v>73</v>
      </c>
      <c r="T764" s="14">
        <v>77</v>
      </c>
      <c r="U764" s="3">
        <f>ROUNDDOWN(PI()*(G764-0.185)/T764,2)</f>
        <v>7.0000000000000007E-2</v>
      </c>
      <c r="V764" s="3"/>
      <c r="W764" s="1">
        <v>280</v>
      </c>
      <c r="X764" s="9">
        <v>2</v>
      </c>
      <c r="Y764" s="1">
        <v>6</v>
      </c>
      <c r="Z764" s="3">
        <f>X764*VLOOKUP(Y764,[1]Datos!$A$2:$D$14,2)</f>
        <v>5.68</v>
      </c>
      <c r="AA764" s="8">
        <v>7.4999999999999997E-2</v>
      </c>
      <c r="AB764" s="7">
        <f>IF(D764=0,0.9,0.5)*0.9*0.53*SQRT(W764)*G764*MAX(0.72*G764,0.9*((G764/2)+((G764-0.11)/PI())))*10</f>
        <v>115.05235319041492</v>
      </c>
      <c r="AC764" s="7">
        <f>0.9*Z764*4220*MAX(0.72*G764,0.9*((G764/2)+((G764-0.11)/PI())))/AA764/1000</f>
        <v>414.61035434434268</v>
      </c>
      <c r="AD764" s="6" t="str">
        <f>+IF(AC764&gt;K764-AB764,"Cumple","No Cumple")</f>
        <v>Cumple</v>
      </c>
      <c r="AE764" s="6"/>
      <c r="AG764" s="7">
        <f>ROUNDUP(MAX(0.45,3*G764,),0)</f>
        <v>6</v>
      </c>
      <c r="AH764" s="3">
        <f>PI()*(G764-0.15)^2/4</f>
        <v>2.6880252142277672</v>
      </c>
      <c r="AI764" s="7">
        <f>G764-0.15-VLOOKUP(Y764,[1]Datos!$A$2:$D$14,3)/100</f>
        <v>1.8309000000000002</v>
      </c>
      <c r="AJ764" s="7">
        <f>SQRT((PI()*AI764)^2+AA764^2)</f>
        <v>5.7524309339691264</v>
      </c>
      <c r="AK764" s="1">
        <v>0.12</v>
      </c>
      <c r="AL764" s="16">
        <f>MAX(0.45*(H764/AH764-1),AK764)*(W764/4220)</f>
        <v>7.9620853080568724E-3</v>
      </c>
      <c r="AM764" s="7">
        <f>AG764*(AJ764/AA764)</f>
        <v>460.19447471753017</v>
      </c>
      <c r="AN764" s="17">
        <f>AM764*Z764/X764/10000</f>
        <v>0.13069523081977857</v>
      </c>
      <c r="AO764" s="17">
        <f>AH764*AG764</f>
        <v>16.128151285366602</v>
      </c>
      <c r="AP764" s="16">
        <f>AN764/AO764</f>
        <v>8.1035469290495193E-3</v>
      </c>
      <c r="AQ764" s="6" t="str">
        <f>+IF(AP764&gt;AL764,"Cumple","No Cumple")</f>
        <v>Cumple</v>
      </c>
    </row>
    <row r="765" spans="1:43" ht="15" customHeight="1" x14ac:dyDescent="0.3">
      <c r="A765" s="13"/>
      <c r="B765" s="1">
        <v>14</v>
      </c>
      <c r="C765" s="1">
        <v>377</v>
      </c>
      <c r="D765" s="1">
        <v>1</v>
      </c>
      <c r="E765" s="5">
        <v>1</v>
      </c>
      <c r="F765" s="3">
        <f>F764+E765</f>
        <v>14</v>
      </c>
      <c r="G765" s="5">
        <v>2</v>
      </c>
      <c r="H765" s="3">
        <f>PI()*(G765^2)/4</f>
        <v>3.1415926535897931</v>
      </c>
      <c r="I765" s="4">
        <v>0.12371500000000001</v>
      </c>
      <c r="K765" s="3">
        <v>129.72540655538529</v>
      </c>
      <c r="L765" s="3">
        <v>486.34096</v>
      </c>
      <c r="M765" s="3">
        <v>2884.4792299999999</v>
      </c>
      <c r="N765" s="12">
        <f>I765/H765</f>
        <v>3.9379707569227665E-2</v>
      </c>
      <c r="O765" s="11">
        <f>I765*10000</f>
        <v>1237.1500000000001</v>
      </c>
      <c r="P765" s="1">
        <v>10</v>
      </c>
      <c r="Q765" s="15">
        <v>2</v>
      </c>
      <c r="R765" s="3">
        <f>Q765*VLOOKUP(P765,[1]Datos!$A$2:$D$14,2)</f>
        <v>16.38</v>
      </c>
      <c r="S765" s="10">
        <f>ROUNDUP(O765/R765,0)</f>
        <v>76</v>
      </c>
      <c r="T765" s="14">
        <v>77</v>
      </c>
      <c r="U765" s="3">
        <f>ROUNDDOWN(PI()*(G765-0.185)/T765,2)</f>
        <v>7.0000000000000007E-2</v>
      </c>
      <c r="V765" s="3"/>
      <c r="W765" s="1">
        <v>280</v>
      </c>
      <c r="X765" s="9">
        <v>2</v>
      </c>
      <c r="Y765" s="1">
        <v>6</v>
      </c>
      <c r="Z765" s="3">
        <f>X765*VLOOKUP(Y765,[1]Datos!$A$2:$D$14,2)</f>
        <v>5.68</v>
      </c>
      <c r="AA765" s="8">
        <v>7.4999999999999997E-2</v>
      </c>
      <c r="AB765" s="7">
        <f>IF(D765=0,0.9,0.5)*0.9*0.53*SQRT(W765)*G765*MAX(0.72*G765,0.9*((G765/2)+((G765-0.11)/PI())))*10</f>
        <v>115.05235319041492</v>
      </c>
      <c r="AC765" s="7">
        <f>0.9*Z765*4220*MAX(0.72*G765,0.9*((G765/2)+((G765-0.11)/PI())))/AA765/1000</f>
        <v>414.61035434434268</v>
      </c>
      <c r="AD765" s="6" t="str">
        <f>+IF(AC765&gt;K765-AB765,"Cumple","No Cumple")</f>
        <v>Cumple</v>
      </c>
      <c r="AE765" s="6"/>
      <c r="AG765" s="7">
        <f>ROUNDUP(MAX(0.45,3*G765,),0)</f>
        <v>6</v>
      </c>
      <c r="AH765" s="3">
        <f>PI()*(G765-0.15)^2/4</f>
        <v>2.6880252142277672</v>
      </c>
      <c r="AI765" s="7">
        <f>G765-0.15-VLOOKUP(Y765,[1]Datos!$A$2:$D$14,3)/100</f>
        <v>1.8309000000000002</v>
      </c>
      <c r="AJ765" s="7">
        <f>SQRT((PI()*AI765)^2+AA765^2)</f>
        <v>5.7524309339691264</v>
      </c>
      <c r="AK765" s="1">
        <v>0.12</v>
      </c>
      <c r="AL765" s="16">
        <f>MAX(0.45*(H765/AH765-1),AK765)*(W765/4220)</f>
        <v>7.9620853080568724E-3</v>
      </c>
      <c r="AM765" s="7">
        <f>AG765*(AJ765/AA765)</f>
        <v>460.19447471753017</v>
      </c>
      <c r="AN765" s="17">
        <f>AM765*Z765/X765/10000</f>
        <v>0.13069523081977857</v>
      </c>
      <c r="AO765" s="17">
        <f>AH765*AG765</f>
        <v>16.128151285366602</v>
      </c>
      <c r="AP765" s="16">
        <f>AN765/AO765</f>
        <v>8.1035469290495193E-3</v>
      </c>
      <c r="AQ765" s="6" t="str">
        <f>+IF(AP765&gt;AL765,"Cumple","No Cumple")</f>
        <v>Cumple</v>
      </c>
    </row>
    <row r="766" spans="1:43" ht="15" customHeight="1" x14ac:dyDescent="0.3">
      <c r="A766" s="13"/>
      <c r="B766" s="1">
        <v>15</v>
      </c>
      <c r="C766" s="1">
        <v>379</v>
      </c>
      <c r="D766" s="1">
        <v>1</v>
      </c>
      <c r="E766" s="5">
        <v>1</v>
      </c>
      <c r="F766" s="3">
        <f>F765+E766</f>
        <v>15</v>
      </c>
      <c r="G766" s="5">
        <v>2</v>
      </c>
      <c r="H766" s="3">
        <f>PI()*(G766^2)/4</f>
        <v>3.1415926535897931</v>
      </c>
      <c r="I766" s="4">
        <v>0.125444</v>
      </c>
      <c r="K766" s="3">
        <v>72.790070254946187</v>
      </c>
      <c r="L766" s="3">
        <v>550.53202999999996</v>
      </c>
      <c r="M766" s="3">
        <v>2927.7732999999998</v>
      </c>
      <c r="N766" s="12">
        <f>I766/H766</f>
        <v>3.993006536243944E-2</v>
      </c>
      <c r="O766" s="11">
        <f>I766*10000</f>
        <v>1254.44</v>
      </c>
      <c r="P766" s="1">
        <v>10</v>
      </c>
      <c r="Q766" s="15">
        <v>2</v>
      </c>
      <c r="R766" s="3">
        <f>Q766*VLOOKUP(P766,[1]Datos!$A$2:$D$14,2)</f>
        <v>16.38</v>
      </c>
      <c r="S766" s="10">
        <f>ROUNDUP(O766/R766,0)</f>
        <v>77</v>
      </c>
      <c r="T766" s="14">
        <v>77</v>
      </c>
      <c r="U766" s="3">
        <f>ROUNDDOWN(PI()*(G766-0.185)/T766,2)</f>
        <v>7.0000000000000007E-2</v>
      </c>
      <c r="V766" s="3"/>
      <c r="W766" s="1">
        <v>280</v>
      </c>
      <c r="X766" s="9">
        <v>2</v>
      </c>
      <c r="Y766" s="1">
        <v>6</v>
      </c>
      <c r="Z766" s="3">
        <f>X766*VLOOKUP(Y766,[1]Datos!$A$2:$D$14,2)</f>
        <v>5.68</v>
      </c>
      <c r="AA766" s="8">
        <v>7.4999999999999997E-2</v>
      </c>
      <c r="AB766" s="7">
        <f>IF(D766=0,0.9,0.5)*0.9*0.53*SQRT(W766)*G766*MAX(0.72*G766,0.9*((G766/2)+((G766-0.11)/PI())))*10</f>
        <v>115.05235319041492</v>
      </c>
      <c r="AC766" s="7">
        <f>0.9*Z766*4220*MAX(0.72*G766,0.9*((G766/2)+((G766-0.11)/PI())))/AA766/1000</f>
        <v>414.61035434434268</v>
      </c>
      <c r="AD766" s="6" t="str">
        <f>+IF(AC766&gt;K766-AB766,"Cumple","No Cumple")</f>
        <v>Cumple</v>
      </c>
      <c r="AE766" s="6"/>
      <c r="AG766" s="7">
        <f>ROUNDUP(MAX(0.45,3*G766,),0)</f>
        <v>6</v>
      </c>
      <c r="AH766" s="3">
        <f>PI()*(G766-0.15)^2/4</f>
        <v>2.6880252142277672</v>
      </c>
      <c r="AI766" s="7">
        <f>G766-0.15-VLOOKUP(Y766,[1]Datos!$A$2:$D$14,3)/100</f>
        <v>1.8309000000000002</v>
      </c>
      <c r="AJ766" s="7">
        <f>SQRT((PI()*AI766)^2+AA766^2)</f>
        <v>5.7524309339691264</v>
      </c>
      <c r="AK766" s="1">
        <v>0.12</v>
      </c>
      <c r="AL766" s="16">
        <f>MAX(0.45*(H766/AH766-1),AK766)*(W766/4220)</f>
        <v>7.9620853080568724E-3</v>
      </c>
      <c r="AM766" s="7">
        <f>AG766*(AJ766/AA766)</f>
        <v>460.19447471753017</v>
      </c>
      <c r="AN766" s="17">
        <f>AM766*Z766/X766/10000</f>
        <v>0.13069523081977857</v>
      </c>
      <c r="AO766" s="17">
        <f>AH766*AG766</f>
        <v>16.128151285366602</v>
      </c>
      <c r="AP766" s="16">
        <f>AN766/AO766</f>
        <v>8.1035469290495193E-3</v>
      </c>
      <c r="AQ766" s="6" t="str">
        <f>+IF(AP766&gt;AL766,"Cumple","No Cumple")</f>
        <v>Cumple</v>
      </c>
    </row>
    <row r="767" spans="1:43" ht="15" customHeight="1" x14ac:dyDescent="0.3">
      <c r="A767" s="13"/>
      <c r="B767" s="1">
        <v>16</v>
      </c>
      <c r="C767" s="1">
        <v>381</v>
      </c>
      <c r="D767" s="1">
        <v>1</v>
      </c>
      <c r="E767" s="5">
        <v>1</v>
      </c>
      <c r="F767" s="3">
        <f>F766+E767</f>
        <v>16</v>
      </c>
      <c r="G767" s="5">
        <v>2</v>
      </c>
      <c r="H767" s="3">
        <f>PI()*(G767^2)/4</f>
        <v>3.1415926535897931</v>
      </c>
      <c r="I767" s="4">
        <v>0.125443</v>
      </c>
      <c r="K767" s="3">
        <v>56.20809719257538</v>
      </c>
      <c r="L767" s="3">
        <v>587.81244000000004</v>
      </c>
      <c r="M767" s="3">
        <v>2927.7732999999998</v>
      </c>
      <c r="N767" s="12">
        <f>I767/H767</f>
        <v>3.9929747052553255E-2</v>
      </c>
      <c r="O767" s="11">
        <f>I767*10000</f>
        <v>1254.43</v>
      </c>
      <c r="P767" s="1">
        <v>10</v>
      </c>
      <c r="Q767" s="15">
        <v>2</v>
      </c>
      <c r="R767" s="3">
        <f>Q767*VLOOKUP(P767,[1]Datos!$A$2:$D$14,2)</f>
        <v>16.38</v>
      </c>
      <c r="S767" s="10">
        <f>ROUNDUP(O767/R767,0)</f>
        <v>77</v>
      </c>
      <c r="T767" s="14">
        <v>77</v>
      </c>
      <c r="U767" s="3">
        <f>ROUNDDOWN(PI()*(G767-0.185)/T767,2)</f>
        <v>7.0000000000000007E-2</v>
      </c>
      <c r="V767" s="3"/>
      <c r="W767" s="1">
        <v>280</v>
      </c>
      <c r="X767" s="9">
        <v>2</v>
      </c>
      <c r="Y767" s="1">
        <v>6</v>
      </c>
      <c r="Z767" s="3">
        <f>X767*VLOOKUP(Y767,[1]Datos!$A$2:$D$14,2)</f>
        <v>5.68</v>
      </c>
      <c r="AA767" s="8">
        <v>7.4999999999999997E-2</v>
      </c>
      <c r="AB767" s="7">
        <f>IF(D767=0,0.9,0.5)*0.9*0.53*SQRT(W767)*G767*MAX(0.72*G767,0.9*((G767/2)+((G767-0.11)/PI())))*10</f>
        <v>115.05235319041492</v>
      </c>
      <c r="AC767" s="7">
        <f>0.9*Z767*4220*MAX(0.72*G767,0.9*((G767/2)+((G767-0.11)/PI())))/AA767/1000</f>
        <v>414.61035434434268</v>
      </c>
      <c r="AD767" s="6" t="str">
        <f>+IF(AC767&gt;K767-AB767,"Cumple","No Cumple")</f>
        <v>Cumple</v>
      </c>
      <c r="AE767" s="6"/>
      <c r="AG767" s="7">
        <f>ROUNDUP(MAX(0.45,3*G767,),0)</f>
        <v>6</v>
      </c>
      <c r="AH767" s="3">
        <f>PI()*(G767-0.15)^2/4</f>
        <v>2.6880252142277672</v>
      </c>
      <c r="AI767" s="7">
        <f>G767-0.15-VLOOKUP(Y767,[1]Datos!$A$2:$D$14,3)/100</f>
        <v>1.8309000000000002</v>
      </c>
      <c r="AJ767" s="7">
        <f>SQRT((PI()*AI767)^2+AA767^2)</f>
        <v>5.7524309339691264</v>
      </c>
      <c r="AK767" s="1">
        <v>0.12</v>
      </c>
      <c r="AL767" s="16">
        <f>MAX(0.45*(H767/AH767-1),AK767)*(W767/4220)</f>
        <v>7.9620853080568724E-3</v>
      </c>
      <c r="AM767" s="7">
        <f>AG767*(AJ767/AA767)</f>
        <v>460.19447471753017</v>
      </c>
      <c r="AN767" s="17">
        <f>AM767*Z767/X767/10000</f>
        <v>0.13069523081977857</v>
      </c>
      <c r="AO767" s="17">
        <f>AH767*AG767</f>
        <v>16.128151285366602</v>
      </c>
      <c r="AP767" s="16">
        <f>AN767/AO767</f>
        <v>8.1035469290495193E-3</v>
      </c>
      <c r="AQ767" s="6" t="str">
        <f>+IF(AP767&gt;AL767,"Cumple","No Cumple")</f>
        <v>Cumple</v>
      </c>
    </row>
    <row r="768" spans="1:43" ht="15" customHeight="1" x14ac:dyDescent="0.3">
      <c r="A768" s="13"/>
      <c r="B768" s="1">
        <v>17</v>
      </c>
      <c r="C768" s="1">
        <v>383</v>
      </c>
      <c r="D768" s="1">
        <v>1</v>
      </c>
      <c r="E768" s="5">
        <v>1</v>
      </c>
      <c r="F768" s="3">
        <f>F767+E768</f>
        <v>17</v>
      </c>
      <c r="G768" s="5">
        <v>2</v>
      </c>
      <c r="H768" s="3">
        <f>PI()*(G768^2)/4</f>
        <v>3.1415926535897931</v>
      </c>
      <c r="I768" s="4">
        <v>0.123238</v>
      </c>
      <c r="K768" s="3">
        <v>142.31809237647897</v>
      </c>
      <c r="L768" s="3">
        <v>597.34126000000003</v>
      </c>
      <c r="M768" s="3">
        <v>2877.99568</v>
      </c>
      <c r="N768" s="12">
        <f>I768/H768</f>
        <v>3.9227873753517994E-2</v>
      </c>
      <c r="O768" s="11">
        <f>I768*10000</f>
        <v>1232.3800000000001</v>
      </c>
      <c r="P768" s="1">
        <v>10</v>
      </c>
      <c r="Q768" s="15">
        <v>2</v>
      </c>
      <c r="R768" s="3">
        <f>Q768*VLOOKUP(P768,[1]Datos!$A$2:$D$14,2)</f>
        <v>16.38</v>
      </c>
      <c r="S768" s="10">
        <f>ROUNDUP(O768/R768,0)</f>
        <v>76</v>
      </c>
      <c r="T768" s="14">
        <v>77</v>
      </c>
      <c r="U768" s="3">
        <f>ROUNDDOWN(PI()*(G768-0.185)/T768,2)</f>
        <v>7.0000000000000007E-2</v>
      </c>
      <c r="V768" s="3"/>
      <c r="W768" s="1">
        <v>280</v>
      </c>
      <c r="X768" s="9">
        <v>2</v>
      </c>
      <c r="Y768" s="1">
        <v>6</v>
      </c>
      <c r="Z768" s="3">
        <f>X768*VLOOKUP(Y768,[1]Datos!$A$2:$D$14,2)</f>
        <v>5.68</v>
      </c>
      <c r="AA768" s="8">
        <v>7.4999999999999997E-2</v>
      </c>
      <c r="AB768" s="7">
        <f>IF(D768=0,0.9,0.5)*0.9*0.53*SQRT(W768)*G768*MAX(0.72*G768,0.9*((G768/2)+((G768-0.11)/PI())))*10</f>
        <v>115.05235319041492</v>
      </c>
      <c r="AC768" s="7">
        <f>0.9*Z768*4220*MAX(0.72*G768,0.9*((G768/2)+((G768-0.11)/PI())))/AA768/1000</f>
        <v>414.61035434434268</v>
      </c>
      <c r="AD768" s="6" t="str">
        <f>+IF(AC768&gt;K768-AB768,"Cumple","No Cumple")</f>
        <v>Cumple</v>
      </c>
      <c r="AE768" s="6"/>
      <c r="AG768" s="7">
        <f>ROUNDUP(MAX(0.45,3*G768,),0)</f>
        <v>6</v>
      </c>
      <c r="AH768" s="3">
        <f>PI()*(G768-0.15)^2/4</f>
        <v>2.6880252142277672</v>
      </c>
      <c r="AI768" s="7">
        <f>G768-0.15-VLOOKUP(Y768,[1]Datos!$A$2:$D$14,3)/100</f>
        <v>1.8309000000000002</v>
      </c>
      <c r="AJ768" s="7">
        <f>SQRT((PI()*AI768)^2+AA768^2)</f>
        <v>5.7524309339691264</v>
      </c>
      <c r="AK768" s="1">
        <v>0.12</v>
      </c>
      <c r="AL768" s="16">
        <f>MAX(0.45*(H768/AH768-1),AK768)*(W768/4220)</f>
        <v>7.9620853080568724E-3</v>
      </c>
      <c r="AM768" s="7">
        <f>AG768*(AJ768/AA768)</f>
        <v>460.19447471753017</v>
      </c>
      <c r="AN768" s="17">
        <f>AM768*Z768/X768/10000</f>
        <v>0.13069523081977857</v>
      </c>
      <c r="AO768" s="17">
        <f>AH768*AG768</f>
        <v>16.128151285366602</v>
      </c>
      <c r="AP768" s="16">
        <f>AN768/AO768</f>
        <v>8.1035469290495193E-3</v>
      </c>
      <c r="AQ768" s="6" t="str">
        <f>+IF(AP768&gt;AL768,"Cumple","No Cumple")</f>
        <v>Cumple</v>
      </c>
    </row>
    <row r="769" spans="1:43" ht="15" customHeight="1" x14ac:dyDescent="0.3">
      <c r="A769" s="13"/>
      <c r="B769" s="1">
        <v>18</v>
      </c>
      <c r="C769" s="1">
        <v>385</v>
      </c>
      <c r="D769" s="1">
        <v>1</v>
      </c>
      <c r="E769" s="5">
        <v>1</v>
      </c>
      <c r="F769" s="3">
        <f>F768+E769</f>
        <v>18</v>
      </c>
      <c r="G769" s="5">
        <v>2</v>
      </c>
      <c r="H769" s="3">
        <f>PI()*(G769^2)/4</f>
        <v>3.1415926535897931</v>
      </c>
      <c r="I769" s="4">
        <v>0.1168</v>
      </c>
      <c r="K769" s="3">
        <v>218.50849461391655</v>
      </c>
      <c r="L769" s="3">
        <v>597.34126000000003</v>
      </c>
      <c r="M769" s="3">
        <v>2738.45111</v>
      </c>
      <c r="N769" s="12">
        <f>I769/H769</f>
        <v>3.7178594706266749E-2</v>
      </c>
      <c r="O769" s="11">
        <f>I769*10000</f>
        <v>1168</v>
      </c>
      <c r="P769" s="1">
        <v>10</v>
      </c>
      <c r="Q769" s="15">
        <v>2</v>
      </c>
      <c r="R769" s="3">
        <f>Q769*VLOOKUP(P769,[1]Datos!$A$2:$D$14,2)</f>
        <v>16.38</v>
      </c>
      <c r="S769" s="10">
        <f>ROUNDUP(O769/R769,0)</f>
        <v>72</v>
      </c>
      <c r="T769" s="14">
        <v>77</v>
      </c>
      <c r="U769" s="3">
        <f>ROUNDDOWN(PI()*(G769-0.185)/T769,2)</f>
        <v>7.0000000000000007E-2</v>
      </c>
      <c r="V769" s="3"/>
      <c r="W769" s="1">
        <v>280</v>
      </c>
      <c r="X769" s="9">
        <v>2</v>
      </c>
      <c r="Y769" s="1">
        <v>6</v>
      </c>
      <c r="Z769" s="3">
        <f>X769*VLOOKUP(Y769,[1]Datos!$A$2:$D$14,2)</f>
        <v>5.68</v>
      </c>
      <c r="AA769" s="8">
        <v>7.4999999999999997E-2</v>
      </c>
      <c r="AB769" s="7">
        <f>IF(D769=0,0.9,0.5)*0.9*0.53*SQRT(W769)*G769*MAX(0.72*G769,0.9*((G769/2)+((G769-0.11)/PI())))*10</f>
        <v>115.05235319041492</v>
      </c>
      <c r="AC769" s="7">
        <f>0.9*Z769*4220*MAX(0.72*G769,0.9*((G769/2)+((G769-0.11)/PI())))/AA769/1000</f>
        <v>414.61035434434268</v>
      </c>
      <c r="AD769" s="6" t="str">
        <f>+IF(AC769&gt;K769-AB769,"Cumple","No Cumple")</f>
        <v>Cumple</v>
      </c>
      <c r="AE769" s="6"/>
      <c r="AG769" s="7">
        <f>ROUNDUP(MAX(0.45,3*G769,),0)</f>
        <v>6</v>
      </c>
      <c r="AH769" s="3">
        <f>PI()*(G769-0.15)^2/4</f>
        <v>2.6880252142277672</v>
      </c>
      <c r="AI769" s="7">
        <f>G769-0.15-VLOOKUP(Y769,[1]Datos!$A$2:$D$14,3)/100</f>
        <v>1.8309000000000002</v>
      </c>
      <c r="AJ769" s="7">
        <f>SQRT((PI()*AI769)^2+AA769^2)</f>
        <v>5.7524309339691264</v>
      </c>
      <c r="AK769" s="1">
        <v>0.12</v>
      </c>
      <c r="AL769" s="16">
        <f>MAX(0.45*(H769/AH769-1),AK769)*(W769/4220)</f>
        <v>7.9620853080568724E-3</v>
      </c>
      <c r="AM769" s="7">
        <f>AG769*(AJ769/AA769)</f>
        <v>460.19447471753017</v>
      </c>
      <c r="AN769" s="17">
        <f>AM769*Z769/X769/10000</f>
        <v>0.13069523081977857</v>
      </c>
      <c r="AO769" s="17">
        <f>AH769*AG769</f>
        <v>16.128151285366602</v>
      </c>
      <c r="AP769" s="16">
        <f>AN769/AO769</f>
        <v>8.1035469290495193E-3</v>
      </c>
      <c r="AQ769" s="6" t="str">
        <f>+IF(AP769&gt;AL769,"Cumple","No Cumple")</f>
        <v>Cumple</v>
      </c>
    </row>
    <row r="770" spans="1:43" ht="15" customHeight="1" x14ac:dyDescent="0.3">
      <c r="A770" s="13"/>
      <c r="B770" s="1">
        <v>19</v>
      </c>
      <c r="C770" s="1">
        <v>387</v>
      </c>
      <c r="D770" s="1">
        <v>1</v>
      </c>
      <c r="E770" s="5">
        <v>1</v>
      </c>
      <c r="F770" s="3">
        <f>F769+E770</f>
        <v>19</v>
      </c>
      <c r="G770" s="5">
        <v>2</v>
      </c>
      <c r="H770" s="3">
        <f>PI()*(G770^2)/4</f>
        <v>3.1415926535897931</v>
      </c>
      <c r="I770" s="4">
        <v>0.10545300000000001</v>
      </c>
      <c r="K770" s="3">
        <v>276.33345834513057</v>
      </c>
      <c r="L770" s="3">
        <v>581.22254999999996</v>
      </c>
      <c r="M770" s="3">
        <v>2522.3028300000001</v>
      </c>
      <c r="N770" s="12">
        <f>I770/H770</f>
        <v>3.3566732427739283E-2</v>
      </c>
      <c r="O770" s="11">
        <f>I770*10000</f>
        <v>1054.53</v>
      </c>
      <c r="P770" s="1">
        <v>10</v>
      </c>
      <c r="Q770" s="15">
        <v>2</v>
      </c>
      <c r="R770" s="3">
        <f>Q770*VLOOKUP(P770,[1]Datos!$A$2:$D$14,2)</f>
        <v>16.38</v>
      </c>
      <c r="S770" s="10">
        <f>ROUNDUP(O770/R770,0)</f>
        <v>65</v>
      </c>
      <c r="T770" s="14">
        <v>77</v>
      </c>
      <c r="U770" s="3">
        <f>ROUNDDOWN(PI()*(G770-0.185)/T770,2)</f>
        <v>7.0000000000000007E-2</v>
      </c>
      <c r="V770" s="3"/>
      <c r="W770" s="1">
        <v>280</v>
      </c>
      <c r="X770" s="9">
        <v>2</v>
      </c>
      <c r="Y770" s="1">
        <v>6</v>
      </c>
      <c r="Z770" s="3">
        <f>X770*VLOOKUP(Y770,[1]Datos!$A$2:$D$14,2)</f>
        <v>5.68</v>
      </c>
      <c r="AA770" s="8">
        <v>0.1</v>
      </c>
      <c r="AB770" s="7">
        <f>IF(D770=0,0.9,0.5)*0.9*0.53*SQRT(W770)*G770*MAX(0.72*G770,0.9*((G770/2)+((G770-0.11)/PI())))*10</f>
        <v>115.05235319041492</v>
      </c>
      <c r="AC770" s="7">
        <f>0.9*Z770*4220*MAX(0.72*G770,0.9*((G770/2)+((G770-0.11)/PI())))/AA770/1000</f>
        <v>310.95776575825693</v>
      </c>
      <c r="AD770" s="6" t="str">
        <f>+IF(AC770&gt;K770-AB770,"Cumple","No Cumple")</f>
        <v>Cumple</v>
      </c>
      <c r="AE770" s="6"/>
      <c r="AH770" s="3"/>
    </row>
    <row r="771" spans="1:43" ht="15" customHeight="1" x14ac:dyDescent="0.3">
      <c r="A771" s="13"/>
      <c r="B771" s="1">
        <v>20</v>
      </c>
      <c r="C771" s="1">
        <v>389</v>
      </c>
      <c r="D771" s="1">
        <v>1</v>
      </c>
      <c r="E771" s="5">
        <v>1</v>
      </c>
      <c r="F771" s="3">
        <f>F770+E771</f>
        <v>20</v>
      </c>
      <c r="G771" s="5">
        <v>2</v>
      </c>
      <c r="H771" s="3">
        <f>PI()*(G771^2)/4</f>
        <v>3.1415926535897931</v>
      </c>
      <c r="I771" s="4">
        <v>9.1351000000000002E-2</v>
      </c>
      <c r="K771" s="3">
        <v>312.56293618079542</v>
      </c>
      <c r="L771" s="3">
        <v>543.55148999999994</v>
      </c>
      <c r="M771" s="3">
        <v>2248.6147700000001</v>
      </c>
      <c r="N771" s="12">
        <f>I771/H771</f>
        <v>2.9077926412775464E-2</v>
      </c>
      <c r="O771" s="11">
        <f>I771*10000</f>
        <v>913.51</v>
      </c>
      <c r="P771" s="1">
        <v>10</v>
      </c>
      <c r="Q771" s="15">
        <v>2</v>
      </c>
      <c r="R771" s="3">
        <f>Q771*VLOOKUP(P771,[1]Datos!$A$2:$D$14,2)</f>
        <v>16.38</v>
      </c>
      <c r="S771" s="10">
        <f>ROUNDUP(O771/R771,0)</f>
        <v>56</v>
      </c>
      <c r="T771" s="14">
        <v>77</v>
      </c>
      <c r="U771" s="3">
        <f>ROUNDDOWN(PI()*(G771-0.185)/T771,2)</f>
        <v>7.0000000000000007E-2</v>
      </c>
      <c r="V771" s="3"/>
      <c r="W771" s="1">
        <v>280</v>
      </c>
      <c r="X771" s="9">
        <v>2</v>
      </c>
      <c r="Y771" s="1">
        <v>6</v>
      </c>
      <c r="Z771" s="3">
        <f>X771*VLOOKUP(Y771,[1]Datos!$A$2:$D$14,2)</f>
        <v>5.68</v>
      </c>
      <c r="AA771" s="8">
        <v>0.1</v>
      </c>
      <c r="AB771" s="7">
        <f>IF(D771=0,0.9,0.5)*0.9*0.53*SQRT(W771)*G771*MAX(0.72*G771,0.9*((G771/2)+((G771-0.11)/PI())))*10</f>
        <v>115.05235319041492</v>
      </c>
      <c r="AC771" s="7">
        <f>0.9*Z771*4220*MAX(0.72*G771,0.9*((G771/2)+((G771-0.11)/PI())))/AA771/1000</f>
        <v>310.95776575825693</v>
      </c>
      <c r="AD771" s="6" t="str">
        <f>+IF(AC771&gt;K771-AB771,"Cumple","No Cumple")</f>
        <v>Cumple</v>
      </c>
      <c r="AE771" s="6"/>
      <c r="AH771" s="3"/>
    </row>
    <row r="772" spans="1:43" ht="15" customHeight="1" x14ac:dyDescent="0.3">
      <c r="A772" s="13"/>
      <c r="B772" s="1">
        <v>21</v>
      </c>
      <c r="C772" s="1">
        <v>391</v>
      </c>
      <c r="D772" s="1">
        <v>1</v>
      </c>
      <c r="E772" s="5">
        <v>1</v>
      </c>
      <c r="F772" s="3">
        <f>F771+E772</f>
        <v>21</v>
      </c>
      <c r="G772" s="5">
        <v>2</v>
      </c>
      <c r="H772" s="3">
        <f>PI()*(G772^2)/4</f>
        <v>3.1415926535897931</v>
      </c>
      <c r="I772" s="4">
        <v>7.9475000000000004E-2</v>
      </c>
      <c r="K772" s="3">
        <v>327.28088894570362</v>
      </c>
      <c r="L772" s="3">
        <v>489.54903999999999</v>
      </c>
      <c r="M772" s="3">
        <v>1938.9649300000001</v>
      </c>
      <c r="N772" s="12">
        <f>I772/H772</f>
        <v>2.5297678204456765E-2</v>
      </c>
      <c r="O772" s="11">
        <f>I772*10000</f>
        <v>794.75</v>
      </c>
      <c r="P772" s="1">
        <v>10</v>
      </c>
      <c r="Q772" s="15">
        <v>2</v>
      </c>
      <c r="R772" s="3">
        <f>Q772*VLOOKUP(P772,[1]Datos!$A$2:$D$14,2)</f>
        <v>16.38</v>
      </c>
      <c r="S772" s="10">
        <f>ROUNDUP(O772/R772,0)</f>
        <v>49</v>
      </c>
      <c r="T772" s="14">
        <v>77</v>
      </c>
      <c r="U772" s="3">
        <f>ROUNDDOWN(PI()*(G772-0.185)/T772,2)</f>
        <v>7.0000000000000007E-2</v>
      </c>
      <c r="V772" s="3"/>
      <c r="W772" s="1">
        <v>280</v>
      </c>
      <c r="X772" s="9">
        <v>2</v>
      </c>
      <c r="Y772" s="1">
        <v>6</v>
      </c>
      <c r="Z772" s="3">
        <f>X772*VLOOKUP(Y772,[1]Datos!$A$2:$D$14,2)</f>
        <v>5.68</v>
      </c>
      <c r="AA772" s="8">
        <v>0.1</v>
      </c>
      <c r="AB772" s="7">
        <f>IF(D772=0,0.9,0.5)*0.9*0.53*SQRT(W772)*G772*MAX(0.72*G772,0.9*((G772/2)+((G772-0.11)/PI())))*10</f>
        <v>115.05235319041492</v>
      </c>
      <c r="AC772" s="7">
        <f>0.9*Z772*4220*MAX(0.72*G772,0.9*((G772/2)+((G772-0.11)/PI())))/AA772/1000</f>
        <v>310.95776575825693</v>
      </c>
      <c r="AD772" s="6" t="str">
        <f>+IF(AC772&gt;K772-AB772,"Cumple","No Cumple")</f>
        <v>Cumple</v>
      </c>
      <c r="AE772" s="6"/>
      <c r="AH772" s="3"/>
    </row>
    <row r="773" spans="1:43" ht="15" customHeight="1" x14ac:dyDescent="0.3">
      <c r="A773" s="13"/>
      <c r="B773" s="1">
        <v>22</v>
      </c>
      <c r="C773" s="1">
        <v>393</v>
      </c>
      <c r="D773" s="1">
        <v>1</v>
      </c>
      <c r="E773" s="5">
        <v>1</v>
      </c>
      <c r="F773" s="3">
        <f>F772+E773</f>
        <v>22</v>
      </c>
      <c r="G773" s="5">
        <v>2</v>
      </c>
      <c r="H773" s="3">
        <f>PI()*(G773^2)/4</f>
        <v>3.1415926535897931</v>
      </c>
      <c r="I773" s="4">
        <v>6.1802999999999997E-2</v>
      </c>
      <c r="K773" s="3">
        <v>322.61686551291763</v>
      </c>
      <c r="L773" s="3">
        <v>424.82601</v>
      </c>
      <c r="M773" s="3">
        <v>1614.7464</v>
      </c>
      <c r="N773" s="12">
        <f>I773/H773</f>
        <v>1.9672505895816813E-2</v>
      </c>
      <c r="O773" s="11">
        <f>I773*10000</f>
        <v>618.03</v>
      </c>
      <c r="P773" s="1">
        <v>10</v>
      </c>
      <c r="Q773" s="15">
        <v>1</v>
      </c>
      <c r="R773" s="3">
        <f>Q773*VLOOKUP(P773,[1]Datos!$A$2:$D$14,2)</f>
        <v>8.19</v>
      </c>
      <c r="S773" s="10">
        <f>ROUNDUP(O773/R773,0)</f>
        <v>76</v>
      </c>
      <c r="T773" s="14">
        <v>77</v>
      </c>
      <c r="U773" s="3">
        <f>ROUNDDOWN(PI()*(G773-0.185)/T773,2)</f>
        <v>7.0000000000000007E-2</v>
      </c>
      <c r="V773" s="3"/>
      <c r="W773" s="1">
        <v>280</v>
      </c>
      <c r="X773" s="9">
        <v>2</v>
      </c>
      <c r="Y773" s="1">
        <v>6</v>
      </c>
      <c r="Z773" s="3">
        <f>X773*VLOOKUP(Y773,[1]Datos!$A$2:$D$14,2)</f>
        <v>5.68</v>
      </c>
      <c r="AA773" s="8">
        <v>0.1</v>
      </c>
      <c r="AB773" s="7">
        <f>IF(D773=0,0.9,0.5)*0.9*0.53*SQRT(W773)*G773*MAX(0.72*G773,0.9*((G773/2)+((G773-0.11)/PI())))*10</f>
        <v>115.05235319041492</v>
      </c>
      <c r="AC773" s="7">
        <f>0.9*Z773*4220*MAX(0.72*G773,0.9*((G773/2)+((G773-0.11)/PI())))/AA773/1000</f>
        <v>310.95776575825693</v>
      </c>
      <c r="AD773" s="6" t="str">
        <f>+IF(AC773&gt;K773-AB773,"Cumple","No Cumple")</f>
        <v>Cumple</v>
      </c>
      <c r="AE773" s="6"/>
      <c r="AH773" s="3"/>
    </row>
    <row r="774" spans="1:43" ht="15" customHeight="1" x14ac:dyDescent="0.3">
      <c r="A774" s="13"/>
      <c r="B774" s="1">
        <v>23</v>
      </c>
      <c r="C774" s="1">
        <v>395</v>
      </c>
      <c r="D774" s="1">
        <v>1</v>
      </c>
      <c r="E774" s="5">
        <v>1</v>
      </c>
      <c r="F774" s="3">
        <f>F773+E774</f>
        <v>23</v>
      </c>
      <c r="G774" s="5">
        <v>2</v>
      </c>
      <c r="H774" s="3">
        <f>PI()*(G774^2)/4</f>
        <v>3.1415926535897931</v>
      </c>
      <c r="I774" s="4">
        <v>5.1223999999999999E-2</v>
      </c>
      <c r="K774" s="3">
        <v>301.98829712424288</v>
      </c>
      <c r="L774" s="3">
        <v>354.80417999999997</v>
      </c>
      <c r="M774" s="3">
        <v>1295.20029</v>
      </c>
      <c r="N774" s="12">
        <f>I774/H774</f>
        <v>1.6305105609878495E-2</v>
      </c>
      <c r="O774" s="11">
        <f>I774*10000</f>
        <v>512.24</v>
      </c>
      <c r="P774" s="1">
        <v>10</v>
      </c>
      <c r="Q774" s="15">
        <v>1</v>
      </c>
      <c r="R774" s="3">
        <f>Q774*VLOOKUP(P774,[1]Datos!$A$2:$D$14,2)</f>
        <v>8.19</v>
      </c>
      <c r="S774" s="10">
        <f>ROUNDUP(O774/R774,0)</f>
        <v>63</v>
      </c>
      <c r="T774" s="14">
        <v>77</v>
      </c>
      <c r="U774" s="3">
        <f>ROUNDDOWN(PI()*(G774-0.185)/T774,2)</f>
        <v>7.0000000000000007E-2</v>
      </c>
      <c r="V774" s="3"/>
      <c r="W774" s="1">
        <v>280</v>
      </c>
      <c r="X774" s="9">
        <v>2</v>
      </c>
      <c r="Y774" s="1">
        <v>6</v>
      </c>
      <c r="Z774" s="3">
        <f>X774*VLOOKUP(Y774,[1]Datos!$A$2:$D$14,2)</f>
        <v>5.68</v>
      </c>
      <c r="AA774" s="8">
        <v>0.1</v>
      </c>
      <c r="AB774" s="7">
        <f>IF(D774=0,0.9,0.5)*0.9*0.53*SQRT(W774)*G774*MAX(0.72*G774,0.9*((G774/2)+((G774-0.11)/PI())))*10</f>
        <v>115.05235319041492</v>
      </c>
      <c r="AC774" s="7">
        <f>0.9*Z774*4220*MAX(0.72*G774,0.9*((G774/2)+((G774-0.11)/PI())))/AA774/1000</f>
        <v>310.95776575825693</v>
      </c>
      <c r="AD774" s="6" t="str">
        <f>+IF(AC774&gt;K774-AB774,"Cumple","No Cumple")</f>
        <v>Cumple</v>
      </c>
      <c r="AE774" s="6"/>
      <c r="AH774" s="3"/>
    </row>
    <row r="775" spans="1:43" ht="15" customHeight="1" x14ac:dyDescent="0.3">
      <c r="A775" s="13"/>
      <c r="B775" s="1">
        <v>24</v>
      </c>
      <c r="C775" s="1">
        <v>397</v>
      </c>
      <c r="D775" s="1">
        <v>1</v>
      </c>
      <c r="E775" s="5">
        <v>1</v>
      </c>
      <c r="F775" s="3">
        <f>F774+E775</f>
        <v>24</v>
      </c>
      <c r="G775" s="5">
        <v>2</v>
      </c>
      <c r="H775" s="3">
        <f>PI()*(G775^2)/4</f>
        <v>3.1415926535897931</v>
      </c>
      <c r="I775" s="4">
        <v>4.0326000000000001E-2</v>
      </c>
      <c r="K775" s="3">
        <v>269.44932999213415</v>
      </c>
      <c r="L775" s="3">
        <v>284.30549000000002</v>
      </c>
      <c r="M775" s="3">
        <v>996.15877</v>
      </c>
      <c r="N775" s="12">
        <f>I775/H775</f>
        <v>1.2836164470247543E-2</v>
      </c>
      <c r="O775" s="11">
        <f>I775*10000</f>
        <v>403.26</v>
      </c>
      <c r="P775" s="1">
        <v>10</v>
      </c>
      <c r="Q775" s="15">
        <v>1</v>
      </c>
      <c r="R775" s="3">
        <f>Q775*VLOOKUP(P775,[1]Datos!$A$2:$D$14,2)</f>
        <v>8.19</v>
      </c>
      <c r="S775" s="10">
        <f>ROUNDUP(O775/R775,0)</f>
        <v>50</v>
      </c>
      <c r="T775" s="14">
        <v>77</v>
      </c>
      <c r="U775" s="3">
        <f>ROUNDDOWN(PI()*(G775-0.185)/T775,2)</f>
        <v>7.0000000000000007E-2</v>
      </c>
      <c r="V775" s="3"/>
      <c r="W775" s="1">
        <v>280</v>
      </c>
      <c r="X775" s="9">
        <v>2</v>
      </c>
      <c r="Y775" s="1">
        <v>6</v>
      </c>
      <c r="Z775" s="3">
        <f>X775*VLOOKUP(Y775,[1]Datos!$A$2:$D$14,2)</f>
        <v>5.68</v>
      </c>
      <c r="AA775" s="8">
        <v>0.2</v>
      </c>
      <c r="AB775" s="7">
        <f>IF(D775=0,0.9,0.5)*0.9*0.53*SQRT(W775)*G775*MAX(0.72*G775,0.9*((G775/2)+((G775-0.11)/PI())))*10</f>
        <v>115.05235319041492</v>
      </c>
      <c r="AC775" s="7">
        <f>0.9*Z775*4220*MAX(0.72*G775,0.9*((G775/2)+((G775-0.11)/PI())))/AA775/1000</f>
        <v>155.47888287912846</v>
      </c>
      <c r="AD775" s="6" t="str">
        <f>+IF(AC775&gt;K775-AB775,"Cumple","No Cumple")</f>
        <v>Cumple</v>
      </c>
      <c r="AE775" s="6"/>
      <c r="AH775" s="3"/>
    </row>
    <row r="776" spans="1:43" ht="15" customHeight="1" x14ac:dyDescent="0.3">
      <c r="A776" s="13"/>
      <c r="B776" s="1">
        <v>25</v>
      </c>
      <c r="C776" s="1">
        <v>399</v>
      </c>
      <c r="D776" s="1">
        <v>1</v>
      </c>
      <c r="E776" s="5">
        <v>1</v>
      </c>
      <c r="F776" s="3">
        <f>F775+E776</f>
        <v>25</v>
      </c>
      <c r="G776" s="5">
        <v>2</v>
      </c>
      <c r="H776" s="3">
        <f>PI()*(G776^2)/4</f>
        <v>3.1415926535897931</v>
      </c>
      <c r="I776" s="4">
        <v>3.1415999999999999E-2</v>
      </c>
      <c r="K776" s="3">
        <v>229.1605449531834</v>
      </c>
      <c r="L776" s="3">
        <v>217.30468999999999</v>
      </c>
      <c r="M776" s="3">
        <v>729.42267000000004</v>
      </c>
      <c r="N776" s="12">
        <f>I776/H776</f>
        <v>1.0000023384349969E-2</v>
      </c>
      <c r="O776" s="11">
        <f>I776*10000</f>
        <v>314.15999999999997</v>
      </c>
      <c r="P776" s="1">
        <v>10</v>
      </c>
      <c r="Q776" s="1">
        <v>1</v>
      </c>
      <c r="R776" s="3">
        <f>Q776*VLOOKUP(P776,[1]Datos!$A$2:$D$14,2)</f>
        <v>8.19</v>
      </c>
      <c r="S776" s="10">
        <f>ROUNDUP(O776/R776,0)</f>
        <v>39</v>
      </c>
      <c r="T776" s="2">
        <v>39</v>
      </c>
      <c r="U776" s="3">
        <f>ROUNDDOWN(PI()*(G776-0.185)/T776,2)</f>
        <v>0.14000000000000001</v>
      </c>
      <c r="V776" s="3"/>
      <c r="W776" s="1">
        <v>280</v>
      </c>
      <c r="X776" s="9">
        <v>2</v>
      </c>
      <c r="Y776" s="1">
        <v>6</v>
      </c>
      <c r="Z776" s="3">
        <f>X776*VLOOKUP(Y776,[1]Datos!$A$2:$D$14,2)</f>
        <v>5.68</v>
      </c>
      <c r="AA776" s="8">
        <v>0.2</v>
      </c>
      <c r="AB776" s="7">
        <f>IF(D776=0,0.9,0.5)*0.9*0.53*SQRT(W776)*G776*MAX(0.72*G776,0.9*((G776/2)+((G776-0.11)/PI())))*10</f>
        <v>115.05235319041492</v>
      </c>
      <c r="AC776" s="7">
        <f>0.9*Z776*4220*MAX(0.72*G776,0.9*((G776/2)+((G776-0.11)/PI())))/AA776/1000</f>
        <v>155.47888287912846</v>
      </c>
      <c r="AD776" s="6" t="str">
        <f>+IF(AC776&gt;K776-AB776,"Cumple","No Cumple")</f>
        <v>Cumple</v>
      </c>
      <c r="AE776" s="6"/>
      <c r="AH776" s="3"/>
    </row>
    <row r="777" spans="1:43" ht="15" customHeight="1" x14ac:dyDescent="0.3">
      <c r="A777" s="13"/>
      <c r="B777" s="1">
        <v>26</v>
      </c>
      <c r="C777" s="1">
        <v>401</v>
      </c>
      <c r="D777" s="1">
        <v>1</v>
      </c>
      <c r="E777" s="5">
        <v>1</v>
      </c>
      <c r="F777" s="3">
        <f>F776+E777</f>
        <v>26</v>
      </c>
      <c r="G777" s="5">
        <v>2</v>
      </c>
      <c r="H777" s="3">
        <f>PI()*(G777^2)/4</f>
        <v>3.1415926535897931</v>
      </c>
      <c r="I777" s="4">
        <v>3.1415999999999999E-2</v>
      </c>
      <c r="K777" s="3">
        <v>184.99494889550363</v>
      </c>
      <c r="L777" s="3">
        <v>156.82836</v>
      </c>
      <c r="M777" s="3">
        <v>502.66102999999998</v>
      </c>
      <c r="N777" s="12">
        <f>I777/H777</f>
        <v>1.0000023384349969E-2</v>
      </c>
      <c r="O777" s="11">
        <f>I777*10000</f>
        <v>314.15999999999997</v>
      </c>
      <c r="P777" s="1">
        <v>10</v>
      </c>
      <c r="Q777" s="1">
        <v>1</v>
      </c>
      <c r="R777" s="3">
        <f>Q777*VLOOKUP(P777,[1]Datos!$A$2:$D$14,2)</f>
        <v>8.19</v>
      </c>
      <c r="S777" s="10">
        <f>ROUNDUP(O777/R777,0)</f>
        <v>39</v>
      </c>
      <c r="T777" s="2">
        <v>39</v>
      </c>
      <c r="U777" s="3">
        <f>ROUNDDOWN(PI()*(G777-0.185)/T777,2)</f>
        <v>0.14000000000000001</v>
      </c>
      <c r="V777" s="3"/>
      <c r="W777" s="1">
        <v>280</v>
      </c>
      <c r="X777" s="9">
        <v>2</v>
      </c>
      <c r="Y777" s="1">
        <v>6</v>
      </c>
      <c r="Z777" s="3">
        <f>X777*VLOOKUP(Y777,[1]Datos!$A$2:$D$14,2)</f>
        <v>5.68</v>
      </c>
      <c r="AA777" s="8">
        <v>0.2</v>
      </c>
      <c r="AB777" s="7">
        <f>IF(D777=0,0.9,0.5)*0.9*0.53*SQRT(W777)*G777*MAX(0.72*G777,0.9*((G777/2)+((G777-0.11)/PI())))*10</f>
        <v>115.05235319041492</v>
      </c>
      <c r="AC777" s="7">
        <f>0.9*Z777*4220*MAX(0.72*G777,0.9*((G777/2)+((G777-0.11)/PI())))/AA777/1000</f>
        <v>155.47888287912846</v>
      </c>
      <c r="AD777" s="6" t="str">
        <f>+IF(AC777&gt;K777-AB777,"Cumple","No Cumple")</f>
        <v>Cumple</v>
      </c>
      <c r="AE777" s="6"/>
      <c r="AH777" s="3"/>
    </row>
    <row r="778" spans="1:43" ht="15" customHeight="1" x14ac:dyDescent="0.3">
      <c r="A778" s="13"/>
      <c r="B778" s="1">
        <v>27</v>
      </c>
      <c r="C778" s="1">
        <v>403</v>
      </c>
      <c r="D778" s="1">
        <v>1</v>
      </c>
      <c r="E778" s="5">
        <v>1</v>
      </c>
      <c r="F778" s="3">
        <f>F777+E778</f>
        <v>27</v>
      </c>
      <c r="G778" s="5">
        <v>2</v>
      </c>
      <c r="H778" s="3">
        <f>PI()*(G778^2)/4</f>
        <v>3.1415926535897931</v>
      </c>
      <c r="I778" s="4">
        <v>3.1415999999999999E-2</v>
      </c>
      <c r="K778" s="3">
        <v>140.28450663237905</v>
      </c>
      <c r="L778" s="3">
        <v>104.97378</v>
      </c>
      <c r="M778" s="3">
        <v>319.69895000000002</v>
      </c>
      <c r="N778" s="12">
        <f>I778/H778</f>
        <v>1.0000023384349969E-2</v>
      </c>
      <c r="O778" s="11">
        <f>I778*10000</f>
        <v>314.15999999999997</v>
      </c>
      <c r="P778" s="1">
        <v>10</v>
      </c>
      <c r="Q778" s="1">
        <v>1</v>
      </c>
      <c r="R778" s="3">
        <f>Q778*VLOOKUP(P778,[1]Datos!$A$2:$D$14,2)</f>
        <v>8.19</v>
      </c>
      <c r="S778" s="10">
        <f>ROUNDUP(O778/R778,0)</f>
        <v>39</v>
      </c>
      <c r="T778" s="2">
        <v>39</v>
      </c>
      <c r="U778" s="3">
        <f>ROUNDDOWN(PI()*(G778-0.185)/T778,2)</f>
        <v>0.14000000000000001</v>
      </c>
      <c r="V778" s="3"/>
      <c r="W778" s="1">
        <v>280</v>
      </c>
      <c r="X778" s="9">
        <v>2</v>
      </c>
      <c r="Y778" s="1">
        <v>4</v>
      </c>
      <c r="Z778" s="3">
        <f>X778*VLOOKUP(Y778,[1]Datos!$A$2:$D$14,2)</f>
        <v>2.58</v>
      </c>
      <c r="AA778" s="8">
        <v>0.3</v>
      </c>
      <c r="AB778" s="7">
        <f>IF(D778=0,0.9,0.5)*0.9*0.53*SQRT(W778)*G778*MAX(0.72*G778,0.9*((G778/2)+((G778-0.11)/PI())))*10</f>
        <v>115.05235319041492</v>
      </c>
      <c r="AC778" s="7">
        <f>0.9*Z778*4220*MAX(0.72*G778,0.9*((G778/2)+((G778-0.11)/PI())))/AA778/1000</f>
        <v>47.081633547905106</v>
      </c>
      <c r="AD778" s="6" t="str">
        <f>+IF(AC778&gt;K778-AB778,"Cumple","No Cumple")</f>
        <v>Cumple</v>
      </c>
      <c r="AE778" s="6"/>
      <c r="AH778" s="3"/>
    </row>
    <row r="779" spans="1:43" ht="15" customHeight="1" x14ac:dyDescent="0.3">
      <c r="A779" s="13"/>
      <c r="B779" s="1">
        <v>28</v>
      </c>
      <c r="C779" s="1">
        <v>405</v>
      </c>
      <c r="D779" s="1">
        <v>1</v>
      </c>
      <c r="E779" s="5">
        <v>1</v>
      </c>
      <c r="F779" s="3">
        <f>F778+E779</f>
        <v>28</v>
      </c>
      <c r="G779" s="5">
        <v>2</v>
      </c>
      <c r="H779" s="3">
        <f>PI()*(G779^2)/4</f>
        <v>3.1415926535897931</v>
      </c>
      <c r="I779" s="4">
        <v>3.1415999999999999E-2</v>
      </c>
      <c r="K779" s="3">
        <v>97.701696225398251</v>
      </c>
      <c r="L779" s="3">
        <v>63.015810000000002</v>
      </c>
      <c r="M779" s="3">
        <v>181.05466999999999</v>
      </c>
      <c r="N779" s="12">
        <f>I779/H779</f>
        <v>1.0000023384349969E-2</v>
      </c>
      <c r="O779" s="11">
        <f>I779*10000</f>
        <v>314.15999999999997</v>
      </c>
      <c r="P779" s="1">
        <v>10</v>
      </c>
      <c r="Q779" s="1">
        <v>1</v>
      </c>
      <c r="R779" s="3">
        <f>Q779*VLOOKUP(P779,[1]Datos!$A$2:$D$14,2)</f>
        <v>8.19</v>
      </c>
      <c r="S779" s="10">
        <f>ROUNDUP(O779/R779,0)</f>
        <v>39</v>
      </c>
      <c r="T779" s="2">
        <v>39</v>
      </c>
      <c r="U779" s="3">
        <f>ROUNDDOWN(PI()*(G779-0.185)/T779,2)</f>
        <v>0.14000000000000001</v>
      </c>
      <c r="V779" s="3"/>
      <c r="W779" s="1">
        <v>280</v>
      </c>
      <c r="X779" s="9">
        <v>2</v>
      </c>
      <c r="Y779" s="1">
        <v>4</v>
      </c>
      <c r="Z779" s="3">
        <f>X779*VLOOKUP(Y779,[1]Datos!$A$2:$D$14,2)</f>
        <v>2.58</v>
      </c>
      <c r="AA779" s="8">
        <v>0.3</v>
      </c>
      <c r="AB779" s="7">
        <f>IF(D779=0,0.9,0.5)*0.9*0.53*SQRT(W779)*G779*MAX(0.72*G779,0.9*((G779/2)+((G779-0.11)/PI())))*10</f>
        <v>115.05235319041492</v>
      </c>
      <c r="AC779" s="7">
        <f>0.9*Z779*4220*MAX(0.72*G779,0.9*((G779/2)+((G779-0.11)/PI())))/AA779/1000</f>
        <v>47.081633547905106</v>
      </c>
      <c r="AD779" s="6" t="str">
        <f>+IF(AC779&gt;K779-AB779,"Cumple","No Cumple")</f>
        <v>Cumple</v>
      </c>
      <c r="AE779" s="6"/>
      <c r="AH779" s="3"/>
    </row>
    <row r="780" spans="1:43" ht="15" customHeight="1" x14ac:dyDescent="0.3">
      <c r="A780" s="13"/>
      <c r="B780" s="1">
        <v>29</v>
      </c>
      <c r="C780" s="1">
        <v>681</v>
      </c>
      <c r="D780" s="1">
        <v>1</v>
      </c>
      <c r="E780" s="5">
        <v>1</v>
      </c>
      <c r="F780" s="3">
        <f>F779+E780</f>
        <v>29</v>
      </c>
      <c r="G780" s="5">
        <v>2</v>
      </c>
      <c r="H780" s="3">
        <f>PI()*(G780^2)/4</f>
        <v>3.1415926535897931</v>
      </c>
      <c r="I780" s="4">
        <v>3.1415999999999999E-2</v>
      </c>
      <c r="K780" s="3">
        <v>59.265394251704762</v>
      </c>
      <c r="L780" s="3">
        <v>31.564160000000001</v>
      </c>
      <c r="M780" s="3">
        <v>84.591949999999997</v>
      </c>
      <c r="N780" s="12">
        <f>I780/H780</f>
        <v>1.0000023384349969E-2</v>
      </c>
      <c r="O780" s="11">
        <f>I780*10000</f>
        <v>314.15999999999997</v>
      </c>
      <c r="P780" s="1">
        <v>10</v>
      </c>
      <c r="Q780" s="1">
        <v>1</v>
      </c>
      <c r="R780" s="3">
        <f>Q780*VLOOKUP(P780,[1]Datos!$A$2:$D$14,2)</f>
        <v>8.19</v>
      </c>
      <c r="S780" s="10">
        <f>ROUNDUP(O780/R780,0)</f>
        <v>39</v>
      </c>
      <c r="T780" s="2">
        <v>39</v>
      </c>
      <c r="U780" s="3">
        <f>ROUNDDOWN(PI()*(G780-0.185)/T780,2)</f>
        <v>0.14000000000000001</v>
      </c>
      <c r="V780" s="3"/>
      <c r="W780" s="1">
        <v>280</v>
      </c>
      <c r="X780" s="9">
        <v>2</v>
      </c>
      <c r="Y780" s="1">
        <v>4</v>
      </c>
      <c r="Z780" s="3">
        <f>X780*VLOOKUP(Y780,[1]Datos!$A$2:$D$14,2)</f>
        <v>2.58</v>
      </c>
      <c r="AA780" s="8">
        <v>0.3</v>
      </c>
      <c r="AB780" s="7">
        <f>IF(D780=0,0.9,0.5)*0.9*0.53*SQRT(W780)*G780*MAX(0.72*G780,0.9*((G780/2)+((G780-0.11)/PI())))*10</f>
        <v>115.05235319041492</v>
      </c>
      <c r="AC780" s="7">
        <f>0.9*Z780*4220*MAX(0.72*G780,0.9*((G780/2)+((G780-0.11)/PI())))/AA780/1000</f>
        <v>47.081633547905106</v>
      </c>
      <c r="AD780" s="6" t="str">
        <f>+IF(AC780&gt;K780-AB780,"Cumple","No Cumple")</f>
        <v>Cumple</v>
      </c>
      <c r="AE780" s="6"/>
      <c r="AH780" s="3"/>
    </row>
    <row r="781" spans="1:43" ht="15" customHeight="1" x14ac:dyDescent="0.3">
      <c r="A781" s="13"/>
      <c r="B781" s="1">
        <v>30</v>
      </c>
      <c r="C781" s="1">
        <v>683</v>
      </c>
      <c r="D781" s="1">
        <v>1</v>
      </c>
      <c r="E781" s="5">
        <v>1</v>
      </c>
      <c r="F781" s="3">
        <f>F780+E781</f>
        <v>30</v>
      </c>
      <c r="G781" s="5">
        <v>2</v>
      </c>
      <c r="H781" s="3">
        <f>PI()*(G781^2)/4</f>
        <v>3.1415926535897931</v>
      </c>
      <c r="I781" s="4">
        <v>3.1415999999999999E-2</v>
      </c>
      <c r="K781" s="3">
        <v>26.518810505186693</v>
      </c>
      <c r="L781" s="3">
        <v>10.71622</v>
      </c>
      <c r="M781" s="3">
        <v>26.15943</v>
      </c>
      <c r="N781" s="12">
        <f>I781/H781</f>
        <v>1.0000023384349969E-2</v>
      </c>
      <c r="O781" s="11">
        <f>I781*10000</f>
        <v>314.15999999999997</v>
      </c>
      <c r="P781" s="1">
        <v>10</v>
      </c>
      <c r="Q781" s="1">
        <v>1</v>
      </c>
      <c r="R781" s="3">
        <f>Q781*VLOOKUP(P781,[1]Datos!$A$2:$D$14,2)</f>
        <v>8.19</v>
      </c>
      <c r="S781" s="10">
        <f>ROUNDUP(O781/R781,0)</f>
        <v>39</v>
      </c>
      <c r="T781" s="2">
        <v>39</v>
      </c>
      <c r="U781" s="3">
        <f>ROUNDDOWN(PI()*(G781-0.185)/T781,2)</f>
        <v>0.14000000000000001</v>
      </c>
      <c r="V781" s="3"/>
      <c r="W781" s="1">
        <v>280</v>
      </c>
      <c r="X781" s="9">
        <v>2</v>
      </c>
      <c r="Y781" s="1">
        <v>4</v>
      </c>
      <c r="Z781" s="3">
        <f>X781*VLOOKUP(Y781,[1]Datos!$A$2:$D$14,2)</f>
        <v>2.58</v>
      </c>
      <c r="AA781" s="8">
        <v>0.3</v>
      </c>
      <c r="AB781" s="7">
        <f>IF(D781=0,0.9,0.5)*0.9*0.53*SQRT(W781)*G781*MAX(0.72*G781,0.9*((G781/2)+((G781-0.11)/PI())))*10</f>
        <v>115.05235319041492</v>
      </c>
      <c r="AC781" s="7">
        <f>0.9*Z781*4220*MAX(0.72*G781,0.9*((G781/2)+((G781-0.11)/PI())))/AA781/1000</f>
        <v>47.081633547905106</v>
      </c>
      <c r="AD781" s="6" t="str">
        <f>+IF(AC781&gt;K781-AB781,"Cumple","No Cumple")</f>
        <v>Cumple</v>
      </c>
      <c r="AE781" s="6"/>
      <c r="AH781" s="3"/>
    </row>
    <row r="782" spans="1:43" ht="15" customHeight="1" x14ac:dyDescent="0.3">
      <c r="A782" s="13" t="s">
        <v>8</v>
      </c>
      <c r="B782" s="1">
        <v>1</v>
      </c>
      <c r="C782" s="1">
        <v>136</v>
      </c>
      <c r="D782" s="1">
        <v>0</v>
      </c>
      <c r="E782" s="5">
        <v>1</v>
      </c>
      <c r="F782" s="3">
        <f>E782</f>
        <v>1</v>
      </c>
      <c r="G782" s="5">
        <v>2</v>
      </c>
      <c r="H782" s="3">
        <f>PI()*(G782^2)/4</f>
        <v>3.1415926535897931</v>
      </c>
      <c r="I782" s="4">
        <v>3.1415999999999999E-2</v>
      </c>
      <c r="K782" s="3">
        <v>182.28208823600852</v>
      </c>
      <c r="L782" s="3">
        <v>474.73437999999999</v>
      </c>
      <c r="M782" s="3">
        <v>374.64355</v>
      </c>
      <c r="N782" s="12">
        <f>I782/H782</f>
        <v>1.0000023384349969E-2</v>
      </c>
      <c r="O782" s="11">
        <f>I782*10000</f>
        <v>314.15999999999997</v>
      </c>
      <c r="P782" s="1">
        <v>10</v>
      </c>
      <c r="Q782" s="1">
        <v>1</v>
      </c>
      <c r="R782" s="3">
        <f>Q782*VLOOKUP(P782,[1]Datos!$A$2:$D$14,2)</f>
        <v>8.19</v>
      </c>
      <c r="S782" s="10">
        <f>ROUNDUP(O782/R782,0)</f>
        <v>39</v>
      </c>
      <c r="T782" s="2">
        <v>39</v>
      </c>
      <c r="U782" s="3">
        <f>ROUNDDOWN(PI()*(G782-0.185)/T782,2)</f>
        <v>0.14000000000000001</v>
      </c>
      <c r="V782" s="3"/>
      <c r="W782" s="1">
        <v>280</v>
      </c>
      <c r="X782" s="9">
        <v>2</v>
      </c>
      <c r="Y782" s="1">
        <v>6</v>
      </c>
      <c r="Z782" s="3">
        <f>X782*VLOOKUP(Y782,[1]Datos!$A$2:$D$14,2)</f>
        <v>5.68</v>
      </c>
      <c r="AA782" s="8">
        <v>7.4999999999999997E-2</v>
      </c>
      <c r="AB782" s="7">
        <f>IF(D782=0,0.9,0.5)*0.9*0.53*SQRT(W782)*G782*MAX(0.72*G782,0.9*((G782/2)+((G782-0.11)/PI())))*10</f>
        <v>207.09423574274689</v>
      </c>
      <c r="AC782" s="7">
        <f>0.9*Z782*4220*MAX(0.72*G782,0.9*((G782/2)+((G782-0.11)/PI())))/AA782/1000</f>
        <v>414.61035434434268</v>
      </c>
      <c r="AD782" s="6" t="str">
        <f>+IF(AC782&gt;K782-AB782,"Cumple","No Cumple")</f>
        <v>Cumple</v>
      </c>
      <c r="AE782" s="6"/>
      <c r="AF782" s="5">
        <v>12</v>
      </c>
      <c r="AG782" s="7">
        <f>ROUNDUP(MAX(0.45,G782,AF782/6),0)</f>
        <v>2</v>
      </c>
      <c r="AH782" s="3">
        <f>PI()*(G782-0.15)^2/4</f>
        <v>2.6880252142277672</v>
      </c>
      <c r="AI782" s="7">
        <f>G782-0.15-VLOOKUP(Y782,[1]Datos!$A$2:$D$14,3)/100</f>
        <v>1.8309000000000002</v>
      </c>
      <c r="AJ782" s="7">
        <f>SQRT((PI()*AI782)^2+AA782^2)</f>
        <v>5.7524309339691264</v>
      </c>
      <c r="AK782" s="1">
        <v>0.12</v>
      </c>
      <c r="AL782" s="16">
        <f>MAX(0.45*(H782/AH782-1),AK782)*(W782/4220)</f>
        <v>7.9620853080568724E-3</v>
      </c>
      <c r="AM782" s="7">
        <f>AG782*(AJ782/AA782)</f>
        <v>153.39815823917672</v>
      </c>
      <c r="AN782" s="17">
        <f>AM782*Z782/X782/10000</f>
        <v>4.3565076939926187E-2</v>
      </c>
      <c r="AO782" s="17">
        <f>AH782*AG782</f>
        <v>5.3760504284555344</v>
      </c>
      <c r="AP782" s="16">
        <f>AN782/AO782</f>
        <v>8.1035469290495175E-3</v>
      </c>
      <c r="AQ782" s="6" t="str">
        <f>+IF(AP782&gt;AL782,"Cumple","No Cumple")</f>
        <v>Cumple</v>
      </c>
    </row>
    <row r="783" spans="1:43" ht="15" customHeight="1" x14ac:dyDescent="0.3">
      <c r="A783" s="13"/>
      <c r="B783" s="1">
        <v>2</v>
      </c>
      <c r="C783" s="1">
        <v>138</v>
      </c>
      <c r="D783" s="1">
        <v>0</v>
      </c>
      <c r="E783" s="5">
        <v>1</v>
      </c>
      <c r="F783" s="3">
        <f>F782+E783</f>
        <v>2</v>
      </c>
      <c r="G783" s="5">
        <v>2</v>
      </c>
      <c r="H783" s="3">
        <f>PI()*(G783^2)/4</f>
        <v>3.1415926535897931</v>
      </c>
      <c r="I783" s="4">
        <v>3.1415999999999999E-2</v>
      </c>
      <c r="K783" s="3">
        <v>182.28208823600852</v>
      </c>
      <c r="L783" s="3">
        <v>428.8032</v>
      </c>
      <c r="M783" s="3">
        <v>472.62137999999999</v>
      </c>
      <c r="N783" s="12">
        <f>I783/H783</f>
        <v>1.0000023384349969E-2</v>
      </c>
      <c r="O783" s="11">
        <f>I783*10000</f>
        <v>314.15999999999997</v>
      </c>
      <c r="P783" s="1">
        <v>10</v>
      </c>
      <c r="Q783" s="1">
        <v>1</v>
      </c>
      <c r="R783" s="3">
        <f>Q783*VLOOKUP(P783,[1]Datos!$A$2:$D$14,2)</f>
        <v>8.19</v>
      </c>
      <c r="S783" s="10">
        <f>ROUNDUP(O783/R783,0)</f>
        <v>39</v>
      </c>
      <c r="T783" s="2">
        <v>39</v>
      </c>
      <c r="U783" s="3">
        <f>ROUNDDOWN(PI()*(G783-0.185)/T783,2)</f>
        <v>0.14000000000000001</v>
      </c>
      <c r="V783" s="3"/>
      <c r="W783" s="1">
        <v>280</v>
      </c>
      <c r="X783" s="9">
        <v>2</v>
      </c>
      <c r="Y783" s="1">
        <v>6</v>
      </c>
      <c r="Z783" s="3">
        <f>X783*VLOOKUP(Y783,[1]Datos!$A$2:$D$14,2)</f>
        <v>5.68</v>
      </c>
      <c r="AA783" s="8">
        <v>7.4999999999999997E-2</v>
      </c>
      <c r="AB783" s="7">
        <f>IF(D783=0,0.9,0.5)*0.9*0.53*SQRT(W783)*G783*MAX(0.72*G783,0.9*((G783/2)+((G783-0.11)/PI())))*10</f>
        <v>207.09423574274689</v>
      </c>
      <c r="AC783" s="7">
        <f>0.9*Z783*4220*MAX(0.72*G783,0.9*((G783/2)+((G783-0.11)/PI())))/AA783/1000</f>
        <v>414.61035434434268</v>
      </c>
      <c r="AD783" s="6" t="str">
        <f>+IF(AC783&gt;K783-AB783,"Cumple","No Cumple")</f>
        <v>Cumple</v>
      </c>
      <c r="AE783" s="6"/>
      <c r="AF783" s="5">
        <v>12</v>
      </c>
      <c r="AG783" s="7">
        <f>ROUNDUP(MAX(0.45,G783,AF783/6),0)</f>
        <v>2</v>
      </c>
      <c r="AH783" s="3">
        <f>PI()*(G783-0.15)^2/4</f>
        <v>2.6880252142277672</v>
      </c>
      <c r="AI783" s="7">
        <f>G783-0.15-VLOOKUP(Y783,[1]Datos!$A$2:$D$14,3)/100</f>
        <v>1.8309000000000002</v>
      </c>
      <c r="AJ783" s="7">
        <f>SQRT((PI()*AI783)^2+AA783^2)</f>
        <v>5.7524309339691264</v>
      </c>
      <c r="AK783" s="1">
        <v>0.12</v>
      </c>
      <c r="AL783" s="16">
        <f>MAX(0.45*(H783/AH783-1),AK783)*(W783/4220)</f>
        <v>7.9620853080568724E-3</v>
      </c>
      <c r="AM783" s="7">
        <f>AG783*(AJ783/AA783)</f>
        <v>153.39815823917672</v>
      </c>
      <c r="AN783" s="17">
        <f>AM783*Z783/X783/10000</f>
        <v>4.3565076939926187E-2</v>
      </c>
      <c r="AO783" s="17">
        <f>AH783*AG783</f>
        <v>5.3760504284555344</v>
      </c>
      <c r="AP783" s="16">
        <f>AN783/AO783</f>
        <v>8.1035469290495175E-3</v>
      </c>
      <c r="AQ783" s="6" t="str">
        <f>+IF(AP783&gt;AL783,"Cumple","No Cumple")</f>
        <v>Cumple</v>
      </c>
    </row>
    <row r="784" spans="1:43" ht="15" customHeight="1" x14ac:dyDescent="0.3">
      <c r="A784" s="13"/>
      <c r="B784" s="1">
        <v>3</v>
      </c>
      <c r="C784" s="1">
        <v>140</v>
      </c>
      <c r="D784" s="1">
        <v>0</v>
      </c>
      <c r="E784" s="5">
        <v>1</v>
      </c>
      <c r="F784" s="3">
        <f>F783+E784</f>
        <v>3</v>
      </c>
      <c r="G784" s="5">
        <v>2</v>
      </c>
      <c r="H784" s="3">
        <f>PI()*(G784^2)/4</f>
        <v>3.1415926535897931</v>
      </c>
      <c r="I784" s="4">
        <v>3.1415999999999999E-2</v>
      </c>
      <c r="K784" s="3">
        <v>182.28208823600852</v>
      </c>
      <c r="L784" s="3">
        <v>383.18698999999998</v>
      </c>
      <c r="M784" s="3">
        <v>572.35978</v>
      </c>
      <c r="N784" s="12">
        <f>I784/H784</f>
        <v>1.0000023384349969E-2</v>
      </c>
      <c r="O784" s="11">
        <f>I784*10000</f>
        <v>314.15999999999997</v>
      </c>
      <c r="P784" s="1">
        <v>10</v>
      </c>
      <c r="Q784" s="1">
        <v>1</v>
      </c>
      <c r="R784" s="3">
        <f>Q784*VLOOKUP(P784,[1]Datos!$A$2:$D$14,2)</f>
        <v>8.19</v>
      </c>
      <c r="S784" s="10">
        <f>ROUNDUP(O784/R784,0)</f>
        <v>39</v>
      </c>
      <c r="T784" s="2">
        <v>39</v>
      </c>
      <c r="U784" s="3">
        <f>ROUNDDOWN(PI()*(G784-0.185)/T784,2)</f>
        <v>0.14000000000000001</v>
      </c>
      <c r="V784" s="3"/>
      <c r="W784" s="1">
        <v>280</v>
      </c>
      <c r="X784" s="9">
        <v>2</v>
      </c>
      <c r="Y784" s="1">
        <v>4</v>
      </c>
      <c r="Z784" s="3">
        <f>X784*VLOOKUP(Y784,[1]Datos!$A$2:$D$14,2)</f>
        <v>2.58</v>
      </c>
      <c r="AA784" s="8">
        <v>0.3</v>
      </c>
      <c r="AB784" s="7">
        <f>IF(D784=0,0.9,0.5)*0.9*0.53*SQRT(W784)*G784*MAX(0.72*G784,0.9*((G784/2)+((G784-0.11)/PI())))*10</f>
        <v>207.09423574274689</v>
      </c>
      <c r="AC784" s="7">
        <f>0.9*Z784*4220*MAX(0.72*G784,0.9*((G784/2)+((G784-0.11)/PI())))/AA784/1000</f>
        <v>47.081633547905106</v>
      </c>
      <c r="AD784" s="6" t="str">
        <f>+IF(AC784&gt;K784-AB784,"Cumple","No Cumple")</f>
        <v>Cumple</v>
      </c>
      <c r="AE784" s="6"/>
      <c r="AH784" s="3"/>
    </row>
    <row r="785" spans="1:43" ht="15" customHeight="1" x14ac:dyDescent="0.3">
      <c r="A785" s="13"/>
      <c r="B785" s="1">
        <v>4</v>
      </c>
      <c r="C785" s="1">
        <v>142</v>
      </c>
      <c r="D785" s="1">
        <v>0</v>
      </c>
      <c r="E785" s="5">
        <v>1</v>
      </c>
      <c r="F785" s="3">
        <f>F784+E785</f>
        <v>4</v>
      </c>
      <c r="G785" s="5">
        <v>2</v>
      </c>
      <c r="H785" s="3">
        <f>PI()*(G785^2)/4</f>
        <v>3.1415926535897931</v>
      </c>
      <c r="I785" s="4">
        <v>3.1415999999999999E-2</v>
      </c>
      <c r="K785" s="3">
        <v>182.28208823600852</v>
      </c>
      <c r="L785" s="3">
        <v>338.03048999999999</v>
      </c>
      <c r="M785" s="3">
        <v>673.12383</v>
      </c>
      <c r="N785" s="12">
        <f>I785/H785</f>
        <v>1.0000023384349969E-2</v>
      </c>
      <c r="O785" s="11">
        <f>I785*10000</f>
        <v>314.15999999999997</v>
      </c>
      <c r="P785" s="1">
        <v>10</v>
      </c>
      <c r="Q785" s="15">
        <v>1</v>
      </c>
      <c r="R785" s="3">
        <f>Q785*VLOOKUP(P785,[1]Datos!$A$2:$D$14,2)</f>
        <v>8.19</v>
      </c>
      <c r="S785" s="10">
        <f>ROUNDUP(O785/R785,0)</f>
        <v>39</v>
      </c>
      <c r="T785" s="14">
        <v>56</v>
      </c>
      <c r="U785" s="3">
        <f>ROUNDDOWN(PI()*(G785-0.185)/T785,2)</f>
        <v>0.1</v>
      </c>
      <c r="V785" s="3"/>
      <c r="W785" s="1">
        <v>280</v>
      </c>
      <c r="X785" s="9">
        <v>2</v>
      </c>
      <c r="Y785" s="1">
        <v>4</v>
      </c>
      <c r="Z785" s="3">
        <f>X785*VLOOKUP(Y785,[1]Datos!$A$2:$D$14,2)</f>
        <v>2.58</v>
      </c>
      <c r="AA785" s="8">
        <v>0.3</v>
      </c>
      <c r="AB785" s="7">
        <f>IF(D785=0,0.9,0.5)*0.9*0.53*SQRT(W785)*G785*MAX(0.72*G785,0.9*((G785/2)+((G785-0.11)/PI())))*10</f>
        <v>207.09423574274689</v>
      </c>
      <c r="AC785" s="7">
        <f>0.9*Z785*4220*MAX(0.72*G785,0.9*((G785/2)+((G785-0.11)/PI())))/AA785/1000</f>
        <v>47.081633547905106</v>
      </c>
      <c r="AD785" s="6" t="str">
        <f>+IF(AC785&gt;K785-AB785,"Cumple","No Cumple")</f>
        <v>Cumple</v>
      </c>
      <c r="AE785" s="6"/>
      <c r="AH785" s="3"/>
    </row>
    <row r="786" spans="1:43" ht="15" customHeight="1" x14ac:dyDescent="0.3">
      <c r="A786" s="13"/>
      <c r="B786" s="1">
        <v>5</v>
      </c>
      <c r="C786" s="1">
        <v>144</v>
      </c>
      <c r="D786" s="1">
        <v>0</v>
      </c>
      <c r="E786" s="5">
        <v>1</v>
      </c>
      <c r="F786" s="3">
        <f>F785+E786</f>
        <v>5</v>
      </c>
      <c r="G786" s="5">
        <v>2</v>
      </c>
      <c r="H786" s="3">
        <f>PI()*(G786^2)/4</f>
        <v>3.1415926535897931</v>
      </c>
      <c r="I786" s="4">
        <v>3.1415999999999999E-2</v>
      </c>
      <c r="K786" s="3">
        <v>182.28218494501868</v>
      </c>
      <c r="L786" s="3">
        <v>293.48554000000001</v>
      </c>
      <c r="M786" s="3">
        <v>774.53796</v>
      </c>
      <c r="N786" s="12">
        <f>I786/H786</f>
        <v>1.0000023384349969E-2</v>
      </c>
      <c r="O786" s="11">
        <f>I786*10000</f>
        <v>314.15999999999997</v>
      </c>
      <c r="P786" s="1">
        <v>10</v>
      </c>
      <c r="Q786" s="15">
        <v>1</v>
      </c>
      <c r="R786" s="3">
        <f>Q786*VLOOKUP(P786,[1]Datos!$A$2:$D$14,2)</f>
        <v>8.19</v>
      </c>
      <c r="S786" s="10">
        <f>ROUNDUP(O786/R786,0)</f>
        <v>39</v>
      </c>
      <c r="T786" s="14">
        <v>56</v>
      </c>
      <c r="U786" s="3">
        <f>ROUNDDOWN(PI()*(G786-0.185)/T786,2)</f>
        <v>0.1</v>
      </c>
      <c r="V786" s="3"/>
      <c r="W786" s="1">
        <v>280</v>
      </c>
      <c r="X786" s="9">
        <v>2</v>
      </c>
      <c r="Y786" s="1">
        <v>4</v>
      </c>
      <c r="Z786" s="3">
        <f>X786*VLOOKUP(Y786,[1]Datos!$A$2:$D$14,2)</f>
        <v>2.58</v>
      </c>
      <c r="AA786" s="8">
        <v>0.3</v>
      </c>
      <c r="AB786" s="7">
        <f>IF(D786=0,0.9,0.5)*0.9*0.53*SQRT(W786)*G786*MAX(0.72*G786,0.9*((G786/2)+((G786-0.11)/PI())))*10</f>
        <v>207.09423574274689</v>
      </c>
      <c r="AC786" s="7">
        <f>0.9*Z786*4220*MAX(0.72*G786,0.9*((G786/2)+((G786-0.11)/PI())))/AA786/1000</f>
        <v>47.081633547905106</v>
      </c>
      <c r="AD786" s="6" t="str">
        <f>+IF(AC786&gt;K786-AB786,"Cumple","No Cumple")</f>
        <v>Cumple</v>
      </c>
      <c r="AE786" s="6"/>
      <c r="AH786" s="3"/>
    </row>
    <row r="787" spans="1:43" ht="15" customHeight="1" x14ac:dyDescent="0.3">
      <c r="A787" s="13"/>
      <c r="B787" s="1">
        <v>6</v>
      </c>
      <c r="C787" s="1">
        <v>146</v>
      </c>
      <c r="D787" s="1">
        <v>0</v>
      </c>
      <c r="E787" s="5">
        <v>1</v>
      </c>
      <c r="F787" s="3">
        <f>F786+E787</f>
        <v>6</v>
      </c>
      <c r="G787" s="5">
        <v>2</v>
      </c>
      <c r="H787" s="3">
        <f>PI()*(G787^2)/4</f>
        <v>3.1415926535897931</v>
      </c>
      <c r="I787" s="4">
        <v>3.1415999999999999E-2</v>
      </c>
      <c r="K787" s="3">
        <v>182.28218494501868</v>
      </c>
      <c r="L787" s="3">
        <v>249.66236000000001</v>
      </c>
      <c r="M787" s="3">
        <v>876.38049999999998</v>
      </c>
      <c r="N787" s="12">
        <f>I787/H787</f>
        <v>1.0000023384349969E-2</v>
      </c>
      <c r="O787" s="11">
        <f>I787*10000</f>
        <v>314.15999999999997</v>
      </c>
      <c r="P787" s="1">
        <v>10</v>
      </c>
      <c r="Q787" s="15">
        <v>1</v>
      </c>
      <c r="R787" s="3">
        <f>Q787*VLOOKUP(P787,[1]Datos!$A$2:$D$14,2)</f>
        <v>8.19</v>
      </c>
      <c r="S787" s="10">
        <f>ROUNDUP(O787/R787,0)</f>
        <v>39</v>
      </c>
      <c r="T787" s="14">
        <v>56</v>
      </c>
      <c r="U787" s="3">
        <f>ROUNDDOWN(PI()*(G787-0.185)/T787,2)</f>
        <v>0.1</v>
      </c>
      <c r="V787" s="3"/>
      <c r="W787" s="1">
        <v>280</v>
      </c>
      <c r="X787" s="9">
        <v>2</v>
      </c>
      <c r="Y787" s="1">
        <v>4</v>
      </c>
      <c r="Z787" s="3">
        <f>X787*VLOOKUP(Y787,[1]Datos!$A$2:$D$14,2)</f>
        <v>2.58</v>
      </c>
      <c r="AA787" s="8">
        <v>0.3</v>
      </c>
      <c r="AB787" s="7">
        <f>IF(D787=0,0.9,0.5)*0.9*0.53*SQRT(W787)*G787*MAX(0.72*G787,0.9*((G787/2)+((G787-0.11)/PI())))*10</f>
        <v>207.09423574274689</v>
      </c>
      <c r="AC787" s="7">
        <f>0.9*Z787*4220*MAX(0.72*G787,0.9*((G787/2)+((G787-0.11)/PI())))/AA787/1000</f>
        <v>47.081633547905106</v>
      </c>
      <c r="AD787" s="6" t="str">
        <f>+IF(AC787&gt;K787-AB787,"Cumple","No Cumple")</f>
        <v>Cumple</v>
      </c>
      <c r="AE787" s="6"/>
      <c r="AH787" s="3"/>
    </row>
    <row r="788" spans="1:43" ht="15" customHeight="1" x14ac:dyDescent="0.3">
      <c r="A788" s="13"/>
      <c r="B788" s="1">
        <v>7</v>
      </c>
      <c r="C788" s="1">
        <v>148</v>
      </c>
      <c r="D788" s="1">
        <v>0</v>
      </c>
      <c r="E788" s="5">
        <v>1</v>
      </c>
      <c r="F788" s="3">
        <f>F787+E788</f>
        <v>7</v>
      </c>
      <c r="G788" s="5">
        <v>2</v>
      </c>
      <c r="H788" s="3">
        <f>PI()*(G788^2)/4</f>
        <v>3.1415926535897931</v>
      </c>
      <c r="I788" s="4">
        <v>3.4674000000000003E-2</v>
      </c>
      <c r="K788" s="3">
        <v>182.2822816540324</v>
      </c>
      <c r="L788" s="3">
        <v>206.60593</v>
      </c>
      <c r="M788" s="3">
        <v>978.50680999999997</v>
      </c>
      <c r="N788" s="12">
        <f>I788/H788</f>
        <v>1.103707699353676E-2</v>
      </c>
      <c r="O788" s="11">
        <f>I788*10000</f>
        <v>346.74</v>
      </c>
      <c r="P788" s="1">
        <v>10</v>
      </c>
      <c r="Q788" s="1">
        <v>1</v>
      </c>
      <c r="R788" s="3">
        <f>Q788*VLOOKUP(P788,[1]Datos!$A$2:$D$14,2)</f>
        <v>8.19</v>
      </c>
      <c r="S788" s="10">
        <f>ROUNDUP(O788/R788,0)</f>
        <v>43</v>
      </c>
      <c r="T788" s="2">
        <v>56</v>
      </c>
      <c r="U788" s="3">
        <f>ROUNDDOWN(PI()*(G788-0.185)/T788,2)</f>
        <v>0.1</v>
      </c>
      <c r="V788" s="3"/>
      <c r="W788" s="1">
        <v>280</v>
      </c>
      <c r="X788" s="9">
        <v>2</v>
      </c>
      <c r="Y788" s="1">
        <v>4</v>
      </c>
      <c r="Z788" s="3">
        <f>X788*VLOOKUP(Y788,[1]Datos!$A$2:$D$14,2)</f>
        <v>2.58</v>
      </c>
      <c r="AA788" s="8">
        <v>0.3</v>
      </c>
      <c r="AB788" s="7">
        <f>IF(D788=0,0.9,0.5)*0.9*0.53*SQRT(W788)*G788*MAX(0.72*G788,0.9*((G788/2)+((G788-0.11)/PI())))*10</f>
        <v>207.09423574274689</v>
      </c>
      <c r="AC788" s="7">
        <f>0.9*Z788*4220*MAX(0.72*G788,0.9*((G788/2)+((G788-0.11)/PI())))/AA788/1000</f>
        <v>47.081633547905106</v>
      </c>
      <c r="AD788" s="6" t="str">
        <f>+IF(AC788&gt;K788-AB788,"Cumple","No Cumple")</f>
        <v>Cumple</v>
      </c>
      <c r="AE788" s="6"/>
      <c r="AH788" s="3"/>
    </row>
    <row r="789" spans="1:43" ht="15" customHeight="1" x14ac:dyDescent="0.3">
      <c r="A789" s="13"/>
      <c r="B789" s="1">
        <v>8</v>
      </c>
      <c r="C789" s="1">
        <v>150</v>
      </c>
      <c r="D789" s="1">
        <v>0</v>
      </c>
      <c r="E789" s="5">
        <v>1</v>
      </c>
      <c r="F789" s="3">
        <f>F788+E789</f>
        <v>8</v>
      </c>
      <c r="G789" s="5">
        <v>2</v>
      </c>
      <c r="H789" s="3">
        <f>PI()*(G789^2)/4</f>
        <v>3.1415926535897931</v>
      </c>
      <c r="I789" s="4">
        <v>4.0400999999999999E-2</v>
      </c>
      <c r="K789" s="3">
        <v>182.2822816540324</v>
      </c>
      <c r="L789" s="3">
        <v>164.3777</v>
      </c>
      <c r="M789" s="3">
        <v>1080.81558</v>
      </c>
      <c r="N789" s="12">
        <f>I789/H789</f>
        <v>1.2860037711711327E-2</v>
      </c>
      <c r="O789" s="11">
        <f>I789*10000</f>
        <v>404.01</v>
      </c>
      <c r="P789" s="1">
        <v>10</v>
      </c>
      <c r="Q789" s="1">
        <v>1</v>
      </c>
      <c r="R789" s="3">
        <f>Q789*VLOOKUP(P789,[1]Datos!$A$2:$D$14,2)</f>
        <v>8.19</v>
      </c>
      <c r="S789" s="10">
        <f>ROUNDUP(O789/R789,0)</f>
        <v>50</v>
      </c>
      <c r="T789" s="2">
        <v>56</v>
      </c>
      <c r="U789" s="3">
        <f>ROUNDDOWN(PI()*(G789-0.185)/T789,2)</f>
        <v>0.1</v>
      </c>
      <c r="V789" s="3"/>
      <c r="W789" s="1">
        <v>280</v>
      </c>
      <c r="X789" s="9">
        <v>2</v>
      </c>
      <c r="Y789" s="1">
        <v>4</v>
      </c>
      <c r="Z789" s="3">
        <f>X789*VLOOKUP(Y789,[1]Datos!$A$2:$D$14,2)</f>
        <v>2.58</v>
      </c>
      <c r="AA789" s="8">
        <v>0.3</v>
      </c>
      <c r="AB789" s="7">
        <f>IF(D789=0,0.9,0.5)*0.9*0.53*SQRT(W789)*G789*MAX(0.72*G789,0.9*((G789/2)+((G789-0.11)/PI())))*10</f>
        <v>207.09423574274689</v>
      </c>
      <c r="AC789" s="7">
        <f>0.9*Z789*4220*MAX(0.72*G789,0.9*((G789/2)+((G789-0.11)/PI())))/AA789/1000</f>
        <v>47.081633547905106</v>
      </c>
      <c r="AD789" s="6" t="str">
        <f>+IF(AC789&gt;K789-AB789,"Cumple","No Cumple")</f>
        <v>Cumple</v>
      </c>
      <c r="AE789" s="6"/>
      <c r="AH789" s="3"/>
    </row>
    <row r="790" spans="1:43" ht="15" customHeight="1" x14ac:dyDescent="0.3">
      <c r="A790" s="13"/>
      <c r="B790" s="1">
        <v>9</v>
      </c>
      <c r="C790" s="1">
        <v>152</v>
      </c>
      <c r="D790" s="1">
        <v>0</v>
      </c>
      <c r="E790" s="5">
        <v>1</v>
      </c>
      <c r="F790" s="3">
        <f>F789+E790</f>
        <v>9</v>
      </c>
      <c r="G790" s="5">
        <v>2</v>
      </c>
      <c r="H790" s="3">
        <f>PI()*(G790^2)/4</f>
        <v>3.1415926535897931</v>
      </c>
      <c r="I790" s="4">
        <v>4.5047999999999998E-2</v>
      </c>
      <c r="K790" s="3">
        <v>182.28237836304967</v>
      </c>
      <c r="L790" s="3">
        <v>123.37669</v>
      </c>
      <c r="M790" s="3">
        <v>1183.2320099999999</v>
      </c>
      <c r="N790" s="12">
        <f>I790/H790</f>
        <v>1.4339223752807401E-2</v>
      </c>
      <c r="O790" s="11">
        <f>I790*10000</f>
        <v>450.47999999999996</v>
      </c>
      <c r="P790" s="1">
        <v>10</v>
      </c>
      <c r="Q790" s="1">
        <v>1</v>
      </c>
      <c r="R790" s="3">
        <f>Q790*VLOOKUP(P790,[1]Datos!$A$2:$D$14,2)</f>
        <v>8.19</v>
      </c>
      <c r="S790" s="10">
        <f>ROUNDUP(O790/R790,0)</f>
        <v>56</v>
      </c>
      <c r="T790" s="2">
        <v>56</v>
      </c>
      <c r="U790" s="3">
        <f>ROUNDDOWN(PI()*(G790-0.185)/T790,2)</f>
        <v>0.1</v>
      </c>
      <c r="V790" s="3"/>
      <c r="W790" s="1">
        <v>280</v>
      </c>
      <c r="X790" s="9">
        <v>2</v>
      </c>
      <c r="Y790" s="1">
        <v>4</v>
      </c>
      <c r="Z790" s="3">
        <f>X790*VLOOKUP(Y790,[1]Datos!$A$2:$D$14,2)</f>
        <v>2.58</v>
      </c>
      <c r="AA790" s="8">
        <v>0.3</v>
      </c>
      <c r="AB790" s="7">
        <f>IF(D790=0,0.9,0.5)*0.9*0.53*SQRT(W790)*G790*MAX(0.72*G790,0.9*((G790/2)+((G790-0.11)/PI())))*10</f>
        <v>207.09423574274689</v>
      </c>
      <c r="AC790" s="7">
        <f>0.9*Z790*4220*MAX(0.72*G790,0.9*((G790/2)+((G790-0.11)/PI())))/AA790/1000</f>
        <v>47.081633547905106</v>
      </c>
      <c r="AD790" s="6" t="str">
        <f>+IF(AC790&gt;K790-AB790,"Cumple","No Cumple")</f>
        <v>Cumple</v>
      </c>
      <c r="AE790" s="6"/>
      <c r="AH790" s="3"/>
    </row>
    <row r="791" spans="1:43" ht="15" customHeight="1" x14ac:dyDescent="0.3">
      <c r="A791" s="13"/>
      <c r="B791" s="1">
        <v>10</v>
      </c>
      <c r="C791" s="1">
        <v>154</v>
      </c>
      <c r="D791" s="1">
        <v>0</v>
      </c>
      <c r="E791" s="5">
        <v>1</v>
      </c>
      <c r="F791" s="3">
        <f>F790+E791</f>
        <v>10</v>
      </c>
      <c r="G791" s="5">
        <v>2</v>
      </c>
      <c r="H791" s="3">
        <f>PI()*(G791^2)/4</f>
        <v>3.1415926535897931</v>
      </c>
      <c r="I791" s="4">
        <v>4.8915E-2</v>
      </c>
      <c r="K791" s="3">
        <v>182.2824750720705</v>
      </c>
      <c r="L791" s="3">
        <v>103.96176</v>
      </c>
      <c r="M791" s="3">
        <v>1285.69859</v>
      </c>
      <c r="N791" s="12">
        <f>I791/H791</f>
        <v>1.5570128082680122E-2</v>
      </c>
      <c r="O791" s="11">
        <f>I791*10000</f>
        <v>489.15</v>
      </c>
      <c r="P791" s="1">
        <v>10</v>
      </c>
      <c r="Q791" s="15">
        <v>1</v>
      </c>
      <c r="R791" s="3">
        <f>Q791*VLOOKUP(P791,[1]Datos!$A$2:$D$14,2)</f>
        <v>8.19</v>
      </c>
      <c r="S791" s="10">
        <f>ROUNDUP(O791/R791,0)</f>
        <v>60</v>
      </c>
      <c r="T791" s="14">
        <v>77</v>
      </c>
      <c r="U791" s="3">
        <f>ROUNDDOWN(PI()*(G791-0.185)/T791,2)</f>
        <v>7.0000000000000007E-2</v>
      </c>
      <c r="V791" s="3"/>
      <c r="W791" s="1">
        <v>280</v>
      </c>
      <c r="X791" s="9">
        <v>2</v>
      </c>
      <c r="Y791" s="1">
        <v>4</v>
      </c>
      <c r="Z791" s="3">
        <f>X791*VLOOKUP(Y791,[1]Datos!$A$2:$D$14,2)</f>
        <v>2.58</v>
      </c>
      <c r="AA791" s="8">
        <v>0.3</v>
      </c>
      <c r="AB791" s="7">
        <f>IF(D791=0,0.9,0.5)*0.9*0.53*SQRT(W791)*G791*MAX(0.72*G791,0.9*((G791/2)+((G791-0.11)/PI())))*10</f>
        <v>207.09423574274689</v>
      </c>
      <c r="AC791" s="7">
        <f>0.9*Z791*4220*MAX(0.72*G791,0.9*((G791/2)+((G791-0.11)/PI())))/AA791/1000</f>
        <v>47.081633547905106</v>
      </c>
      <c r="AD791" s="6" t="str">
        <f>+IF(AC791&gt;K791-AB791,"Cumple","No Cumple")</f>
        <v>Cumple</v>
      </c>
      <c r="AE791" s="6"/>
      <c r="AH791" s="3"/>
    </row>
    <row r="792" spans="1:43" ht="15" customHeight="1" x14ac:dyDescent="0.3">
      <c r="A792" s="13"/>
      <c r="B792" s="1">
        <v>11</v>
      </c>
      <c r="C792" s="1">
        <v>156</v>
      </c>
      <c r="D792" s="1">
        <v>0</v>
      </c>
      <c r="E792" s="5">
        <v>1</v>
      </c>
      <c r="F792" s="3">
        <f>F791+E792</f>
        <v>11</v>
      </c>
      <c r="G792" s="5">
        <v>2</v>
      </c>
      <c r="H792" s="3">
        <f>PI()*(G792^2)/4</f>
        <v>3.1415926535897931</v>
      </c>
      <c r="I792" s="4">
        <v>5.2198000000000001E-2</v>
      </c>
      <c r="K792" s="3">
        <v>182.28257178109487</v>
      </c>
      <c r="L792" s="3">
        <v>124.41276999999999</v>
      </c>
      <c r="M792" s="3">
        <v>1388.1695299999999</v>
      </c>
      <c r="N792" s="12">
        <f>I792/H792</f>
        <v>1.6615139439021508E-2</v>
      </c>
      <c r="O792" s="11">
        <f>I792*10000</f>
        <v>521.98</v>
      </c>
      <c r="P792" s="1">
        <v>10</v>
      </c>
      <c r="Q792" s="15">
        <v>1</v>
      </c>
      <c r="R792" s="3">
        <f>Q792*VLOOKUP(P792,[1]Datos!$A$2:$D$14,2)</f>
        <v>8.19</v>
      </c>
      <c r="S792" s="10">
        <f>ROUNDUP(O792/R792,0)</f>
        <v>64</v>
      </c>
      <c r="T792" s="14">
        <v>77</v>
      </c>
      <c r="U792" s="3">
        <f>ROUNDDOWN(PI()*(G792-0.185)/T792,2)</f>
        <v>7.0000000000000007E-2</v>
      </c>
      <c r="V792" s="3"/>
      <c r="W792" s="1">
        <v>280</v>
      </c>
      <c r="X792" s="9">
        <v>2</v>
      </c>
      <c r="Y792" s="1">
        <v>6</v>
      </c>
      <c r="Z792" s="3">
        <f>X792*VLOOKUP(Y792,[1]Datos!$A$2:$D$14,2)</f>
        <v>5.68</v>
      </c>
      <c r="AA792" s="8">
        <v>7.4999999999999997E-2</v>
      </c>
      <c r="AB792" s="7">
        <f>IF(D792=0,0.9,0.5)*0.9*0.53*SQRT(W792)*G792*MAX(0.72*G792,0.9*((G792/2)+((G792-0.11)/PI())))*10</f>
        <v>207.09423574274689</v>
      </c>
      <c r="AC792" s="7">
        <f>0.9*Z792*4220*MAX(0.72*G792,0.9*((G792/2)+((G792-0.11)/PI())))/AA792/1000</f>
        <v>414.61035434434268</v>
      </c>
      <c r="AD792" s="6" t="str">
        <f>+IF(AC792&gt;K792-AB792,"Cumple","No Cumple")</f>
        <v>Cumple</v>
      </c>
      <c r="AE792" s="6"/>
      <c r="AF792" s="5">
        <v>12</v>
      </c>
      <c r="AG792" s="7">
        <f>ROUNDUP(MAX(0.45,G792,AF792/6),0)</f>
        <v>2</v>
      </c>
      <c r="AH792" s="3">
        <f>PI()*(G792-0.15)^2/4</f>
        <v>2.6880252142277672</v>
      </c>
      <c r="AI792" s="7">
        <f>G792-0.15-VLOOKUP(Y792,[1]Datos!$A$2:$D$14,3)/100</f>
        <v>1.8309000000000002</v>
      </c>
      <c r="AJ792" s="7">
        <f>SQRT((PI()*AI792)^2+AA792^2)</f>
        <v>5.7524309339691264</v>
      </c>
      <c r="AK792" s="1">
        <v>0.12</v>
      </c>
      <c r="AL792" s="16">
        <f>MAX(0.45*(H792/AH792-1),AK792)*(W792/4220)</f>
        <v>7.9620853080568724E-3</v>
      </c>
      <c r="AM792" s="7">
        <f>AG792*(AJ792/AA792)</f>
        <v>153.39815823917672</v>
      </c>
      <c r="AN792" s="17">
        <f>AM792*Z792/X792/10000</f>
        <v>4.3565076939926187E-2</v>
      </c>
      <c r="AO792" s="17">
        <f>AH792*AG792</f>
        <v>5.3760504284555344</v>
      </c>
      <c r="AP792" s="16">
        <f>AN792/AO792</f>
        <v>8.1035469290495175E-3</v>
      </c>
      <c r="AQ792" s="6" t="str">
        <f>+IF(AP792&gt;AL792,"Cumple","No Cumple")</f>
        <v>Cumple</v>
      </c>
    </row>
    <row r="793" spans="1:43" x14ac:dyDescent="0.3">
      <c r="A793" s="13"/>
      <c r="B793" s="1">
        <v>12</v>
      </c>
      <c r="C793" s="1">
        <v>158</v>
      </c>
      <c r="D793" s="1">
        <v>0</v>
      </c>
      <c r="E793" s="5">
        <v>1</v>
      </c>
      <c r="F793" s="3">
        <f>F792+E793</f>
        <v>12</v>
      </c>
      <c r="G793" s="5">
        <v>2</v>
      </c>
      <c r="H793" s="3">
        <f>PI()*(G793^2)/4</f>
        <v>3.1415926535897931</v>
      </c>
      <c r="I793" s="4">
        <v>5.4990999999999998E-2</v>
      </c>
      <c r="K793" s="3">
        <v>182.2826684901228</v>
      </c>
      <c r="L793" s="3">
        <v>165.88050000000001</v>
      </c>
      <c r="M793" s="3">
        <v>1490.6073100000001</v>
      </c>
      <c r="N793" s="12">
        <f>I793/H793</f>
        <v>1.7504178951132834E-2</v>
      </c>
      <c r="O793" s="11">
        <f>I793*10000</f>
        <v>549.91</v>
      </c>
      <c r="P793" s="1">
        <v>10</v>
      </c>
      <c r="Q793" s="15">
        <v>1</v>
      </c>
      <c r="R793" s="3">
        <f>Q793*VLOOKUP(P793,[1]Datos!$A$2:$D$14,2)</f>
        <v>8.19</v>
      </c>
      <c r="S793" s="10">
        <f>ROUNDUP(O793/R793,0)</f>
        <v>68</v>
      </c>
      <c r="T793" s="14">
        <v>77</v>
      </c>
      <c r="U793" s="3">
        <f>ROUNDDOWN(PI()*(G793-0.185)/T793,2)</f>
        <v>7.0000000000000007E-2</v>
      </c>
      <c r="V793" s="3"/>
      <c r="W793" s="1">
        <v>280</v>
      </c>
      <c r="X793" s="9">
        <v>2</v>
      </c>
      <c r="Y793" s="1">
        <v>6</v>
      </c>
      <c r="Z793" s="3">
        <f>X793*VLOOKUP(Y793,[1]Datos!$A$2:$D$14,2)</f>
        <v>5.68</v>
      </c>
      <c r="AA793" s="8">
        <v>7.4999999999999997E-2</v>
      </c>
      <c r="AB793" s="7">
        <f>IF(D793=0,0.9,0.5)*0.9*0.53*SQRT(W793)*G793*MAX(0.72*G793,0.9*((G793/2)+((G793-0.11)/PI())))*10</f>
        <v>207.09423574274689</v>
      </c>
      <c r="AC793" s="7">
        <f>0.9*Z793*4220*MAX(0.72*G793,0.9*((G793/2)+((G793-0.11)/PI())))/AA793/1000</f>
        <v>414.61035434434268</v>
      </c>
      <c r="AD793" s="6" t="str">
        <f>+IF(AC793&gt;K793-AB793,"Cumple","No Cumple")</f>
        <v>Cumple</v>
      </c>
      <c r="AE793" s="6"/>
      <c r="AF793" s="5">
        <v>12</v>
      </c>
      <c r="AG793" s="7">
        <f>ROUNDUP(MAX(0.45,G793,AF793/6),0)</f>
        <v>2</v>
      </c>
      <c r="AH793" s="3">
        <f>PI()*(G793-0.15)^2/4</f>
        <v>2.6880252142277672</v>
      </c>
      <c r="AI793" s="7">
        <f>G793-0.15-VLOOKUP(Y793,[1]Datos!$A$2:$D$14,3)/100</f>
        <v>1.8309000000000002</v>
      </c>
      <c r="AJ793" s="7">
        <f>SQRT((PI()*AI793)^2+AA793^2)</f>
        <v>5.7524309339691264</v>
      </c>
      <c r="AK793" s="1">
        <v>0.12</v>
      </c>
      <c r="AL793" s="16">
        <f>MAX(0.45*(H793/AH793-1),AK793)*(W793/4220)</f>
        <v>7.9620853080568724E-3</v>
      </c>
      <c r="AM793" s="7">
        <f>AG793*(AJ793/AA793)</f>
        <v>153.39815823917672</v>
      </c>
      <c r="AN793" s="17">
        <f>AM793*Z793/X793/10000</f>
        <v>4.3565076939926187E-2</v>
      </c>
      <c r="AO793" s="17">
        <f>AH793*AG793</f>
        <v>5.3760504284555344</v>
      </c>
      <c r="AP793" s="16">
        <f>AN793/AO793</f>
        <v>8.1035469290495175E-3</v>
      </c>
      <c r="AQ793" s="6" t="str">
        <f>+IF(AP793&gt;AL793,"Cumple","No Cumple")</f>
        <v>Cumple</v>
      </c>
    </row>
    <row r="794" spans="1:43" x14ac:dyDescent="0.3">
      <c r="A794" s="13"/>
      <c r="B794" s="1">
        <v>13</v>
      </c>
      <c r="C794" s="1">
        <v>374</v>
      </c>
      <c r="D794" s="1">
        <v>1</v>
      </c>
      <c r="E794" s="5">
        <v>1</v>
      </c>
      <c r="F794" s="3">
        <f>F793+E794</f>
        <v>13</v>
      </c>
      <c r="G794" s="5">
        <v>2</v>
      </c>
      <c r="H794" s="3">
        <f>PI()*(G794^2)/4</f>
        <v>3.1415926535897931</v>
      </c>
      <c r="I794" s="4">
        <v>0.117408</v>
      </c>
      <c r="K794" s="3">
        <v>182.34623999863555</v>
      </c>
      <c r="L794" s="3">
        <v>398.82666999999998</v>
      </c>
      <c r="M794" s="3">
        <v>2758.43975</v>
      </c>
      <c r="N794" s="12">
        <f>I794/H794</f>
        <v>3.7372127117066493E-2</v>
      </c>
      <c r="O794" s="11">
        <f>I794*10000</f>
        <v>1174.08</v>
      </c>
      <c r="P794" s="1">
        <v>10</v>
      </c>
      <c r="Q794" s="15">
        <v>2</v>
      </c>
      <c r="R794" s="3">
        <f>Q794*VLOOKUP(P794,[1]Datos!$A$2:$D$14,2)</f>
        <v>16.38</v>
      </c>
      <c r="S794" s="10">
        <f>ROUNDUP(O794/R794,0)</f>
        <v>72</v>
      </c>
      <c r="T794" s="14">
        <v>77</v>
      </c>
      <c r="U794" s="3">
        <f>ROUNDDOWN(PI()*(G794-0.185)/T794,2)</f>
        <v>7.0000000000000007E-2</v>
      </c>
      <c r="V794" s="3"/>
      <c r="W794" s="1">
        <v>280</v>
      </c>
      <c r="X794" s="9">
        <v>2</v>
      </c>
      <c r="Y794" s="1">
        <v>6</v>
      </c>
      <c r="Z794" s="3">
        <f>X794*VLOOKUP(Y794,[1]Datos!$A$2:$D$14,2)</f>
        <v>5.68</v>
      </c>
      <c r="AA794" s="8">
        <v>7.4999999999999997E-2</v>
      </c>
      <c r="AB794" s="7">
        <f>IF(D794=0,0.9,0.5)*0.9*0.53*SQRT(W794)*G794*MAX(0.72*G794,0.9*((G794/2)+((G794-0.11)/PI())))*10</f>
        <v>115.05235319041492</v>
      </c>
      <c r="AC794" s="7">
        <f>0.9*Z794*4220*MAX(0.72*G794,0.9*((G794/2)+((G794-0.11)/PI())))/AA794/1000</f>
        <v>414.61035434434268</v>
      </c>
      <c r="AD794" s="6" t="str">
        <f>+IF(AC794&gt;K794-AB794,"Cumple","No Cumple")</f>
        <v>Cumple</v>
      </c>
      <c r="AE794" s="6"/>
      <c r="AG794" s="7">
        <f>ROUNDUP(MAX(0.45,3*G794,),0)</f>
        <v>6</v>
      </c>
      <c r="AH794" s="3">
        <f>PI()*(G794-0.15)^2/4</f>
        <v>2.6880252142277672</v>
      </c>
      <c r="AI794" s="7">
        <f>G794-0.15-VLOOKUP(Y794,[1]Datos!$A$2:$D$14,3)/100</f>
        <v>1.8309000000000002</v>
      </c>
      <c r="AJ794" s="7">
        <f>SQRT((PI()*AI794)^2+AA794^2)</f>
        <v>5.7524309339691264</v>
      </c>
      <c r="AK794" s="1">
        <v>0.12</v>
      </c>
      <c r="AL794" s="16">
        <f>MAX(0.45*(H794/AH794-1),AK794)*(W794/4220)</f>
        <v>7.9620853080568724E-3</v>
      </c>
      <c r="AM794" s="7">
        <f>AG794*(AJ794/AA794)</f>
        <v>460.19447471753017</v>
      </c>
      <c r="AN794" s="17">
        <f>AM794*Z794/X794/10000</f>
        <v>0.13069523081977857</v>
      </c>
      <c r="AO794" s="17">
        <f>AH794*AG794</f>
        <v>16.128151285366602</v>
      </c>
      <c r="AP794" s="16">
        <f>AN794/AO794</f>
        <v>8.1035469290495193E-3</v>
      </c>
      <c r="AQ794" s="6" t="str">
        <f>+IF(AP794&gt;AL794,"Cumple","No Cumple")</f>
        <v>Cumple</v>
      </c>
    </row>
    <row r="795" spans="1:43" x14ac:dyDescent="0.3">
      <c r="A795" s="13"/>
      <c r="B795" s="1">
        <v>14</v>
      </c>
      <c r="C795" s="1">
        <v>376</v>
      </c>
      <c r="D795" s="1">
        <v>1</v>
      </c>
      <c r="E795" s="5">
        <v>1</v>
      </c>
      <c r="F795" s="3">
        <f>F794+E795</f>
        <v>14</v>
      </c>
      <c r="G795" s="5">
        <v>2</v>
      </c>
      <c r="H795" s="3">
        <f>PI()*(G795^2)/4</f>
        <v>3.1415926535897931</v>
      </c>
      <c r="I795" s="4">
        <v>0.122974</v>
      </c>
      <c r="K795" s="3">
        <v>130.1890136234237</v>
      </c>
      <c r="L795" s="3">
        <v>484.94466999999997</v>
      </c>
      <c r="M795" s="3">
        <v>2883.7750599999999</v>
      </c>
      <c r="N795" s="12">
        <f>I795/H795</f>
        <v>3.9143839943565475E-2</v>
      </c>
      <c r="O795" s="11">
        <f>I795*10000</f>
        <v>1229.74</v>
      </c>
      <c r="P795" s="1">
        <v>10</v>
      </c>
      <c r="Q795" s="15">
        <v>2</v>
      </c>
      <c r="R795" s="3">
        <f>Q795*VLOOKUP(P795,[1]Datos!$A$2:$D$14,2)</f>
        <v>16.38</v>
      </c>
      <c r="S795" s="10">
        <f>ROUNDUP(O795/R795,0)</f>
        <v>76</v>
      </c>
      <c r="T795" s="14">
        <v>77</v>
      </c>
      <c r="U795" s="3">
        <f>ROUNDDOWN(PI()*(G795-0.185)/T795,2)</f>
        <v>7.0000000000000007E-2</v>
      </c>
      <c r="V795" s="3"/>
      <c r="W795" s="1">
        <v>280</v>
      </c>
      <c r="X795" s="9">
        <v>2</v>
      </c>
      <c r="Y795" s="1">
        <v>6</v>
      </c>
      <c r="Z795" s="3">
        <f>X795*VLOOKUP(Y795,[1]Datos!$A$2:$D$14,2)</f>
        <v>5.68</v>
      </c>
      <c r="AA795" s="8">
        <v>7.4999999999999997E-2</v>
      </c>
      <c r="AB795" s="7">
        <f>IF(D795=0,0.9,0.5)*0.9*0.53*SQRT(W795)*G795*MAX(0.72*G795,0.9*((G795/2)+((G795-0.11)/PI())))*10</f>
        <v>115.05235319041492</v>
      </c>
      <c r="AC795" s="7">
        <f>0.9*Z795*4220*MAX(0.72*G795,0.9*((G795/2)+((G795-0.11)/PI())))/AA795/1000</f>
        <v>414.61035434434268</v>
      </c>
      <c r="AD795" s="6" t="str">
        <f>+IF(AC795&gt;K795-AB795,"Cumple","No Cumple")</f>
        <v>Cumple</v>
      </c>
      <c r="AE795" s="6"/>
      <c r="AG795" s="7">
        <f>ROUNDUP(MAX(0.45,3*G795,),0)</f>
        <v>6</v>
      </c>
      <c r="AH795" s="3">
        <f>PI()*(G795-0.15)^2/4</f>
        <v>2.6880252142277672</v>
      </c>
      <c r="AI795" s="7">
        <f>G795-0.15-VLOOKUP(Y795,[1]Datos!$A$2:$D$14,3)/100</f>
        <v>1.8309000000000002</v>
      </c>
      <c r="AJ795" s="7">
        <f>SQRT((PI()*AI795)^2+AA795^2)</f>
        <v>5.7524309339691264</v>
      </c>
      <c r="AK795" s="1">
        <v>0.12</v>
      </c>
      <c r="AL795" s="16">
        <f>MAX(0.45*(H795/AH795-1),AK795)*(W795/4220)</f>
        <v>7.9620853080568724E-3</v>
      </c>
      <c r="AM795" s="7">
        <f>AG795*(AJ795/AA795)</f>
        <v>460.19447471753017</v>
      </c>
      <c r="AN795" s="17">
        <f>AM795*Z795/X795/10000</f>
        <v>0.13069523081977857</v>
      </c>
      <c r="AO795" s="17">
        <f>AH795*AG795</f>
        <v>16.128151285366602</v>
      </c>
      <c r="AP795" s="16">
        <f>AN795/AO795</f>
        <v>8.1035469290495193E-3</v>
      </c>
      <c r="AQ795" s="6" t="str">
        <f>+IF(AP795&gt;AL795,"Cumple","No Cumple")</f>
        <v>Cumple</v>
      </c>
    </row>
    <row r="796" spans="1:43" x14ac:dyDescent="0.3">
      <c r="A796" s="13"/>
      <c r="B796" s="1">
        <v>15</v>
      </c>
      <c r="C796" s="1">
        <v>378</v>
      </c>
      <c r="D796" s="1">
        <v>1</v>
      </c>
      <c r="E796" s="5">
        <v>1</v>
      </c>
      <c r="F796" s="3">
        <f>F795+E796</f>
        <v>15</v>
      </c>
      <c r="G796" s="5">
        <v>2</v>
      </c>
      <c r="H796" s="3">
        <f>PI()*(G796^2)/4</f>
        <v>3.1415926535897931</v>
      </c>
      <c r="I796" s="4">
        <v>0.124723</v>
      </c>
      <c r="K796" s="3">
        <v>69.939521373969953</v>
      </c>
      <c r="L796" s="3">
        <v>548.99697000000003</v>
      </c>
      <c r="M796" s="3">
        <v>2926.9947099999999</v>
      </c>
      <c r="N796" s="12">
        <f>I796/H796</f>
        <v>3.9700563934500922E-2</v>
      </c>
      <c r="O796" s="11">
        <f>I796*10000</f>
        <v>1247.23</v>
      </c>
      <c r="P796" s="1">
        <v>10</v>
      </c>
      <c r="Q796" s="15">
        <v>2</v>
      </c>
      <c r="R796" s="3">
        <f>Q796*VLOOKUP(P796,[1]Datos!$A$2:$D$14,2)</f>
        <v>16.38</v>
      </c>
      <c r="S796" s="10">
        <f>ROUNDUP(O796/R796,0)</f>
        <v>77</v>
      </c>
      <c r="T796" s="14">
        <v>77</v>
      </c>
      <c r="U796" s="3">
        <f>ROUNDDOWN(PI()*(G796-0.185)/T796,2)</f>
        <v>7.0000000000000007E-2</v>
      </c>
      <c r="V796" s="3"/>
      <c r="W796" s="1">
        <v>280</v>
      </c>
      <c r="X796" s="9">
        <v>2</v>
      </c>
      <c r="Y796" s="1">
        <v>6</v>
      </c>
      <c r="Z796" s="3">
        <f>X796*VLOOKUP(Y796,[1]Datos!$A$2:$D$14,2)</f>
        <v>5.68</v>
      </c>
      <c r="AA796" s="8">
        <v>7.4999999999999997E-2</v>
      </c>
      <c r="AB796" s="7">
        <f>IF(D796=0,0.9,0.5)*0.9*0.53*SQRT(W796)*G796*MAX(0.72*G796,0.9*((G796/2)+((G796-0.11)/PI())))*10</f>
        <v>115.05235319041492</v>
      </c>
      <c r="AC796" s="7">
        <f>0.9*Z796*4220*MAX(0.72*G796,0.9*((G796/2)+((G796-0.11)/PI())))/AA796/1000</f>
        <v>414.61035434434268</v>
      </c>
      <c r="AD796" s="6" t="str">
        <f>+IF(AC796&gt;K796-AB796,"Cumple","No Cumple")</f>
        <v>Cumple</v>
      </c>
      <c r="AE796" s="6"/>
      <c r="AG796" s="7">
        <f>ROUNDUP(MAX(0.45,3*G796,),0)</f>
        <v>6</v>
      </c>
      <c r="AH796" s="3">
        <f>PI()*(G796-0.15)^2/4</f>
        <v>2.6880252142277672</v>
      </c>
      <c r="AI796" s="7">
        <f>G796-0.15-VLOOKUP(Y796,[1]Datos!$A$2:$D$14,3)/100</f>
        <v>1.8309000000000002</v>
      </c>
      <c r="AJ796" s="7">
        <f>SQRT((PI()*AI796)^2+AA796^2)</f>
        <v>5.7524309339691264</v>
      </c>
      <c r="AK796" s="1">
        <v>0.12</v>
      </c>
      <c r="AL796" s="16">
        <f>MAX(0.45*(H796/AH796-1),AK796)*(W796/4220)</f>
        <v>7.9620853080568724E-3</v>
      </c>
      <c r="AM796" s="7">
        <f>AG796*(AJ796/AA796)</f>
        <v>460.19447471753017</v>
      </c>
      <c r="AN796" s="17">
        <f>AM796*Z796/X796/10000</f>
        <v>0.13069523081977857</v>
      </c>
      <c r="AO796" s="17">
        <f>AH796*AG796</f>
        <v>16.128151285366602</v>
      </c>
      <c r="AP796" s="16">
        <f>AN796/AO796</f>
        <v>8.1035469290495193E-3</v>
      </c>
      <c r="AQ796" s="6" t="str">
        <f>+IF(AP796&gt;AL796,"Cumple","No Cumple")</f>
        <v>Cumple</v>
      </c>
    </row>
    <row r="797" spans="1:43" x14ac:dyDescent="0.3">
      <c r="A797" s="13"/>
      <c r="B797" s="1">
        <v>16</v>
      </c>
      <c r="C797" s="1">
        <v>380</v>
      </c>
      <c r="D797" s="1">
        <v>1</v>
      </c>
      <c r="E797" s="5">
        <v>1</v>
      </c>
      <c r="F797" s="3">
        <f>F796+E797</f>
        <v>16</v>
      </c>
      <c r="G797" s="5">
        <v>2</v>
      </c>
      <c r="H797" s="3">
        <f>PI()*(G797^2)/4</f>
        <v>3.1415926535897931</v>
      </c>
      <c r="I797" s="4">
        <v>0.124721</v>
      </c>
      <c r="K797" s="3">
        <v>55.76676730616542</v>
      </c>
      <c r="L797" s="3">
        <v>586.20335</v>
      </c>
      <c r="M797" s="3">
        <v>2926.9947099999999</v>
      </c>
      <c r="N797" s="12">
        <f>I797/H797</f>
        <v>3.9699927314728559E-2</v>
      </c>
      <c r="O797" s="11">
        <f>I797*10000</f>
        <v>1247.21</v>
      </c>
      <c r="P797" s="1">
        <v>10</v>
      </c>
      <c r="Q797" s="15">
        <v>2</v>
      </c>
      <c r="R797" s="3">
        <f>Q797*VLOOKUP(P797,[1]Datos!$A$2:$D$14,2)</f>
        <v>16.38</v>
      </c>
      <c r="S797" s="10">
        <f>ROUNDUP(O797/R797,0)</f>
        <v>77</v>
      </c>
      <c r="T797" s="14">
        <v>77</v>
      </c>
      <c r="U797" s="3">
        <f>ROUNDDOWN(PI()*(G797-0.185)/T797,2)</f>
        <v>7.0000000000000007E-2</v>
      </c>
      <c r="V797" s="3"/>
      <c r="W797" s="1">
        <v>280</v>
      </c>
      <c r="X797" s="9">
        <v>2</v>
      </c>
      <c r="Y797" s="1">
        <v>6</v>
      </c>
      <c r="Z797" s="3">
        <f>X797*VLOOKUP(Y797,[1]Datos!$A$2:$D$14,2)</f>
        <v>5.68</v>
      </c>
      <c r="AA797" s="8">
        <v>7.4999999999999997E-2</v>
      </c>
      <c r="AB797" s="7">
        <f>IF(D797=0,0.9,0.5)*0.9*0.53*SQRT(W797)*G797*MAX(0.72*G797,0.9*((G797/2)+((G797-0.11)/PI())))*10</f>
        <v>115.05235319041492</v>
      </c>
      <c r="AC797" s="7">
        <f>0.9*Z797*4220*MAX(0.72*G797,0.9*((G797/2)+((G797-0.11)/PI())))/AA797/1000</f>
        <v>414.61035434434268</v>
      </c>
      <c r="AD797" s="6" t="str">
        <f>+IF(AC797&gt;K797-AB797,"Cumple","No Cumple")</f>
        <v>Cumple</v>
      </c>
      <c r="AE797" s="6"/>
      <c r="AG797" s="7">
        <f>ROUNDUP(MAX(0.45,3*G797,),0)</f>
        <v>6</v>
      </c>
      <c r="AH797" s="3">
        <f>PI()*(G797-0.15)^2/4</f>
        <v>2.6880252142277672</v>
      </c>
      <c r="AI797" s="7">
        <f>G797-0.15-VLOOKUP(Y797,[1]Datos!$A$2:$D$14,3)/100</f>
        <v>1.8309000000000002</v>
      </c>
      <c r="AJ797" s="7">
        <f>SQRT((PI()*AI797)^2+AA797^2)</f>
        <v>5.7524309339691264</v>
      </c>
      <c r="AK797" s="1">
        <v>0.12</v>
      </c>
      <c r="AL797" s="16">
        <f>MAX(0.45*(H797/AH797-1),AK797)*(W797/4220)</f>
        <v>7.9620853080568724E-3</v>
      </c>
      <c r="AM797" s="7">
        <f>AG797*(AJ797/AA797)</f>
        <v>460.19447471753017</v>
      </c>
      <c r="AN797" s="17">
        <f>AM797*Z797/X797/10000</f>
        <v>0.13069523081977857</v>
      </c>
      <c r="AO797" s="17">
        <f>AH797*AG797</f>
        <v>16.128151285366602</v>
      </c>
      <c r="AP797" s="16">
        <f>AN797/AO797</f>
        <v>8.1035469290495193E-3</v>
      </c>
      <c r="AQ797" s="6" t="str">
        <f>+IF(AP797&gt;AL797,"Cumple","No Cumple")</f>
        <v>Cumple</v>
      </c>
    </row>
    <row r="798" spans="1:43" x14ac:dyDescent="0.3">
      <c r="A798" s="13"/>
      <c r="B798" s="1">
        <v>17</v>
      </c>
      <c r="C798" s="1">
        <v>382</v>
      </c>
      <c r="D798" s="1">
        <v>1</v>
      </c>
      <c r="E798" s="5">
        <v>1</v>
      </c>
      <c r="F798" s="3">
        <f>F797+E798</f>
        <v>17</v>
      </c>
      <c r="G798" s="5">
        <v>2</v>
      </c>
      <c r="H798" s="3">
        <f>PI()*(G798^2)/4</f>
        <v>3.1415926535897931</v>
      </c>
      <c r="I798" s="4">
        <v>0.122488</v>
      </c>
      <c r="K798" s="3">
        <v>142.34443683298622</v>
      </c>
      <c r="L798" s="3">
        <v>595.72563000000002</v>
      </c>
      <c r="M798" s="3">
        <v>2877.19787</v>
      </c>
      <c r="N798" s="12">
        <f>I798/H798</f>
        <v>3.8989141338880151E-2</v>
      </c>
      <c r="O798" s="11">
        <f>I798*10000</f>
        <v>1224.8800000000001</v>
      </c>
      <c r="P798" s="1">
        <v>10</v>
      </c>
      <c r="Q798" s="15">
        <v>2</v>
      </c>
      <c r="R798" s="3">
        <f>Q798*VLOOKUP(P798,[1]Datos!$A$2:$D$14,2)</f>
        <v>16.38</v>
      </c>
      <c r="S798" s="10">
        <f>ROUNDUP(O798/R798,0)</f>
        <v>75</v>
      </c>
      <c r="T798" s="14">
        <v>77</v>
      </c>
      <c r="U798" s="3">
        <f>ROUNDDOWN(PI()*(G798-0.185)/T798,2)</f>
        <v>7.0000000000000007E-2</v>
      </c>
      <c r="V798" s="3"/>
      <c r="W798" s="1">
        <v>280</v>
      </c>
      <c r="X798" s="9">
        <v>2</v>
      </c>
      <c r="Y798" s="1">
        <v>6</v>
      </c>
      <c r="Z798" s="3">
        <f>X798*VLOOKUP(Y798,[1]Datos!$A$2:$D$14,2)</f>
        <v>5.68</v>
      </c>
      <c r="AA798" s="8">
        <v>7.4999999999999997E-2</v>
      </c>
      <c r="AB798" s="7">
        <f>IF(D798=0,0.9,0.5)*0.9*0.53*SQRT(W798)*G798*MAX(0.72*G798,0.9*((G798/2)+((G798-0.11)/PI())))*10</f>
        <v>115.05235319041492</v>
      </c>
      <c r="AC798" s="7">
        <f>0.9*Z798*4220*MAX(0.72*G798,0.9*((G798/2)+((G798-0.11)/PI())))/AA798/1000</f>
        <v>414.61035434434268</v>
      </c>
      <c r="AD798" s="6" t="str">
        <f>+IF(AC798&gt;K798-AB798,"Cumple","No Cumple")</f>
        <v>Cumple</v>
      </c>
      <c r="AE798" s="6"/>
      <c r="AG798" s="7">
        <f>ROUNDUP(MAX(0.45,3*G798,),0)</f>
        <v>6</v>
      </c>
      <c r="AH798" s="3">
        <f>PI()*(G798-0.15)^2/4</f>
        <v>2.6880252142277672</v>
      </c>
      <c r="AI798" s="7">
        <f>G798-0.15-VLOOKUP(Y798,[1]Datos!$A$2:$D$14,3)/100</f>
        <v>1.8309000000000002</v>
      </c>
      <c r="AJ798" s="7">
        <f>SQRT((PI()*AI798)^2+AA798^2)</f>
        <v>5.7524309339691264</v>
      </c>
      <c r="AK798" s="1">
        <v>0.12</v>
      </c>
      <c r="AL798" s="16">
        <f>MAX(0.45*(H798/AH798-1),AK798)*(W798/4220)</f>
        <v>7.9620853080568724E-3</v>
      </c>
      <c r="AM798" s="7">
        <f>AG798*(AJ798/AA798)</f>
        <v>460.19447471753017</v>
      </c>
      <c r="AN798" s="17">
        <f>AM798*Z798/X798/10000</f>
        <v>0.13069523081977857</v>
      </c>
      <c r="AO798" s="17">
        <f>AH798*AG798</f>
        <v>16.128151285366602</v>
      </c>
      <c r="AP798" s="16">
        <f>AN798/AO798</f>
        <v>8.1035469290495193E-3</v>
      </c>
      <c r="AQ798" s="6" t="str">
        <f>+IF(AP798&gt;AL798,"Cumple","No Cumple")</f>
        <v>Cumple</v>
      </c>
    </row>
    <row r="799" spans="1:43" x14ac:dyDescent="0.3">
      <c r="A799" s="13"/>
      <c r="B799" s="1">
        <v>18</v>
      </c>
      <c r="C799" s="1">
        <v>384</v>
      </c>
      <c r="D799" s="1">
        <v>1</v>
      </c>
      <c r="E799" s="5">
        <v>1</v>
      </c>
      <c r="F799" s="3">
        <f>F798+E799</f>
        <v>18</v>
      </c>
      <c r="G799" s="5">
        <v>2</v>
      </c>
      <c r="H799" s="3">
        <f>PI()*(G799^2)/4</f>
        <v>3.1415926535897931</v>
      </c>
      <c r="I799" s="4">
        <v>0.115966</v>
      </c>
      <c r="K799" s="3">
        <v>218.49078190212052</v>
      </c>
      <c r="L799" s="3">
        <v>595.72563000000002</v>
      </c>
      <c r="M799" s="3">
        <v>2737.68154</v>
      </c>
      <c r="N799" s="12">
        <f>I799/H799</f>
        <v>3.6913124261189471E-2</v>
      </c>
      <c r="O799" s="11">
        <f>I799*10000</f>
        <v>1159.6600000000001</v>
      </c>
      <c r="P799" s="1">
        <v>10</v>
      </c>
      <c r="Q799" s="15">
        <v>2</v>
      </c>
      <c r="R799" s="3">
        <f>Q799*VLOOKUP(P799,[1]Datos!$A$2:$D$14,2)</f>
        <v>16.38</v>
      </c>
      <c r="S799" s="10">
        <f>ROUNDUP(O799/R799,0)</f>
        <v>71</v>
      </c>
      <c r="T799" s="14">
        <v>77</v>
      </c>
      <c r="U799" s="3">
        <f>ROUNDDOWN(PI()*(G799-0.185)/T799,2)</f>
        <v>7.0000000000000007E-2</v>
      </c>
      <c r="V799" s="3"/>
      <c r="W799" s="1">
        <v>280</v>
      </c>
      <c r="X799" s="9">
        <v>2</v>
      </c>
      <c r="Y799" s="1">
        <v>6</v>
      </c>
      <c r="Z799" s="3">
        <f>X799*VLOOKUP(Y799,[1]Datos!$A$2:$D$14,2)</f>
        <v>5.68</v>
      </c>
      <c r="AA799" s="8">
        <v>7.4999999999999997E-2</v>
      </c>
      <c r="AB799" s="7">
        <f>IF(D799=0,0.9,0.5)*0.9*0.53*SQRT(W799)*G799*MAX(0.72*G799,0.9*((G799/2)+((G799-0.11)/PI())))*10</f>
        <v>115.05235319041492</v>
      </c>
      <c r="AC799" s="7">
        <f>0.9*Z799*4220*MAX(0.72*G799,0.9*((G799/2)+((G799-0.11)/PI())))/AA799/1000</f>
        <v>414.61035434434268</v>
      </c>
      <c r="AD799" s="6" t="str">
        <f>+IF(AC799&gt;K799-AB799,"Cumple","No Cumple")</f>
        <v>Cumple</v>
      </c>
      <c r="AE799" s="6"/>
      <c r="AG799" s="7">
        <f>ROUNDUP(MAX(0.45,3*G799,),0)</f>
        <v>6</v>
      </c>
      <c r="AH799" s="3">
        <f>PI()*(G799-0.15)^2/4</f>
        <v>2.6880252142277672</v>
      </c>
      <c r="AI799" s="7">
        <f>G799-0.15-VLOOKUP(Y799,[1]Datos!$A$2:$D$14,3)/100</f>
        <v>1.8309000000000002</v>
      </c>
      <c r="AJ799" s="7">
        <f>SQRT((PI()*AI799)^2+AA799^2)</f>
        <v>5.7524309339691264</v>
      </c>
      <c r="AK799" s="1">
        <v>0.12</v>
      </c>
      <c r="AL799" s="16">
        <f>MAX(0.45*(H799/AH799-1),AK799)*(W799/4220)</f>
        <v>7.9620853080568724E-3</v>
      </c>
      <c r="AM799" s="7">
        <f>AG799*(AJ799/AA799)</f>
        <v>460.19447471753017</v>
      </c>
      <c r="AN799" s="17">
        <f>AM799*Z799/X799/10000</f>
        <v>0.13069523081977857</v>
      </c>
      <c r="AO799" s="17">
        <f>AH799*AG799</f>
        <v>16.128151285366602</v>
      </c>
      <c r="AP799" s="16">
        <f>AN799/AO799</f>
        <v>8.1035469290495193E-3</v>
      </c>
      <c r="AQ799" s="6" t="str">
        <f>+IF(AP799&gt;AL799,"Cumple","No Cumple")</f>
        <v>Cumple</v>
      </c>
    </row>
    <row r="800" spans="1:43" x14ac:dyDescent="0.3">
      <c r="A800" s="13"/>
      <c r="B800" s="1">
        <v>19</v>
      </c>
      <c r="C800" s="1">
        <v>386</v>
      </c>
      <c r="D800" s="1">
        <v>1</v>
      </c>
      <c r="E800" s="5">
        <v>1</v>
      </c>
      <c r="F800" s="3">
        <f>F799+E800</f>
        <v>19</v>
      </c>
      <c r="G800" s="5">
        <v>2</v>
      </c>
      <c r="H800" s="3">
        <f>PI()*(G800^2)/4</f>
        <v>3.1415926535897931</v>
      </c>
      <c r="I800" s="4">
        <v>0.104463</v>
      </c>
      <c r="K800" s="3">
        <v>276.28211374292766</v>
      </c>
      <c r="L800" s="3">
        <v>579.66359999999997</v>
      </c>
      <c r="M800" s="3">
        <v>2521.5986600000001</v>
      </c>
      <c r="N800" s="12">
        <f>I800/H800</f>
        <v>3.3251605640417327E-2</v>
      </c>
      <c r="O800" s="11">
        <f>I800*10000</f>
        <v>1044.6300000000001</v>
      </c>
      <c r="P800" s="1">
        <v>10</v>
      </c>
      <c r="Q800" s="15">
        <v>2</v>
      </c>
      <c r="R800" s="3">
        <f>Q800*VLOOKUP(P800,[1]Datos!$A$2:$D$14,2)</f>
        <v>16.38</v>
      </c>
      <c r="S800" s="10">
        <f>ROUNDUP(O800/R800,0)</f>
        <v>64</v>
      </c>
      <c r="T800" s="14">
        <v>77</v>
      </c>
      <c r="U800" s="3">
        <f>ROUNDDOWN(PI()*(G800-0.185)/T800,2)</f>
        <v>7.0000000000000007E-2</v>
      </c>
      <c r="V800" s="3"/>
      <c r="W800" s="1">
        <v>280</v>
      </c>
      <c r="X800" s="9">
        <v>2</v>
      </c>
      <c r="Y800" s="1">
        <v>6</v>
      </c>
      <c r="Z800" s="3">
        <f>X800*VLOOKUP(Y800,[1]Datos!$A$2:$D$14,2)</f>
        <v>5.68</v>
      </c>
      <c r="AA800" s="8">
        <v>0.1</v>
      </c>
      <c r="AB800" s="7">
        <f>IF(D800=0,0.9,0.5)*0.9*0.53*SQRT(W800)*G800*MAX(0.72*G800,0.9*((G800/2)+((G800-0.11)/PI())))*10</f>
        <v>115.05235319041492</v>
      </c>
      <c r="AC800" s="7">
        <f>0.9*Z800*4220*MAX(0.72*G800,0.9*((G800/2)+((G800-0.11)/PI())))/AA800/1000</f>
        <v>310.95776575825693</v>
      </c>
      <c r="AD800" s="6" t="str">
        <f>+IF(AC800&gt;K800-AB800,"Cumple","No Cumple")</f>
        <v>Cumple</v>
      </c>
      <c r="AE800" s="6"/>
      <c r="AH800" s="3"/>
    </row>
    <row r="801" spans="1:43" x14ac:dyDescent="0.3">
      <c r="A801" s="13"/>
      <c r="B801" s="1">
        <v>20</v>
      </c>
      <c r="C801" s="1">
        <v>388</v>
      </c>
      <c r="D801" s="1">
        <v>1</v>
      </c>
      <c r="E801" s="5">
        <v>1</v>
      </c>
      <c r="F801" s="3">
        <f>F800+E801</f>
        <v>20</v>
      </c>
      <c r="G801" s="5">
        <v>2</v>
      </c>
      <c r="H801" s="3">
        <f>PI()*(G801^2)/4</f>
        <v>3.1415926535897931</v>
      </c>
      <c r="I801" s="4">
        <v>9.0772000000000005E-2</v>
      </c>
      <c r="K801" s="3">
        <v>312.49533407707071</v>
      </c>
      <c r="L801" s="3">
        <v>542.10284000000001</v>
      </c>
      <c r="M801" s="3">
        <v>2248.0019400000001</v>
      </c>
      <c r="N801" s="12">
        <f>I801/H801</f>
        <v>2.8893624988675051E-2</v>
      </c>
      <c r="O801" s="11">
        <f>I801*10000</f>
        <v>907.72</v>
      </c>
      <c r="P801" s="1">
        <v>10</v>
      </c>
      <c r="Q801" s="15">
        <v>2</v>
      </c>
      <c r="R801" s="3">
        <f>Q801*VLOOKUP(P801,[1]Datos!$A$2:$D$14,2)</f>
        <v>16.38</v>
      </c>
      <c r="S801" s="10">
        <f>ROUNDUP(O801/R801,0)</f>
        <v>56</v>
      </c>
      <c r="T801" s="14">
        <v>77</v>
      </c>
      <c r="U801" s="3">
        <f>ROUNDDOWN(PI()*(G801-0.185)/T801,2)</f>
        <v>7.0000000000000007E-2</v>
      </c>
      <c r="V801" s="3"/>
      <c r="W801" s="1">
        <v>280</v>
      </c>
      <c r="X801" s="9">
        <v>2</v>
      </c>
      <c r="Y801" s="1">
        <v>6</v>
      </c>
      <c r="Z801" s="3">
        <f>X801*VLOOKUP(Y801,[1]Datos!$A$2:$D$14,2)</f>
        <v>5.68</v>
      </c>
      <c r="AA801" s="8">
        <v>0.1</v>
      </c>
      <c r="AB801" s="7">
        <f>IF(D801=0,0.9,0.5)*0.9*0.53*SQRT(W801)*G801*MAX(0.72*G801,0.9*((G801/2)+((G801-0.11)/PI())))*10</f>
        <v>115.05235319041492</v>
      </c>
      <c r="AC801" s="7">
        <f>0.9*Z801*4220*MAX(0.72*G801,0.9*((G801/2)+((G801-0.11)/PI())))/AA801/1000</f>
        <v>310.95776575825693</v>
      </c>
      <c r="AD801" s="6" t="str">
        <f>+IF(AC801&gt;K801-AB801,"Cumple","No Cumple")</f>
        <v>Cumple</v>
      </c>
      <c r="AE801" s="6"/>
      <c r="AH801" s="3"/>
    </row>
    <row r="802" spans="1:43" x14ac:dyDescent="0.3">
      <c r="A802" s="13"/>
      <c r="B802" s="1">
        <v>21</v>
      </c>
      <c r="C802" s="1">
        <v>390</v>
      </c>
      <c r="D802" s="1">
        <v>1</v>
      </c>
      <c r="E802" s="5">
        <v>1</v>
      </c>
      <c r="F802" s="3">
        <f>F801+E802</f>
        <v>21</v>
      </c>
      <c r="G802" s="5">
        <v>2</v>
      </c>
      <c r="H802" s="3">
        <f>PI()*(G802^2)/4</f>
        <v>3.1415926535897931</v>
      </c>
      <c r="I802" s="4">
        <v>7.8682000000000002E-2</v>
      </c>
      <c r="K802" s="3">
        <v>327.20925728753457</v>
      </c>
      <c r="L802" s="3">
        <v>488.25146000000001</v>
      </c>
      <c r="M802" s="3">
        <v>1938.4583399999999</v>
      </c>
      <c r="N802" s="12">
        <f>I802/H802</f>
        <v>2.5045258464713019E-2</v>
      </c>
      <c r="O802" s="11">
        <f>I802*10000</f>
        <v>786.82</v>
      </c>
      <c r="P802" s="1">
        <v>10</v>
      </c>
      <c r="Q802" s="15">
        <v>2</v>
      </c>
      <c r="R802" s="3">
        <f>Q802*VLOOKUP(P802,[1]Datos!$A$2:$D$14,2)</f>
        <v>16.38</v>
      </c>
      <c r="S802" s="10">
        <f>ROUNDUP(O802/R802,0)</f>
        <v>49</v>
      </c>
      <c r="T802" s="14">
        <v>77</v>
      </c>
      <c r="U802" s="3">
        <f>ROUNDDOWN(PI()*(G802-0.185)/T802,2)</f>
        <v>7.0000000000000007E-2</v>
      </c>
      <c r="V802" s="3"/>
      <c r="W802" s="1">
        <v>280</v>
      </c>
      <c r="X802" s="9">
        <v>2</v>
      </c>
      <c r="Y802" s="1">
        <v>6</v>
      </c>
      <c r="Z802" s="3">
        <f>X802*VLOOKUP(Y802,[1]Datos!$A$2:$D$14,2)</f>
        <v>5.68</v>
      </c>
      <c r="AA802" s="8">
        <v>0.1</v>
      </c>
      <c r="AB802" s="7">
        <f>IF(D802=0,0.9,0.5)*0.9*0.53*SQRT(W802)*G802*MAX(0.72*G802,0.9*((G802/2)+((G802-0.11)/PI())))*10</f>
        <v>115.05235319041492</v>
      </c>
      <c r="AC802" s="7">
        <f>0.9*Z802*4220*MAX(0.72*G802,0.9*((G802/2)+((G802-0.11)/PI())))/AA802/1000</f>
        <v>310.95776575825693</v>
      </c>
      <c r="AD802" s="6" t="str">
        <f>+IF(AC802&gt;K802-AB802,"Cumple","No Cumple")</f>
        <v>Cumple</v>
      </c>
      <c r="AE802" s="6"/>
      <c r="AH802" s="3"/>
    </row>
    <row r="803" spans="1:43" x14ac:dyDescent="0.3">
      <c r="A803" s="13"/>
      <c r="B803" s="1">
        <v>22</v>
      </c>
      <c r="C803" s="1">
        <v>392</v>
      </c>
      <c r="D803" s="1">
        <v>1</v>
      </c>
      <c r="E803" s="5">
        <v>1</v>
      </c>
      <c r="F803" s="3">
        <f>F802+E803</f>
        <v>22</v>
      </c>
      <c r="G803" s="5">
        <v>2</v>
      </c>
      <c r="H803" s="3">
        <f>PI()*(G803^2)/4</f>
        <v>3.1415926535897931</v>
      </c>
      <c r="I803" s="4">
        <v>6.0864000000000001E-2</v>
      </c>
      <c r="K803" s="3">
        <v>322.54970180009468</v>
      </c>
      <c r="L803" s="3">
        <v>423.70612</v>
      </c>
      <c r="M803" s="3">
        <v>1614.3509100000001</v>
      </c>
      <c r="N803" s="12">
        <f>I803/H803</f>
        <v>1.9373612912690238E-2</v>
      </c>
      <c r="O803" s="11">
        <f>I803*10000</f>
        <v>608.64</v>
      </c>
      <c r="P803" s="1">
        <v>10</v>
      </c>
      <c r="Q803" s="15">
        <v>1</v>
      </c>
      <c r="R803" s="3">
        <f>Q803*VLOOKUP(P803,[1]Datos!$A$2:$D$14,2)</f>
        <v>8.19</v>
      </c>
      <c r="S803" s="10">
        <f>ROUNDUP(O803/R803,0)</f>
        <v>75</v>
      </c>
      <c r="T803" s="14">
        <v>77</v>
      </c>
      <c r="U803" s="3">
        <f>ROUNDDOWN(PI()*(G803-0.185)/T803,2)</f>
        <v>7.0000000000000007E-2</v>
      </c>
      <c r="V803" s="3"/>
      <c r="W803" s="1">
        <v>280</v>
      </c>
      <c r="X803" s="9">
        <v>2</v>
      </c>
      <c r="Y803" s="1">
        <v>6</v>
      </c>
      <c r="Z803" s="3">
        <f>X803*VLOOKUP(Y803,[1]Datos!$A$2:$D$14,2)</f>
        <v>5.68</v>
      </c>
      <c r="AA803" s="8">
        <v>0.1</v>
      </c>
      <c r="AB803" s="7">
        <f>IF(D803=0,0.9,0.5)*0.9*0.53*SQRT(W803)*G803*MAX(0.72*G803,0.9*((G803/2)+((G803-0.11)/PI())))*10</f>
        <v>115.05235319041492</v>
      </c>
      <c r="AC803" s="7">
        <f>0.9*Z803*4220*MAX(0.72*G803,0.9*((G803/2)+((G803-0.11)/PI())))/AA803/1000</f>
        <v>310.95776575825693</v>
      </c>
      <c r="AD803" s="6" t="str">
        <f>+IF(AC803&gt;K803-AB803,"Cumple","No Cumple")</f>
        <v>Cumple</v>
      </c>
      <c r="AE803" s="6"/>
      <c r="AH803" s="3"/>
    </row>
    <row r="804" spans="1:43" x14ac:dyDescent="0.3">
      <c r="A804" s="13"/>
      <c r="B804" s="1">
        <v>23</v>
      </c>
      <c r="C804" s="1">
        <v>394</v>
      </c>
      <c r="D804" s="1">
        <v>1</v>
      </c>
      <c r="E804" s="5">
        <v>1</v>
      </c>
      <c r="F804" s="3">
        <f>F803+E804</f>
        <v>23</v>
      </c>
      <c r="G804" s="5">
        <v>2</v>
      </c>
      <c r="H804" s="3">
        <f>PI()*(G804^2)/4</f>
        <v>3.1415926535897931</v>
      </c>
      <c r="I804" s="4">
        <v>5.0594E-2</v>
      </c>
      <c r="K804" s="3">
        <v>301.93111926719314</v>
      </c>
      <c r="L804" s="3">
        <v>353.87466000000001</v>
      </c>
      <c r="M804" s="3">
        <v>1294.91227</v>
      </c>
      <c r="N804" s="12">
        <f>I804/H804</f>
        <v>1.6104570381582705E-2</v>
      </c>
      <c r="O804" s="11">
        <f>I804*10000</f>
        <v>505.94</v>
      </c>
      <c r="P804" s="1">
        <v>10</v>
      </c>
      <c r="Q804" s="15">
        <v>1</v>
      </c>
      <c r="R804" s="3">
        <f>Q804*VLOOKUP(P804,[1]Datos!$A$2:$D$14,2)</f>
        <v>8.19</v>
      </c>
      <c r="S804" s="10">
        <f>ROUNDUP(O804/R804,0)</f>
        <v>62</v>
      </c>
      <c r="T804" s="14">
        <v>77</v>
      </c>
      <c r="U804" s="3">
        <f>ROUNDDOWN(PI()*(G804-0.185)/T804,2)</f>
        <v>7.0000000000000007E-2</v>
      </c>
      <c r="V804" s="3"/>
      <c r="W804" s="1">
        <v>280</v>
      </c>
      <c r="X804" s="9">
        <v>2</v>
      </c>
      <c r="Y804" s="1">
        <v>6</v>
      </c>
      <c r="Z804" s="3">
        <f>X804*VLOOKUP(Y804,[1]Datos!$A$2:$D$14,2)</f>
        <v>5.68</v>
      </c>
      <c r="AA804" s="8">
        <v>0.1</v>
      </c>
      <c r="AB804" s="7">
        <f>IF(D804=0,0.9,0.5)*0.9*0.53*SQRT(W804)*G804*MAX(0.72*G804,0.9*((G804/2)+((G804-0.11)/PI())))*10</f>
        <v>115.05235319041492</v>
      </c>
      <c r="AC804" s="7">
        <f>0.9*Z804*4220*MAX(0.72*G804,0.9*((G804/2)+((G804-0.11)/PI())))/AA804/1000</f>
        <v>310.95776575825693</v>
      </c>
      <c r="AD804" s="6" t="str">
        <f>+IF(AC804&gt;K804-AB804,"Cumple","No Cumple")</f>
        <v>Cumple</v>
      </c>
      <c r="AE804" s="6"/>
      <c r="AH804" s="3"/>
    </row>
    <row r="805" spans="1:43" x14ac:dyDescent="0.3">
      <c r="A805" s="13"/>
      <c r="B805" s="1">
        <v>24</v>
      </c>
      <c r="C805" s="1">
        <v>396</v>
      </c>
      <c r="D805" s="1">
        <v>1</v>
      </c>
      <c r="E805" s="5">
        <v>1</v>
      </c>
      <c r="F805" s="3">
        <f>F804+E805</f>
        <v>24</v>
      </c>
      <c r="G805" s="5">
        <v>2</v>
      </c>
      <c r="H805" s="3">
        <f>PI()*(G805^2)/4</f>
        <v>3.1415926535897931</v>
      </c>
      <c r="I805" s="4">
        <v>3.9093999999999997E-2</v>
      </c>
      <c r="K805" s="3">
        <v>269.40558803829589</v>
      </c>
      <c r="L805" s="3">
        <v>283.56644</v>
      </c>
      <c r="M805" s="3">
        <v>995.96785999999997</v>
      </c>
      <c r="N805" s="12">
        <f>I805/H805</f>
        <v>1.2444006690469111E-2</v>
      </c>
      <c r="O805" s="11">
        <f>I805*10000</f>
        <v>390.93999999999994</v>
      </c>
      <c r="P805" s="1">
        <v>10</v>
      </c>
      <c r="Q805" s="15">
        <v>1</v>
      </c>
      <c r="R805" s="3">
        <f>Q805*VLOOKUP(P805,[1]Datos!$A$2:$D$14,2)</f>
        <v>8.19</v>
      </c>
      <c r="S805" s="10">
        <f>ROUNDUP(O805/R805,0)</f>
        <v>48</v>
      </c>
      <c r="T805" s="14">
        <v>77</v>
      </c>
      <c r="U805" s="3">
        <f>ROUNDDOWN(PI()*(G805-0.185)/T805,2)</f>
        <v>7.0000000000000007E-2</v>
      </c>
      <c r="V805" s="3"/>
      <c r="W805" s="1">
        <v>280</v>
      </c>
      <c r="X805" s="9">
        <v>2</v>
      </c>
      <c r="Y805" s="1">
        <v>6</v>
      </c>
      <c r="Z805" s="3">
        <f>X805*VLOOKUP(Y805,[1]Datos!$A$2:$D$14,2)</f>
        <v>5.68</v>
      </c>
      <c r="AA805" s="8">
        <v>0.2</v>
      </c>
      <c r="AB805" s="7">
        <f>IF(D805=0,0.9,0.5)*0.9*0.53*SQRT(W805)*G805*MAX(0.72*G805,0.9*((G805/2)+((G805-0.11)/PI())))*10</f>
        <v>115.05235319041492</v>
      </c>
      <c r="AC805" s="7">
        <f>0.9*Z805*4220*MAX(0.72*G805,0.9*((G805/2)+((G805-0.11)/PI())))/AA805/1000</f>
        <v>155.47888287912846</v>
      </c>
      <c r="AD805" s="6" t="str">
        <f>+IF(AC805&gt;K805-AB805,"Cumple","No Cumple")</f>
        <v>Cumple</v>
      </c>
      <c r="AE805" s="6"/>
      <c r="AH805" s="3"/>
    </row>
    <row r="806" spans="1:43" x14ac:dyDescent="0.3">
      <c r="A806" s="13"/>
      <c r="B806" s="1">
        <v>25</v>
      </c>
      <c r="C806" s="1">
        <v>398</v>
      </c>
      <c r="D806" s="1">
        <v>1</v>
      </c>
      <c r="E806" s="5">
        <v>1</v>
      </c>
      <c r="F806" s="3">
        <f>F805+E806</f>
        <v>25</v>
      </c>
      <c r="G806" s="5">
        <v>2</v>
      </c>
      <c r="H806" s="3">
        <f>PI()*(G806^2)/4</f>
        <v>3.1415926535897931</v>
      </c>
      <c r="I806" s="4">
        <v>3.1415999999999999E-2</v>
      </c>
      <c r="K806" s="3">
        <v>229.13207038223609</v>
      </c>
      <c r="L806" s="3">
        <v>216.74574999999999</v>
      </c>
      <c r="M806" s="3">
        <v>729.31371000000001</v>
      </c>
      <c r="N806" s="12">
        <f>I806/H806</f>
        <v>1.0000023384349969E-2</v>
      </c>
      <c r="O806" s="11">
        <f>I806*10000</f>
        <v>314.15999999999997</v>
      </c>
      <c r="P806" s="1">
        <v>10</v>
      </c>
      <c r="Q806" s="1">
        <v>1</v>
      </c>
      <c r="R806" s="3">
        <f>Q806*VLOOKUP(P806,[1]Datos!$A$2:$D$14,2)</f>
        <v>8.19</v>
      </c>
      <c r="S806" s="10">
        <f>ROUNDUP(O806/R806,0)</f>
        <v>39</v>
      </c>
      <c r="T806" s="2">
        <v>39</v>
      </c>
      <c r="U806" s="3">
        <f>ROUNDDOWN(PI()*(G806-0.185)/T806,2)</f>
        <v>0.14000000000000001</v>
      </c>
      <c r="V806" s="3"/>
      <c r="W806" s="1">
        <v>280</v>
      </c>
      <c r="X806" s="9">
        <v>2</v>
      </c>
      <c r="Y806" s="1">
        <v>6</v>
      </c>
      <c r="Z806" s="3">
        <f>X806*VLOOKUP(Y806,[1]Datos!$A$2:$D$14,2)</f>
        <v>5.68</v>
      </c>
      <c r="AA806" s="8">
        <v>0.2</v>
      </c>
      <c r="AB806" s="7">
        <f>IF(D806=0,0.9,0.5)*0.9*0.53*SQRT(W806)*G806*MAX(0.72*G806,0.9*((G806/2)+((G806-0.11)/PI())))*10</f>
        <v>115.05235319041492</v>
      </c>
      <c r="AC806" s="7">
        <f>0.9*Z806*4220*MAX(0.72*G806,0.9*((G806/2)+((G806-0.11)/PI())))/AA806/1000</f>
        <v>155.47888287912846</v>
      </c>
      <c r="AD806" s="6" t="str">
        <f>+IF(AC806&gt;K806-AB806,"Cumple","No Cumple")</f>
        <v>Cumple</v>
      </c>
      <c r="AE806" s="6"/>
      <c r="AH806" s="3"/>
    </row>
    <row r="807" spans="1:43" x14ac:dyDescent="0.3">
      <c r="A807" s="13"/>
      <c r="B807" s="1">
        <v>26</v>
      </c>
      <c r="C807" s="1">
        <v>400</v>
      </c>
      <c r="D807" s="1">
        <v>1</v>
      </c>
      <c r="E807" s="5">
        <v>1</v>
      </c>
      <c r="F807" s="3">
        <f>F806+E807</f>
        <v>26</v>
      </c>
      <c r="G807" s="5">
        <v>2</v>
      </c>
      <c r="H807" s="3">
        <f>PI()*(G807^2)/4</f>
        <v>3.1415926535897931</v>
      </c>
      <c r="I807" s="4">
        <v>3.1415999999999999E-2</v>
      </c>
      <c r="K807" s="3">
        <v>184.98205244714958</v>
      </c>
      <c r="L807" s="3">
        <v>156.43108000000001</v>
      </c>
      <c r="M807" s="3">
        <v>502.61581999999999</v>
      </c>
      <c r="N807" s="12">
        <f>I807/H807</f>
        <v>1.0000023384349969E-2</v>
      </c>
      <c r="O807" s="11">
        <f>I807*10000</f>
        <v>314.15999999999997</v>
      </c>
      <c r="P807" s="1">
        <v>10</v>
      </c>
      <c r="Q807" s="1">
        <v>1</v>
      </c>
      <c r="R807" s="3">
        <f>Q807*VLOOKUP(P807,[1]Datos!$A$2:$D$14,2)</f>
        <v>8.19</v>
      </c>
      <c r="S807" s="10">
        <f>ROUNDUP(O807/R807,0)</f>
        <v>39</v>
      </c>
      <c r="T807" s="2">
        <v>39</v>
      </c>
      <c r="U807" s="3">
        <f>ROUNDDOWN(PI()*(G807-0.185)/T807,2)</f>
        <v>0.14000000000000001</v>
      </c>
      <c r="V807" s="3"/>
      <c r="W807" s="1">
        <v>280</v>
      </c>
      <c r="X807" s="9">
        <v>2</v>
      </c>
      <c r="Y807" s="1">
        <v>6</v>
      </c>
      <c r="Z807" s="3">
        <f>X807*VLOOKUP(Y807,[1]Datos!$A$2:$D$14,2)</f>
        <v>5.68</v>
      </c>
      <c r="AA807" s="8">
        <v>0.2</v>
      </c>
      <c r="AB807" s="7">
        <f>IF(D807=0,0.9,0.5)*0.9*0.53*SQRT(W807)*G807*MAX(0.72*G807,0.9*((G807/2)+((G807-0.11)/PI())))*10</f>
        <v>115.05235319041492</v>
      </c>
      <c r="AC807" s="7">
        <f>0.9*Z807*4220*MAX(0.72*G807,0.9*((G807/2)+((G807-0.11)/PI())))/AA807/1000</f>
        <v>155.47888287912846</v>
      </c>
      <c r="AD807" s="6" t="str">
        <f>+IF(AC807&gt;K807-AB807,"Cumple","No Cumple")</f>
        <v>Cumple</v>
      </c>
      <c r="AE807" s="6"/>
      <c r="AH807" s="3"/>
    </row>
    <row r="808" spans="1:43" x14ac:dyDescent="0.3">
      <c r="A808" s="13"/>
      <c r="B808" s="1">
        <v>27</v>
      </c>
      <c r="C808" s="1">
        <v>402</v>
      </c>
      <c r="D808" s="1">
        <v>1</v>
      </c>
      <c r="E808" s="5">
        <v>1</v>
      </c>
      <c r="F808" s="3">
        <f>F807+E808</f>
        <v>27</v>
      </c>
      <c r="G808" s="5">
        <v>2</v>
      </c>
      <c r="H808" s="3">
        <f>PI()*(G808^2)/4</f>
        <v>3.1415926535897931</v>
      </c>
      <c r="I808" s="4">
        <v>3.1415999999999999E-2</v>
      </c>
      <c r="K808" s="3">
        <v>140.28627916517709</v>
      </c>
      <c r="L808" s="3">
        <v>104.71405</v>
      </c>
      <c r="M808" s="3">
        <v>319.69783999999999</v>
      </c>
      <c r="N808" s="12">
        <f>I808/H808</f>
        <v>1.0000023384349969E-2</v>
      </c>
      <c r="O808" s="11">
        <f>I808*10000</f>
        <v>314.15999999999997</v>
      </c>
      <c r="P808" s="1">
        <v>10</v>
      </c>
      <c r="Q808" s="1">
        <v>1</v>
      </c>
      <c r="R808" s="3">
        <f>Q808*VLOOKUP(P808,[1]Datos!$A$2:$D$14,2)</f>
        <v>8.19</v>
      </c>
      <c r="S808" s="10">
        <f>ROUNDUP(O808/R808,0)</f>
        <v>39</v>
      </c>
      <c r="T808" s="2">
        <v>39</v>
      </c>
      <c r="U808" s="3">
        <f>ROUNDDOWN(PI()*(G808-0.185)/T808,2)</f>
        <v>0.14000000000000001</v>
      </c>
      <c r="V808" s="3"/>
      <c r="W808" s="1">
        <v>280</v>
      </c>
      <c r="X808" s="9">
        <v>2</v>
      </c>
      <c r="Y808" s="1">
        <v>4</v>
      </c>
      <c r="Z808" s="3">
        <f>X808*VLOOKUP(Y808,[1]Datos!$A$2:$D$14,2)</f>
        <v>2.58</v>
      </c>
      <c r="AA808" s="8">
        <v>0.3</v>
      </c>
      <c r="AB808" s="7">
        <f>IF(D808=0,0.9,0.5)*0.9*0.53*SQRT(W808)*G808*MAX(0.72*G808,0.9*((G808/2)+((G808-0.11)/PI())))*10</f>
        <v>115.05235319041492</v>
      </c>
      <c r="AC808" s="7">
        <f>0.9*Z808*4220*MAX(0.72*G808,0.9*((G808/2)+((G808-0.11)/PI())))/AA808/1000</f>
        <v>47.081633547905106</v>
      </c>
      <c r="AD808" s="6" t="str">
        <f>+IF(AC808&gt;K808-AB808,"Cumple","No Cumple")</f>
        <v>Cumple</v>
      </c>
      <c r="AE808" s="6"/>
      <c r="AH808" s="3"/>
    </row>
    <row r="809" spans="1:43" x14ac:dyDescent="0.3">
      <c r="A809" s="13"/>
      <c r="B809" s="1">
        <v>28</v>
      </c>
      <c r="C809" s="1">
        <v>404</v>
      </c>
      <c r="D809" s="1">
        <v>1</v>
      </c>
      <c r="E809" s="5">
        <v>1</v>
      </c>
      <c r="F809" s="3">
        <f>F808+E809</f>
        <v>28</v>
      </c>
      <c r="G809" s="5">
        <v>2</v>
      </c>
      <c r="H809" s="3">
        <f>PI()*(G809^2)/4</f>
        <v>3.1415926535897931</v>
      </c>
      <c r="I809" s="4">
        <v>3.1415999999999999E-2</v>
      </c>
      <c r="K809" s="3">
        <v>97.716028013524991</v>
      </c>
      <c r="L809" s="3">
        <v>62.865949999999998</v>
      </c>
      <c r="M809" s="3">
        <v>181.07795999999999</v>
      </c>
      <c r="N809" s="12">
        <f>I809/H809</f>
        <v>1.0000023384349969E-2</v>
      </c>
      <c r="O809" s="11">
        <f>I809*10000</f>
        <v>314.15999999999997</v>
      </c>
      <c r="P809" s="1">
        <v>10</v>
      </c>
      <c r="Q809" s="1">
        <v>1</v>
      </c>
      <c r="R809" s="3">
        <f>Q809*VLOOKUP(P809,[1]Datos!$A$2:$D$14,2)</f>
        <v>8.19</v>
      </c>
      <c r="S809" s="10">
        <f>ROUNDUP(O809/R809,0)</f>
        <v>39</v>
      </c>
      <c r="T809" s="2">
        <v>39</v>
      </c>
      <c r="U809" s="3">
        <f>ROUNDDOWN(PI()*(G809-0.185)/T809,2)</f>
        <v>0.14000000000000001</v>
      </c>
      <c r="V809" s="3"/>
      <c r="W809" s="1">
        <v>280</v>
      </c>
      <c r="X809" s="9">
        <v>2</v>
      </c>
      <c r="Y809" s="1">
        <v>4</v>
      </c>
      <c r="Z809" s="3">
        <f>X809*VLOOKUP(Y809,[1]Datos!$A$2:$D$14,2)</f>
        <v>2.58</v>
      </c>
      <c r="AA809" s="8">
        <v>0.3</v>
      </c>
      <c r="AB809" s="7">
        <f>IF(D809=0,0.9,0.5)*0.9*0.53*SQRT(W809)*G809*MAX(0.72*G809,0.9*((G809/2)+((G809-0.11)/PI())))*10</f>
        <v>115.05235319041492</v>
      </c>
      <c r="AC809" s="7">
        <f>0.9*Z809*4220*MAX(0.72*G809,0.9*((G809/2)+((G809-0.11)/PI())))/AA809/1000</f>
        <v>47.081633547905106</v>
      </c>
      <c r="AD809" s="6" t="str">
        <f>+IF(AC809&gt;K809-AB809,"Cumple","No Cumple")</f>
        <v>Cumple</v>
      </c>
      <c r="AE809" s="6"/>
      <c r="AH809" s="3"/>
    </row>
    <row r="810" spans="1:43" x14ac:dyDescent="0.3">
      <c r="A810" s="13"/>
      <c r="B810" s="1">
        <v>29</v>
      </c>
      <c r="C810" s="1">
        <v>680</v>
      </c>
      <c r="D810" s="1">
        <v>1</v>
      </c>
      <c r="E810" s="5">
        <v>1</v>
      </c>
      <c r="F810" s="3">
        <f>F809+E810</f>
        <v>29</v>
      </c>
      <c r="G810" s="5">
        <v>2</v>
      </c>
      <c r="H810" s="3">
        <f>PI()*(G810^2)/4</f>
        <v>3.1415926535897931</v>
      </c>
      <c r="I810" s="4">
        <v>3.1415999999999999E-2</v>
      </c>
      <c r="K810" s="3">
        <v>59.288839323181229</v>
      </c>
      <c r="L810" s="3">
        <v>31.494620000000001</v>
      </c>
      <c r="M810" s="3">
        <v>84.621179999999995</v>
      </c>
      <c r="N810" s="12">
        <f>I810/H810</f>
        <v>1.0000023384349969E-2</v>
      </c>
      <c r="O810" s="11">
        <f>I810*10000</f>
        <v>314.15999999999997</v>
      </c>
      <c r="P810" s="1">
        <v>10</v>
      </c>
      <c r="Q810" s="1">
        <v>1</v>
      </c>
      <c r="R810" s="3">
        <f>Q810*VLOOKUP(P810,[1]Datos!$A$2:$D$14,2)</f>
        <v>8.19</v>
      </c>
      <c r="S810" s="10">
        <f>ROUNDUP(O810/R810,0)</f>
        <v>39</v>
      </c>
      <c r="T810" s="2">
        <v>39</v>
      </c>
      <c r="U810" s="3">
        <f>ROUNDDOWN(PI()*(G810-0.185)/T810,2)</f>
        <v>0.14000000000000001</v>
      </c>
      <c r="V810" s="3"/>
      <c r="W810" s="1">
        <v>280</v>
      </c>
      <c r="X810" s="9">
        <v>2</v>
      </c>
      <c r="Y810" s="1">
        <v>4</v>
      </c>
      <c r="Z810" s="3">
        <f>X810*VLOOKUP(Y810,[1]Datos!$A$2:$D$14,2)</f>
        <v>2.58</v>
      </c>
      <c r="AA810" s="8">
        <v>0.3</v>
      </c>
      <c r="AB810" s="7">
        <f>IF(D810=0,0.9,0.5)*0.9*0.53*SQRT(W810)*G810*MAX(0.72*G810,0.9*((G810/2)+((G810-0.11)/PI())))*10</f>
        <v>115.05235319041492</v>
      </c>
      <c r="AC810" s="7">
        <f>0.9*Z810*4220*MAX(0.72*G810,0.9*((G810/2)+((G810-0.11)/PI())))/AA810/1000</f>
        <v>47.081633547905106</v>
      </c>
      <c r="AD810" s="6" t="str">
        <f>+IF(AC810&gt;K810-AB810,"Cumple","No Cumple")</f>
        <v>Cumple</v>
      </c>
      <c r="AE810" s="6"/>
      <c r="AH810" s="3"/>
    </row>
    <row r="811" spans="1:43" x14ac:dyDescent="0.3">
      <c r="A811" s="13"/>
      <c r="B811" s="1">
        <v>30</v>
      </c>
      <c r="C811" s="1">
        <v>682</v>
      </c>
      <c r="D811" s="1">
        <v>1</v>
      </c>
      <c r="E811" s="5">
        <v>1</v>
      </c>
      <c r="F811" s="3">
        <f>F810+E811</f>
        <v>30</v>
      </c>
      <c r="G811" s="5">
        <v>2</v>
      </c>
      <c r="H811" s="3">
        <f>PI()*(G811^2)/4</f>
        <v>3.1415926535897931</v>
      </c>
      <c r="I811" s="4">
        <v>3.1415999999999999E-2</v>
      </c>
      <c r="K811" s="3">
        <v>26.545184316745665</v>
      </c>
      <c r="L811" s="3">
        <v>10.6967</v>
      </c>
      <c r="M811" s="3">
        <v>26.178889999999999</v>
      </c>
      <c r="N811" s="12">
        <f>I811/H811</f>
        <v>1.0000023384349969E-2</v>
      </c>
      <c r="O811" s="11">
        <f>I811*10000</f>
        <v>314.15999999999997</v>
      </c>
      <c r="P811" s="1">
        <v>10</v>
      </c>
      <c r="Q811" s="1">
        <v>1</v>
      </c>
      <c r="R811" s="3">
        <f>Q811*VLOOKUP(P811,[1]Datos!$A$2:$D$14,2)</f>
        <v>8.19</v>
      </c>
      <c r="S811" s="10">
        <f>ROUNDUP(O811/R811,0)</f>
        <v>39</v>
      </c>
      <c r="T811" s="2">
        <v>39</v>
      </c>
      <c r="U811" s="3">
        <f>ROUNDDOWN(PI()*(G811-0.185)/T811,2)</f>
        <v>0.14000000000000001</v>
      </c>
      <c r="V811" s="3"/>
      <c r="W811" s="1">
        <v>280</v>
      </c>
      <c r="X811" s="9">
        <v>2</v>
      </c>
      <c r="Y811" s="1">
        <v>4</v>
      </c>
      <c r="Z811" s="3">
        <f>X811*VLOOKUP(Y811,[1]Datos!$A$2:$D$14,2)</f>
        <v>2.58</v>
      </c>
      <c r="AA811" s="8">
        <v>0.3</v>
      </c>
      <c r="AB811" s="7">
        <f>IF(D811=0,0.9,0.5)*0.9*0.53*SQRT(W811)*G811*MAX(0.72*G811,0.9*((G811/2)+((G811-0.11)/PI())))*10</f>
        <v>115.05235319041492</v>
      </c>
      <c r="AC811" s="7">
        <f>0.9*Z811*4220*MAX(0.72*G811,0.9*((G811/2)+((G811-0.11)/PI())))/AA811/1000</f>
        <v>47.081633547905106</v>
      </c>
      <c r="AD811" s="6" t="str">
        <f>+IF(AC811&gt;K811-AB811,"Cumple","No Cumple")</f>
        <v>Cumple</v>
      </c>
      <c r="AE811" s="6"/>
      <c r="AH811" s="3"/>
    </row>
    <row r="812" spans="1:43" ht="15" customHeight="1" x14ac:dyDescent="0.3">
      <c r="A812" s="13" t="s">
        <v>7</v>
      </c>
      <c r="B812" s="1">
        <v>1</v>
      </c>
      <c r="C812" s="1">
        <v>409</v>
      </c>
      <c r="D812" s="1">
        <v>1</v>
      </c>
      <c r="E812" s="5">
        <v>1</v>
      </c>
      <c r="F812" s="3">
        <f>E812</f>
        <v>1</v>
      </c>
      <c r="G812" s="5">
        <v>2.5</v>
      </c>
      <c r="H812" s="3">
        <f>PI()*(G812^2)/4</f>
        <v>4.908738521234052</v>
      </c>
      <c r="I812" s="4">
        <v>7.7616000000000004E-2</v>
      </c>
      <c r="K812" s="3">
        <v>357.19185680982423</v>
      </c>
      <c r="L812" s="3">
        <v>1453.8264200000001</v>
      </c>
      <c r="M812" s="3">
        <v>2681.2367199999999</v>
      </c>
      <c r="N812" s="12">
        <f>I812/H812</f>
        <v>1.5811801680666301E-2</v>
      </c>
      <c r="O812" s="11">
        <f>I812*10000</f>
        <v>776.16000000000008</v>
      </c>
      <c r="P812" s="1">
        <v>10</v>
      </c>
      <c r="Q812" s="1">
        <v>2</v>
      </c>
      <c r="R812" s="3">
        <f>Q812*VLOOKUP(P812,[1]Datos!$A$2:$D$14,2)</f>
        <v>16.38</v>
      </c>
      <c r="S812" s="10">
        <f>ROUNDUP(O812/R812,0)</f>
        <v>48</v>
      </c>
      <c r="T812" s="2">
        <v>52</v>
      </c>
      <c r="U812" s="3">
        <f>ROUNDDOWN(PI()*(G812-0.185)/T812,2)</f>
        <v>0.13</v>
      </c>
      <c r="V812" s="3"/>
      <c r="W812" s="1">
        <v>280</v>
      </c>
      <c r="X812" s="9">
        <v>2</v>
      </c>
      <c r="Y812" s="1">
        <v>6</v>
      </c>
      <c r="Z812" s="3">
        <f>X812*VLOOKUP(Y812,[1]Datos!$A$2:$D$14,2)</f>
        <v>5.68</v>
      </c>
      <c r="AA812" s="8">
        <v>0.06</v>
      </c>
      <c r="AB812" s="7">
        <f>IF(D812=0,0.9,0.5)*0.9*0.53*SQRT(W812)*G812*MAX(0.72*G812,0.9*((G812/2)+((G812-0.11)/PI())))*10</f>
        <v>180.55532030650846</v>
      </c>
      <c r="AC812" s="7">
        <f>0.9*Z812*4220*MAX(0.72*G812,0.9*((G812/2)+((G812-0.11)/PI())))/AA812/1000</f>
        <v>650.66122730355755</v>
      </c>
      <c r="AD812" s="6" t="str">
        <f>+IF(AC812&gt;K812-AB812,"Cumple","No Cumple")</f>
        <v>Cumple</v>
      </c>
      <c r="AE812" s="6"/>
      <c r="AG812" s="7">
        <f>ROUNDUP(MAX(0.45,3*G812,),0)</f>
        <v>8</v>
      </c>
      <c r="AH812" s="3">
        <f>PI()*(G812-0.15)^2/4</f>
        <v>4.3373613573624086</v>
      </c>
      <c r="AI812" s="7">
        <f>G812-0.15-VLOOKUP(Y812,[1]Datos!$A$2:$D$14,3)/100</f>
        <v>2.3309000000000002</v>
      </c>
      <c r="AJ812" s="7">
        <f>SQRT((PI()*AI812)^2+AA812^2)</f>
        <v>7.3229841218120741</v>
      </c>
      <c r="AK812" s="1">
        <v>0.12</v>
      </c>
      <c r="AL812" s="16">
        <f>MAX(0.45*(H812/AH812-1),AK812)*(W812/4220)</f>
        <v>7.9620853080568724E-3</v>
      </c>
      <c r="AM812" s="7">
        <f>AG812*(AJ812/AA812)</f>
        <v>976.39788290827664</v>
      </c>
      <c r="AN812" s="17">
        <f>AM812*Z812/X812/10000</f>
        <v>0.27729699874595054</v>
      </c>
      <c r="AO812" s="17">
        <f>AH812*AG812</f>
        <v>34.698890858899269</v>
      </c>
      <c r="AP812" s="16">
        <f>AN812/AO812</f>
        <v>7.9915234142082618E-3</v>
      </c>
      <c r="AQ812" s="6" t="str">
        <f>+IF(AP812&gt;AL812,"Cumple","No Cumple")</f>
        <v>Cumple</v>
      </c>
    </row>
    <row r="813" spans="1:43" ht="15" customHeight="1" x14ac:dyDescent="0.3">
      <c r="A813" s="13"/>
      <c r="B813" s="1">
        <v>2</v>
      </c>
      <c r="C813" s="1">
        <v>411</v>
      </c>
      <c r="D813" s="1">
        <v>1</v>
      </c>
      <c r="E813" s="5">
        <v>1</v>
      </c>
      <c r="F813" s="3">
        <f>F812+E813</f>
        <v>2</v>
      </c>
      <c r="G813" s="5">
        <v>2.5</v>
      </c>
      <c r="H813" s="3">
        <f>PI()*(G813^2)/4</f>
        <v>4.908738521234052</v>
      </c>
      <c r="I813" s="4">
        <v>8.0840999999999996E-2</v>
      </c>
      <c r="K813" s="3">
        <v>337.49010295370147</v>
      </c>
      <c r="L813" s="3">
        <v>1197.25836</v>
      </c>
      <c r="M813" s="3">
        <v>2837.7672600000001</v>
      </c>
      <c r="N813" s="12">
        <f>I813/H813</f>
        <v>1.6468793285749645E-2</v>
      </c>
      <c r="O813" s="11">
        <f>I813*10000</f>
        <v>808.41</v>
      </c>
      <c r="P813" s="1">
        <v>10</v>
      </c>
      <c r="Q813" s="1">
        <v>2</v>
      </c>
      <c r="R813" s="3">
        <f>Q813*VLOOKUP(P813,[1]Datos!$A$2:$D$14,2)</f>
        <v>16.38</v>
      </c>
      <c r="S813" s="10">
        <f>ROUNDUP(O813/R813,0)</f>
        <v>50</v>
      </c>
      <c r="T813" s="2">
        <v>52</v>
      </c>
      <c r="U813" s="3">
        <f>ROUNDDOWN(PI()*(G813-0.185)/T813,2)</f>
        <v>0.13</v>
      </c>
      <c r="V813" s="3"/>
      <c r="W813" s="1">
        <v>280</v>
      </c>
      <c r="X813" s="9">
        <v>2</v>
      </c>
      <c r="Y813" s="1">
        <v>6</v>
      </c>
      <c r="Z813" s="3">
        <f>X813*VLOOKUP(Y813,[1]Datos!$A$2:$D$14,2)</f>
        <v>5.68</v>
      </c>
      <c r="AA813" s="8">
        <v>0.06</v>
      </c>
      <c r="AB813" s="7">
        <f>IF(D813=0,0.9,0.5)*0.9*0.53*SQRT(W813)*G813*MAX(0.72*G813,0.9*((G813/2)+((G813-0.11)/PI())))*10</f>
        <v>180.55532030650846</v>
      </c>
      <c r="AC813" s="7">
        <f>0.9*Z813*4220*MAX(0.72*G813,0.9*((G813/2)+((G813-0.11)/PI())))/AA813/1000</f>
        <v>650.66122730355755</v>
      </c>
      <c r="AD813" s="6" t="str">
        <f>+IF(AC813&gt;K813-AB813,"Cumple","No Cumple")</f>
        <v>Cumple</v>
      </c>
      <c r="AE813" s="6"/>
      <c r="AG813" s="7">
        <f>ROUNDUP(MAX(0.45,3*G813,),0)</f>
        <v>8</v>
      </c>
      <c r="AH813" s="3">
        <f>PI()*(G813-0.15)^2/4</f>
        <v>4.3373613573624086</v>
      </c>
      <c r="AI813" s="7">
        <f>G813-0.15-VLOOKUP(Y813,[1]Datos!$A$2:$D$14,3)/100</f>
        <v>2.3309000000000002</v>
      </c>
      <c r="AJ813" s="7">
        <f>SQRT((PI()*AI813)^2+AA813^2)</f>
        <v>7.3229841218120741</v>
      </c>
      <c r="AK813" s="1">
        <v>0.12</v>
      </c>
      <c r="AL813" s="16">
        <f>MAX(0.45*(H813/AH813-1),AK813)*(W813/4220)</f>
        <v>7.9620853080568724E-3</v>
      </c>
      <c r="AM813" s="7">
        <f>AG813*(AJ813/AA813)</f>
        <v>976.39788290827664</v>
      </c>
      <c r="AN813" s="17">
        <f>AM813*Z813/X813/10000</f>
        <v>0.27729699874595054</v>
      </c>
      <c r="AO813" s="17">
        <f>AH813*AG813</f>
        <v>34.698890858899269</v>
      </c>
      <c r="AP813" s="16">
        <f>AN813/AO813</f>
        <v>7.9915234142082618E-3</v>
      </c>
      <c r="AQ813" s="6" t="str">
        <f>+IF(AP813&gt;AL813,"Cumple","No Cumple")</f>
        <v>Cumple</v>
      </c>
    </row>
    <row r="814" spans="1:43" ht="15" customHeight="1" x14ac:dyDescent="0.3">
      <c r="A814" s="13"/>
      <c r="B814" s="1">
        <v>3</v>
      </c>
      <c r="C814" s="1">
        <v>413</v>
      </c>
      <c r="D814" s="1">
        <v>1</v>
      </c>
      <c r="E814" s="5">
        <v>1</v>
      </c>
      <c r="F814" s="3">
        <f>F813+E814</f>
        <v>3</v>
      </c>
      <c r="G814" s="5">
        <v>2.5</v>
      </c>
      <c r="H814" s="3">
        <f>PI()*(G814^2)/4</f>
        <v>4.908738521234052</v>
      </c>
      <c r="I814" s="4">
        <v>8.3082000000000003E-2</v>
      </c>
      <c r="K814" s="3">
        <v>314.09770258766616</v>
      </c>
      <c r="L814" s="3">
        <v>947.26352999999995</v>
      </c>
      <c r="M814" s="3">
        <v>2940.1852600000002</v>
      </c>
      <c r="N814" s="12">
        <f>I814/H814</f>
        <v>1.6925326056909887E-2</v>
      </c>
      <c r="O814" s="11">
        <f>I814*10000</f>
        <v>830.82</v>
      </c>
      <c r="P814" s="1">
        <v>10</v>
      </c>
      <c r="Q814" s="1">
        <v>2</v>
      </c>
      <c r="R814" s="3">
        <f>Q814*VLOOKUP(P814,[1]Datos!$A$2:$D$14,2)</f>
        <v>16.38</v>
      </c>
      <c r="S814" s="10">
        <f>ROUNDUP(O814/R814,0)</f>
        <v>51</v>
      </c>
      <c r="T814" s="2">
        <v>52</v>
      </c>
      <c r="U814" s="3">
        <f>ROUNDDOWN(PI()*(G814-0.185)/T814,2)</f>
        <v>0.13</v>
      </c>
      <c r="V814" s="3"/>
      <c r="W814" s="1">
        <v>280</v>
      </c>
      <c r="X814" s="9">
        <v>2</v>
      </c>
      <c r="Y814" s="1">
        <v>6</v>
      </c>
      <c r="Z814" s="3">
        <f>X814*VLOOKUP(Y814,[1]Datos!$A$2:$D$14,2)</f>
        <v>5.68</v>
      </c>
      <c r="AA814" s="8">
        <v>0.06</v>
      </c>
      <c r="AB814" s="7">
        <f>IF(D814=0,0.9,0.5)*0.9*0.53*SQRT(W814)*G814*MAX(0.72*G814,0.9*((G814/2)+((G814-0.11)/PI())))*10</f>
        <v>180.55532030650846</v>
      </c>
      <c r="AC814" s="7">
        <f>0.9*Z814*4220*MAX(0.72*G814,0.9*((G814/2)+((G814-0.11)/PI())))/AA814/1000</f>
        <v>650.66122730355755</v>
      </c>
      <c r="AD814" s="6" t="str">
        <f>+IF(AC814&gt;K814-AB814,"Cumple","No Cumple")</f>
        <v>Cumple</v>
      </c>
      <c r="AE814" s="6"/>
      <c r="AG814" s="7">
        <f>ROUNDUP(MAX(0.45,3*G814,),0)</f>
        <v>8</v>
      </c>
      <c r="AH814" s="3">
        <f>PI()*(G814-0.15)^2/4</f>
        <v>4.3373613573624086</v>
      </c>
      <c r="AI814" s="7">
        <f>G814-0.15-VLOOKUP(Y814,[1]Datos!$A$2:$D$14,3)/100</f>
        <v>2.3309000000000002</v>
      </c>
      <c r="AJ814" s="7">
        <f>SQRT((PI()*AI814)^2+AA814^2)</f>
        <v>7.3229841218120741</v>
      </c>
      <c r="AK814" s="1">
        <v>0.12</v>
      </c>
      <c r="AL814" s="16">
        <f>MAX(0.45*(H814/AH814-1),AK814)*(W814/4220)</f>
        <v>7.9620853080568724E-3</v>
      </c>
      <c r="AM814" s="7">
        <f>AG814*(AJ814/AA814)</f>
        <v>976.39788290827664</v>
      </c>
      <c r="AN814" s="17">
        <f>AM814*Z814/X814/10000</f>
        <v>0.27729699874595054</v>
      </c>
      <c r="AO814" s="17">
        <f>AH814*AG814</f>
        <v>34.698890858899269</v>
      </c>
      <c r="AP814" s="16">
        <f>AN814/AO814</f>
        <v>7.9915234142082618E-3</v>
      </c>
      <c r="AQ814" s="6" t="str">
        <f>+IF(AP814&gt;AL814,"Cumple","No Cumple")</f>
        <v>Cumple</v>
      </c>
    </row>
    <row r="815" spans="1:43" ht="15" customHeight="1" x14ac:dyDescent="0.3">
      <c r="A815" s="13"/>
      <c r="B815" s="1">
        <v>4</v>
      </c>
      <c r="C815" s="1">
        <v>447</v>
      </c>
      <c r="D815" s="1">
        <v>1</v>
      </c>
      <c r="E815" s="5">
        <v>1</v>
      </c>
      <c r="F815" s="3">
        <f>F814+E815</f>
        <v>4</v>
      </c>
      <c r="G815" s="5">
        <v>2.5</v>
      </c>
      <c r="H815" s="3">
        <f>PI()*(G815^2)/4</f>
        <v>4.908738521234052</v>
      </c>
      <c r="I815" s="4">
        <v>8.3738999999999994E-2</v>
      </c>
      <c r="K815" s="3">
        <v>282.29923399378896</v>
      </c>
      <c r="L815" s="3">
        <v>712.53196000000003</v>
      </c>
      <c r="M815" s="3">
        <v>2976.3020900000001</v>
      </c>
      <c r="N815" s="12">
        <f>I815/H815</f>
        <v>1.7059168997852446E-2</v>
      </c>
      <c r="O815" s="11">
        <f>I815*10000</f>
        <v>837.39</v>
      </c>
      <c r="P815" s="1">
        <v>10</v>
      </c>
      <c r="Q815" s="1">
        <v>2</v>
      </c>
      <c r="R815" s="3">
        <f>Q815*VLOOKUP(P815,[1]Datos!$A$2:$D$14,2)</f>
        <v>16.38</v>
      </c>
      <c r="S815" s="10">
        <f>ROUNDUP(O815/R815,0)</f>
        <v>52</v>
      </c>
      <c r="T815" s="2">
        <v>52</v>
      </c>
      <c r="U815" s="3">
        <f>ROUNDDOWN(PI()*(G815-0.185)/T815,2)</f>
        <v>0.13</v>
      </c>
      <c r="V815" s="3"/>
      <c r="W815" s="1">
        <v>280</v>
      </c>
      <c r="X815" s="9">
        <v>2</v>
      </c>
      <c r="Y815" s="1">
        <v>6</v>
      </c>
      <c r="Z815" s="3">
        <f>X815*VLOOKUP(Y815,[1]Datos!$A$2:$D$14,2)</f>
        <v>5.68</v>
      </c>
      <c r="AA815" s="8">
        <v>0.06</v>
      </c>
      <c r="AB815" s="7">
        <f>IF(D815=0,0.9,0.5)*0.9*0.53*SQRT(W815)*G815*MAX(0.72*G815,0.9*((G815/2)+((G815-0.11)/PI())))*10</f>
        <v>180.55532030650846</v>
      </c>
      <c r="AC815" s="7">
        <f>0.9*Z815*4220*MAX(0.72*G815,0.9*((G815/2)+((G815-0.11)/PI())))/AA815/1000</f>
        <v>650.66122730355755</v>
      </c>
      <c r="AD815" s="6" t="str">
        <f>+IF(AC815&gt;K815-AB815,"Cumple","No Cumple")</f>
        <v>Cumple</v>
      </c>
      <c r="AE815" s="6"/>
      <c r="AG815" s="7">
        <f>ROUNDUP(MAX(0.45,3*G815,),0)</f>
        <v>8</v>
      </c>
      <c r="AH815" s="3">
        <f>PI()*(G815-0.15)^2/4</f>
        <v>4.3373613573624086</v>
      </c>
      <c r="AI815" s="7">
        <f>G815-0.15-VLOOKUP(Y815,[1]Datos!$A$2:$D$14,3)/100</f>
        <v>2.3309000000000002</v>
      </c>
      <c r="AJ815" s="7">
        <f>SQRT((PI()*AI815)^2+AA815^2)</f>
        <v>7.3229841218120741</v>
      </c>
      <c r="AK815" s="1">
        <v>0.12</v>
      </c>
      <c r="AL815" s="16">
        <f>MAX(0.45*(H815/AH815-1),AK815)*(W815/4220)</f>
        <v>7.9620853080568724E-3</v>
      </c>
      <c r="AM815" s="7">
        <f>AG815*(AJ815/AA815)</f>
        <v>976.39788290827664</v>
      </c>
      <c r="AN815" s="17">
        <f>AM815*Z815/X815/10000</f>
        <v>0.27729699874595054</v>
      </c>
      <c r="AO815" s="17">
        <f>AH815*AG815</f>
        <v>34.698890858899269</v>
      </c>
      <c r="AP815" s="16">
        <f>AN815/AO815</f>
        <v>7.9915234142082618E-3</v>
      </c>
      <c r="AQ815" s="6" t="str">
        <f>+IF(AP815&gt;AL815,"Cumple","No Cumple")</f>
        <v>Cumple</v>
      </c>
    </row>
    <row r="816" spans="1:43" ht="15" customHeight="1" x14ac:dyDescent="0.3">
      <c r="A816" s="13"/>
      <c r="B816" s="1">
        <v>5</v>
      </c>
      <c r="C816" s="1">
        <v>449</v>
      </c>
      <c r="D816" s="1">
        <v>1</v>
      </c>
      <c r="E816" s="5">
        <v>1</v>
      </c>
      <c r="F816" s="3">
        <f>F815+E816</f>
        <v>5</v>
      </c>
      <c r="G816" s="5">
        <v>2.5</v>
      </c>
      <c r="H816" s="3">
        <f>PI()*(G816^2)/4</f>
        <v>4.908738521234052</v>
      </c>
      <c r="I816" s="4">
        <v>8.3739999999999995E-2</v>
      </c>
      <c r="K816" s="3">
        <v>247.03990878190109</v>
      </c>
      <c r="L816" s="3">
        <v>536.41129000000001</v>
      </c>
      <c r="M816" s="3">
        <v>2976.3020900000001</v>
      </c>
      <c r="N816" s="12">
        <f>I816/H816</f>
        <v>1.7059372716179601E-2</v>
      </c>
      <c r="O816" s="11">
        <f>I816*10000</f>
        <v>837.4</v>
      </c>
      <c r="P816" s="1">
        <v>10</v>
      </c>
      <c r="Q816" s="1">
        <v>2</v>
      </c>
      <c r="R816" s="3">
        <f>Q816*VLOOKUP(P816,[1]Datos!$A$2:$D$14,2)</f>
        <v>16.38</v>
      </c>
      <c r="S816" s="10">
        <f>ROUNDUP(O816/R816,0)</f>
        <v>52</v>
      </c>
      <c r="T816" s="2">
        <v>52</v>
      </c>
      <c r="U816" s="3">
        <f>ROUNDDOWN(PI()*(G816-0.185)/T816,2)</f>
        <v>0.13</v>
      </c>
      <c r="V816" s="3"/>
      <c r="W816" s="1">
        <v>280</v>
      </c>
      <c r="X816" s="9">
        <v>2</v>
      </c>
      <c r="Y816" s="1">
        <v>6</v>
      </c>
      <c r="Z816" s="3">
        <f>X816*VLOOKUP(Y816,[1]Datos!$A$2:$D$14,2)</f>
        <v>5.68</v>
      </c>
      <c r="AA816" s="8">
        <v>0.06</v>
      </c>
      <c r="AB816" s="7">
        <f>IF(D816=0,0.9,0.5)*0.9*0.53*SQRT(W816)*G816*MAX(0.72*G816,0.9*((G816/2)+((G816-0.11)/PI())))*10</f>
        <v>180.55532030650846</v>
      </c>
      <c r="AC816" s="7">
        <f>0.9*Z816*4220*MAX(0.72*G816,0.9*((G816/2)+((G816-0.11)/PI())))/AA816/1000</f>
        <v>650.66122730355755</v>
      </c>
      <c r="AD816" s="6" t="str">
        <f>+IF(AC816&gt;K816-AB816,"Cumple","No Cumple")</f>
        <v>Cumple</v>
      </c>
      <c r="AE816" s="6"/>
      <c r="AG816" s="7">
        <f>ROUNDUP(MAX(0.45,3*G816,),0)</f>
        <v>8</v>
      </c>
      <c r="AH816" s="3">
        <f>PI()*(G816-0.15)^2/4</f>
        <v>4.3373613573624086</v>
      </c>
      <c r="AI816" s="7">
        <f>G816-0.15-VLOOKUP(Y816,[1]Datos!$A$2:$D$14,3)/100</f>
        <v>2.3309000000000002</v>
      </c>
      <c r="AJ816" s="7">
        <f>SQRT((PI()*AI816)^2+AA816^2)</f>
        <v>7.3229841218120741</v>
      </c>
      <c r="AK816" s="1">
        <v>0.12</v>
      </c>
      <c r="AL816" s="16">
        <f>MAX(0.45*(H816/AH816-1),AK816)*(W816/4220)</f>
        <v>7.9620853080568724E-3</v>
      </c>
      <c r="AM816" s="7">
        <f>AG816*(AJ816/AA816)</f>
        <v>976.39788290827664</v>
      </c>
      <c r="AN816" s="17">
        <f>AM816*Z816/X816/10000</f>
        <v>0.27729699874595054</v>
      </c>
      <c r="AO816" s="17">
        <f>AH816*AG816</f>
        <v>34.698890858899269</v>
      </c>
      <c r="AP816" s="16">
        <f>AN816/AO816</f>
        <v>7.9915234142082618E-3</v>
      </c>
      <c r="AQ816" s="6" t="str">
        <f>+IF(AP816&gt;AL816,"Cumple","No Cumple")</f>
        <v>Cumple</v>
      </c>
    </row>
    <row r="817" spans="1:43" ht="15" customHeight="1" x14ac:dyDescent="0.3">
      <c r="A817" s="13"/>
      <c r="B817" s="1">
        <v>6</v>
      </c>
      <c r="C817" s="1">
        <v>451</v>
      </c>
      <c r="D817" s="1">
        <v>1</v>
      </c>
      <c r="E817" s="5">
        <v>1</v>
      </c>
      <c r="F817" s="3">
        <f>F816+E817</f>
        <v>6</v>
      </c>
      <c r="G817" s="5">
        <v>2.5</v>
      </c>
      <c r="H817" s="3">
        <f>PI()*(G817^2)/4</f>
        <v>4.908738521234052</v>
      </c>
      <c r="I817" s="4">
        <v>8.2851999999999995E-2</v>
      </c>
      <c r="K817" s="3">
        <v>224.01643192774944</v>
      </c>
      <c r="L817" s="3">
        <v>438.72930000000002</v>
      </c>
      <c r="M817" s="3">
        <v>2953.8162200000002</v>
      </c>
      <c r="N817" s="12">
        <f>I817/H817</f>
        <v>1.6878470841663631E-2</v>
      </c>
      <c r="O817" s="11">
        <f>I817*10000</f>
        <v>828.52</v>
      </c>
      <c r="P817" s="1">
        <v>10</v>
      </c>
      <c r="Q817" s="15">
        <v>2</v>
      </c>
      <c r="R817" s="3">
        <f>Q817*VLOOKUP(P817,[1]Datos!$A$2:$D$14,2)</f>
        <v>16.38</v>
      </c>
      <c r="S817" s="10">
        <f>ROUNDUP(O817/R817,0)</f>
        <v>51</v>
      </c>
      <c r="T817" s="14">
        <v>52</v>
      </c>
      <c r="U817" s="3">
        <f>ROUNDDOWN(PI()*(G817-0.185)/T817,2)</f>
        <v>0.13</v>
      </c>
      <c r="V817" s="3"/>
      <c r="W817" s="1">
        <v>280</v>
      </c>
      <c r="X817" s="9">
        <v>2</v>
      </c>
      <c r="Y817" s="1">
        <v>6</v>
      </c>
      <c r="Z817" s="3">
        <f>X817*VLOOKUP(Y817,[1]Datos!$A$2:$D$14,2)</f>
        <v>5.68</v>
      </c>
      <c r="AA817" s="8">
        <v>0.06</v>
      </c>
      <c r="AB817" s="7">
        <f>IF(D817=0,0.9,0.5)*0.9*0.53*SQRT(W817)*G817*MAX(0.72*G817,0.9*((G817/2)+((G817-0.11)/PI())))*10</f>
        <v>180.55532030650846</v>
      </c>
      <c r="AC817" s="7">
        <f>0.9*Z817*4220*MAX(0.72*G817,0.9*((G817/2)+((G817-0.11)/PI())))/AA817/1000</f>
        <v>650.66122730355755</v>
      </c>
      <c r="AD817" s="6" t="str">
        <f>+IF(AC817&gt;K817-AB817,"Cumple","No Cumple")</f>
        <v>Cumple</v>
      </c>
      <c r="AE817" s="6"/>
      <c r="AG817" s="7">
        <f>ROUNDUP(MAX(0.45,3*G817,),0)</f>
        <v>8</v>
      </c>
      <c r="AH817" s="3">
        <f>PI()*(G817-0.15)^2/4</f>
        <v>4.3373613573624086</v>
      </c>
      <c r="AI817" s="7">
        <f>G817-0.15-VLOOKUP(Y817,[1]Datos!$A$2:$D$14,3)/100</f>
        <v>2.3309000000000002</v>
      </c>
      <c r="AJ817" s="7">
        <f>SQRT((PI()*AI817)^2+AA817^2)</f>
        <v>7.3229841218120741</v>
      </c>
      <c r="AK817" s="1">
        <v>0.12</v>
      </c>
      <c r="AL817" s="16">
        <f>MAX(0.45*(H817/AH817-1),AK817)*(W817/4220)</f>
        <v>7.9620853080568724E-3</v>
      </c>
      <c r="AM817" s="7">
        <f>AG817*(AJ817/AA817)</f>
        <v>976.39788290827664</v>
      </c>
      <c r="AN817" s="17">
        <f>AM817*Z817/X817/10000</f>
        <v>0.27729699874595054</v>
      </c>
      <c r="AO817" s="17">
        <f>AH817*AG817</f>
        <v>34.698890858899269</v>
      </c>
      <c r="AP817" s="16">
        <f>AN817/AO817</f>
        <v>7.9915234142082618E-3</v>
      </c>
      <c r="AQ817" s="6" t="str">
        <f>+IF(AP817&gt;AL817,"Cumple","No Cumple")</f>
        <v>Cumple</v>
      </c>
    </row>
    <row r="818" spans="1:43" ht="15" customHeight="1" x14ac:dyDescent="0.3">
      <c r="A818" s="13"/>
      <c r="B818" s="1">
        <v>7</v>
      </c>
      <c r="C818" s="1">
        <v>453</v>
      </c>
      <c r="D818" s="1">
        <v>1</v>
      </c>
      <c r="E818" s="5">
        <v>1</v>
      </c>
      <c r="F818" s="3">
        <f>F817+E818</f>
        <v>7</v>
      </c>
      <c r="G818" s="5">
        <v>2.5</v>
      </c>
      <c r="H818" s="3">
        <f>PI()*(G818^2)/4</f>
        <v>4.908738521234052</v>
      </c>
      <c r="I818" s="4">
        <v>8.0366999999999994E-2</v>
      </c>
      <c r="K818" s="3">
        <v>206.88482586260403</v>
      </c>
      <c r="L818" s="3">
        <v>382.02949000000001</v>
      </c>
      <c r="M818" s="3">
        <v>2877.6298999999999</v>
      </c>
      <c r="N818" s="12">
        <f>I818/H818</f>
        <v>1.6372230798676928E-2</v>
      </c>
      <c r="O818" s="11">
        <f>I818*10000</f>
        <v>803.67</v>
      </c>
      <c r="P818" s="1">
        <v>10</v>
      </c>
      <c r="Q818" s="15">
        <v>2</v>
      </c>
      <c r="R818" s="3">
        <f>Q818*VLOOKUP(P818,[1]Datos!$A$2:$D$14,2)</f>
        <v>16.38</v>
      </c>
      <c r="S818" s="10">
        <f>ROUNDUP(O818/R818,0)</f>
        <v>50</v>
      </c>
      <c r="T818" s="14">
        <v>52</v>
      </c>
      <c r="U818" s="3">
        <f>ROUNDDOWN(PI()*(G818-0.185)/T818,2)</f>
        <v>0.13</v>
      </c>
      <c r="V818" s="3"/>
      <c r="W818" s="1">
        <v>280</v>
      </c>
      <c r="X818" s="9">
        <v>2</v>
      </c>
      <c r="Y818" s="1">
        <v>6</v>
      </c>
      <c r="Z818" s="3">
        <f>X818*VLOOKUP(Y818,[1]Datos!$A$2:$D$14,2)</f>
        <v>5.68</v>
      </c>
      <c r="AA818" s="8">
        <v>0.06</v>
      </c>
      <c r="AB818" s="7">
        <f>IF(D818=0,0.9,0.5)*0.9*0.53*SQRT(W818)*G818*MAX(0.72*G818,0.9*((G818/2)+((G818-0.11)/PI())))*10</f>
        <v>180.55532030650846</v>
      </c>
      <c r="AC818" s="7">
        <f>0.9*Z818*4220*MAX(0.72*G818,0.9*((G818/2)+((G818-0.11)/PI())))/AA818/1000</f>
        <v>650.66122730355755</v>
      </c>
      <c r="AD818" s="6" t="str">
        <f>+IF(AC818&gt;K818-AB818,"Cumple","No Cumple")</f>
        <v>Cumple</v>
      </c>
      <c r="AE818" s="6"/>
      <c r="AG818" s="7">
        <f>ROUNDUP(MAX(0.45,3*G818,),0)</f>
        <v>8</v>
      </c>
      <c r="AH818" s="3">
        <f>PI()*(G818-0.15)^2/4</f>
        <v>4.3373613573624086</v>
      </c>
      <c r="AI818" s="7">
        <f>G818-0.15-VLOOKUP(Y818,[1]Datos!$A$2:$D$14,3)/100</f>
        <v>2.3309000000000002</v>
      </c>
      <c r="AJ818" s="7">
        <f>SQRT((PI()*AI818)^2+AA818^2)</f>
        <v>7.3229841218120741</v>
      </c>
      <c r="AK818" s="1">
        <v>0.12</v>
      </c>
      <c r="AL818" s="16">
        <f>MAX(0.45*(H818/AH818-1),AK818)*(W818/4220)</f>
        <v>7.9620853080568724E-3</v>
      </c>
      <c r="AM818" s="7">
        <f>AG818*(AJ818/AA818)</f>
        <v>976.39788290827664</v>
      </c>
      <c r="AN818" s="17">
        <f>AM818*Z818/X818/10000</f>
        <v>0.27729699874595054</v>
      </c>
      <c r="AO818" s="17">
        <f>AH818*AG818</f>
        <v>34.698890858899269</v>
      </c>
      <c r="AP818" s="16">
        <f>AN818/AO818</f>
        <v>7.9915234142082618E-3</v>
      </c>
      <c r="AQ818" s="6" t="str">
        <f>+IF(AP818&gt;AL818,"Cumple","No Cumple")</f>
        <v>Cumple</v>
      </c>
    </row>
    <row r="819" spans="1:43" ht="15" customHeight="1" x14ac:dyDescent="0.3">
      <c r="A819" s="13"/>
      <c r="B819" s="1">
        <v>8</v>
      </c>
      <c r="C819" s="1">
        <v>455</v>
      </c>
      <c r="D819" s="1">
        <v>1</v>
      </c>
      <c r="E819" s="5">
        <v>1</v>
      </c>
      <c r="F819" s="3">
        <f>F818+E819</f>
        <v>8</v>
      </c>
      <c r="G819" s="5">
        <v>2.5</v>
      </c>
      <c r="H819" s="3">
        <f>PI()*(G819^2)/4</f>
        <v>4.908738521234052</v>
      </c>
      <c r="I819" s="4">
        <v>7.5974E-2</v>
      </c>
      <c r="K819" s="3">
        <v>232.23791460088938</v>
      </c>
      <c r="L819" s="3">
        <v>367.45997</v>
      </c>
      <c r="M819" s="3">
        <v>2736.5033100000001</v>
      </c>
      <c r="N819" s="12">
        <f>I819/H819</f>
        <v>1.5477296187473479E-2</v>
      </c>
      <c r="O819" s="11">
        <f>I819*10000</f>
        <v>759.74</v>
      </c>
      <c r="P819" s="1">
        <v>10</v>
      </c>
      <c r="Q819" s="15">
        <v>2</v>
      </c>
      <c r="R819" s="3">
        <f>Q819*VLOOKUP(P819,[1]Datos!$A$2:$D$14,2)</f>
        <v>16.38</v>
      </c>
      <c r="S819" s="10">
        <f>ROUNDUP(O819/R819,0)</f>
        <v>47</v>
      </c>
      <c r="T819" s="14">
        <v>52</v>
      </c>
      <c r="U819" s="3">
        <f>ROUNDDOWN(PI()*(G819-0.185)/T819,2)</f>
        <v>0.13</v>
      </c>
      <c r="V819" s="3"/>
      <c r="W819" s="1">
        <v>280</v>
      </c>
      <c r="X819" s="9">
        <v>2</v>
      </c>
      <c r="Y819" s="1">
        <v>6</v>
      </c>
      <c r="Z819" s="3">
        <f>X819*VLOOKUP(Y819,[1]Datos!$A$2:$D$14,2)</f>
        <v>5.68</v>
      </c>
      <c r="AA819" s="8">
        <v>0.06</v>
      </c>
      <c r="AB819" s="7">
        <f>IF(D819=0,0.9,0.5)*0.9*0.53*SQRT(W819)*G819*MAX(0.72*G819,0.9*((G819/2)+((G819-0.11)/PI())))*10</f>
        <v>180.55532030650846</v>
      </c>
      <c r="AC819" s="7">
        <f>0.9*Z819*4220*MAX(0.72*G819,0.9*((G819/2)+((G819-0.11)/PI())))/AA819/1000</f>
        <v>650.66122730355755</v>
      </c>
      <c r="AD819" s="6" t="str">
        <f>+IF(AC819&gt;K819-AB819,"Cumple","No Cumple")</f>
        <v>Cumple</v>
      </c>
      <c r="AE819" s="6"/>
      <c r="AG819" s="7">
        <f>ROUNDUP(MAX(0.45,3*G819,),0)</f>
        <v>8</v>
      </c>
      <c r="AH819" s="3">
        <f>PI()*(G819-0.15)^2/4</f>
        <v>4.3373613573624086</v>
      </c>
      <c r="AI819" s="7">
        <f>G819-0.15-VLOOKUP(Y819,[1]Datos!$A$2:$D$14,3)/100</f>
        <v>2.3309000000000002</v>
      </c>
      <c r="AJ819" s="7">
        <f>SQRT((PI()*AI819)^2+AA819^2)</f>
        <v>7.3229841218120741</v>
      </c>
      <c r="AK819" s="1">
        <v>0.12</v>
      </c>
      <c r="AL819" s="16">
        <f>MAX(0.45*(H819/AH819-1),AK819)*(W819/4220)</f>
        <v>7.9620853080568724E-3</v>
      </c>
      <c r="AM819" s="7">
        <f>AG819*(AJ819/AA819)</f>
        <v>976.39788290827664</v>
      </c>
      <c r="AN819" s="17">
        <f>AM819*Z819/X819/10000</f>
        <v>0.27729699874595054</v>
      </c>
      <c r="AO819" s="17">
        <f>AH819*AG819</f>
        <v>34.698890858899269</v>
      </c>
      <c r="AP819" s="16">
        <f>AN819/AO819</f>
        <v>7.9915234142082618E-3</v>
      </c>
      <c r="AQ819" s="6" t="str">
        <f>+IF(AP819&gt;AL819,"Cumple","No Cumple")</f>
        <v>Cumple</v>
      </c>
    </row>
    <row r="820" spans="1:43" ht="15" customHeight="1" x14ac:dyDescent="0.3">
      <c r="A820" s="13"/>
      <c r="B820" s="1">
        <v>9</v>
      </c>
      <c r="C820" s="1">
        <v>457</v>
      </c>
      <c r="D820" s="1">
        <v>1</v>
      </c>
      <c r="E820" s="5">
        <v>1</v>
      </c>
      <c r="F820" s="3">
        <f>F819+E820</f>
        <v>9</v>
      </c>
      <c r="G820" s="5">
        <v>2.5</v>
      </c>
      <c r="H820" s="3">
        <f>PI()*(G820^2)/4</f>
        <v>4.908738521234052</v>
      </c>
      <c r="I820" s="4">
        <v>6.9122000000000003E-2</v>
      </c>
      <c r="K820" s="3">
        <v>259.98844007272709</v>
      </c>
      <c r="L820" s="3">
        <v>367.45997999999997</v>
      </c>
      <c r="M820" s="3">
        <v>2541.6964400000002</v>
      </c>
      <c r="N820" s="12">
        <f>I820/H820</f>
        <v>1.4081418209789427E-2</v>
      </c>
      <c r="O820" s="11">
        <f>I820*10000</f>
        <v>691.22</v>
      </c>
      <c r="P820" s="1">
        <v>10</v>
      </c>
      <c r="Q820" s="1">
        <v>1</v>
      </c>
      <c r="R820" s="3">
        <f>Q820*VLOOKUP(P820,[1]Datos!$A$2:$D$14,2)</f>
        <v>8.19</v>
      </c>
      <c r="S820" s="10">
        <f>ROUNDUP(O820/R820,0)</f>
        <v>85</v>
      </c>
      <c r="T820" s="2">
        <v>87</v>
      </c>
      <c r="U820" s="3">
        <f>ROUNDDOWN(PI()*(G820-0.185)/T820,2)</f>
        <v>0.08</v>
      </c>
      <c r="V820" s="3"/>
      <c r="W820" s="1">
        <v>280</v>
      </c>
      <c r="X820" s="9">
        <v>2</v>
      </c>
      <c r="Y820" s="1">
        <v>4</v>
      </c>
      <c r="Z820" s="3">
        <f>X820*VLOOKUP(Y820,[1]Datos!$A$2:$D$14,2)</f>
        <v>2.58</v>
      </c>
      <c r="AA820" s="8">
        <v>0.15</v>
      </c>
      <c r="AB820" s="7">
        <f>IF(D820=0,0.9,0.5)*0.9*0.53*SQRT(W820)*G820*MAX(0.72*G820,0.9*((G820/2)+((G820-0.11)/PI())))*10</f>
        <v>180.55532030650846</v>
      </c>
      <c r="AC820" s="7">
        <f>0.9*Z820*4220*MAX(0.72*G820,0.9*((G820/2)+((G820-0.11)/PI())))/AA820/1000</f>
        <v>118.21873003120976</v>
      </c>
      <c r="AD820" s="6" t="str">
        <f>+IF(AC820&gt;K820-AB820,"Cumple","No Cumple")</f>
        <v>Cumple</v>
      </c>
      <c r="AE820" s="6"/>
      <c r="AH820" s="3"/>
    </row>
    <row r="821" spans="1:43" ht="15" customHeight="1" x14ac:dyDescent="0.3">
      <c r="A821" s="13"/>
      <c r="B821" s="1">
        <v>10</v>
      </c>
      <c r="C821" s="1">
        <v>459</v>
      </c>
      <c r="D821" s="1">
        <v>1</v>
      </c>
      <c r="E821" s="5">
        <v>1</v>
      </c>
      <c r="F821" s="3">
        <f>F820+E821</f>
        <v>10</v>
      </c>
      <c r="G821" s="5">
        <v>2.5</v>
      </c>
      <c r="H821" s="3">
        <f>PI()*(G821^2)/4</f>
        <v>4.908738521234052</v>
      </c>
      <c r="I821" s="4">
        <v>5.885E-2</v>
      </c>
      <c r="K821" s="3">
        <v>277.20555511778622</v>
      </c>
      <c r="L821" s="3">
        <v>365.55288999999999</v>
      </c>
      <c r="M821" s="3">
        <v>2306.4205099999999</v>
      </c>
      <c r="N821" s="12">
        <f>I821/H821</f>
        <v>1.1988823553226292E-2</v>
      </c>
      <c r="O821" s="11">
        <f>I821*10000</f>
        <v>588.5</v>
      </c>
      <c r="P821" s="1">
        <v>10</v>
      </c>
      <c r="Q821" s="1">
        <v>1</v>
      </c>
      <c r="R821" s="3">
        <f>Q821*VLOOKUP(P821,[1]Datos!$A$2:$D$14,2)</f>
        <v>8.19</v>
      </c>
      <c r="S821" s="10">
        <f>ROUNDUP(O821/R821,0)</f>
        <v>72</v>
      </c>
      <c r="T821" s="2">
        <v>87</v>
      </c>
      <c r="U821" s="3">
        <f>ROUNDDOWN(PI()*(G821-0.185)/T821,2)</f>
        <v>0.08</v>
      </c>
      <c r="V821" s="3"/>
      <c r="W821" s="1">
        <v>280</v>
      </c>
      <c r="X821" s="9">
        <v>2</v>
      </c>
      <c r="Y821" s="1">
        <v>4</v>
      </c>
      <c r="Z821" s="3">
        <f>X821*VLOOKUP(Y821,[1]Datos!$A$2:$D$14,2)</f>
        <v>2.58</v>
      </c>
      <c r="AA821" s="8">
        <v>0.15</v>
      </c>
      <c r="AB821" s="7">
        <f>IF(D821=0,0.9,0.5)*0.9*0.53*SQRT(W821)*G821*MAX(0.72*G821,0.9*((G821/2)+((G821-0.11)/PI())))*10</f>
        <v>180.55532030650846</v>
      </c>
      <c r="AC821" s="7">
        <f>0.9*Z821*4220*MAX(0.72*G821,0.9*((G821/2)+((G821-0.11)/PI())))/AA821/1000</f>
        <v>118.21873003120976</v>
      </c>
      <c r="AD821" s="6" t="str">
        <f>+IF(AC821&gt;K821-AB821,"Cumple","No Cumple")</f>
        <v>Cumple</v>
      </c>
      <c r="AE821" s="6"/>
      <c r="AH821" s="3"/>
    </row>
    <row r="822" spans="1:43" ht="15" customHeight="1" x14ac:dyDescent="0.3">
      <c r="A822" s="13"/>
      <c r="B822" s="1">
        <v>11</v>
      </c>
      <c r="C822" s="1">
        <v>461</v>
      </c>
      <c r="D822" s="1">
        <v>1</v>
      </c>
      <c r="E822" s="5">
        <v>1</v>
      </c>
      <c r="F822" s="3">
        <f>F821+E822</f>
        <v>11</v>
      </c>
      <c r="G822" s="5">
        <v>2.5</v>
      </c>
      <c r="H822" s="3">
        <f>PI()*(G822^2)/4</f>
        <v>4.908738521234052</v>
      </c>
      <c r="I822" s="4">
        <v>4.9086999999999999E-2</v>
      </c>
      <c r="K822" s="3">
        <v>284.32852617908389</v>
      </c>
      <c r="L822" s="3">
        <v>369.52717999999999</v>
      </c>
      <c r="M822" s="3">
        <v>2044.59115</v>
      </c>
      <c r="N822" s="12">
        <f>I822/H822</f>
        <v>9.9999215251863893E-3</v>
      </c>
      <c r="O822" s="11">
        <f>I822*10000</f>
        <v>490.87</v>
      </c>
      <c r="P822" s="1">
        <v>10</v>
      </c>
      <c r="Q822" s="1">
        <v>1</v>
      </c>
      <c r="R822" s="3">
        <f>Q822*VLOOKUP(P822,[1]Datos!$A$2:$D$14,2)</f>
        <v>8.19</v>
      </c>
      <c r="S822" s="10">
        <f>ROUNDUP(O822/R822,0)</f>
        <v>60</v>
      </c>
      <c r="T822" s="2">
        <v>87</v>
      </c>
      <c r="U822" s="3">
        <f>ROUNDDOWN(PI()*(G822-0.185)/T822,2)</f>
        <v>0.08</v>
      </c>
      <c r="V822" s="3"/>
      <c r="W822" s="1">
        <v>280</v>
      </c>
      <c r="X822" s="9">
        <v>2</v>
      </c>
      <c r="Y822" s="1">
        <v>4</v>
      </c>
      <c r="Z822" s="3">
        <f>X822*VLOOKUP(Y822,[1]Datos!$A$2:$D$14,2)</f>
        <v>2.58</v>
      </c>
      <c r="AA822" s="8">
        <v>0.15</v>
      </c>
      <c r="AB822" s="7">
        <f>IF(D822=0,0.9,0.5)*0.9*0.53*SQRT(W822)*G822*MAX(0.72*G822,0.9*((G822/2)+((G822-0.11)/PI())))*10</f>
        <v>180.55532030650846</v>
      </c>
      <c r="AC822" s="7">
        <f>0.9*Z822*4220*MAX(0.72*G822,0.9*((G822/2)+((G822-0.11)/PI())))/AA822/1000</f>
        <v>118.21873003120976</v>
      </c>
      <c r="AD822" s="6" t="str">
        <f>+IF(AC822&gt;K822-AB822,"Cumple","No Cumple")</f>
        <v>Cumple</v>
      </c>
      <c r="AE822" s="6"/>
      <c r="AH822" s="3"/>
    </row>
    <row r="823" spans="1:43" ht="15" customHeight="1" x14ac:dyDescent="0.3">
      <c r="A823" s="13"/>
      <c r="B823" s="1">
        <v>12</v>
      </c>
      <c r="C823" s="1">
        <v>463</v>
      </c>
      <c r="D823" s="1">
        <v>1</v>
      </c>
      <c r="E823" s="5">
        <v>1</v>
      </c>
      <c r="F823" s="3">
        <f>F822+E823</f>
        <v>12</v>
      </c>
      <c r="G823" s="5">
        <v>2.5</v>
      </c>
      <c r="H823" s="3">
        <f>PI()*(G823^2)/4</f>
        <v>4.908738521234052</v>
      </c>
      <c r="I823" s="4">
        <v>4.9086999999999999E-2</v>
      </c>
      <c r="K823" s="3">
        <v>282.60436259267124</v>
      </c>
      <c r="L823" s="3">
        <v>369.52717000000001</v>
      </c>
      <c r="M823" s="3">
        <v>1769.5855300000001</v>
      </c>
      <c r="N823" s="12">
        <f>I823/H823</f>
        <v>9.9999215251863893E-3</v>
      </c>
      <c r="O823" s="11">
        <f>I823*10000</f>
        <v>490.87</v>
      </c>
      <c r="P823" s="1">
        <v>10</v>
      </c>
      <c r="Q823" s="15">
        <v>1</v>
      </c>
      <c r="R823" s="3">
        <f>Q823*VLOOKUP(P823,[1]Datos!$A$2:$D$14,2)</f>
        <v>8.19</v>
      </c>
      <c r="S823" s="10">
        <f>ROUNDUP(O823/R823,0)</f>
        <v>60</v>
      </c>
      <c r="T823" s="14">
        <v>87</v>
      </c>
      <c r="U823" s="3">
        <f>ROUNDDOWN(PI()*(G823-0.185)/T823,2)</f>
        <v>0.08</v>
      </c>
      <c r="V823" s="3"/>
      <c r="W823" s="1">
        <v>280</v>
      </c>
      <c r="X823" s="9">
        <v>2</v>
      </c>
      <c r="Y823" s="1">
        <v>4</v>
      </c>
      <c r="Z823" s="3">
        <f>X823*VLOOKUP(Y823,[1]Datos!$A$2:$D$14,2)</f>
        <v>2.58</v>
      </c>
      <c r="AA823" s="8">
        <v>0.15</v>
      </c>
      <c r="AB823" s="7">
        <f>IF(D823=0,0.9,0.5)*0.9*0.53*SQRT(W823)*G823*MAX(0.72*G823,0.9*((G823/2)+((G823-0.11)/PI())))*10</f>
        <v>180.55532030650846</v>
      </c>
      <c r="AC823" s="7">
        <f>0.9*Z823*4220*MAX(0.72*G823,0.9*((G823/2)+((G823-0.11)/PI())))/AA823/1000</f>
        <v>118.21873003120976</v>
      </c>
      <c r="AD823" s="6" t="str">
        <f>+IF(AC823&gt;K823-AB823,"Cumple","No Cumple")</f>
        <v>Cumple</v>
      </c>
      <c r="AE823" s="6"/>
      <c r="AH823" s="3"/>
    </row>
    <row r="824" spans="1:43" ht="15" customHeight="1" x14ac:dyDescent="0.3">
      <c r="A824" s="13"/>
      <c r="B824" s="1">
        <v>13</v>
      </c>
      <c r="C824" s="1">
        <v>465</v>
      </c>
      <c r="D824" s="1">
        <v>1</v>
      </c>
      <c r="E824" s="5">
        <v>1</v>
      </c>
      <c r="F824" s="3">
        <f>F823+E824</f>
        <v>13</v>
      </c>
      <c r="G824" s="5">
        <v>2.5</v>
      </c>
      <c r="H824" s="3">
        <f>PI()*(G824^2)/4</f>
        <v>4.908738521234052</v>
      </c>
      <c r="I824" s="4">
        <v>4.9086999999999999E-2</v>
      </c>
      <c r="K824" s="3">
        <v>271.81748352791806</v>
      </c>
      <c r="L824" s="3">
        <v>365.04072000000002</v>
      </c>
      <c r="M824" s="3">
        <v>1493.4841300000001</v>
      </c>
      <c r="N824" s="12">
        <f>I824/H824</f>
        <v>9.9999215251863893E-3</v>
      </c>
      <c r="O824" s="11">
        <f>I824*10000</f>
        <v>490.87</v>
      </c>
      <c r="P824" s="1">
        <v>10</v>
      </c>
      <c r="Q824" s="15">
        <v>1</v>
      </c>
      <c r="R824" s="3">
        <f>Q824*VLOOKUP(P824,[1]Datos!$A$2:$D$14,2)</f>
        <v>8.19</v>
      </c>
      <c r="S824" s="10">
        <f>ROUNDUP(O824/R824,0)</f>
        <v>60</v>
      </c>
      <c r="T824" s="14">
        <v>87</v>
      </c>
      <c r="U824" s="3">
        <f>ROUNDDOWN(PI()*(G824-0.185)/T824,2)</f>
        <v>0.08</v>
      </c>
      <c r="V824" s="3"/>
      <c r="W824" s="1">
        <v>280</v>
      </c>
      <c r="X824" s="9">
        <v>2</v>
      </c>
      <c r="Y824" s="1">
        <v>4</v>
      </c>
      <c r="Z824" s="3">
        <f>X824*VLOOKUP(Y824,[1]Datos!$A$2:$D$14,2)</f>
        <v>2.58</v>
      </c>
      <c r="AA824" s="8">
        <v>0.15</v>
      </c>
      <c r="AB824" s="7">
        <f>IF(D824=0,0.9,0.5)*0.9*0.53*SQRT(W824)*G824*MAX(0.72*G824,0.9*((G824/2)+((G824-0.11)/PI())))*10</f>
        <v>180.55532030650846</v>
      </c>
      <c r="AC824" s="7">
        <f>0.9*Z824*4220*MAX(0.72*G824,0.9*((G824/2)+((G824-0.11)/PI())))/AA824/1000</f>
        <v>118.21873003120976</v>
      </c>
      <c r="AD824" s="6" t="str">
        <f>+IF(AC824&gt;K824-AB824,"Cumple","No Cumple")</f>
        <v>Cumple</v>
      </c>
      <c r="AE824" s="6"/>
      <c r="AH824" s="3"/>
    </row>
    <row r="825" spans="1:43" ht="15" customHeight="1" x14ac:dyDescent="0.3">
      <c r="A825" s="13"/>
      <c r="B825" s="1">
        <v>14</v>
      </c>
      <c r="C825" s="1">
        <v>467</v>
      </c>
      <c r="D825" s="1">
        <v>1</v>
      </c>
      <c r="E825" s="5">
        <v>1</v>
      </c>
      <c r="F825" s="3">
        <f>F824+E825</f>
        <v>14</v>
      </c>
      <c r="G825" s="5">
        <v>2.5</v>
      </c>
      <c r="H825" s="3">
        <f>PI()*(G825^2)/4</f>
        <v>4.908738521234052</v>
      </c>
      <c r="I825" s="4">
        <v>4.9086999999999999E-2</v>
      </c>
      <c r="K825" s="3">
        <v>253.52436063502853</v>
      </c>
      <c r="L825" s="3">
        <v>344.21188999999998</v>
      </c>
      <c r="M825" s="3">
        <v>1226.72875</v>
      </c>
      <c r="N825" s="12">
        <f>I825/H825</f>
        <v>9.9999215251863893E-3</v>
      </c>
      <c r="O825" s="11">
        <f>I825*10000</f>
        <v>490.87</v>
      </c>
      <c r="P825" s="1">
        <v>10</v>
      </c>
      <c r="Q825" s="15">
        <v>1</v>
      </c>
      <c r="R825" s="3">
        <f>Q825*VLOOKUP(P825,[1]Datos!$A$2:$D$14,2)</f>
        <v>8.19</v>
      </c>
      <c r="S825" s="10">
        <f>ROUNDUP(O825/R825,0)</f>
        <v>60</v>
      </c>
      <c r="T825" s="14">
        <v>87</v>
      </c>
      <c r="U825" s="3">
        <f>ROUNDDOWN(PI()*(G825-0.185)/T825,2)</f>
        <v>0.08</v>
      </c>
      <c r="V825" s="3"/>
      <c r="W825" s="1">
        <v>280</v>
      </c>
      <c r="X825" s="9">
        <v>2</v>
      </c>
      <c r="Y825" s="1">
        <v>4</v>
      </c>
      <c r="Z825" s="3">
        <f>X825*VLOOKUP(Y825,[1]Datos!$A$2:$D$14,2)</f>
        <v>2.58</v>
      </c>
      <c r="AA825" s="8">
        <v>0.15</v>
      </c>
      <c r="AB825" s="7">
        <f>IF(D825=0,0.9,0.5)*0.9*0.53*SQRT(W825)*G825*MAX(0.72*G825,0.9*((G825/2)+((G825-0.11)/PI())))*10</f>
        <v>180.55532030650846</v>
      </c>
      <c r="AC825" s="7">
        <f>0.9*Z825*4220*MAX(0.72*G825,0.9*((G825/2)+((G825-0.11)/PI())))/AA825/1000</f>
        <v>118.21873003120976</v>
      </c>
      <c r="AD825" s="6" t="str">
        <f>+IF(AC825&gt;K825-AB825,"Cumple","No Cumple")</f>
        <v>Cumple</v>
      </c>
      <c r="AE825" s="6"/>
      <c r="AH825" s="3"/>
    </row>
    <row r="826" spans="1:43" ht="15" customHeight="1" x14ac:dyDescent="0.3">
      <c r="A826" s="13"/>
      <c r="B826" s="1">
        <v>15</v>
      </c>
      <c r="C826" s="1">
        <v>469</v>
      </c>
      <c r="D826" s="1">
        <v>1</v>
      </c>
      <c r="E826" s="5">
        <v>1</v>
      </c>
      <c r="F826" s="3">
        <f>F825+E826</f>
        <v>15</v>
      </c>
      <c r="G826" s="5">
        <v>2.5</v>
      </c>
      <c r="H826" s="3">
        <f>PI()*(G826^2)/4</f>
        <v>4.908738521234052</v>
      </c>
      <c r="I826" s="4">
        <v>4.9086999999999999E-2</v>
      </c>
      <c r="K826" s="3">
        <v>229.2196890238707</v>
      </c>
      <c r="L826" s="3">
        <v>310.88657999999998</v>
      </c>
      <c r="M826" s="3">
        <v>977.59238000000005</v>
      </c>
      <c r="N826" s="12">
        <f>I826/H826</f>
        <v>9.9999215251863893E-3</v>
      </c>
      <c r="O826" s="11">
        <f>I826*10000</f>
        <v>490.87</v>
      </c>
      <c r="P826" s="1">
        <v>10</v>
      </c>
      <c r="Q826" s="1">
        <v>1</v>
      </c>
      <c r="R826" s="3">
        <f>Q826*VLOOKUP(P826,[1]Datos!$A$2:$D$14,2)</f>
        <v>8.19</v>
      </c>
      <c r="S826" s="10">
        <f>ROUNDUP(O826/R826,0)</f>
        <v>60</v>
      </c>
      <c r="T826" s="2">
        <v>60</v>
      </c>
      <c r="U826" s="3">
        <f>ROUNDDOWN(PI()*(G826-0.185)/T826,2)</f>
        <v>0.12</v>
      </c>
      <c r="V826" s="3"/>
      <c r="W826" s="1">
        <v>280</v>
      </c>
      <c r="X826" s="9">
        <v>2</v>
      </c>
      <c r="Y826" s="1">
        <v>4</v>
      </c>
      <c r="Z826" s="3">
        <f>X826*VLOOKUP(Y826,[1]Datos!$A$2:$D$14,2)</f>
        <v>2.58</v>
      </c>
      <c r="AA826" s="8">
        <v>0.3</v>
      </c>
      <c r="AB826" s="7">
        <f>IF(D826=0,0.9,0.5)*0.9*0.53*SQRT(W826)*G826*MAX(0.72*G826,0.9*((G826/2)+((G826-0.11)/PI())))*10</f>
        <v>180.55532030650846</v>
      </c>
      <c r="AC826" s="7">
        <f>0.9*Z826*4220*MAX(0.72*G826,0.9*((G826/2)+((G826-0.11)/PI())))/AA826/1000</f>
        <v>59.10936501560488</v>
      </c>
      <c r="AD826" s="6" t="str">
        <f>+IF(AC826&gt;K826-AB826,"Cumple","No Cumple")</f>
        <v>Cumple</v>
      </c>
      <c r="AE826" s="6"/>
      <c r="AH826" s="3"/>
    </row>
    <row r="827" spans="1:43" ht="15" customHeight="1" x14ac:dyDescent="0.3">
      <c r="A827" s="13"/>
      <c r="B827" s="1">
        <v>16</v>
      </c>
      <c r="C827" s="1">
        <v>471</v>
      </c>
      <c r="D827" s="1">
        <v>1</v>
      </c>
      <c r="E827" s="5">
        <v>1</v>
      </c>
      <c r="F827" s="3">
        <f>F826+E827</f>
        <v>16</v>
      </c>
      <c r="G827" s="5">
        <v>2.5</v>
      </c>
      <c r="H827" s="3">
        <f>PI()*(G827^2)/4</f>
        <v>4.908738521234052</v>
      </c>
      <c r="I827" s="4">
        <v>4.9086999999999999E-2</v>
      </c>
      <c r="K827" s="3">
        <v>200.89241712272266</v>
      </c>
      <c r="L827" s="3">
        <v>268.82855000000001</v>
      </c>
      <c r="M827" s="3">
        <v>754.53773999999999</v>
      </c>
      <c r="N827" s="12">
        <f>I827/H827</f>
        <v>9.9999215251863893E-3</v>
      </c>
      <c r="O827" s="11">
        <f>I827*10000</f>
        <v>490.87</v>
      </c>
      <c r="P827" s="1">
        <v>10</v>
      </c>
      <c r="Q827" s="1">
        <v>1</v>
      </c>
      <c r="R827" s="3">
        <f>Q827*VLOOKUP(P827,[1]Datos!$A$2:$D$14,2)</f>
        <v>8.19</v>
      </c>
      <c r="S827" s="10">
        <f>ROUNDUP(O827/R827,0)</f>
        <v>60</v>
      </c>
      <c r="T827" s="2">
        <v>60</v>
      </c>
      <c r="U827" s="3">
        <f>ROUNDDOWN(PI()*(G827-0.185)/T827,2)</f>
        <v>0.12</v>
      </c>
      <c r="V827" s="3"/>
      <c r="W827" s="1">
        <v>280</v>
      </c>
      <c r="X827" s="9">
        <v>2</v>
      </c>
      <c r="Y827" s="1">
        <v>4</v>
      </c>
      <c r="Z827" s="3">
        <f>X827*VLOOKUP(Y827,[1]Datos!$A$2:$D$14,2)</f>
        <v>2.58</v>
      </c>
      <c r="AA827" s="8">
        <v>0.3</v>
      </c>
      <c r="AB827" s="7">
        <f>IF(D827=0,0.9,0.5)*0.9*0.53*SQRT(W827)*G827*MAX(0.72*G827,0.9*((G827/2)+((G827-0.11)/PI())))*10</f>
        <v>180.55532030650846</v>
      </c>
      <c r="AC827" s="7">
        <f>0.9*Z827*4220*MAX(0.72*G827,0.9*((G827/2)+((G827-0.11)/PI())))/AA827/1000</f>
        <v>59.10936501560488</v>
      </c>
      <c r="AD827" s="6" t="str">
        <f>+IF(AC827&gt;K827-AB827,"Cumple","No Cumple")</f>
        <v>Cumple</v>
      </c>
      <c r="AE827" s="6"/>
      <c r="AH827" s="3"/>
    </row>
    <row r="828" spans="1:43" ht="15" customHeight="1" x14ac:dyDescent="0.3">
      <c r="A828" s="13"/>
      <c r="B828" s="1">
        <v>17</v>
      </c>
      <c r="C828" s="1">
        <v>473</v>
      </c>
      <c r="D828" s="1">
        <v>1</v>
      </c>
      <c r="E828" s="5">
        <v>1</v>
      </c>
      <c r="F828" s="3">
        <f>F827+E828</f>
        <v>17</v>
      </c>
      <c r="G828" s="5">
        <v>2.5</v>
      </c>
      <c r="H828" s="3">
        <f>PI()*(G828^2)/4</f>
        <v>4.908738521234052</v>
      </c>
      <c r="I828" s="4">
        <v>4.9086999999999999E-2</v>
      </c>
      <c r="K828" s="3">
        <v>170.31368813929782</v>
      </c>
      <c r="L828" s="3">
        <v>221.88503</v>
      </c>
      <c r="M828" s="3">
        <v>558.70173</v>
      </c>
      <c r="N828" s="12">
        <f>I828/H828</f>
        <v>9.9999215251863893E-3</v>
      </c>
      <c r="O828" s="11">
        <f>I828*10000</f>
        <v>490.87</v>
      </c>
      <c r="P828" s="1">
        <v>10</v>
      </c>
      <c r="Q828" s="1">
        <v>1</v>
      </c>
      <c r="R828" s="3">
        <f>Q828*VLOOKUP(P828,[1]Datos!$A$2:$D$14,2)</f>
        <v>8.19</v>
      </c>
      <c r="S828" s="10">
        <f>ROUNDUP(O828/R828,0)</f>
        <v>60</v>
      </c>
      <c r="T828" s="2">
        <v>60</v>
      </c>
      <c r="U828" s="3">
        <f>ROUNDDOWN(PI()*(G828-0.185)/T828,2)</f>
        <v>0.12</v>
      </c>
      <c r="V828" s="3"/>
      <c r="W828" s="1">
        <v>280</v>
      </c>
      <c r="X828" s="9">
        <v>2</v>
      </c>
      <c r="Y828" s="1">
        <v>4</v>
      </c>
      <c r="Z828" s="3">
        <f>X828*VLOOKUP(Y828,[1]Datos!$A$2:$D$14,2)</f>
        <v>2.58</v>
      </c>
      <c r="AA828" s="8">
        <v>0.3</v>
      </c>
      <c r="AB828" s="7">
        <f>IF(D828=0,0.9,0.5)*0.9*0.53*SQRT(W828)*G828*MAX(0.72*G828,0.9*((G828/2)+((G828-0.11)/PI())))*10</f>
        <v>180.55532030650846</v>
      </c>
      <c r="AC828" s="7">
        <f>0.9*Z828*4220*MAX(0.72*G828,0.9*((G828/2)+((G828-0.11)/PI())))/AA828/1000</f>
        <v>59.10936501560488</v>
      </c>
      <c r="AD828" s="6" t="str">
        <f>+IF(AC828&gt;K828-AB828,"Cumple","No Cumple")</f>
        <v>Cumple</v>
      </c>
      <c r="AE828" s="6"/>
      <c r="AH828" s="3"/>
    </row>
    <row r="829" spans="1:43" ht="15" customHeight="1" x14ac:dyDescent="0.3">
      <c r="A829" s="13"/>
      <c r="B829" s="1">
        <v>18</v>
      </c>
      <c r="C829" s="1">
        <v>475</v>
      </c>
      <c r="D829" s="1">
        <v>1</v>
      </c>
      <c r="E829" s="5">
        <v>1</v>
      </c>
      <c r="F829" s="3">
        <f>F828+E829</f>
        <v>18</v>
      </c>
      <c r="G829" s="5">
        <v>2.5</v>
      </c>
      <c r="H829" s="3">
        <f>PI()*(G829^2)/4</f>
        <v>4.908738521234052</v>
      </c>
      <c r="I829" s="4">
        <v>4.9086999999999999E-2</v>
      </c>
      <c r="K829" s="3">
        <v>139.37297642358794</v>
      </c>
      <c r="L829" s="3">
        <v>172.97763</v>
      </c>
      <c r="M829" s="3">
        <v>392.14645999999999</v>
      </c>
      <c r="N829" s="12">
        <f>I829/H829</f>
        <v>9.9999215251863893E-3</v>
      </c>
      <c r="O829" s="11">
        <f>I829*10000</f>
        <v>490.87</v>
      </c>
      <c r="P829" s="1">
        <v>10</v>
      </c>
      <c r="Q829" s="1">
        <v>1</v>
      </c>
      <c r="R829" s="3">
        <f>Q829*VLOOKUP(P829,[1]Datos!$A$2:$D$14,2)</f>
        <v>8.19</v>
      </c>
      <c r="S829" s="10">
        <f>ROUNDUP(O829/R829,0)</f>
        <v>60</v>
      </c>
      <c r="T829" s="2">
        <v>60</v>
      </c>
      <c r="U829" s="3">
        <f>ROUNDDOWN(PI()*(G829-0.185)/T829,2)</f>
        <v>0.12</v>
      </c>
      <c r="V829" s="3"/>
      <c r="W829" s="1">
        <v>280</v>
      </c>
      <c r="X829" s="9">
        <v>2</v>
      </c>
      <c r="Y829" s="1">
        <v>4</v>
      </c>
      <c r="Z829" s="3">
        <f>X829*VLOOKUP(Y829,[1]Datos!$A$2:$D$14,2)</f>
        <v>2.58</v>
      </c>
      <c r="AA829" s="8">
        <v>0.3</v>
      </c>
      <c r="AB829" s="7">
        <f>IF(D829=0,0.9,0.5)*0.9*0.53*SQRT(W829)*G829*MAX(0.72*G829,0.9*((G829/2)+((G829-0.11)/PI())))*10</f>
        <v>180.55532030650846</v>
      </c>
      <c r="AC829" s="7">
        <f>0.9*Z829*4220*MAX(0.72*G829,0.9*((G829/2)+((G829-0.11)/PI())))/AA829/1000</f>
        <v>59.10936501560488</v>
      </c>
      <c r="AD829" s="6" t="str">
        <f>+IF(AC829&gt;K829-AB829,"Cumple","No Cumple")</f>
        <v>Cumple</v>
      </c>
      <c r="AE829" s="6"/>
      <c r="AH829" s="3"/>
    </row>
    <row r="830" spans="1:43" ht="15" customHeight="1" x14ac:dyDescent="0.3">
      <c r="A830" s="13"/>
      <c r="B830" s="1">
        <v>19</v>
      </c>
      <c r="C830" s="1">
        <v>477</v>
      </c>
      <c r="D830" s="1">
        <v>1</v>
      </c>
      <c r="E830" s="5">
        <v>1</v>
      </c>
      <c r="F830" s="3">
        <f>F829+E830</f>
        <v>19</v>
      </c>
      <c r="G830" s="5">
        <v>2.5</v>
      </c>
      <c r="H830" s="3">
        <f>PI()*(G830^2)/4</f>
        <v>4.908738521234052</v>
      </c>
      <c r="I830" s="4">
        <v>4.9086999999999999E-2</v>
      </c>
      <c r="K830" s="3">
        <v>109.03595952345263</v>
      </c>
      <c r="L830" s="3">
        <v>125.10232999999999</v>
      </c>
      <c r="M830" s="3">
        <v>255.96785</v>
      </c>
      <c r="N830" s="12">
        <f>I830/H830</f>
        <v>9.9999215251863893E-3</v>
      </c>
      <c r="O830" s="11">
        <f>I830*10000</f>
        <v>490.87</v>
      </c>
      <c r="P830" s="1">
        <v>10</v>
      </c>
      <c r="Q830" s="1">
        <v>1</v>
      </c>
      <c r="R830" s="3">
        <f>Q830*VLOOKUP(P830,[1]Datos!$A$2:$D$14,2)</f>
        <v>8.19</v>
      </c>
      <c r="S830" s="10">
        <f>ROUNDUP(O830/R830,0)</f>
        <v>60</v>
      </c>
      <c r="T830" s="2">
        <v>60</v>
      </c>
      <c r="U830" s="3">
        <f>ROUNDDOWN(PI()*(G830-0.185)/T830,2)</f>
        <v>0.12</v>
      </c>
      <c r="V830" s="3"/>
      <c r="W830" s="1">
        <v>280</v>
      </c>
      <c r="X830" s="9">
        <v>2</v>
      </c>
      <c r="Y830" s="1">
        <v>4</v>
      </c>
      <c r="Z830" s="3">
        <f>X830*VLOOKUP(Y830,[1]Datos!$A$2:$D$14,2)</f>
        <v>2.58</v>
      </c>
      <c r="AA830" s="8">
        <v>0.3</v>
      </c>
      <c r="AB830" s="7">
        <f>IF(D830=0,0.9,0.5)*0.9*0.53*SQRT(W830)*G830*MAX(0.72*G830,0.9*((G830/2)+((G830-0.11)/PI())))*10</f>
        <v>180.55532030650846</v>
      </c>
      <c r="AC830" s="7">
        <f>0.9*Z830*4220*MAX(0.72*G830,0.9*((G830/2)+((G830-0.11)/PI())))/AA830/1000</f>
        <v>59.10936501560488</v>
      </c>
      <c r="AD830" s="6" t="str">
        <f>+IF(AC830&gt;K830-AB830,"Cumple","No Cumple")</f>
        <v>Cumple</v>
      </c>
      <c r="AE830" s="6"/>
      <c r="AH830" s="3"/>
    </row>
    <row r="831" spans="1:43" ht="15" customHeight="1" x14ac:dyDescent="0.3">
      <c r="A831" s="13"/>
      <c r="B831" s="1">
        <v>20</v>
      </c>
      <c r="C831" s="1">
        <v>479</v>
      </c>
      <c r="D831" s="1">
        <v>1</v>
      </c>
      <c r="E831" s="5">
        <v>1</v>
      </c>
      <c r="F831" s="3">
        <f>F830+E831</f>
        <v>20</v>
      </c>
      <c r="G831" s="5">
        <v>2.5</v>
      </c>
      <c r="H831" s="3">
        <f>PI()*(G831^2)/4</f>
        <v>4.908738521234052</v>
      </c>
      <c r="I831" s="4">
        <v>4.9086999999999999E-2</v>
      </c>
      <c r="K831" s="3">
        <v>79.657642045568977</v>
      </c>
      <c r="L831" s="3">
        <v>81.149820000000005</v>
      </c>
      <c r="M831" s="3">
        <v>150.05110999999999</v>
      </c>
      <c r="N831" s="12">
        <f>I831/H831</f>
        <v>9.9999215251863893E-3</v>
      </c>
      <c r="O831" s="11">
        <f>I831*10000</f>
        <v>490.87</v>
      </c>
      <c r="P831" s="1">
        <v>10</v>
      </c>
      <c r="Q831" s="1">
        <v>1</v>
      </c>
      <c r="R831" s="3">
        <f>Q831*VLOOKUP(P831,[1]Datos!$A$2:$D$14,2)</f>
        <v>8.19</v>
      </c>
      <c r="S831" s="10">
        <f>ROUNDUP(O831/R831,0)</f>
        <v>60</v>
      </c>
      <c r="T831" s="2">
        <v>60</v>
      </c>
      <c r="U831" s="3">
        <f>ROUNDDOWN(PI()*(G831-0.185)/T831,2)</f>
        <v>0.12</v>
      </c>
      <c r="V831" s="3"/>
      <c r="W831" s="1">
        <v>280</v>
      </c>
      <c r="X831" s="9">
        <v>2</v>
      </c>
      <c r="Y831" s="1">
        <v>4</v>
      </c>
      <c r="Z831" s="3">
        <f>X831*VLOOKUP(Y831,[1]Datos!$A$2:$D$14,2)</f>
        <v>2.58</v>
      </c>
      <c r="AA831" s="8">
        <v>0.3</v>
      </c>
      <c r="AB831" s="7">
        <f>IF(D831=0,0.9,0.5)*0.9*0.53*SQRT(W831)*G831*MAX(0.72*G831,0.9*((G831/2)+((G831-0.11)/PI())))*10</f>
        <v>180.55532030650846</v>
      </c>
      <c r="AC831" s="7">
        <f>0.9*Z831*4220*MAX(0.72*G831,0.9*((G831/2)+((G831-0.11)/PI())))/AA831/1000</f>
        <v>59.10936501560488</v>
      </c>
      <c r="AD831" s="6" t="str">
        <f>+IF(AC831&gt;K831-AB831,"Cumple","No Cumple")</f>
        <v>Cumple</v>
      </c>
      <c r="AE831" s="6"/>
      <c r="AH831" s="3"/>
    </row>
    <row r="832" spans="1:43" ht="15" customHeight="1" x14ac:dyDescent="0.3">
      <c r="A832" s="13"/>
      <c r="B832" s="1">
        <v>21</v>
      </c>
      <c r="C832" s="1">
        <v>685</v>
      </c>
      <c r="D832" s="1">
        <v>1</v>
      </c>
      <c r="E832" s="5">
        <v>1</v>
      </c>
      <c r="F832" s="3">
        <f>F831+E832</f>
        <v>21</v>
      </c>
      <c r="G832" s="5">
        <v>2.5</v>
      </c>
      <c r="H832" s="3">
        <f>PI()*(G832^2)/4</f>
        <v>4.908738521234052</v>
      </c>
      <c r="I832" s="4">
        <v>4.9086999999999999E-2</v>
      </c>
      <c r="K832" s="3">
        <v>51.748894376691759</v>
      </c>
      <c r="L832" s="3">
        <v>43.885449999999999</v>
      </c>
      <c r="M832" s="3">
        <v>73.356939999999994</v>
      </c>
      <c r="N832" s="12">
        <f>I832/H832</f>
        <v>9.9999215251863893E-3</v>
      </c>
      <c r="O832" s="11">
        <f>I832*10000</f>
        <v>490.87</v>
      </c>
      <c r="P832" s="1">
        <v>10</v>
      </c>
      <c r="Q832" s="1">
        <v>1</v>
      </c>
      <c r="R832" s="3">
        <f>Q832*VLOOKUP(P832,[1]Datos!$A$2:$D$14,2)</f>
        <v>8.19</v>
      </c>
      <c r="S832" s="10">
        <f>ROUNDUP(O832/R832,0)</f>
        <v>60</v>
      </c>
      <c r="T832" s="2">
        <v>60</v>
      </c>
      <c r="U832" s="3">
        <f>ROUNDDOWN(PI()*(G832-0.185)/T832,2)</f>
        <v>0.12</v>
      </c>
      <c r="V832" s="3"/>
      <c r="W832" s="1">
        <v>280</v>
      </c>
      <c r="X832" s="9">
        <v>2</v>
      </c>
      <c r="Y832" s="1">
        <v>4</v>
      </c>
      <c r="Z832" s="3">
        <f>X832*VLOOKUP(Y832,[1]Datos!$A$2:$D$14,2)</f>
        <v>2.58</v>
      </c>
      <c r="AA832" s="8">
        <v>0.3</v>
      </c>
      <c r="AB832" s="7">
        <f>IF(D832=0,0.9,0.5)*0.9*0.53*SQRT(W832)*G832*MAX(0.72*G832,0.9*((G832/2)+((G832-0.11)/PI())))*10</f>
        <v>180.55532030650846</v>
      </c>
      <c r="AC832" s="7">
        <f>0.9*Z832*4220*MAX(0.72*G832,0.9*((G832/2)+((G832-0.11)/PI())))/AA832/1000</f>
        <v>59.10936501560488</v>
      </c>
      <c r="AD832" s="6" t="str">
        <f>+IF(AC832&gt;K832-AB832,"Cumple","No Cumple")</f>
        <v>Cumple</v>
      </c>
      <c r="AE832" s="6"/>
      <c r="AH832" s="3"/>
    </row>
    <row r="833" spans="1:43" ht="15" customHeight="1" x14ac:dyDescent="0.3">
      <c r="A833" s="13"/>
      <c r="B833" s="1">
        <v>22</v>
      </c>
      <c r="C833" s="1">
        <v>687</v>
      </c>
      <c r="D833" s="1">
        <v>1</v>
      </c>
      <c r="E833" s="5">
        <v>1</v>
      </c>
      <c r="F833" s="3">
        <f>F832+E833</f>
        <v>22</v>
      </c>
      <c r="G833" s="5">
        <v>2.5</v>
      </c>
      <c r="H833" s="3">
        <f>PI()*(G833^2)/4</f>
        <v>4.908738521234052</v>
      </c>
      <c r="I833" s="4">
        <v>4.9086999999999999E-2</v>
      </c>
      <c r="K833" s="3">
        <v>25.733010563282331</v>
      </c>
      <c r="L833" s="3">
        <v>16.014520000000001</v>
      </c>
      <c r="M833" s="3">
        <v>24.15597</v>
      </c>
      <c r="N833" s="12">
        <f>I833/H833</f>
        <v>9.9999215251863893E-3</v>
      </c>
      <c r="O833" s="11">
        <f>I833*10000</f>
        <v>490.87</v>
      </c>
      <c r="P833" s="1">
        <v>10</v>
      </c>
      <c r="Q833" s="1">
        <v>1</v>
      </c>
      <c r="R833" s="3">
        <f>Q833*VLOOKUP(P833,[1]Datos!$A$2:$D$14,2)</f>
        <v>8.19</v>
      </c>
      <c r="S833" s="10">
        <f>ROUNDUP(O833/R833,0)</f>
        <v>60</v>
      </c>
      <c r="T833" s="2">
        <v>60</v>
      </c>
      <c r="U833" s="3">
        <f>ROUNDDOWN(PI()*(G833-0.185)/T833,2)</f>
        <v>0.12</v>
      </c>
      <c r="V833" s="3"/>
      <c r="W833" s="1">
        <v>280</v>
      </c>
      <c r="X833" s="9">
        <v>2</v>
      </c>
      <c r="Y833" s="1">
        <v>4</v>
      </c>
      <c r="Z833" s="3">
        <f>X833*VLOOKUP(Y833,[1]Datos!$A$2:$D$14,2)</f>
        <v>2.58</v>
      </c>
      <c r="AA833" s="8">
        <v>0.3</v>
      </c>
      <c r="AB833" s="7">
        <f>IF(D833=0,0.9,0.5)*0.9*0.53*SQRT(W833)*G833*MAX(0.72*G833,0.9*((G833/2)+((G833-0.11)/PI())))*10</f>
        <v>180.55532030650846</v>
      </c>
      <c r="AC833" s="7">
        <f>0.9*Z833*4220*MAX(0.72*G833,0.9*((G833/2)+((G833-0.11)/PI())))/AA833/1000</f>
        <v>59.10936501560488</v>
      </c>
      <c r="AD833" s="6" t="str">
        <f>+IF(AC833&gt;K833-AB833,"Cumple","No Cumple")</f>
        <v>Cumple</v>
      </c>
      <c r="AE833" s="6"/>
      <c r="AH833" s="3"/>
    </row>
    <row r="834" spans="1:43" ht="15" customHeight="1" x14ac:dyDescent="0.3">
      <c r="A834" s="13" t="s">
        <v>6</v>
      </c>
      <c r="B834" s="1">
        <v>1</v>
      </c>
      <c r="C834" s="1">
        <v>408</v>
      </c>
      <c r="D834" s="1">
        <v>1</v>
      </c>
      <c r="E834" s="5">
        <v>1</v>
      </c>
      <c r="F834" s="3">
        <f>E834</f>
        <v>1</v>
      </c>
      <c r="G834" s="5">
        <v>2.5</v>
      </c>
      <c r="H834" s="3">
        <f>PI()*(G834^2)/4</f>
        <v>4.908738521234052</v>
      </c>
      <c r="I834" s="4">
        <v>7.9057000000000002E-2</v>
      </c>
      <c r="K834" s="3">
        <v>369.95827385963406</v>
      </c>
      <c r="L834" s="3">
        <v>1498.3681200000001</v>
      </c>
      <c r="M834" s="3">
        <v>2646.0040600000002</v>
      </c>
      <c r="N834" s="12">
        <f>I834/H834</f>
        <v>1.6105359790100443E-2</v>
      </c>
      <c r="O834" s="11">
        <f>I834*10000</f>
        <v>790.57</v>
      </c>
      <c r="P834" s="1">
        <v>10</v>
      </c>
      <c r="Q834" s="1">
        <v>2</v>
      </c>
      <c r="R834" s="3">
        <f>Q834*VLOOKUP(P834,[1]Datos!$A$2:$D$14,2)</f>
        <v>16.38</v>
      </c>
      <c r="S834" s="10">
        <f>ROUNDUP(O834/R834,0)</f>
        <v>49</v>
      </c>
      <c r="T834" s="2">
        <v>52</v>
      </c>
      <c r="U834" s="3">
        <f>ROUNDDOWN(PI()*(G834-0.185)/T834,2)</f>
        <v>0.13</v>
      </c>
      <c r="V834" s="3"/>
      <c r="W834" s="1">
        <v>280</v>
      </c>
      <c r="X834" s="9">
        <v>2</v>
      </c>
      <c r="Y834" s="1">
        <v>6</v>
      </c>
      <c r="Z834" s="3">
        <f>X834*VLOOKUP(Y834,[1]Datos!$A$2:$D$14,2)</f>
        <v>5.68</v>
      </c>
      <c r="AA834" s="8">
        <v>0.06</v>
      </c>
      <c r="AB834" s="7">
        <f>IF(D834=0,0.9,0.5)*0.9*0.53*SQRT(W834)*G834*MAX(0.72*G834,0.9*((G834/2)+((G834-0.11)/PI())))*10</f>
        <v>180.55532030650846</v>
      </c>
      <c r="AC834" s="7">
        <f>0.9*Z834*4220*MAX(0.72*G834,0.9*((G834/2)+((G834-0.11)/PI())))/AA834/1000</f>
        <v>650.66122730355755</v>
      </c>
      <c r="AD834" s="6" t="str">
        <f>+IF(AC834&gt;K834-AB834,"Cumple","No Cumple")</f>
        <v>Cumple</v>
      </c>
      <c r="AE834" s="6"/>
      <c r="AG834" s="7">
        <f>ROUNDUP(MAX(0.45,3*G834,),0)</f>
        <v>8</v>
      </c>
      <c r="AH834" s="3">
        <f>PI()*(G834-0.15)^2/4</f>
        <v>4.3373613573624086</v>
      </c>
      <c r="AI834" s="7">
        <f>G834-0.15-VLOOKUP(Y834,[1]Datos!$A$2:$D$14,3)/100</f>
        <v>2.3309000000000002</v>
      </c>
      <c r="AJ834" s="7">
        <f>SQRT((PI()*AI834)^2+AA834^2)</f>
        <v>7.3229841218120741</v>
      </c>
      <c r="AK834" s="1">
        <v>0.12</v>
      </c>
      <c r="AL834" s="16">
        <f>MAX(0.45*(H834/AH834-1),AK834)*(W834/4220)</f>
        <v>7.9620853080568724E-3</v>
      </c>
      <c r="AM834" s="7">
        <f>AG834*(AJ834/AA834)</f>
        <v>976.39788290827664</v>
      </c>
      <c r="AN834" s="17">
        <f>AM834*Z834/X834/10000</f>
        <v>0.27729699874595054</v>
      </c>
      <c r="AO834" s="17">
        <f>AH834*AG834</f>
        <v>34.698890858899269</v>
      </c>
      <c r="AP834" s="16">
        <f>AN834/AO834</f>
        <v>7.9915234142082618E-3</v>
      </c>
      <c r="AQ834" s="6" t="str">
        <f>+IF(AP834&gt;AL834,"Cumple","No Cumple")</f>
        <v>Cumple</v>
      </c>
    </row>
    <row r="835" spans="1:43" ht="15" customHeight="1" x14ac:dyDescent="0.3">
      <c r="A835" s="13"/>
      <c r="B835" s="1">
        <v>2</v>
      </c>
      <c r="C835" s="1">
        <v>410</v>
      </c>
      <c r="D835" s="1">
        <v>1</v>
      </c>
      <c r="E835" s="5">
        <v>1</v>
      </c>
      <c r="F835" s="3">
        <f>F834+E835</f>
        <v>2</v>
      </c>
      <c r="G835" s="5">
        <v>2.5</v>
      </c>
      <c r="H835" s="3">
        <f>PI()*(G835^2)/4</f>
        <v>4.908738521234052</v>
      </c>
      <c r="I835" s="4">
        <v>8.1204999999999999E-2</v>
      </c>
      <c r="K835" s="3">
        <v>351.66344496727265</v>
      </c>
      <c r="L835" s="3">
        <v>1229.72497</v>
      </c>
      <c r="M835" s="3">
        <v>2782.4229799999998</v>
      </c>
      <c r="N835" s="12">
        <f>I835/H835</f>
        <v>1.6542946756835021E-2</v>
      </c>
      <c r="O835" s="11">
        <f>I835*10000</f>
        <v>812.05</v>
      </c>
      <c r="P835" s="1">
        <v>10</v>
      </c>
      <c r="Q835" s="1">
        <v>2</v>
      </c>
      <c r="R835" s="3">
        <f>Q835*VLOOKUP(P835,[1]Datos!$A$2:$D$14,2)</f>
        <v>16.38</v>
      </c>
      <c r="S835" s="10">
        <f>ROUNDUP(O835/R835,0)</f>
        <v>50</v>
      </c>
      <c r="T835" s="2">
        <v>52</v>
      </c>
      <c r="U835" s="3">
        <f>ROUNDDOWN(PI()*(G835-0.185)/T835,2)</f>
        <v>0.13</v>
      </c>
      <c r="V835" s="3"/>
      <c r="W835" s="1">
        <v>280</v>
      </c>
      <c r="X835" s="9">
        <v>2</v>
      </c>
      <c r="Y835" s="1">
        <v>6</v>
      </c>
      <c r="Z835" s="3">
        <f>X835*VLOOKUP(Y835,[1]Datos!$A$2:$D$14,2)</f>
        <v>5.68</v>
      </c>
      <c r="AA835" s="8">
        <v>0.06</v>
      </c>
      <c r="AB835" s="7">
        <f>IF(D835=0,0.9,0.5)*0.9*0.53*SQRT(W835)*G835*MAX(0.72*G835,0.9*((G835/2)+((G835-0.11)/PI())))*10</f>
        <v>180.55532030650846</v>
      </c>
      <c r="AC835" s="7">
        <f>0.9*Z835*4220*MAX(0.72*G835,0.9*((G835/2)+((G835-0.11)/PI())))/AA835/1000</f>
        <v>650.66122730355755</v>
      </c>
      <c r="AD835" s="6" t="str">
        <f>+IF(AC835&gt;K835-AB835,"Cumple","No Cumple")</f>
        <v>Cumple</v>
      </c>
      <c r="AE835" s="6"/>
      <c r="AG835" s="7">
        <f>ROUNDUP(MAX(0.45,3*G835,),0)</f>
        <v>8</v>
      </c>
      <c r="AH835" s="3">
        <f>PI()*(G835-0.15)^2/4</f>
        <v>4.3373613573624086</v>
      </c>
      <c r="AI835" s="7">
        <f>G835-0.15-VLOOKUP(Y835,[1]Datos!$A$2:$D$14,3)/100</f>
        <v>2.3309000000000002</v>
      </c>
      <c r="AJ835" s="7">
        <f>SQRT((PI()*AI835)^2+AA835^2)</f>
        <v>7.3229841218120741</v>
      </c>
      <c r="AK835" s="1">
        <v>0.12</v>
      </c>
      <c r="AL835" s="16">
        <f>MAX(0.45*(H835/AH835-1),AK835)*(W835/4220)</f>
        <v>7.9620853080568724E-3</v>
      </c>
      <c r="AM835" s="7">
        <f>AG835*(AJ835/AA835)</f>
        <v>976.39788290827664</v>
      </c>
      <c r="AN835" s="17">
        <f>AM835*Z835/X835/10000</f>
        <v>0.27729699874595054</v>
      </c>
      <c r="AO835" s="17">
        <f>AH835*AG835</f>
        <v>34.698890858899269</v>
      </c>
      <c r="AP835" s="16">
        <f>AN835/AO835</f>
        <v>7.9915234142082618E-3</v>
      </c>
      <c r="AQ835" s="6" t="str">
        <f>+IF(AP835&gt;AL835,"Cumple","No Cumple")</f>
        <v>Cumple</v>
      </c>
    </row>
    <row r="836" spans="1:43" ht="15" customHeight="1" x14ac:dyDescent="0.3">
      <c r="A836" s="13"/>
      <c r="B836" s="1">
        <v>3</v>
      </c>
      <c r="C836" s="1">
        <v>412</v>
      </c>
      <c r="D836" s="1">
        <v>1</v>
      </c>
      <c r="E836" s="5">
        <v>1</v>
      </c>
      <c r="F836" s="3">
        <f>F835+E836</f>
        <v>3</v>
      </c>
      <c r="G836" s="5">
        <v>2.5</v>
      </c>
      <c r="H836" s="3">
        <f>PI()*(G836^2)/4</f>
        <v>4.908738521234052</v>
      </c>
      <c r="I836" s="4">
        <v>8.3096000000000003E-2</v>
      </c>
      <c r="K836" s="3">
        <v>318.48426910056327</v>
      </c>
      <c r="L836" s="3">
        <v>967.96765000000005</v>
      </c>
      <c r="M836" s="3">
        <v>2906.03748</v>
      </c>
      <c r="N836" s="12">
        <f>I836/H836</f>
        <v>1.6928178113490094E-2</v>
      </c>
      <c r="O836" s="11">
        <f>I836*10000</f>
        <v>830.96</v>
      </c>
      <c r="P836" s="1">
        <v>10</v>
      </c>
      <c r="Q836" s="1">
        <v>2</v>
      </c>
      <c r="R836" s="3">
        <f>Q836*VLOOKUP(P836,[1]Datos!$A$2:$D$14,2)</f>
        <v>16.38</v>
      </c>
      <c r="S836" s="10">
        <f>ROUNDUP(O836/R836,0)</f>
        <v>51</v>
      </c>
      <c r="T836" s="2">
        <v>52</v>
      </c>
      <c r="U836" s="3">
        <f>ROUNDDOWN(PI()*(G836-0.185)/T836,2)</f>
        <v>0.13</v>
      </c>
      <c r="V836" s="3"/>
      <c r="W836" s="1">
        <v>280</v>
      </c>
      <c r="X836" s="9">
        <v>2</v>
      </c>
      <c r="Y836" s="1">
        <v>6</v>
      </c>
      <c r="Z836" s="3">
        <f>X836*VLOOKUP(Y836,[1]Datos!$A$2:$D$14,2)</f>
        <v>5.68</v>
      </c>
      <c r="AA836" s="8">
        <v>0.06</v>
      </c>
      <c r="AB836" s="7">
        <f>IF(D836=0,0.9,0.5)*0.9*0.53*SQRT(W836)*G836*MAX(0.72*G836,0.9*((G836/2)+((G836-0.11)/PI())))*10</f>
        <v>180.55532030650846</v>
      </c>
      <c r="AC836" s="7">
        <f>0.9*Z836*4220*MAX(0.72*G836,0.9*((G836/2)+((G836-0.11)/PI())))/AA836/1000</f>
        <v>650.66122730355755</v>
      </c>
      <c r="AD836" s="6" t="str">
        <f>+IF(AC836&gt;K836-AB836,"Cumple","No Cumple")</f>
        <v>Cumple</v>
      </c>
      <c r="AE836" s="6"/>
      <c r="AG836" s="7">
        <f>ROUNDUP(MAX(0.45,3*G836,),0)</f>
        <v>8</v>
      </c>
      <c r="AH836" s="3">
        <f>PI()*(G836-0.15)^2/4</f>
        <v>4.3373613573624086</v>
      </c>
      <c r="AI836" s="7">
        <f>G836-0.15-VLOOKUP(Y836,[1]Datos!$A$2:$D$14,3)/100</f>
        <v>2.3309000000000002</v>
      </c>
      <c r="AJ836" s="7">
        <f>SQRT((PI()*AI836)^2+AA836^2)</f>
        <v>7.3229841218120741</v>
      </c>
      <c r="AK836" s="1">
        <v>0.12</v>
      </c>
      <c r="AL836" s="16">
        <f>MAX(0.45*(H836/AH836-1),AK836)*(W836/4220)</f>
        <v>7.9620853080568724E-3</v>
      </c>
      <c r="AM836" s="7">
        <f>AG836*(AJ836/AA836)</f>
        <v>976.39788290827664</v>
      </c>
      <c r="AN836" s="17">
        <f>AM836*Z836/X836/10000</f>
        <v>0.27729699874595054</v>
      </c>
      <c r="AO836" s="17">
        <f>AH836*AG836</f>
        <v>34.698890858899269</v>
      </c>
      <c r="AP836" s="16">
        <f>AN836/AO836</f>
        <v>7.9915234142082618E-3</v>
      </c>
      <c r="AQ836" s="6" t="str">
        <f>+IF(AP836&gt;AL836,"Cumple","No Cumple")</f>
        <v>Cumple</v>
      </c>
    </row>
    <row r="837" spans="1:43" ht="15" customHeight="1" x14ac:dyDescent="0.3">
      <c r="A837" s="13"/>
      <c r="B837" s="1">
        <v>4</v>
      </c>
      <c r="C837" s="1">
        <v>430</v>
      </c>
      <c r="D837" s="1">
        <v>1</v>
      </c>
      <c r="E837" s="5">
        <v>1</v>
      </c>
      <c r="F837" s="3">
        <f>F836+E837</f>
        <v>4</v>
      </c>
      <c r="G837" s="5">
        <v>2.5</v>
      </c>
      <c r="H837" s="3">
        <f>PI()*(G837^2)/4</f>
        <v>4.908738521234052</v>
      </c>
      <c r="I837" s="4">
        <v>8.3854999999999999E-2</v>
      </c>
      <c r="K837" s="3">
        <v>276.93669446676796</v>
      </c>
      <c r="L837" s="3">
        <v>722.25932999999998</v>
      </c>
      <c r="M837" s="3">
        <v>2971.4114300000001</v>
      </c>
      <c r="N837" s="12">
        <f>I837/H837</f>
        <v>1.708280032380273E-2</v>
      </c>
      <c r="O837" s="11">
        <f>I837*10000</f>
        <v>838.55</v>
      </c>
      <c r="P837" s="1">
        <v>10</v>
      </c>
      <c r="Q837" s="1">
        <v>2</v>
      </c>
      <c r="R837" s="3">
        <f>Q837*VLOOKUP(P837,[1]Datos!$A$2:$D$14,2)</f>
        <v>16.38</v>
      </c>
      <c r="S837" s="10">
        <f>ROUNDUP(O837/R837,0)</f>
        <v>52</v>
      </c>
      <c r="T837" s="2">
        <v>52</v>
      </c>
      <c r="U837" s="3">
        <f>ROUNDDOWN(PI()*(G837-0.185)/T837,2)</f>
        <v>0.13</v>
      </c>
      <c r="V837" s="3"/>
      <c r="W837" s="1">
        <v>280</v>
      </c>
      <c r="X837" s="9">
        <v>2</v>
      </c>
      <c r="Y837" s="1">
        <v>6</v>
      </c>
      <c r="Z837" s="3">
        <f>X837*VLOOKUP(Y837,[1]Datos!$A$2:$D$14,2)</f>
        <v>5.68</v>
      </c>
      <c r="AA837" s="8">
        <v>0.06</v>
      </c>
      <c r="AB837" s="7">
        <f>IF(D837=0,0.9,0.5)*0.9*0.53*SQRT(W837)*G837*MAX(0.72*G837,0.9*((G837/2)+((G837-0.11)/PI())))*10</f>
        <v>180.55532030650846</v>
      </c>
      <c r="AC837" s="7">
        <f>0.9*Z837*4220*MAX(0.72*G837,0.9*((G837/2)+((G837-0.11)/PI())))/AA837/1000</f>
        <v>650.66122730355755</v>
      </c>
      <c r="AD837" s="6" t="str">
        <f>+IF(AC837&gt;K837-AB837,"Cumple","No Cumple")</f>
        <v>Cumple</v>
      </c>
      <c r="AE837" s="6"/>
      <c r="AG837" s="7">
        <f>ROUNDUP(MAX(0.45,3*G837,),0)</f>
        <v>8</v>
      </c>
      <c r="AH837" s="3">
        <f>PI()*(G837-0.15)^2/4</f>
        <v>4.3373613573624086</v>
      </c>
      <c r="AI837" s="7">
        <f>G837-0.15-VLOOKUP(Y837,[1]Datos!$A$2:$D$14,3)/100</f>
        <v>2.3309000000000002</v>
      </c>
      <c r="AJ837" s="7">
        <f>SQRT((PI()*AI837)^2+AA837^2)</f>
        <v>7.3229841218120741</v>
      </c>
      <c r="AK837" s="1">
        <v>0.12</v>
      </c>
      <c r="AL837" s="16">
        <f>MAX(0.45*(H837/AH837-1),AK837)*(W837/4220)</f>
        <v>7.9620853080568724E-3</v>
      </c>
      <c r="AM837" s="7">
        <f>AG837*(AJ837/AA837)</f>
        <v>976.39788290827664</v>
      </c>
      <c r="AN837" s="17">
        <f>AM837*Z837/X837/10000</f>
        <v>0.27729699874595054</v>
      </c>
      <c r="AO837" s="17">
        <f>AH837*AG837</f>
        <v>34.698890858899269</v>
      </c>
      <c r="AP837" s="16">
        <f>AN837/AO837</f>
        <v>7.9915234142082618E-3</v>
      </c>
      <c r="AQ837" s="6" t="str">
        <f>+IF(AP837&gt;AL837,"Cumple","No Cumple")</f>
        <v>Cumple</v>
      </c>
    </row>
    <row r="838" spans="1:43" ht="15" customHeight="1" x14ac:dyDescent="0.3">
      <c r="A838" s="13"/>
      <c r="B838" s="1">
        <v>5</v>
      </c>
      <c r="C838" s="1">
        <v>448</v>
      </c>
      <c r="D838" s="1">
        <v>1</v>
      </c>
      <c r="E838" s="5">
        <v>1</v>
      </c>
      <c r="F838" s="3">
        <f>F837+E838</f>
        <v>5</v>
      </c>
      <c r="G838" s="5">
        <v>2.5</v>
      </c>
      <c r="H838" s="3">
        <f>PI()*(G838^2)/4</f>
        <v>4.908738521234052</v>
      </c>
      <c r="I838" s="4">
        <v>8.3856E-2</v>
      </c>
      <c r="K838" s="3">
        <v>238.74538179261185</v>
      </c>
      <c r="L838" s="3">
        <v>555.01270999999997</v>
      </c>
      <c r="M838" s="3">
        <v>2971.4114300000001</v>
      </c>
      <c r="N838" s="12">
        <f>I838/H838</f>
        <v>1.7083004042129889E-2</v>
      </c>
      <c r="O838" s="11">
        <f>I838*10000</f>
        <v>838.56</v>
      </c>
      <c r="P838" s="1">
        <v>10</v>
      </c>
      <c r="Q838" s="1">
        <v>2</v>
      </c>
      <c r="R838" s="3">
        <f>Q838*VLOOKUP(P838,[1]Datos!$A$2:$D$14,2)</f>
        <v>16.38</v>
      </c>
      <c r="S838" s="10">
        <f>ROUNDUP(O838/R838,0)</f>
        <v>52</v>
      </c>
      <c r="T838" s="2">
        <v>52</v>
      </c>
      <c r="U838" s="3">
        <f>ROUNDDOWN(PI()*(G838-0.185)/T838,2)</f>
        <v>0.13</v>
      </c>
      <c r="V838" s="3"/>
      <c r="W838" s="1">
        <v>280</v>
      </c>
      <c r="X838" s="9">
        <v>2</v>
      </c>
      <c r="Y838" s="1">
        <v>6</v>
      </c>
      <c r="Z838" s="3">
        <f>X838*VLOOKUP(Y838,[1]Datos!$A$2:$D$14,2)</f>
        <v>5.68</v>
      </c>
      <c r="AA838" s="8">
        <v>0.06</v>
      </c>
      <c r="AB838" s="7">
        <f>IF(D838=0,0.9,0.5)*0.9*0.53*SQRT(W838)*G838*MAX(0.72*G838,0.9*((G838/2)+((G838-0.11)/PI())))*10</f>
        <v>180.55532030650846</v>
      </c>
      <c r="AC838" s="7">
        <f>0.9*Z838*4220*MAX(0.72*G838,0.9*((G838/2)+((G838-0.11)/PI())))/AA838/1000</f>
        <v>650.66122730355755</v>
      </c>
      <c r="AD838" s="6" t="str">
        <f>+IF(AC838&gt;K838-AB838,"Cumple","No Cumple")</f>
        <v>Cumple</v>
      </c>
      <c r="AE838" s="6"/>
      <c r="AG838" s="7">
        <f>ROUNDUP(MAX(0.45,3*G838,),0)</f>
        <v>8</v>
      </c>
      <c r="AH838" s="3">
        <f>PI()*(G838-0.15)^2/4</f>
        <v>4.3373613573624086</v>
      </c>
      <c r="AI838" s="7">
        <f>G838-0.15-VLOOKUP(Y838,[1]Datos!$A$2:$D$14,3)/100</f>
        <v>2.3309000000000002</v>
      </c>
      <c r="AJ838" s="7">
        <f>SQRT((PI()*AI838)^2+AA838^2)</f>
        <v>7.3229841218120741</v>
      </c>
      <c r="AK838" s="1">
        <v>0.12</v>
      </c>
      <c r="AL838" s="16">
        <f>MAX(0.45*(H838/AH838-1),AK838)*(W838/4220)</f>
        <v>7.9620853080568724E-3</v>
      </c>
      <c r="AM838" s="7">
        <f>AG838*(AJ838/AA838)</f>
        <v>976.39788290827664</v>
      </c>
      <c r="AN838" s="17">
        <f>AM838*Z838/X838/10000</f>
        <v>0.27729699874595054</v>
      </c>
      <c r="AO838" s="17">
        <f>AH838*AG838</f>
        <v>34.698890858899269</v>
      </c>
      <c r="AP838" s="16">
        <f>AN838/AO838</f>
        <v>7.9915234142082618E-3</v>
      </c>
      <c r="AQ838" s="6" t="str">
        <f>+IF(AP838&gt;AL838,"Cumple","No Cumple")</f>
        <v>Cumple</v>
      </c>
    </row>
    <row r="839" spans="1:43" ht="15" customHeight="1" x14ac:dyDescent="0.3">
      <c r="A839" s="13"/>
      <c r="B839" s="1">
        <v>6</v>
      </c>
      <c r="C839" s="1">
        <v>450</v>
      </c>
      <c r="D839" s="1">
        <v>1</v>
      </c>
      <c r="E839" s="5">
        <v>1</v>
      </c>
      <c r="F839" s="3">
        <f>F838+E839</f>
        <v>6</v>
      </c>
      <c r="G839" s="5">
        <v>2.5</v>
      </c>
      <c r="H839" s="3">
        <f>PI()*(G839^2)/4</f>
        <v>4.908738521234052</v>
      </c>
      <c r="I839" s="4">
        <v>8.3160999999999999E-2</v>
      </c>
      <c r="K839" s="3">
        <v>206.62416830685612</v>
      </c>
      <c r="L839" s="3">
        <v>448.02309000000002</v>
      </c>
      <c r="M839" s="3">
        <v>2965.3125300000002</v>
      </c>
      <c r="N839" s="12">
        <f>I839/H839</f>
        <v>1.6941419804755338E-2</v>
      </c>
      <c r="O839" s="11">
        <f>I839*10000</f>
        <v>831.61</v>
      </c>
      <c r="P839" s="1">
        <v>10</v>
      </c>
      <c r="Q839" s="15">
        <v>2</v>
      </c>
      <c r="R839" s="3">
        <f>Q839*VLOOKUP(P839,[1]Datos!$A$2:$D$14,2)</f>
        <v>16.38</v>
      </c>
      <c r="S839" s="10">
        <f>ROUNDUP(O839/R839,0)</f>
        <v>51</v>
      </c>
      <c r="T839" s="14">
        <v>52</v>
      </c>
      <c r="U839" s="3">
        <f>ROUNDDOWN(PI()*(G839-0.185)/T839,2)</f>
        <v>0.13</v>
      </c>
      <c r="V839" s="3"/>
      <c r="W839" s="1">
        <v>280</v>
      </c>
      <c r="X839" s="9">
        <v>2</v>
      </c>
      <c r="Y839" s="1">
        <v>6</v>
      </c>
      <c r="Z839" s="3">
        <f>X839*VLOOKUP(Y839,[1]Datos!$A$2:$D$14,2)</f>
        <v>5.68</v>
      </c>
      <c r="AA839" s="8">
        <v>0.06</v>
      </c>
      <c r="AB839" s="7">
        <f>IF(D839=0,0.9,0.5)*0.9*0.53*SQRT(W839)*G839*MAX(0.72*G839,0.9*((G839/2)+((G839-0.11)/PI())))*10</f>
        <v>180.55532030650846</v>
      </c>
      <c r="AC839" s="7">
        <f>0.9*Z839*4220*MAX(0.72*G839,0.9*((G839/2)+((G839-0.11)/PI())))/AA839/1000</f>
        <v>650.66122730355755</v>
      </c>
      <c r="AD839" s="6" t="str">
        <f>+IF(AC839&gt;K839-AB839,"Cumple","No Cumple")</f>
        <v>Cumple</v>
      </c>
      <c r="AE839" s="6"/>
      <c r="AG839" s="7">
        <f>ROUNDUP(MAX(0.45,3*G839,),0)</f>
        <v>8</v>
      </c>
      <c r="AH839" s="3">
        <f>PI()*(G839-0.15)^2/4</f>
        <v>4.3373613573624086</v>
      </c>
      <c r="AI839" s="7">
        <f>G839-0.15-VLOOKUP(Y839,[1]Datos!$A$2:$D$14,3)/100</f>
        <v>2.3309000000000002</v>
      </c>
      <c r="AJ839" s="7">
        <f>SQRT((PI()*AI839)^2+AA839^2)</f>
        <v>7.3229841218120741</v>
      </c>
      <c r="AK839" s="1">
        <v>0.12</v>
      </c>
      <c r="AL839" s="16">
        <f>MAX(0.45*(H839/AH839-1),AK839)*(W839/4220)</f>
        <v>7.9620853080568724E-3</v>
      </c>
      <c r="AM839" s="7">
        <f>AG839*(AJ839/AA839)</f>
        <v>976.39788290827664</v>
      </c>
      <c r="AN839" s="17">
        <f>AM839*Z839/X839/10000</f>
        <v>0.27729699874595054</v>
      </c>
      <c r="AO839" s="17">
        <f>AH839*AG839</f>
        <v>34.698890858899269</v>
      </c>
      <c r="AP839" s="16">
        <f>AN839/AO839</f>
        <v>7.9915234142082618E-3</v>
      </c>
      <c r="AQ839" s="6" t="str">
        <f>+IF(AP839&gt;AL839,"Cumple","No Cumple")</f>
        <v>Cumple</v>
      </c>
    </row>
    <row r="840" spans="1:43" ht="15" customHeight="1" x14ac:dyDescent="0.3">
      <c r="A840" s="13"/>
      <c r="B840" s="1">
        <v>7</v>
      </c>
      <c r="C840" s="1">
        <v>452</v>
      </c>
      <c r="D840" s="1">
        <v>1</v>
      </c>
      <c r="E840" s="5">
        <v>1</v>
      </c>
      <c r="F840" s="3">
        <f>F839+E840</f>
        <v>7</v>
      </c>
      <c r="G840" s="5">
        <v>2.5</v>
      </c>
      <c r="H840" s="3">
        <f>PI()*(G840^2)/4</f>
        <v>4.908738521234052</v>
      </c>
      <c r="I840" s="4">
        <v>8.0928E-2</v>
      </c>
      <c r="K840" s="3">
        <v>200.18625947924096</v>
      </c>
      <c r="L840" s="3">
        <v>385.96435000000002</v>
      </c>
      <c r="M840" s="3">
        <v>2887.4563400000002</v>
      </c>
      <c r="N840" s="12">
        <f>I840/H840</f>
        <v>1.648651678021236E-2</v>
      </c>
      <c r="O840" s="11">
        <f>I840*10000</f>
        <v>809.28</v>
      </c>
      <c r="P840" s="1">
        <v>10</v>
      </c>
      <c r="Q840" s="15">
        <v>2</v>
      </c>
      <c r="R840" s="3">
        <f>Q840*VLOOKUP(P840,[1]Datos!$A$2:$D$14,2)</f>
        <v>16.38</v>
      </c>
      <c r="S840" s="10">
        <f>ROUNDUP(O840/R840,0)</f>
        <v>50</v>
      </c>
      <c r="T840" s="14">
        <v>52</v>
      </c>
      <c r="U840" s="3">
        <f>ROUNDDOWN(PI()*(G840-0.185)/T840,2)</f>
        <v>0.13</v>
      </c>
      <c r="V840" s="3"/>
      <c r="W840" s="1">
        <v>280</v>
      </c>
      <c r="X840" s="9">
        <v>2</v>
      </c>
      <c r="Y840" s="1">
        <v>6</v>
      </c>
      <c r="Z840" s="3">
        <f>X840*VLOOKUP(Y840,[1]Datos!$A$2:$D$14,2)</f>
        <v>5.68</v>
      </c>
      <c r="AA840" s="8">
        <v>0.06</v>
      </c>
      <c r="AB840" s="7">
        <f>IF(D840=0,0.9,0.5)*0.9*0.53*SQRT(W840)*G840*MAX(0.72*G840,0.9*((G840/2)+((G840-0.11)/PI())))*10</f>
        <v>180.55532030650846</v>
      </c>
      <c r="AC840" s="7">
        <f>0.9*Z840*4220*MAX(0.72*G840,0.9*((G840/2)+((G840-0.11)/PI())))/AA840/1000</f>
        <v>650.66122730355755</v>
      </c>
      <c r="AD840" s="6" t="str">
        <f>+IF(AC840&gt;K840-AB840,"Cumple","No Cumple")</f>
        <v>Cumple</v>
      </c>
      <c r="AE840" s="6"/>
      <c r="AG840" s="7">
        <f>ROUNDUP(MAX(0.45,3*G840,),0)</f>
        <v>8</v>
      </c>
      <c r="AH840" s="3">
        <f>PI()*(G840-0.15)^2/4</f>
        <v>4.3373613573624086</v>
      </c>
      <c r="AI840" s="7">
        <f>G840-0.15-VLOOKUP(Y840,[1]Datos!$A$2:$D$14,3)/100</f>
        <v>2.3309000000000002</v>
      </c>
      <c r="AJ840" s="7">
        <f>SQRT((PI()*AI840)^2+AA840^2)</f>
        <v>7.3229841218120741</v>
      </c>
      <c r="AK840" s="1">
        <v>0.12</v>
      </c>
      <c r="AL840" s="16">
        <f>MAX(0.45*(H840/AH840-1),AK840)*(W840/4220)</f>
        <v>7.9620853080568724E-3</v>
      </c>
      <c r="AM840" s="7">
        <f>AG840*(AJ840/AA840)</f>
        <v>976.39788290827664</v>
      </c>
      <c r="AN840" s="17">
        <f>AM840*Z840/X840/10000</f>
        <v>0.27729699874595054</v>
      </c>
      <c r="AO840" s="17">
        <f>AH840*AG840</f>
        <v>34.698890858899269</v>
      </c>
      <c r="AP840" s="16">
        <f>AN840/AO840</f>
        <v>7.9915234142082618E-3</v>
      </c>
      <c r="AQ840" s="6" t="str">
        <f>+IF(AP840&gt;AL840,"Cumple","No Cumple")</f>
        <v>Cumple</v>
      </c>
    </row>
    <row r="841" spans="1:43" ht="15" customHeight="1" x14ac:dyDescent="0.3">
      <c r="A841" s="13"/>
      <c r="B841" s="1">
        <v>8</v>
      </c>
      <c r="C841" s="1">
        <v>454</v>
      </c>
      <c r="D841" s="1">
        <v>1</v>
      </c>
      <c r="E841" s="5">
        <v>1</v>
      </c>
      <c r="F841" s="3">
        <f>F840+E841</f>
        <v>8</v>
      </c>
      <c r="G841" s="5">
        <v>2.5</v>
      </c>
      <c r="H841" s="3">
        <f>PI()*(G841^2)/4</f>
        <v>4.908738521234052</v>
      </c>
      <c r="I841" s="4">
        <v>7.6853000000000005E-2</v>
      </c>
      <c r="K841" s="3">
        <v>229.85093276821829</v>
      </c>
      <c r="L841" s="3">
        <v>375.42266999999998</v>
      </c>
      <c r="M841" s="3">
        <v>2744.24415</v>
      </c>
      <c r="N841" s="12">
        <f>I841/H841</f>
        <v>1.5656364597045034E-2</v>
      </c>
      <c r="O841" s="11">
        <f>I841*10000</f>
        <v>768.53000000000009</v>
      </c>
      <c r="P841" s="1">
        <v>10</v>
      </c>
      <c r="Q841" s="15">
        <v>2</v>
      </c>
      <c r="R841" s="3">
        <f>Q841*VLOOKUP(P841,[1]Datos!$A$2:$D$14,2)</f>
        <v>16.38</v>
      </c>
      <c r="S841" s="10">
        <f>ROUNDUP(O841/R841,0)</f>
        <v>47</v>
      </c>
      <c r="T841" s="14">
        <v>52</v>
      </c>
      <c r="U841" s="3">
        <f>ROUNDDOWN(PI()*(G841-0.185)/T841,2)</f>
        <v>0.13</v>
      </c>
      <c r="V841" s="3"/>
      <c r="W841" s="1">
        <v>280</v>
      </c>
      <c r="X841" s="9">
        <v>2</v>
      </c>
      <c r="Y841" s="1">
        <v>6</v>
      </c>
      <c r="Z841" s="3">
        <f>X841*VLOOKUP(Y841,[1]Datos!$A$2:$D$14,2)</f>
        <v>5.68</v>
      </c>
      <c r="AA841" s="8">
        <v>0.06</v>
      </c>
      <c r="AB841" s="7">
        <f>IF(D841=0,0.9,0.5)*0.9*0.53*SQRT(W841)*G841*MAX(0.72*G841,0.9*((G841/2)+((G841-0.11)/PI())))*10</f>
        <v>180.55532030650846</v>
      </c>
      <c r="AC841" s="7">
        <f>0.9*Z841*4220*MAX(0.72*G841,0.9*((G841/2)+((G841-0.11)/PI())))/AA841/1000</f>
        <v>650.66122730355755</v>
      </c>
      <c r="AD841" s="6" t="str">
        <f>+IF(AC841&gt;K841-AB841,"Cumple","No Cumple")</f>
        <v>Cumple</v>
      </c>
      <c r="AE841" s="6"/>
      <c r="AG841" s="7">
        <f>ROUNDUP(MAX(0.45,3*G841,),0)</f>
        <v>8</v>
      </c>
      <c r="AH841" s="3">
        <f>PI()*(G841-0.15)^2/4</f>
        <v>4.3373613573624086</v>
      </c>
      <c r="AI841" s="7">
        <f>G841-0.15-VLOOKUP(Y841,[1]Datos!$A$2:$D$14,3)/100</f>
        <v>2.3309000000000002</v>
      </c>
      <c r="AJ841" s="7">
        <f>SQRT((PI()*AI841)^2+AA841^2)</f>
        <v>7.3229841218120741</v>
      </c>
      <c r="AK841" s="1">
        <v>0.12</v>
      </c>
      <c r="AL841" s="16">
        <f>MAX(0.45*(H841/AH841-1),AK841)*(W841/4220)</f>
        <v>7.9620853080568724E-3</v>
      </c>
      <c r="AM841" s="7">
        <f>AG841*(AJ841/AA841)</f>
        <v>976.39788290827664</v>
      </c>
      <c r="AN841" s="17">
        <f>AM841*Z841/X841/10000</f>
        <v>0.27729699874595054</v>
      </c>
      <c r="AO841" s="17">
        <f>AH841*AG841</f>
        <v>34.698890858899269</v>
      </c>
      <c r="AP841" s="16">
        <f>AN841/AO841</f>
        <v>7.9915234142082618E-3</v>
      </c>
      <c r="AQ841" s="6" t="str">
        <f>+IF(AP841&gt;AL841,"Cumple","No Cumple")</f>
        <v>Cumple</v>
      </c>
    </row>
    <row r="842" spans="1:43" x14ac:dyDescent="0.3">
      <c r="A842" s="13"/>
      <c r="B842" s="1">
        <v>9</v>
      </c>
      <c r="C842" s="1">
        <v>456</v>
      </c>
      <c r="D842" s="1">
        <v>1</v>
      </c>
      <c r="E842" s="5">
        <v>1</v>
      </c>
      <c r="F842" s="3">
        <f>F841+E842</f>
        <v>9</v>
      </c>
      <c r="G842" s="5">
        <v>2.5</v>
      </c>
      <c r="H842" s="3">
        <f>PI()*(G842^2)/4</f>
        <v>4.908738521234052</v>
      </c>
      <c r="I842" s="4">
        <v>7.0435999999999999E-2</v>
      </c>
      <c r="K842" s="3">
        <v>256.46426810505199</v>
      </c>
      <c r="L842" s="3">
        <v>375.55766</v>
      </c>
      <c r="M842" s="3">
        <v>2546.6897100000001</v>
      </c>
      <c r="N842" s="12">
        <f>I842/H842</f>
        <v>1.4349104091674546E-2</v>
      </c>
      <c r="O842" s="11">
        <f>I842*10000</f>
        <v>704.36</v>
      </c>
      <c r="P842" s="1">
        <v>10</v>
      </c>
      <c r="Q842" s="1">
        <v>1</v>
      </c>
      <c r="R842" s="3">
        <f>Q842*VLOOKUP(P842,[1]Datos!$A$2:$D$14,2)</f>
        <v>8.19</v>
      </c>
      <c r="S842" s="10">
        <f>ROUNDUP(O842/R842,0)</f>
        <v>87</v>
      </c>
      <c r="T842" s="2">
        <v>87</v>
      </c>
      <c r="U842" s="3">
        <f>ROUNDDOWN(PI()*(G842-0.185)/T842,2)</f>
        <v>0.08</v>
      </c>
      <c r="V842" s="3"/>
      <c r="W842" s="1">
        <v>280</v>
      </c>
      <c r="X842" s="9">
        <v>2</v>
      </c>
      <c r="Y842" s="1">
        <v>4</v>
      </c>
      <c r="Z842" s="3">
        <f>X842*VLOOKUP(Y842,[1]Datos!$A$2:$D$14,2)</f>
        <v>2.58</v>
      </c>
      <c r="AA842" s="8">
        <v>0.15</v>
      </c>
      <c r="AB842" s="7">
        <f>IF(D842=0,0.9,0.5)*0.9*0.53*SQRT(W842)*G842*MAX(0.72*G842,0.9*((G842/2)+((G842-0.11)/PI())))*10</f>
        <v>180.55532030650846</v>
      </c>
      <c r="AC842" s="7">
        <f>0.9*Z842*4220*MAX(0.72*G842,0.9*((G842/2)+((G842-0.11)/PI())))/AA842/1000</f>
        <v>118.21873003120976</v>
      </c>
      <c r="AD842" s="6" t="str">
        <f>+IF(AC842&gt;K842-AB842,"Cumple","No Cumple")</f>
        <v>Cumple</v>
      </c>
      <c r="AE842" s="6"/>
      <c r="AH842" s="3"/>
    </row>
    <row r="843" spans="1:43" x14ac:dyDescent="0.3">
      <c r="A843" s="13"/>
      <c r="B843" s="1">
        <v>10</v>
      </c>
      <c r="C843" s="1">
        <v>458</v>
      </c>
      <c r="D843" s="1">
        <v>1</v>
      </c>
      <c r="E843" s="5">
        <v>1</v>
      </c>
      <c r="F843" s="3">
        <f>F842+E843</f>
        <v>10</v>
      </c>
      <c r="G843" s="5">
        <v>2.5</v>
      </c>
      <c r="H843" s="3">
        <f>PI()*(G843^2)/4</f>
        <v>4.908738521234052</v>
      </c>
      <c r="I843" s="4">
        <v>6.0823000000000002E-2</v>
      </c>
      <c r="K843" s="3">
        <v>276.13113800891779</v>
      </c>
      <c r="L843" s="3">
        <v>375.55766</v>
      </c>
      <c r="M843" s="3">
        <v>2307.9671699999999</v>
      </c>
      <c r="N843" s="12">
        <f>I843/H843</f>
        <v>1.2390759812708289E-2</v>
      </c>
      <c r="O843" s="11">
        <f>I843*10000</f>
        <v>608.23</v>
      </c>
      <c r="P843" s="1">
        <v>10</v>
      </c>
      <c r="Q843" s="1">
        <v>1</v>
      </c>
      <c r="R843" s="3">
        <f>Q843*VLOOKUP(P843,[1]Datos!$A$2:$D$14,2)</f>
        <v>8.19</v>
      </c>
      <c r="S843" s="10">
        <f>ROUNDUP(O843/R843,0)</f>
        <v>75</v>
      </c>
      <c r="T843" s="2">
        <v>87</v>
      </c>
      <c r="U843" s="3">
        <f>ROUNDDOWN(PI()*(G843-0.185)/T843,2)</f>
        <v>0.08</v>
      </c>
      <c r="V843" s="3"/>
      <c r="W843" s="1">
        <v>280</v>
      </c>
      <c r="X843" s="9">
        <v>2</v>
      </c>
      <c r="Y843" s="1">
        <v>4</v>
      </c>
      <c r="Z843" s="3">
        <f>X843*VLOOKUP(Y843,[1]Datos!$A$2:$D$14,2)</f>
        <v>2.58</v>
      </c>
      <c r="AA843" s="8">
        <v>0.15</v>
      </c>
      <c r="AB843" s="7">
        <f>IF(D843=0,0.9,0.5)*0.9*0.53*SQRT(W843)*G843*MAX(0.72*G843,0.9*((G843/2)+((G843-0.11)/PI())))*10</f>
        <v>180.55532030650846</v>
      </c>
      <c r="AC843" s="7">
        <f>0.9*Z843*4220*MAX(0.72*G843,0.9*((G843/2)+((G843-0.11)/PI())))/AA843/1000</f>
        <v>118.21873003120976</v>
      </c>
      <c r="AD843" s="6" t="str">
        <f>+IF(AC843&gt;K843-AB843,"Cumple","No Cumple")</f>
        <v>Cumple</v>
      </c>
      <c r="AE843" s="6"/>
      <c r="AH843" s="3"/>
    </row>
    <row r="844" spans="1:43" x14ac:dyDescent="0.3">
      <c r="A844" s="13"/>
      <c r="B844" s="1">
        <v>11</v>
      </c>
      <c r="C844" s="1">
        <v>460</v>
      </c>
      <c r="D844" s="1">
        <v>1</v>
      </c>
      <c r="E844" s="5">
        <v>1</v>
      </c>
      <c r="F844" s="3">
        <f>F843+E844</f>
        <v>11</v>
      </c>
      <c r="G844" s="5">
        <v>2.5</v>
      </c>
      <c r="H844" s="3">
        <f>PI()*(G844^2)/4</f>
        <v>4.908738521234052</v>
      </c>
      <c r="I844" s="4">
        <v>4.9086999999999999E-2</v>
      </c>
      <c r="K844" s="3">
        <v>285.57389884555278</v>
      </c>
      <c r="L844" s="3">
        <v>383.73889000000003</v>
      </c>
      <c r="M844" s="3">
        <v>2042.09878</v>
      </c>
      <c r="N844" s="12">
        <f>I844/H844</f>
        <v>9.9999215251863893E-3</v>
      </c>
      <c r="O844" s="11">
        <f>I844*10000</f>
        <v>490.87</v>
      </c>
      <c r="P844" s="1">
        <v>10</v>
      </c>
      <c r="Q844" s="1">
        <v>1</v>
      </c>
      <c r="R844" s="3">
        <f>Q844*VLOOKUP(P844,[1]Datos!$A$2:$D$14,2)</f>
        <v>8.19</v>
      </c>
      <c r="S844" s="10">
        <f>ROUNDUP(O844/R844,0)</f>
        <v>60</v>
      </c>
      <c r="T844" s="2">
        <v>87</v>
      </c>
      <c r="U844" s="3">
        <f>ROUNDDOWN(PI()*(G844-0.185)/T844,2)</f>
        <v>0.08</v>
      </c>
      <c r="V844" s="3"/>
      <c r="W844" s="1">
        <v>280</v>
      </c>
      <c r="X844" s="9">
        <v>2</v>
      </c>
      <c r="Y844" s="1">
        <v>4</v>
      </c>
      <c r="Z844" s="3">
        <f>X844*VLOOKUP(Y844,[1]Datos!$A$2:$D$14,2)</f>
        <v>2.58</v>
      </c>
      <c r="AA844" s="8">
        <v>0.15</v>
      </c>
      <c r="AB844" s="7">
        <f>IF(D844=0,0.9,0.5)*0.9*0.53*SQRT(W844)*G844*MAX(0.72*G844,0.9*((G844/2)+((G844-0.11)/PI())))*10</f>
        <v>180.55532030650846</v>
      </c>
      <c r="AC844" s="7">
        <f>0.9*Z844*4220*MAX(0.72*G844,0.9*((G844/2)+((G844-0.11)/PI())))/AA844/1000</f>
        <v>118.21873003120976</v>
      </c>
      <c r="AD844" s="6" t="str">
        <f>+IF(AC844&gt;K844-AB844,"Cumple","No Cumple")</f>
        <v>Cumple</v>
      </c>
      <c r="AE844" s="6"/>
      <c r="AH844" s="3"/>
    </row>
    <row r="845" spans="1:43" x14ac:dyDescent="0.3">
      <c r="A845" s="13"/>
      <c r="B845" s="1">
        <v>12</v>
      </c>
      <c r="C845" s="1">
        <v>462</v>
      </c>
      <c r="D845" s="1">
        <v>1</v>
      </c>
      <c r="E845" s="5">
        <v>1</v>
      </c>
      <c r="F845" s="3">
        <f>F844+E845</f>
        <v>12</v>
      </c>
      <c r="G845" s="5">
        <v>2.5</v>
      </c>
      <c r="H845" s="3">
        <f>PI()*(G845^2)/4</f>
        <v>4.908738521234052</v>
      </c>
      <c r="I845" s="4">
        <v>4.9086999999999999E-2</v>
      </c>
      <c r="K845" s="3">
        <v>284.57387933338151</v>
      </c>
      <c r="L845" s="3">
        <v>383.73889000000003</v>
      </c>
      <c r="M845" s="3">
        <v>1762.90173</v>
      </c>
      <c r="N845" s="12">
        <f>I845/H845</f>
        <v>9.9999215251863893E-3</v>
      </c>
      <c r="O845" s="11">
        <f>I845*10000</f>
        <v>490.87</v>
      </c>
      <c r="P845" s="1">
        <v>10</v>
      </c>
      <c r="Q845" s="15">
        <v>1</v>
      </c>
      <c r="R845" s="3">
        <f>Q845*VLOOKUP(P845,[1]Datos!$A$2:$D$14,2)</f>
        <v>8.19</v>
      </c>
      <c r="S845" s="10">
        <f>ROUNDUP(O845/R845,0)</f>
        <v>60</v>
      </c>
      <c r="T845" s="14">
        <v>87</v>
      </c>
      <c r="U845" s="3">
        <f>ROUNDDOWN(PI()*(G845-0.185)/T845,2)</f>
        <v>0.08</v>
      </c>
      <c r="V845" s="3"/>
      <c r="W845" s="1">
        <v>280</v>
      </c>
      <c r="X845" s="9">
        <v>2</v>
      </c>
      <c r="Y845" s="1">
        <v>4</v>
      </c>
      <c r="Z845" s="3">
        <f>X845*VLOOKUP(Y845,[1]Datos!$A$2:$D$14,2)</f>
        <v>2.58</v>
      </c>
      <c r="AA845" s="8">
        <v>0.15</v>
      </c>
      <c r="AB845" s="7">
        <f>IF(D845=0,0.9,0.5)*0.9*0.53*SQRT(W845)*G845*MAX(0.72*G845,0.9*((G845/2)+((G845-0.11)/PI())))*10</f>
        <v>180.55532030650846</v>
      </c>
      <c r="AC845" s="7">
        <f>0.9*Z845*4220*MAX(0.72*G845,0.9*((G845/2)+((G845-0.11)/PI())))/AA845/1000</f>
        <v>118.21873003120976</v>
      </c>
      <c r="AD845" s="6" t="str">
        <f>+IF(AC845&gt;K845-AB845,"Cumple","No Cumple")</f>
        <v>Cumple</v>
      </c>
      <c r="AE845" s="6"/>
      <c r="AH845" s="3"/>
    </row>
    <row r="846" spans="1:43" x14ac:dyDescent="0.3">
      <c r="A846" s="13"/>
      <c r="B846" s="1">
        <v>13</v>
      </c>
      <c r="C846" s="1">
        <v>464</v>
      </c>
      <c r="D846" s="1">
        <v>1</v>
      </c>
      <c r="E846" s="5">
        <v>1</v>
      </c>
      <c r="F846" s="3">
        <f>F845+E846</f>
        <v>13</v>
      </c>
      <c r="G846" s="5">
        <v>2.5</v>
      </c>
      <c r="H846" s="3">
        <f>PI()*(G846^2)/4</f>
        <v>4.908738521234052</v>
      </c>
      <c r="I846" s="4">
        <v>4.9086999999999999E-2</v>
      </c>
      <c r="K846" s="3">
        <v>273.56822187984477</v>
      </c>
      <c r="L846" s="3">
        <v>378.95521000000002</v>
      </c>
      <c r="M846" s="3">
        <v>1482.8394699999999</v>
      </c>
      <c r="N846" s="12">
        <f>I846/H846</f>
        <v>9.9999215251863893E-3</v>
      </c>
      <c r="O846" s="11">
        <f>I846*10000</f>
        <v>490.87</v>
      </c>
      <c r="P846" s="1">
        <v>10</v>
      </c>
      <c r="Q846" s="15">
        <v>1</v>
      </c>
      <c r="R846" s="3">
        <f>Q846*VLOOKUP(P846,[1]Datos!$A$2:$D$14,2)</f>
        <v>8.19</v>
      </c>
      <c r="S846" s="10">
        <f>ROUNDUP(O846/R846,0)</f>
        <v>60</v>
      </c>
      <c r="T846" s="14">
        <v>87</v>
      </c>
      <c r="U846" s="3">
        <f>ROUNDDOWN(PI()*(G846-0.185)/T846,2)</f>
        <v>0.08</v>
      </c>
      <c r="V846" s="3"/>
      <c r="W846" s="1">
        <v>280</v>
      </c>
      <c r="X846" s="9">
        <v>2</v>
      </c>
      <c r="Y846" s="1">
        <v>4</v>
      </c>
      <c r="Z846" s="3">
        <f>X846*VLOOKUP(Y846,[1]Datos!$A$2:$D$14,2)</f>
        <v>2.58</v>
      </c>
      <c r="AA846" s="8">
        <v>0.15</v>
      </c>
      <c r="AB846" s="7">
        <f>IF(D846=0,0.9,0.5)*0.9*0.53*SQRT(W846)*G846*MAX(0.72*G846,0.9*((G846/2)+((G846-0.11)/PI())))*10</f>
        <v>180.55532030650846</v>
      </c>
      <c r="AC846" s="7">
        <f>0.9*Z846*4220*MAX(0.72*G846,0.9*((G846/2)+((G846-0.11)/PI())))/AA846/1000</f>
        <v>118.21873003120976</v>
      </c>
      <c r="AD846" s="6" t="str">
        <f>+IF(AC846&gt;K846-AB846,"Cumple","No Cumple")</f>
        <v>Cumple</v>
      </c>
      <c r="AE846" s="6"/>
      <c r="AH846" s="3"/>
    </row>
    <row r="847" spans="1:43" x14ac:dyDescent="0.3">
      <c r="A847" s="13"/>
      <c r="B847" s="1">
        <v>14</v>
      </c>
      <c r="C847" s="1">
        <v>466</v>
      </c>
      <c r="D847" s="1">
        <v>1</v>
      </c>
      <c r="E847" s="5">
        <v>1</v>
      </c>
      <c r="F847" s="3">
        <f>F846+E847</f>
        <v>14</v>
      </c>
      <c r="G847" s="5">
        <v>2.5</v>
      </c>
      <c r="H847" s="3">
        <f>PI()*(G847^2)/4</f>
        <v>4.908738521234052</v>
      </c>
      <c r="I847" s="4">
        <v>4.9086999999999999E-2</v>
      </c>
      <c r="K847" s="3">
        <v>254.14861772034092</v>
      </c>
      <c r="L847" s="3">
        <v>357.29455999999999</v>
      </c>
      <c r="M847" s="3">
        <v>1212.64526</v>
      </c>
      <c r="N847" s="12">
        <f>I847/H847</f>
        <v>9.9999215251863893E-3</v>
      </c>
      <c r="O847" s="11">
        <f>I847*10000</f>
        <v>490.87</v>
      </c>
      <c r="P847" s="1">
        <v>10</v>
      </c>
      <c r="Q847" s="15">
        <v>1</v>
      </c>
      <c r="R847" s="3">
        <f>Q847*VLOOKUP(P847,[1]Datos!$A$2:$D$14,2)</f>
        <v>8.19</v>
      </c>
      <c r="S847" s="10">
        <f>ROUNDUP(O847/R847,0)</f>
        <v>60</v>
      </c>
      <c r="T847" s="14">
        <v>87</v>
      </c>
      <c r="U847" s="3">
        <f>ROUNDDOWN(PI()*(G847-0.185)/T847,2)</f>
        <v>0.08</v>
      </c>
      <c r="V847" s="3"/>
      <c r="W847" s="1">
        <v>280</v>
      </c>
      <c r="X847" s="9">
        <v>2</v>
      </c>
      <c r="Y847" s="1">
        <v>4</v>
      </c>
      <c r="Z847" s="3">
        <f>X847*VLOOKUP(Y847,[1]Datos!$A$2:$D$14,2)</f>
        <v>2.58</v>
      </c>
      <c r="AA847" s="8">
        <v>0.15</v>
      </c>
      <c r="AB847" s="7">
        <f>IF(D847=0,0.9,0.5)*0.9*0.53*SQRT(W847)*G847*MAX(0.72*G847,0.9*((G847/2)+((G847-0.11)/PI())))*10</f>
        <v>180.55532030650846</v>
      </c>
      <c r="AC847" s="7">
        <f>0.9*Z847*4220*MAX(0.72*G847,0.9*((G847/2)+((G847-0.11)/PI())))/AA847/1000</f>
        <v>118.21873003120976</v>
      </c>
      <c r="AD847" s="6" t="str">
        <f>+IF(AC847&gt;K847-AB847,"Cumple","No Cumple")</f>
        <v>Cumple</v>
      </c>
      <c r="AE847" s="6"/>
      <c r="AH847" s="3"/>
    </row>
    <row r="848" spans="1:43" x14ac:dyDescent="0.3">
      <c r="A848" s="13"/>
      <c r="B848" s="1">
        <v>15</v>
      </c>
      <c r="C848" s="1">
        <v>468</v>
      </c>
      <c r="D848" s="1">
        <v>1</v>
      </c>
      <c r="E848" s="5">
        <v>1</v>
      </c>
      <c r="F848" s="3">
        <f>F847+E848</f>
        <v>15</v>
      </c>
      <c r="G848" s="5">
        <v>2.5</v>
      </c>
      <c r="H848" s="3">
        <f>PI()*(G848^2)/4</f>
        <v>4.908738521234052</v>
      </c>
      <c r="I848" s="4">
        <v>4.9086999999999999E-2</v>
      </c>
      <c r="K848" s="3">
        <v>228.41652541917801</v>
      </c>
      <c r="L848" s="3">
        <v>322.72460000000001</v>
      </c>
      <c r="M848" s="3">
        <v>961.01667999999995</v>
      </c>
      <c r="N848" s="12">
        <f>I848/H848</f>
        <v>9.9999215251863893E-3</v>
      </c>
      <c r="O848" s="11">
        <f>I848*10000</f>
        <v>490.87</v>
      </c>
      <c r="P848" s="1">
        <v>10</v>
      </c>
      <c r="Q848" s="1">
        <v>1</v>
      </c>
      <c r="R848" s="3">
        <f>Q848*VLOOKUP(P848,[1]Datos!$A$2:$D$14,2)</f>
        <v>8.19</v>
      </c>
      <c r="S848" s="10">
        <f>ROUNDUP(O848/R848,0)</f>
        <v>60</v>
      </c>
      <c r="T848" s="2">
        <v>60</v>
      </c>
      <c r="U848" s="3">
        <f>ROUNDDOWN(PI()*(G848-0.185)/T848,2)</f>
        <v>0.12</v>
      </c>
      <c r="V848" s="3"/>
      <c r="W848" s="1">
        <v>280</v>
      </c>
      <c r="X848" s="9">
        <v>2</v>
      </c>
      <c r="Y848" s="1">
        <v>4</v>
      </c>
      <c r="Z848" s="3">
        <f>X848*VLOOKUP(Y848,[1]Datos!$A$2:$D$14,2)</f>
        <v>2.58</v>
      </c>
      <c r="AA848" s="8">
        <v>0.3</v>
      </c>
      <c r="AB848" s="7">
        <f>IF(D848=0,0.9,0.5)*0.9*0.53*SQRT(W848)*G848*MAX(0.72*G848,0.9*((G848/2)+((G848-0.11)/PI())))*10</f>
        <v>180.55532030650846</v>
      </c>
      <c r="AC848" s="7">
        <f>0.9*Z848*4220*MAX(0.72*G848,0.9*((G848/2)+((G848-0.11)/PI())))/AA848/1000</f>
        <v>59.10936501560488</v>
      </c>
      <c r="AD848" s="6" t="str">
        <f>+IF(AC848&gt;K848-AB848,"Cumple","No Cumple")</f>
        <v>Cumple</v>
      </c>
      <c r="AE848" s="6"/>
      <c r="AH848" s="3"/>
    </row>
    <row r="849" spans="1:43" x14ac:dyDescent="0.3">
      <c r="A849" s="13"/>
      <c r="B849" s="1">
        <v>16</v>
      </c>
      <c r="C849" s="1">
        <v>470</v>
      </c>
      <c r="D849" s="1">
        <v>1</v>
      </c>
      <c r="E849" s="5">
        <v>1</v>
      </c>
      <c r="F849" s="3">
        <f>F848+E849</f>
        <v>16</v>
      </c>
      <c r="G849" s="5">
        <v>2.5</v>
      </c>
      <c r="H849" s="3">
        <f>PI()*(G849^2)/4</f>
        <v>4.908738521234052</v>
      </c>
      <c r="I849" s="4">
        <v>4.9086999999999999E-2</v>
      </c>
      <c r="K849" s="3">
        <v>198.69970714807306</v>
      </c>
      <c r="L849" s="3">
        <v>279.12342000000001</v>
      </c>
      <c r="M849" s="3">
        <v>734.44730000000004</v>
      </c>
      <c r="N849" s="12">
        <f>I849/H849</f>
        <v>9.9999215251863893E-3</v>
      </c>
      <c r="O849" s="11">
        <f>I849*10000</f>
        <v>490.87</v>
      </c>
      <c r="P849" s="1">
        <v>10</v>
      </c>
      <c r="Q849" s="1">
        <v>1</v>
      </c>
      <c r="R849" s="3">
        <f>Q849*VLOOKUP(P849,[1]Datos!$A$2:$D$14,2)</f>
        <v>8.19</v>
      </c>
      <c r="S849" s="10">
        <f>ROUNDUP(O849/R849,0)</f>
        <v>60</v>
      </c>
      <c r="T849" s="2">
        <v>60</v>
      </c>
      <c r="U849" s="3">
        <f>ROUNDDOWN(PI()*(G849-0.185)/T849,2)</f>
        <v>0.12</v>
      </c>
      <c r="V849" s="3"/>
      <c r="W849" s="1">
        <v>280</v>
      </c>
      <c r="X849" s="9">
        <v>2</v>
      </c>
      <c r="Y849" s="1">
        <v>4</v>
      </c>
      <c r="Z849" s="3">
        <f>X849*VLOOKUP(Y849,[1]Datos!$A$2:$D$14,2)</f>
        <v>2.58</v>
      </c>
      <c r="AA849" s="8">
        <v>0.3</v>
      </c>
      <c r="AB849" s="7">
        <f>IF(D849=0,0.9,0.5)*0.9*0.53*SQRT(W849)*G849*MAX(0.72*G849,0.9*((G849/2)+((G849-0.11)/PI())))*10</f>
        <v>180.55532030650846</v>
      </c>
      <c r="AC849" s="7">
        <f>0.9*Z849*4220*MAX(0.72*G849,0.9*((G849/2)+((G849-0.11)/PI())))/AA849/1000</f>
        <v>59.10936501560488</v>
      </c>
      <c r="AD849" s="6" t="str">
        <f>+IF(AC849&gt;K849-AB849,"Cumple","No Cumple")</f>
        <v>Cumple</v>
      </c>
      <c r="AE849" s="6"/>
      <c r="AH849" s="3"/>
    </row>
    <row r="850" spans="1:43" x14ac:dyDescent="0.3">
      <c r="A850" s="13"/>
      <c r="B850" s="1">
        <v>17</v>
      </c>
      <c r="C850" s="1">
        <v>472</v>
      </c>
      <c r="D850" s="1">
        <v>1</v>
      </c>
      <c r="E850" s="5">
        <v>1</v>
      </c>
      <c r="F850" s="3">
        <f>F849+E850</f>
        <v>17</v>
      </c>
      <c r="G850" s="5">
        <v>2.5</v>
      </c>
      <c r="H850" s="3">
        <f>PI()*(G850^2)/4</f>
        <v>4.908738521234052</v>
      </c>
      <c r="I850" s="4">
        <v>4.9086999999999999E-2</v>
      </c>
      <c r="K850" s="3">
        <v>166.68185869374028</v>
      </c>
      <c r="L850" s="3">
        <v>230.16077999999999</v>
      </c>
      <c r="M850" s="3">
        <v>537.27805999999998</v>
      </c>
      <c r="N850" s="12">
        <f>I850/H850</f>
        <v>9.9999215251863893E-3</v>
      </c>
      <c r="O850" s="11">
        <f>I850*10000</f>
        <v>490.87</v>
      </c>
      <c r="P850" s="1">
        <v>10</v>
      </c>
      <c r="Q850" s="1">
        <v>1</v>
      </c>
      <c r="R850" s="3">
        <f>Q850*VLOOKUP(P850,[1]Datos!$A$2:$D$14,2)</f>
        <v>8.19</v>
      </c>
      <c r="S850" s="10">
        <f>ROUNDUP(O850/R850,0)</f>
        <v>60</v>
      </c>
      <c r="T850" s="2">
        <v>60</v>
      </c>
      <c r="U850" s="3">
        <f>ROUNDDOWN(PI()*(G850-0.185)/T850,2)</f>
        <v>0.12</v>
      </c>
      <c r="V850" s="3"/>
      <c r="W850" s="1">
        <v>280</v>
      </c>
      <c r="X850" s="9">
        <v>2</v>
      </c>
      <c r="Y850" s="1">
        <v>4</v>
      </c>
      <c r="Z850" s="3">
        <f>X850*VLOOKUP(Y850,[1]Datos!$A$2:$D$14,2)</f>
        <v>2.58</v>
      </c>
      <c r="AA850" s="8">
        <v>0.3</v>
      </c>
      <c r="AB850" s="7">
        <f>IF(D850=0,0.9,0.5)*0.9*0.53*SQRT(W850)*G850*MAX(0.72*G850,0.9*((G850/2)+((G850-0.11)/PI())))*10</f>
        <v>180.55532030650846</v>
      </c>
      <c r="AC850" s="7">
        <f>0.9*Z850*4220*MAX(0.72*G850,0.9*((G850/2)+((G850-0.11)/PI())))/AA850/1000</f>
        <v>59.10936501560488</v>
      </c>
      <c r="AD850" s="6" t="str">
        <f>+IF(AC850&gt;K850-AB850,"Cumple","No Cumple")</f>
        <v>Cumple</v>
      </c>
      <c r="AE850" s="6"/>
      <c r="AH850" s="3"/>
    </row>
    <row r="851" spans="1:43" x14ac:dyDescent="0.3">
      <c r="A851" s="13"/>
      <c r="B851" s="1">
        <v>18</v>
      </c>
      <c r="C851" s="1">
        <v>474</v>
      </c>
      <c r="D851" s="1">
        <v>1</v>
      </c>
      <c r="E851" s="5">
        <v>1</v>
      </c>
      <c r="F851" s="3">
        <f>F850+E851</f>
        <v>18</v>
      </c>
      <c r="G851" s="5">
        <v>2.5</v>
      </c>
      <c r="H851" s="3">
        <f>PI()*(G851^2)/4</f>
        <v>4.908738521234052</v>
      </c>
      <c r="I851" s="4">
        <v>4.9086999999999999E-2</v>
      </c>
      <c r="K851" s="3">
        <v>134.88056579841293</v>
      </c>
      <c r="L851" s="3">
        <v>179.24494000000001</v>
      </c>
      <c r="M851" s="3">
        <v>371.88576999999998</v>
      </c>
      <c r="N851" s="12">
        <f>I851/H851</f>
        <v>9.9999215251863893E-3</v>
      </c>
      <c r="O851" s="11">
        <f>I851*10000</f>
        <v>490.87</v>
      </c>
      <c r="P851" s="1">
        <v>10</v>
      </c>
      <c r="Q851" s="1">
        <v>1</v>
      </c>
      <c r="R851" s="3">
        <f>Q851*VLOOKUP(P851,[1]Datos!$A$2:$D$14,2)</f>
        <v>8.19</v>
      </c>
      <c r="S851" s="10">
        <f>ROUNDUP(O851/R851,0)</f>
        <v>60</v>
      </c>
      <c r="T851" s="2">
        <v>60</v>
      </c>
      <c r="U851" s="3">
        <f>ROUNDDOWN(PI()*(G851-0.185)/T851,2)</f>
        <v>0.12</v>
      </c>
      <c r="V851" s="3"/>
      <c r="W851" s="1">
        <v>280</v>
      </c>
      <c r="X851" s="9">
        <v>2</v>
      </c>
      <c r="Y851" s="1">
        <v>4</v>
      </c>
      <c r="Z851" s="3">
        <f>X851*VLOOKUP(Y851,[1]Datos!$A$2:$D$14,2)</f>
        <v>2.58</v>
      </c>
      <c r="AA851" s="8">
        <v>0.3</v>
      </c>
      <c r="AB851" s="7">
        <f>IF(D851=0,0.9,0.5)*0.9*0.53*SQRT(W851)*G851*MAX(0.72*G851,0.9*((G851/2)+((G851-0.11)/PI())))*10</f>
        <v>180.55532030650846</v>
      </c>
      <c r="AC851" s="7">
        <f>0.9*Z851*4220*MAX(0.72*G851,0.9*((G851/2)+((G851-0.11)/PI())))/AA851/1000</f>
        <v>59.10936501560488</v>
      </c>
      <c r="AD851" s="6" t="str">
        <f>+IF(AC851&gt;K851-AB851,"Cumple","No Cumple")</f>
        <v>Cumple</v>
      </c>
      <c r="AE851" s="6"/>
      <c r="AH851" s="3"/>
    </row>
    <row r="852" spans="1:43" x14ac:dyDescent="0.3">
      <c r="A852" s="13"/>
      <c r="B852" s="1">
        <v>19</v>
      </c>
      <c r="C852" s="1">
        <v>476</v>
      </c>
      <c r="D852" s="1">
        <v>1</v>
      </c>
      <c r="E852" s="5">
        <v>1</v>
      </c>
      <c r="F852" s="3">
        <f>F851+E852</f>
        <v>19</v>
      </c>
      <c r="G852" s="5">
        <v>2.5</v>
      </c>
      <c r="H852" s="3">
        <f>PI()*(G852^2)/4</f>
        <v>4.908738521234052</v>
      </c>
      <c r="I852" s="4">
        <v>4.9086999999999999E-2</v>
      </c>
      <c r="K852" s="3">
        <v>103.8212054054469</v>
      </c>
      <c r="L852" s="3">
        <v>129.52781999999999</v>
      </c>
      <c r="M852" s="3">
        <v>239.61991</v>
      </c>
      <c r="N852" s="12">
        <f>I852/H852</f>
        <v>9.9999215251863893E-3</v>
      </c>
      <c r="O852" s="11">
        <f>I852*10000</f>
        <v>490.87</v>
      </c>
      <c r="P852" s="1">
        <v>10</v>
      </c>
      <c r="Q852" s="1">
        <v>1</v>
      </c>
      <c r="R852" s="3">
        <f>Q852*VLOOKUP(P852,[1]Datos!$A$2:$D$14,2)</f>
        <v>8.19</v>
      </c>
      <c r="S852" s="10">
        <f>ROUNDUP(O852/R852,0)</f>
        <v>60</v>
      </c>
      <c r="T852" s="2">
        <v>60</v>
      </c>
      <c r="U852" s="3">
        <f>ROUNDDOWN(PI()*(G852-0.185)/T852,2)</f>
        <v>0.12</v>
      </c>
      <c r="V852" s="3"/>
      <c r="W852" s="1">
        <v>280</v>
      </c>
      <c r="X852" s="9">
        <v>2</v>
      </c>
      <c r="Y852" s="1">
        <v>4</v>
      </c>
      <c r="Z852" s="3">
        <f>X852*VLOOKUP(Y852,[1]Datos!$A$2:$D$14,2)</f>
        <v>2.58</v>
      </c>
      <c r="AA852" s="8">
        <v>0.3</v>
      </c>
      <c r="AB852" s="7">
        <f>IF(D852=0,0.9,0.5)*0.9*0.53*SQRT(W852)*G852*MAX(0.72*G852,0.9*((G852/2)+((G852-0.11)/PI())))*10</f>
        <v>180.55532030650846</v>
      </c>
      <c r="AC852" s="7">
        <f>0.9*Z852*4220*MAX(0.72*G852,0.9*((G852/2)+((G852-0.11)/PI())))/AA852/1000</f>
        <v>59.10936501560488</v>
      </c>
      <c r="AD852" s="6" t="str">
        <f>+IF(AC852&gt;K852-AB852,"Cumple","No Cumple")</f>
        <v>Cumple</v>
      </c>
      <c r="AE852" s="6"/>
      <c r="AH852" s="3"/>
    </row>
    <row r="853" spans="1:43" x14ac:dyDescent="0.3">
      <c r="A853" s="13"/>
      <c r="B853" s="1">
        <v>20</v>
      </c>
      <c r="C853" s="1">
        <v>478</v>
      </c>
      <c r="D853" s="1">
        <v>1</v>
      </c>
      <c r="E853" s="5">
        <v>1</v>
      </c>
      <c r="F853" s="3">
        <f>F852+E853</f>
        <v>20</v>
      </c>
      <c r="G853" s="5">
        <v>2.5</v>
      </c>
      <c r="H853" s="3">
        <f>PI()*(G853^2)/4</f>
        <v>4.908738521234052</v>
      </c>
      <c r="I853" s="4">
        <v>4.9086999999999999E-2</v>
      </c>
      <c r="K853" s="3">
        <v>74.406043078905896</v>
      </c>
      <c r="L853" s="3">
        <v>83.957939999999994</v>
      </c>
      <c r="M853" s="3">
        <v>138.42993000000001</v>
      </c>
      <c r="N853" s="12">
        <f>I853/H853</f>
        <v>9.9999215251863893E-3</v>
      </c>
      <c r="O853" s="11">
        <f>I853*10000</f>
        <v>490.87</v>
      </c>
      <c r="P853" s="1">
        <v>10</v>
      </c>
      <c r="Q853" s="1">
        <v>1</v>
      </c>
      <c r="R853" s="3">
        <f>Q853*VLOOKUP(P853,[1]Datos!$A$2:$D$14,2)</f>
        <v>8.19</v>
      </c>
      <c r="S853" s="10">
        <f>ROUNDUP(O853/R853,0)</f>
        <v>60</v>
      </c>
      <c r="T853" s="2">
        <v>60</v>
      </c>
      <c r="U853" s="3">
        <f>ROUNDDOWN(PI()*(G853-0.185)/T853,2)</f>
        <v>0.12</v>
      </c>
      <c r="V853" s="3"/>
      <c r="W853" s="1">
        <v>280</v>
      </c>
      <c r="X853" s="9">
        <v>2</v>
      </c>
      <c r="Y853" s="1">
        <v>4</v>
      </c>
      <c r="Z853" s="3">
        <f>X853*VLOOKUP(Y853,[1]Datos!$A$2:$D$14,2)</f>
        <v>2.58</v>
      </c>
      <c r="AA853" s="8">
        <v>0.3</v>
      </c>
      <c r="AB853" s="7">
        <f>IF(D853=0,0.9,0.5)*0.9*0.53*SQRT(W853)*G853*MAX(0.72*G853,0.9*((G853/2)+((G853-0.11)/PI())))*10</f>
        <v>180.55532030650846</v>
      </c>
      <c r="AC853" s="7">
        <f>0.9*Z853*4220*MAX(0.72*G853,0.9*((G853/2)+((G853-0.11)/PI())))/AA853/1000</f>
        <v>59.10936501560488</v>
      </c>
      <c r="AD853" s="6" t="str">
        <f>+IF(AC853&gt;K853-AB853,"Cumple","No Cumple")</f>
        <v>Cumple</v>
      </c>
      <c r="AE853" s="6"/>
      <c r="AH853" s="3"/>
    </row>
    <row r="854" spans="1:43" x14ac:dyDescent="0.3">
      <c r="A854" s="13"/>
      <c r="B854" s="1">
        <v>21</v>
      </c>
      <c r="C854" s="1">
        <v>684</v>
      </c>
      <c r="D854" s="1">
        <v>1</v>
      </c>
      <c r="E854" s="5">
        <v>1</v>
      </c>
      <c r="F854" s="3">
        <f>F853+E854</f>
        <v>21</v>
      </c>
      <c r="G854" s="5">
        <v>2.5</v>
      </c>
      <c r="H854" s="3">
        <f>PI()*(G854^2)/4</f>
        <v>4.908738521234052</v>
      </c>
      <c r="I854" s="4">
        <v>4.9086999999999999E-2</v>
      </c>
      <c r="K854" s="3">
        <v>47.322778457419432</v>
      </c>
      <c r="L854" s="3">
        <v>45.36365</v>
      </c>
      <c r="M854" s="3">
        <v>66.620710000000003</v>
      </c>
      <c r="N854" s="12">
        <f>I854/H854</f>
        <v>9.9999215251863893E-3</v>
      </c>
      <c r="O854" s="11">
        <f>I854*10000</f>
        <v>490.87</v>
      </c>
      <c r="P854" s="1">
        <v>10</v>
      </c>
      <c r="Q854" s="1">
        <v>1</v>
      </c>
      <c r="R854" s="3">
        <f>Q854*VLOOKUP(P854,[1]Datos!$A$2:$D$14,2)</f>
        <v>8.19</v>
      </c>
      <c r="S854" s="10">
        <f>ROUNDUP(O854/R854,0)</f>
        <v>60</v>
      </c>
      <c r="T854" s="2">
        <v>60</v>
      </c>
      <c r="U854" s="3">
        <f>ROUNDDOWN(PI()*(G854-0.185)/T854,2)</f>
        <v>0.12</v>
      </c>
      <c r="V854" s="3"/>
      <c r="W854" s="1">
        <v>280</v>
      </c>
      <c r="X854" s="9">
        <v>2</v>
      </c>
      <c r="Y854" s="1">
        <v>4</v>
      </c>
      <c r="Z854" s="3">
        <f>X854*VLOOKUP(Y854,[1]Datos!$A$2:$D$14,2)</f>
        <v>2.58</v>
      </c>
      <c r="AA854" s="8">
        <v>0.3</v>
      </c>
      <c r="AB854" s="7">
        <f>IF(D854=0,0.9,0.5)*0.9*0.53*SQRT(W854)*G854*MAX(0.72*G854,0.9*((G854/2)+((G854-0.11)/PI())))*10</f>
        <v>180.55532030650846</v>
      </c>
      <c r="AC854" s="7">
        <f>0.9*Z854*4220*MAX(0.72*G854,0.9*((G854/2)+((G854-0.11)/PI())))/AA854/1000</f>
        <v>59.10936501560488</v>
      </c>
      <c r="AD854" s="6" t="str">
        <f>+IF(AC854&gt;K854-AB854,"Cumple","No Cumple")</f>
        <v>Cumple</v>
      </c>
      <c r="AE854" s="6"/>
      <c r="AH854" s="3"/>
    </row>
    <row r="855" spans="1:43" x14ac:dyDescent="0.3">
      <c r="A855" s="13"/>
      <c r="B855" s="1">
        <v>22</v>
      </c>
      <c r="C855" s="1">
        <v>686</v>
      </c>
      <c r="D855" s="1">
        <v>1</v>
      </c>
      <c r="E855" s="5">
        <v>1</v>
      </c>
      <c r="F855" s="3">
        <f>F854+E855</f>
        <v>22</v>
      </c>
      <c r="G855" s="5">
        <v>2.5</v>
      </c>
      <c r="H855" s="3">
        <f>PI()*(G855^2)/4</f>
        <v>4.908738521234052</v>
      </c>
      <c r="I855" s="4">
        <v>4.9086999999999999E-2</v>
      </c>
      <c r="K855" s="3">
        <v>23.768690761167303</v>
      </c>
      <c r="L855" s="3">
        <v>16.524509999999999</v>
      </c>
      <c r="M855" s="3">
        <v>21.637989999999999</v>
      </c>
      <c r="N855" s="12">
        <f>I855/H855</f>
        <v>9.9999215251863893E-3</v>
      </c>
      <c r="O855" s="11">
        <f>I855*10000</f>
        <v>490.87</v>
      </c>
      <c r="P855" s="1">
        <v>10</v>
      </c>
      <c r="Q855" s="1">
        <v>1</v>
      </c>
      <c r="R855" s="3">
        <f>Q855*VLOOKUP(P855,[1]Datos!$A$2:$D$14,2)</f>
        <v>8.19</v>
      </c>
      <c r="S855" s="10">
        <f>ROUNDUP(O855/R855,0)</f>
        <v>60</v>
      </c>
      <c r="T855" s="2">
        <v>60</v>
      </c>
      <c r="U855" s="3">
        <f>ROUNDDOWN(PI()*(G855-0.185)/T855,2)</f>
        <v>0.12</v>
      </c>
      <c r="V855" s="3"/>
      <c r="W855" s="1">
        <v>280</v>
      </c>
      <c r="X855" s="9">
        <v>2</v>
      </c>
      <c r="Y855" s="1">
        <v>4</v>
      </c>
      <c r="Z855" s="3">
        <f>X855*VLOOKUP(Y855,[1]Datos!$A$2:$D$14,2)</f>
        <v>2.58</v>
      </c>
      <c r="AA855" s="8">
        <v>0.3</v>
      </c>
      <c r="AB855" s="7">
        <f>IF(D855=0,0.9,0.5)*0.9*0.53*SQRT(W855)*G855*MAX(0.72*G855,0.9*((G855/2)+((G855-0.11)/PI())))*10</f>
        <v>180.55532030650846</v>
      </c>
      <c r="AC855" s="7">
        <f>0.9*Z855*4220*MAX(0.72*G855,0.9*((G855/2)+((G855-0.11)/PI())))/AA855/1000</f>
        <v>59.10936501560488</v>
      </c>
      <c r="AD855" s="6" t="str">
        <f>+IF(AC855&gt;K855-AB855,"Cumple","No Cumple")</f>
        <v>Cumple</v>
      </c>
      <c r="AE855" s="6"/>
      <c r="AH855" s="3"/>
    </row>
    <row r="856" spans="1:43" x14ac:dyDescent="0.3">
      <c r="A856" s="13" t="s">
        <v>5</v>
      </c>
      <c r="B856" s="1">
        <v>1</v>
      </c>
      <c r="C856" s="1">
        <v>569</v>
      </c>
      <c r="D856" s="1">
        <v>1</v>
      </c>
      <c r="E856" s="5">
        <v>1</v>
      </c>
      <c r="F856" s="3">
        <f>E856</f>
        <v>1</v>
      </c>
      <c r="G856" s="5">
        <v>3</v>
      </c>
      <c r="H856" s="3">
        <f>PI()*(G856^2)/4</f>
        <v>7.0685834705770345</v>
      </c>
      <c r="I856" s="4">
        <v>9.9626999999999993E-2</v>
      </c>
      <c r="K856" s="3">
        <v>614.78082720647694</v>
      </c>
      <c r="L856" s="3">
        <v>3315.51415</v>
      </c>
      <c r="M856" s="3">
        <v>3147.20453</v>
      </c>
      <c r="N856" s="12">
        <f>I856/H856</f>
        <v>1.4094337347036672E-2</v>
      </c>
      <c r="O856" s="11">
        <f>I856*10000</f>
        <v>996.27</v>
      </c>
      <c r="P856" s="1">
        <v>10</v>
      </c>
      <c r="Q856" s="1">
        <v>1.5</v>
      </c>
      <c r="R856" s="3">
        <f>Q856*VLOOKUP(P856,[1]Datos!$A$2:$D$14,2)</f>
        <v>12.285</v>
      </c>
      <c r="S856" s="10">
        <f>ROUNDUP(O856/R856,0)</f>
        <v>82</v>
      </c>
      <c r="T856" s="2">
        <v>87</v>
      </c>
      <c r="U856" s="3">
        <f>ROUNDDOWN(PI()*(G856-0.185)/T856,2)</f>
        <v>0.1</v>
      </c>
      <c r="V856" s="3"/>
      <c r="W856" s="1">
        <v>280</v>
      </c>
      <c r="X856" s="9">
        <v>2</v>
      </c>
      <c r="Y856" s="1">
        <v>6</v>
      </c>
      <c r="Z856" s="3">
        <f>X856*VLOOKUP(Y856,[1]Datos!$A$2:$D$14,2)</f>
        <v>5.68</v>
      </c>
      <c r="AA856" s="8">
        <v>4.972E-2</v>
      </c>
      <c r="AB856" s="7">
        <f>IF(D856=0,0.9,0.5)*0.9*0.53*SQRT(W856)*G856*MAX(0.72*G856,0.9*((G856/2)+((G856-0.11)/PI())))*10</f>
        <v>260.7542389499979</v>
      </c>
      <c r="AC856" s="7">
        <f>0.9*Z856*4220*MAX(0.72*G856,0.9*((G856/2)+((G856-0.11)/PI())))/AA856/1000</f>
        <v>944.96320797669352</v>
      </c>
      <c r="AD856" s="6" t="str">
        <f>+IF(AC856&gt;K856-AB856,"Cumple","No Cumple")</f>
        <v>Cumple</v>
      </c>
      <c r="AE856" s="6"/>
      <c r="AG856" s="7">
        <f>ROUNDUP(MAX(0.45,3*G856,),0)</f>
        <v>9</v>
      </c>
      <c r="AH856" s="3">
        <f>PI()*(G856-0.15)^2/4</f>
        <v>6.3793965821957741</v>
      </c>
      <c r="AI856" s="7">
        <f>G856-0.15-VLOOKUP(Y856,[1]Datos!$A$2:$D$14,3)/100</f>
        <v>2.8309000000000002</v>
      </c>
      <c r="AJ856" s="7">
        <f>SQRT((PI()*AI856)^2+AA856^2)</f>
        <v>8.8936736237329566</v>
      </c>
      <c r="AK856" s="1">
        <v>0.12</v>
      </c>
      <c r="AL856" s="16">
        <f>MAX(0.45*(H856/AH856-1),AK856)*(W856/4220)</f>
        <v>7.9620853080568724E-3</v>
      </c>
      <c r="AM856" s="7">
        <f>AG856*(AJ856/AA856)</f>
        <v>1609.8765610136084</v>
      </c>
      <c r="AN856" s="17">
        <f>AM856*Z856/X856/10000</f>
        <v>0.45720494332786477</v>
      </c>
      <c r="AO856" s="17">
        <f>AH856*AG856</f>
        <v>57.414569239761967</v>
      </c>
      <c r="AP856" s="16">
        <f>AN856/AO856</f>
        <v>7.9632216941067178E-3</v>
      </c>
      <c r="AQ856" s="6" t="str">
        <f>+IF(AP856&gt;AL856,"Cumple","No Cumple")</f>
        <v>Cumple</v>
      </c>
    </row>
    <row r="857" spans="1:43" x14ac:dyDescent="0.3">
      <c r="A857" s="13"/>
      <c r="B857" s="1">
        <v>2</v>
      </c>
      <c r="C857" s="1">
        <v>571</v>
      </c>
      <c r="D857" s="1">
        <v>1</v>
      </c>
      <c r="E857" s="5">
        <v>1</v>
      </c>
      <c r="F857" s="3">
        <f>F856+E857</f>
        <v>2</v>
      </c>
      <c r="G857" s="5">
        <v>3</v>
      </c>
      <c r="H857" s="3">
        <f>PI()*(G857^2)/4</f>
        <v>7.0685834705770345</v>
      </c>
      <c r="I857" s="4">
        <v>8.3950999999999998E-2</v>
      </c>
      <c r="K857" s="3">
        <v>602.66704451898647</v>
      </c>
      <c r="L857" s="3">
        <v>2773.4238599999999</v>
      </c>
      <c r="M857" s="3">
        <v>3189.16491</v>
      </c>
      <c r="N857" s="12">
        <f>I857/H857</f>
        <v>1.1876637002229072E-2</v>
      </c>
      <c r="O857" s="11">
        <f>I857*10000</f>
        <v>839.51</v>
      </c>
      <c r="P857" s="1">
        <v>10</v>
      </c>
      <c r="Q857" s="1">
        <v>1.5</v>
      </c>
      <c r="R857" s="3">
        <f>Q857*VLOOKUP(P857,[1]Datos!$A$2:$D$14,2)</f>
        <v>12.285</v>
      </c>
      <c r="S857" s="10">
        <f>ROUNDUP(O857/R857,0)</f>
        <v>69</v>
      </c>
      <c r="T857" s="2">
        <v>87</v>
      </c>
      <c r="U857" s="3">
        <f>ROUNDDOWN(PI()*(G857-0.185)/T857,2)</f>
        <v>0.1</v>
      </c>
      <c r="V857" s="3"/>
      <c r="W857" s="1">
        <v>280</v>
      </c>
      <c r="X857" s="9">
        <v>2</v>
      </c>
      <c r="Y857" s="1">
        <v>6</v>
      </c>
      <c r="Z857" s="3">
        <f>X857*VLOOKUP(Y857,[1]Datos!$A$2:$D$14,2)</f>
        <v>5.68</v>
      </c>
      <c r="AA857" s="8">
        <v>4.972E-2</v>
      </c>
      <c r="AB857" s="7">
        <f>IF(D857=0,0.9,0.5)*0.9*0.53*SQRT(W857)*G857*MAX(0.72*G857,0.9*((G857/2)+((G857-0.11)/PI())))*10</f>
        <v>260.7542389499979</v>
      </c>
      <c r="AC857" s="7">
        <f>0.9*Z857*4220*MAX(0.72*G857,0.9*((G857/2)+((G857-0.11)/PI())))/AA857/1000</f>
        <v>944.96320797669352</v>
      </c>
      <c r="AD857" s="6" t="str">
        <f>+IF(AC857&gt;K857-AB857,"Cumple","No Cumple")</f>
        <v>Cumple</v>
      </c>
      <c r="AE857" s="6"/>
      <c r="AG857" s="7">
        <f>ROUNDUP(MAX(0.45,3*G857,),0)</f>
        <v>9</v>
      </c>
      <c r="AH857" s="3">
        <f>PI()*(G857-0.15)^2/4</f>
        <v>6.3793965821957741</v>
      </c>
      <c r="AI857" s="7">
        <f>G857-0.15-VLOOKUP(Y857,[1]Datos!$A$2:$D$14,3)/100</f>
        <v>2.8309000000000002</v>
      </c>
      <c r="AJ857" s="7">
        <f>SQRT((PI()*AI857)^2+AA857^2)</f>
        <v>8.8936736237329566</v>
      </c>
      <c r="AK857" s="1">
        <v>0.12</v>
      </c>
      <c r="AL857" s="16">
        <f>MAX(0.45*(H857/AH857-1),AK857)*(W857/4220)</f>
        <v>7.9620853080568724E-3</v>
      </c>
      <c r="AM857" s="7">
        <f>AG857*(AJ857/AA857)</f>
        <v>1609.8765610136084</v>
      </c>
      <c r="AN857" s="17">
        <f>AM857*Z857/X857/10000</f>
        <v>0.45720494332786477</v>
      </c>
      <c r="AO857" s="17">
        <f>AH857*AG857</f>
        <v>57.414569239761967</v>
      </c>
      <c r="AP857" s="16">
        <f>AN857/AO857</f>
        <v>7.9632216941067178E-3</v>
      </c>
      <c r="AQ857" s="6" t="str">
        <f>+IF(AP857&gt;AL857,"Cumple","No Cumple")</f>
        <v>Cumple</v>
      </c>
    </row>
    <row r="858" spans="1:43" x14ac:dyDescent="0.3">
      <c r="A858" s="13"/>
      <c r="B858" s="1">
        <v>3</v>
      </c>
      <c r="C858" s="1">
        <v>573</v>
      </c>
      <c r="D858" s="1">
        <v>1</v>
      </c>
      <c r="E858" s="5">
        <v>1</v>
      </c>
      <c r="F858" s="3">
        <f>F857+E858</f>
        <v>3</v>
      </c>
      <c r="G858" s="5">
        <v>3</v>
      </c>
      <c r="H858" s="3">
        <f>PI()*(G858^2)/4</f>
        <v>7.0685834705770345</v>
      </c>
      <c r="I858" s="4">
        <v>7.0685999999999999E-2</v>
      </c>
      <c r="K858" s="3">
        <v>576.19866925050246</v>
      </c>
      <c r="L858" s="3">
        <v>2242.0229199999999</v>
      </c>
      <c r="M858" s="3">
        <v>3205.0101800000002</v>
      </c>
      <c r="N858" s="12">
        <f>I858/H858</f>
        <v>1.0000023384349969E-2</v>
      </c>
      <c r="O858" s="11">
        <f>I858*10000</f>
        <v>706.86</v>
      </c>
      <c r="P858" s="1">
        <v>10</v>
      </c>
      <c r="Q858" s="1">
        <v>1.5</v>
      </c>
      <c r="R858" s="3">
        <f>Q858*VLOOKUP(P858,[1]Datos!$A$2:$D$14,2)</f>
        <v>12.285</v>
      </c>
      <c r="S858" s="10">
        <f>ROUNDUP(O858/R858,0)</f>
        <v>58</v>
      </c>
      <c r="T858" s="2">
        <v>87</v>
      </c>
      <c r="U858" s="3">
        <f>ROUNDDOWN(PI()*(G858-0.185)/T858,2)</f>
        <v>0.1</v>
      </c>
      <c r="V858" s="3"/>
      <c r="W858" s="1">
        <v>280</v>
      </c>
      <c r="X858" s="9">
        <v>2</v>
      </c>
      <c r="Y858" s="1">
        <v>6</v>
      </c>
      <c r="Z858" s="3">
        <f>X858*VLOOKUP(Y858,[1]Datos!$A$2:$D$14,2)</f>
        <v>5.68</v>
      </c>
      <c r="AA858" s="8">
        <v>4.972E-2</v>
      </c>
      <c r="AB858" s="7">
        <f>IF(D858=0,0.9,0.5)*0.9*0.53*SQRT(W858)*G858*MAX(0.72*G858,0.9*((G858/2)+((G858-0.11)/PI())))*10</f>
        <v>260.7542389499979</v>
      </c>
      <c r="AC858" s="7">
        <f>0.9*Z858*4220*MAX(0.72*G858,0.9*((G858/2)+((G858-0.11)/PI())))/AA858/1000</f>
        <v>944.96320797669352</v>
      </c>
      <c r="AD858" s="6" t="str">
        <f>+IF(AC858&gt;K858-AB858,"Cumple","No Cumple")</f>
        <v>Cumple</v>
      </c>
      <c r="AE858" s="6"/>
      <c r="AG858" s="7">
        <f>ROUNDUP(MAX(0.45,3*G858,),0)</f>
        <v>9</v>
      </c>
      <c r="AH858" s="3">
        <f>PI()*(G858-0.15)^2/4</f>
        <v>6.3793965821957741</v>
      </c>
      <c r="AI858" s="7">
        <f>G858-0.15-VLOOKUP(Y858,[1]Datos!$A$2:$D$14,3)/100</f>
        <v>2.8309000000000002</v>
      </c>
      <c r="AJ858" s="7">
        <f>SQRT((PI()*AI858)^2+AA858^2)</f>
        <v>8.8936736237329566</v>
      </c>
      <c r="AK858" s="1">
        <v>0.12</v>
      </c>
      <c r="AL858" s="16">
        <f>MAX(0.45*(H858/AH858-1),AK858)*(W858/4220)</f>
        <v>7.9620853080568724E-3</v>
      </c>
      <c r="AM858" s="7">
        <f>AG858*(AJ858/AA858)</f>
        <v>1609.8765610136084</v>
      </c>
      <c r="AN858" s="17">
        <f>AM858*Z858/X858/10000</f>
        <v>0.45720494332786477</v>
      </c>
      <c r="AO858" s="17">
        <f>AH858*AG858</f>
        <v>57.414569239761967</v>
      </c>
      <c r="AP858" s="16">
        <f>AN858/AO858</f>
        <v>7.9632216941067178E-3</v>
      </c>
      <c r="AQ858" s="6" t="str">
        <f>+IF(AP858&gt;AL858,"Cumple","No Cumple")</f>
        <v>Cumple</v>
      </c>
    </row>
    <row r="859" spans="1:43" x14ac:dyDescent="0.3">
      <c r="A859" s="13"/>
      <c r="B859" s="1">
        <v>4</v>
      </c>
      <c r="C859" s="1">
        <v>575</v>
      </c>
      <c r="D859" s="1">
        <v>1</v>
      </c>
      <c r="E859" s="5">
        <v>1</v>
      </c>
      <c r="F859" s="3">
        <f>F858+E859</f>
        <v>4</v>
      </c>
      <c r="G859" s="5">
        <v>3</v>
      </c>
      <c r="H859" s="3">
        <f>PI()*(G859^2)/4</f>
        <v>7.0685834705770345</v>
      </c>
      <c r="I859" s="4">
        <v>7.0685999999999999E-2</v>
      </c>
      <c r="K859" s="3">
        <v>538.14449607008896</v>
      </c>
      <c r="L859" s="3">
        <v>1735.65418</v>
      </c>
      <c r="M859" s="3">
        <v>3205.0101800000002</v>
      </c>
      <c r="N859" s="12">
        <f>I859/H859</f>
        <v>1.0000023384349969E-2</v>
      </c>
      <c r="O859" s="11">
        <f>I859*10000</f>
        <v>706.86</v>
      </c>
      <c r="P859" s="1">
        <v>10</v>
      </c>
      <c r="Q859" s="1">
        <v>1</v>
      </c>
      <c r="R859" s="3">
        <f>Q859*VLOOKUP(P859,[1]Datos!$A$2:$D$14,2)</f>
        <v>8.19</v>
      </c>
      <c r="S859" s="10">
        <f>ROUNDUP(O859/R859,0)</f>
        <v>87</v>
      </c>
      <c r="T859" s="2">
        <v>87</v>
      </c>
      <c r="U859" s="3">
        <f>ROUNDDOWN(PI()*(G859-0.185)/T859,2)</f>
        <v>0.1</v>
      </c>
      <c r="V859" s="3"/>
      <c r="W859" s="1">
        <v>280</v>
      </c>
      <c r="X859" s="9">
        <v>2</v>
      </c>
      <c r="Y859" s="1">
        <v>6</v>
      </c>
      <c r="Z859" s="3">
        <f>X859*VLOOKUP(Y859,[1]Datos!$A$2:$D$14,2)</f>
        <v>5.68</v>
      </c>
      <c r="AA859" s="8">
        <v>4.972E-2</v>
      </c>
      <c r="AB859" s="7">
        <f>IF(D859=0,0.9,0.5)*0.9*0.53*SQRT(W859)*G859*MAX(0.72*G859,0.9*((G859/2)+((G859-0.11)/PI())))*10</f>
        <v>260.7542389499979</v>
      </c>
      <c r="AC859" s="7">
        <f>0.9*Z859*4220*MAX(0.72*G859,0.9*((G859/2)+((G859-0.11)/PI())))/AA859/1000</f>
        <v>944.96320797669352</v>
      </c>
      <c r="AD859" s="6" t="str">
        <f>+IF(AC859&gt;K859-AB859,"Cumple","No Cumple")</f>
        <v>Cumple</v>
      </c>
      <c r="AE859" s="6"/>
      <c r="AG859" s="7">
        <f>ROUNDUP(MAX(0.45,3*G859,),0)</f>
        <v>9</v>
      </c>
      <c r="AH859" s="3">
        <f>PI()*(G859-0.15)^2/4</f>
        <v>6.3793965821957741</v>
      </c>
      <c r="AI859" s="7">
        <f>G859-0.15-VLOOKUP(Y859,[1]Datos!$A$2:$D$14,3)/100</f>
        <v>2.8309000000000002</v>
      </c>
      <c r="AJ859" s="7">
        <f>SQRT((PI()*AI859)^2+AA859^2)</f>
        <v>8.8936736237329566</v>
      </c>
      <c r="AK859" s="1">
        <v>0.12</v>
      </c>
      <c r="AL859" s="16">
        <f>MAX(0.45*(H859/AH859-1),AK859)*(W859/4220)</f>
        <v>7.9620853080568724E-3</v>
      </c>
      <c r="AM859" s="7">
        <f>AG859*(AJ859/AA859)</f>
        <v>1609.8765610136084</v>
      </c>
      <c r="AN859" s="17">
        <f>AM859*Z859/X859/10000</f>
        <v>0.45720494332786477</v>
      </c>
      <c r="AO859" s="17">
        <f>AH859*AG859</f>
        <v>57.414569239761967</v>
      </c>
      <c r="AP859" s="16">
        <f>AN859/AO859</f>
        <v>7.9632216941067178E-3</v>
      </c>
      <c r="AQ859" s="6" t="str">
        <f>+IF(AP859&gt;AL859,"Cumple","No Cumple")</f>
        <v>Cumple</v>
      </c>
    </row>
    <row r="860" spans="1:43" x14ac:dyDescent="0.3">
      <c r="A860" s="13"/>
      <c r="B860" s="1">
        <v>5</v>
      </c>
      <c r="C860" s="1">
        <v>577</v>
      </c>
      <c r="D860" s="1">
        <v>1</v>
      </c>
      <c r="E860" s="5">
        <v>1</v>
      </c>
      <c r="F860" s="3">
        <f>F859+E860</f>
        <v>5</v>
      </c>
      <c r="G860" s="5">
        <v>3</v>
      </c>
      <c r="H860" s="3">
        <f>PI()*(G860^2)/4</f>
        <v>7.0685834705770345</v>
      </c>
      <c r="I860" s="4">
        <v>7.0685999999999999E-2</v>
      </c>
      <c r="K860" s="3">
        <v>492.09031147500764</v>
      </c>
      <c r="L860" s="3">
        <v>1269.8409200000001</v>
      </c>
      <c r="M860" s="3">
        <v>3185.2581399999999</v>
      </c>
      <c r="N860" s="12">
        <f>I860/H860</f>
        <v>1.0000023384349969E-2</v>
      </c>
      <c r="O860" s="11">
        <f>I860*10000</f>
        <v>706.86</v>
      </c>
      <c r="P860" s="1">
        <v>10</v>
      </c>
      <c r="Q860" s="15">
        <v>1</v>
      </c>
      <c r="R860" s="3">
        <f>Q860*VLOOKUP(P860,[1]Datos!$A$2:$D$14,2)</f>
        <v>8.19</v>
      </c>
      <c r="S860" s="10">
        <f>ROUNDUP(O860/R860,0)</f>
        <v>87</v>
      </c>
      <c r="T860" s="14">
        <v>87</v>
      </c>
      <c r="U860" s="3">
        <f>ROUNDDOWN(PI()*(G860-0.185)/T860,2)</f>
        <v>0.1</v>
      </c>
      <c r="V860" s="3"/>
      <c r="W860" s="1">
        <v>280</v>
      </c>
      <c r="X860" s="9">
        <v>2</v>
      </c>
      <c r="Y860" s="1">
        <v>6</v>
      </c>
      <c r="Z860" s="3">
        <f>X860*VLOOKUP(Y860,[1]Datos!$A$2:$D$14,2)</f>
        <v>5.68</v>
      </c>
      <c r="AA860" s="8">
        <v>4.972E-2</v>
      </c>
      <c r="AB860" s="7">
        <f>IF(D860=0,0.9,0.5)*0.9*0.53*SQRT(W860)*G860*MAX(0.72*G860,0.9*((G860/2)+((G860-0.11)/PI())))*10</f>
        <v>260.7542389499979</v>
      </c>
      <c r="AC860" s="7">
        <f>0.9*Z860*4220*MAX(0.72*G860,0.9*((G860/2)+((G860-0.11)/PI())))/AA860/1000</f>
        <v>944.96320797669352</v>
      </c>
      <c r="AD860" s="6" t="str">
        <f>+IF(AC860&gt;K860-AB860,"Cumple","No Cumple")</f>
        <v>Cumple</v>
      </c>
      <c r="AE860" s="6"/>
      <c r="AG860" s="7">
        <f>ROUNDUP(MAX(0.45,3*G860,),0)</f>
        <v>9</v>
      </c>
      <c r="AH860" s="3">
        <f>PI()*(G860-0.15)^2/4</f>
        <v>6.3793965821957741</v>
      </c>
      <c r="AI860" s="7">
        <f>G860-0.15-VLOOKUP(Y860,[1]Datos!$A$2:$D$14,3)/100</f>
        <v>2.8309000000000002</v>
      </c>
      <c r="AJ860" s="7">
        <f>SQRT((PI()*AI860)^2+AA860^2)</f>
        <v>8.8936736237329566</v>
      </c>
      <c r="AK860" s="1">
        <v>0.12</v>
      </c>
      <c r="AL860" s="16">
        <f>MAX(0.45*(H860/AH860-1),AK860)*(W860/4220)</f>
        <v>7.9620853080568724E-3</v>
      </c>
      <c r="AM860" s="7">
        <f>AG860*(AJ860/AA860)</f>
        <v>1609.8765610136084</v>
      </c>
      <c r="AN860" s="17">
        <f>AM860*Z860/X860/10000</f>
        <v>0.45720494332786477</v>
      </c>
      <c r="AO860" s="17">
        <f>AH860*AG860</f>
        <v>57.414569239761967</v>
      </c>
      <c r="AP860" s="16">
        <f>AN860/AO860</f>
        <v>7.9632216941067178E-3</v>
      </c>
      <c r="AQ860" s="6" t="str">
        <f>+IF(AP860&gt;AL860,"Cumple","No Cumple")</f>
        <v>Cumple</v>
      </c>
    </row>
    <row r="861" spans="1:43" x14ac:dyDescent="0.3">
      <c r="A861" s="13"/>
      <c r="B861" s="1">
        <v>6</v>
      </c>
      <c r="C861" s="1">
        <v>579</v>
      </c>
      <c r="D861" s="1">
        <v>1</v>
      </c>
      <c r="E861" s="5">
        <v>1</v>
      </c>
      <c r="F861" s="3">
        <f>F860+E861</f>
        <v>6</v>
      </c>
      <c r="G861" s="5">
        <v>3</v>
      </c>
      <c r="H861" s="3">
        <f>PI()*(G861^2)/4</f>
        <v>7.0685834705770345</v>
      </c>
      <c r="I861" s="4">
        <v>7.0685999999999999E-2</v>
      </c>
      <c r="K861" s="3">
        <v>441.72292970599796</v>
      </c>
      <c r="L861" s="3">
        <v>870.54458</v>
      </c>
      <c r="M861" s="3">
        <v>3125.3007299999999</v>
      </c>
      <c r="N861" s="12">
        <f>I861/H861</f>
        <v>1.0000023384349969E-2</v>
      </c>
      <c r="O861" s="11">
        <f>I861*10000</f>
        <v>706.86</v>
      </c>
      <c r="P861" s="1">
        <v>10</v>
      </c>
      <c r="Q861" s="15">
        <v>1</v>
      </c>
      <c r="R861" s="3">
        <f>Q861*VLOOKUP(P861,[1]Datos!$A$2:$D$14,2)</f>
        <v>8.19</v>
      </c>
      <c r="S861" s="10">
        <f>ROUNDUP(O861/R861,0)</f>
        <v>87</v>
      </c>
      <c r="T861" s="14">
        <v>87</v>
      </c>
      <c r="U861" s="3">
        <f>ROUNDDOWN(PI()*(G861-0.185)/T861,2)</f>
        <v>0.1</v>
      </c>
      <c r="V861" s="3"/>
      <c r="W861" s="1">
        <v>280</v>
      </c>
      <c r="X861" s="9">
        <v>2</v>
      </c>
      <c r="Y861" s="1">
        <v>6</v>
      </c>
      <c r="Z861" s="3">
        <f>X861*VLOOKUP(Y861,[1]Datos!$A$2:$D$14,2)</f>
        <v>5.68</v>
      </c>
      <c r="AA861" s="8">
        <v>4.972E-2</v>
      </c>
      <c r="AB861" s="7">
        <f>IF(D861=0,0.9,0.5)*0.9*0.53*SQRT(W861)*G861*MAX(0.72*G861,0.9*((G861/2)+((G861-0.11)/PI())))*10</f>
        <v>260.7542389499979</v>
      </c>
      <c r="AC861" s="7">
        <f>0.9*Z861*4220*MAX(0.72*G861,0.9*((G861/2)+((G861-0.11)/PI())))/AA861/1000</f>
        <v>944.96320797669352</v>
      </c>
      <c r="AD861" s="6" t="str">
        <f>+IF(AC861&gt;K861-AB861,"Cumple","No Cumple")</f>
        <v>Cumple</v>
      </c>
      <c r="AE861" s="6"/>
      <c r="AG861" s="7">
        <f>ROUNDUP(MAX(0.45,3*G861,),0)</f>
        <v>9</v>
      </c>
      <c r="AH861" s="3">
        <f>PI()*(G861-0.15)^2/4</f>
        <v>6.3793965821957741</v>
      </c>
      <c r="AI861" s="7">
        <f>G861-0.15-VLOOKUP(Y861,[1]Datos!$A$2:$D$14,3)/100</f>
        <v>2.8309000000000002</v>
      </c>
      <c r="AJ861" s="7">
        <f>SQRT((PI()*AI861)^2+AA861^2)</f>
        <v>8.8936736237329566</v>
      </c>
      <c r="AK861" s="1">
        <v>0.12</v>
      </c>
      <c r="AL861" s="16">
        <f>MAX(0.45*(H861/AH861-1),AK861)*(W861/4220)</f>
        <v>7.9620853080568724E-3</v>
      </c>
      <c r="AM861" s="7">
        <f>AG861*(AJ861/AA861)</f>
        <v>1609.8765610136084</v>
      </c>
      <c r="AN861" s="17">
        <f>AM861*Z861/X861/10000</f>
        <v>0.45720494332786477</v>
      </c>
      <c r="AO861" s="17">
        <f>AH861*AG861</f>
        <v>57.414569239761967</v>
      </c>
      <c r="AP861" s="16">
        <f>AN861/AO861</f>
        <v>7.9632216941067178E-3</v>
      </c>
      <c r="AQ861" s="6" t="str">
        <f>+IF(AP861&gt;AL861,"Cumple","No Cumple")</f>
        <v>Cumple</v>
      </c>
    </row>
    <row r="862" spans="1:43" x14ac:dyDescent="0.3">
      <c r="A862" s="13"/>
      <c r="B862" s="1">
        <v>7</v>
      </c>
      <c r="C862" s="1">
        <v>581</v>
      </c>
      <c r="D862" s="1">
        <v>1</v>
      </c>
      <c r="E862" s="5">
        <v>1</v>
      </c>
      <c r="F862" s="3">
        <f>F861+E862</f>
        <v>7</v>
      </c>
      <c r="G862" s="5">
        <v>3</v>
      </c>
      <c r="H862" s="3">
        <f>PI()*(G862^2)/4</f>
        <v>7.0685834705770345</v>
      </c>
      <c r="I862" s="4">
        <v>7.0685999999999999E-2</v>
      </c>
      <c r="K862" s="3">
        <v>389.39298051614901</v>
      </c>
      <c r="L862" s="3">
        <v>639.94525999999996</v>
      </c>
      <c r="M862" s="3">
        <v>3025.0056800000002</v>
      </c>
      <c r="N862" s="12">
        <f>I862/H862</f>
        <v>1.0000023384349969E-2</v>
      </c>
      <c r="O862" s="11">
        <f>I862*10000</f>
        <v>706.86</v>
      </c>
      <c r="P862" s="1">
        <v>10</v>
      </c>
      <c r="Q862" s="15">
        <v>1</v>
      </c>
      <c r="R862" s="3">
        <f>Q862*VLOOKUP(P862,[1]Datos!$A$2:$D$14,2)</f>
        <v>8.19</v>
      </c>
      <c r="S862" s="10">
        <f>ROUNDUP(O862/R862,0)</f>
        <v>87</v>
      </c>
      <c r="T862" s="14">
        <v>87</v>
      </c>
      <c r="U862" s="3">
        <f>ROUNDDOWN(PI()*(G862-0.185)/T862,2)</f>
        <v>0.1</v>
      </c>
      <c r="V862" s="3"/>
      <c r="W862" s="1">
        <v>280</v>
      </c>
      <c r="X862" s="9">
        <v>2</v>
      </c>
      <c r="Y862" s="1">
        <v>6</v>
      </c>
      <c r="Z862" s="3">
        <f>X862*VLOOKUP(Y862,[1]Datos!$A$2:$D$14,2)</f>
        <v>5.68</v>
      </c>
      <c r="AA862" s="8">
        <v>4.972E-2</v>
      </c>
      <c r="AB862" s="7">
        <f>IF(D862=0,0.9,0.5)*0.9*0.53*SQRT(W862)*G862*MAX(0.72*G862,0.9*((G862/2)+((G862-0.11)/PI())))*10</f>
        <v>260.7542389499979</v>
      </c>
      <c r="AC862" s="7">
        <f>0.9*Z862*4220*MAX(0.72*G862,0.9*((G862/2)+((G862-0.11)/PI())))/AA862/1000</f>
        <v>944.96320797669352</v>
      </c>
      <c r="AD862" s="6" t="str">
        <f>+IF(AC862&gt;K862-AB862,"Cumple","No Cumple")</f>
        <v>Cumple</v>
      </c>
      <c r="AE862" s="6"/>
      <c r="AG862" s="7">
        <f>ROUNDUP(MAX(0.45,3*G862,),0)</f>
        <v>9</v>
      </c>
      <c r="AH862" s="3">
        <f>PI()*(G862-0.15)^2/4</f>
        <v>6.3793965821957741</v>
      </c>
      <c r="AI862" s="7">
        <f>G862-0.15-VLOOKUP(Y862,[1]Datos!$A$2:$D$14,3)/100</f>
        <v>2.8309000000000002</v>
      </c>
      <c r="AJ862" s="7">
        <f>SQRT((PI()*AI862)^2+AA862^2)</f>
        <v>8.8936736237329566</v>
      </c>
      <c r="AK862" s="1">
        <v>0.12</v>
      </c>
      <c r="AL862" s="16">
        <f>MAX(0.45*(H862/AH862-1),AK862)*(W862/4220)</f>
        <v>7.9620853080568724E-3</v>
      </c>
      <c r="AM862" s="7">
        <f>AG862*(AJ862/AA862)</f>
        <v>1609.8765610136084</v>
      </c>
      <c r="AN862" s="17">
        <f>AM862*Z862/X862/10000</f>
        <v>0.45720494332786477</v>
      </c>
      <c r="AO862" s="17">
        <f>AH862*AG862</f>
        <v>57.414569239761967</v>
      </c>
      <c r="AP862" s="16">
        <f>AN862/AO862</f>
        <v>7.9632216941067178E-3</v>
      </c>
      <c r="AQ862" s="6" t="str">
        <f>+IF(AP862&gt;AL862,"Cumple","No Cumple")</f>
        <v>Cumple</v>
      </c>
    </row>
    <row r="863" spans="1:43" x14ac:dyDescent="0.3">
      <c r="A863" s="13"/>
      <c r="B863" s="1">
        <v>8</v>
      </c>
      <c r="C863" s="1">
        <v>583</v>
      </c>
      <c r="D863" s="1">
        <v>1</v>
      </c>
      <c r="E863" s="5">
        <v>1</v>
      </c>
      <c r="F863" s="3">
        <f>F862+E863</f>
        <v>8</v>
      </c>
      <c r="G863" s="5">
        <v>3</v>
      </c>
      <c r="H863" s="3">
        <f>PI()*(G863^2)/4</f>
        <v>7.0685834705770345</v>
      </c>
      <c r="I863" s="4">
        <v>7.0685999999999999E-2</v>
      </c>
      <c r="K863" s="3">
        <v>336.56801940208163</v>
      </c>
      <c r="L863" s="3">
        <v>713.42516000000001</v>
      </c>
      <c r="M863" s="3">
        <v>2886.72948</v>
      </c>
      <c r="N863" s="12">
        <f>I863/H863</f>
        <v>1.0000023384349969E-2</v>
      </c>
      <c r="O863" s="11">
        <f>I863*10000</f>
        <v>706.86</v>
      </c>
      <c r="P863" s="1">
        <v>10</v>
      </c>
      <c r="Q863" s="1">
        <v>1</v>
      </c>
      <c r="R863" s="3">
        <f>Q863*VLOOKUP(P863,[1]Datos!$A$2:$D$14,2)</f>
        <v>8.19</v>
      </c>
      <c r="S863" s="10">
        <f>ROUNDUP(O863/R863,0)</f>
        <v>87</v>
      </c>
      <c r="T863" s="2">
        <v>87</v>
      </c>
      <c r="U863" s="3">
        <f>ROUNDDOWN(PI()*(G863-0.185)/T863,2)</f>
        <v>0.1</v>
      </c>
      <c r="V863" s="3"/>
      <c r="W863" s="1">
        <v>280</v>
      </c>
      <c r="X863" s="9">
        <v>2</v>
      </c>
      <c r="Y863" s="1">
        <v>6</v>
      </c>
      <c r="Z863" s="3">
        <f>X863*VLOOKUP(Y863,[1]Datos!$A$2:$D$14,2)</f>
        <v>5.68</v>
      </c>
      <c r="AA863" s="8">
        <v>4.972E-2</v>
      </c>
      <c r="AB863" s="7">
        <f>IF(D863=0,0.9,0.5)*0.9*0.53*SQRT(W863)*G863*MAX(0.72*G863,0.9*((G863/2)+((G863-0.11)/PI())))*10</f>
        <v>260.7542389499979</v>
      </c>
      <c r="AC863" s="7">
        <f>0.9*Z863*4220*MAX(0.72*G863,0.9*((G863/2)+((G863-0.11)/PI())))/AA863/1000</f>
        <v>944.96320797669352</v>
      </c>
      <c r="AD863" s="6" t="str">
        <f>+IF(AC863&gt;K863-AB863,"Cumple","No Cumple")</f>
        <v>Cumple</v>
      </c>
      <c r="AE863" s="6"/>
      <c r="AG863" s="7">
        <f>ROUNDUP(MAX(0.45,3*G863,),0)</f>
        <v>9</v>
      </c>
      <c r="AH863" s="3">
        <f>PI()*(G863-0.15)^2/4</f>
        <v>6.3793965821957741</v>
      </c>
      <c r="AI863" s="7">
        <f>G863-0.15-VLOOKUP(Y863,[1]Datos!$A$2:$D$14,3)/100</f>
        <v>2.8309000000000002</v>
      </c>
      <c r="AJ863" s="7">
        <f>SQRT((PI()*AI863)^2+AA863^2)</f>
        <v>8.8936736237329566</v>
      </c>
      <c r="AK863" s="1">
        <v>0.12</v>
      </c>
      <c r="AL863" s="16">
        <f>MAX(0.45*(H863/AH863-1),AK863)*(W863/4220)</f>
        <v>7.9620853080568724E-3</v>
      </c>
      <c r="AM863" s="7">
        <f>AG863*(AJ863/AA863)</f>
        <v>1609.8765610136084</v>
      </c>
      <c r="AN863" s="17">
        <f>AM863*Z863/X863/10000</f>
        <v>0.45720494332786477</v>
      </c>
      <c r="AO863" s="17">
        <f>AH863*AG863</f>
        <v>57.414569239761967</v>
      </c>
      <c r="AP863" s="16">
        <f>AN863/AO863</f>
        <v>7.9632216941067178E-3</v>
      </c>
      <c r="AQ863" s="6" t="str">
        <f>+IF(AP863&gt;AL863,"Cumple","No Cumple")</f>
        <v>Cumple</v>
      </c>
    </row>
    <row r="864" spans="1:43" x14ac:dyDescent="0.3">
      <c r="A864" s="13"/>
      <c r="B864" s="1">
        <v>9</v>
      </c>
      <c r="C864" s="1">
        <v>585</v>
      </c>
      <c r="D864" s="1">
        <v>1</v>
      </c>
      <c r="E864" s="5">
        <v>1</v>
      </c>
      <c r="F864" s="3">
        <f>F863+E864</f>
        <v>9</v>
      </c>
      <c r="G864" s="5">
        <v>3</v>
      </c>
      <c r="H864" s="3">
        <f>PI()*(G864^2)/4</f>
        <v>7.0685834705770345</v>
      </c>
      <c r="I864" s="4">
        <v>7.0685999999999999E-2</v>
      </c>
      <c r="K864" s="3">
        <v>286.25656713223191</v>
      </c>
      <c r="L864" s="3">
        <v>775.48533999999995</v>
      </c>
      <c r="M864" s="3">
        <v>2715.38582</v>
      </c>
      <c r="N864" s="12">
        <f>I864/H864</f>
        <v>1.0000023384349969E-2</v>
      </c>
      <c r="O864" s="11">
        <f>I864*10000</f>
        <v>706.86</v>
      </c>
      <c r="P864" s="1">
        <v>10</v>
      </c>
      <c r="Q864" s="1">
        <v>1</v>
      </c>
      <c r="R864" s="3">
        <f>Q864*VLOOKUP(P864,[1]Datos!$A$2:$D$14,2)</f>
        <v>8.19</v>
      </c>
      <c r="S864" s="10">
        <f>ROUNDUP(O864/R864,0)</f>
        <v>87</v>
      </c>
      <c r="T864" s="2">
        <v>87</v>
      </c>
      <c r="U864" s="3">
        <f>ROUNDDOWN(PI()*(G864-0.185)/T864,2)</f>
        <v>0.1</v>
      </c>
      <c r="V864" s="3"/>
      <c r="W864" s="1">
        <v>280</v>
      </c>
      <c r="X864" s="9">
        <v>2</v>
      </c>
      <c r="Y864" s="1">
        <v>6</v>
      </c>
      <c r="Z864" s="3">
        <f>X864*VLOOKUP(Y864,[1]Datos!$A$2:$D$14,2)</f>
        <v>5.68</v>
      </c>
      <c r="AA864" s="8">
        <v>4.972E-2</v>
      </c>
      <c r="AB864" s="7">
        <f>IF(D864=0,0.9,0.5)*0.9*0.53*SQRT(W864)*G864*MAX(0.72*G864,0.9*((G864/2)+((G864-0.11)/PI())))*10</f>
        <v>260.7542389499979</v>
      </c>
      <c r="AC864" s="7">
        <f>0.9*Z864*4220*MAX(0.72*G864,0.9*((G864/2)+((G864-0.11)/PI())))/AA864/1000</f>
        <v>944.96320797669352</v>
      </c>
      <c r="AD864" s="6" t="str">
        <f>+IF(AC864&gt;K864-AB864,"Cumple","No Cumple")</f>
        <v>Cumple</v>
      </c>
      <c r="AE864" s="6"/>
      <c r="AG864" s="7">
        <f>ROUNDUP(MAX(0.45,3*G864,),0)</f>
        <v>9</v>
      </c>
      <c r="AH864" s="3">
        <f>PI()*(G864-0.15)^2/4</f>
        <v>6.3793965821957741</v>
      </c>
      <c r="AI864" s="7">
        <f>G864-0.15-VLOOKUP(Y864,[1]Datos!$A$2:$D$14,3)/100</f>
        <v>2.8309000000000002</v>
      </c>
      <c r="AJ864" s="7">
        <f>SQRT((PI()*AI864)^2+AA864^2)</f>
        <v>8.8936736237329566</v>
      </c>
      <c r="AK864" s="1">
        <v>0.12</v>
      </c>
      <c r="AL864" s="16">
        <f>MAX(0.45*(H864/AH864-1),AK864)*(W864/4220)</f>
        <v>7.9620853080568724E-3</v>
      </c>
      <c r="AM864" s="7">
        <f>AG864*(AJ864/AA864)</f>
        <v>1609.8765610136084</v>
      </c>
      <c r="AN864" s="17">
        <f>AM864*Z864/X864/10000</f>
        <v>0.45720494332786477</v>
      </c>
      <c r="AO864" s="17">
        <f>AH864*AG864</f>
        <v>57.414569239761967</v>
      </c>
      <c r="AP864" s="16">
        <f>AN864/AO864</f>
        <v>7.9632216941067178E-3</v>
      </c>
      <c r="AQ864" s="6" t="str">
        <f>+IF(AP864&gt;AL864,"Cumple","No Cumple")</f>
        <v>Cumple</v>
      </c>
    </row>
    <row r="865" spans="1:34" x14ac:dyDescent="0.3">
      <c r="A865" s="13"/>
      <c r="B865" s="1">
        <v>10</v>
      </c>
      <c r="C865" s="1">
        <v>587</v>
      </c>
      <c r="D865" s="1">
        <v>1</v>
      </c>
      <c r="E865" s="5">
        <v>1</v>
      </c>
      <c r="F865" s="3">
        <f>F864+E865</f>
        <v>10</v>
      </c>
      <c r="G865" s="5">
        <v>3</v>
      </c>
      <c r="H865" s="3">
        <f>PI()*(G865^2)/4</f>
        <v>7.0685834705770345</v>
      </c>
      <c r="I865" s="4">
        <v>7.0685999999999999E-2</v>
      </c>
      <c r="K865" s="3">
        <v>269.54581972097066</v>
      </c>
      <c r="L865" s="3">
        <v>813.97389999999996</v>
      </c>
      <c r="M865" s="3">
        <v>2517.4341599999998</v>
      </c>
      <c r="N865" s="12">
        <f>I865/H865</f>
        <v>1.0000023384349969E-2</v>
      </c>
      <c r="O865" s="11">
        <f>I865*10000</f>
        <v>706.86</v>
      </c>
      <c r="P865" s="1">
        <v>10</v>
      </c>
      <c r="Q865" s="1">
        <v>1</v>
      </c>
      <c r="R865" s="3">
        <f>Q865*VLOOKUP(P865,[1]Datos!$A$2:$D$14,2)</f>
        <v>8.19</v>
      </c>
      <c r="S865" s="10">
        <f>ROUNDUP(O865/R865,0)</f>
        <v>87</v>
      </c>
      <c r="T865" s="2">
        <v>87</v>
      </c>
      <c r="U865" s="3">
        <f>ROUNDDOWN(PI()*(G865-0.185)/T865,2)</f>
        <v>0.1</v>
      </c>
      <c r="V865" s="3"/>
      <c r="W865" s="1">
        <v>280</v>
      </c>
      <c r="X865" s="9">
        <v>2</v>
      </c>
      <c r="Y865" s="1">
        <v>4</v>
      </c>
      <c r="Z865" s="3">
        <f>X865*VLOOKUP(Y865,[1]Datos!$A$2:$D$14,2)</f>
        <v>2.58</v>
      </c>
      <c r="AA865" s="8">
        <v>0.3</v>
      </c>
      <c r="AB865" s="7">
        <f>IF(D865=0,0.9,0.5)*0.9*0.53*SQRT(W865)*G865*MAX(0.72*G865,0.9*((G865/2)+((G865-0.11)/PI())))*10</f>
        <v>260.7542389499979</v>
      </c>
      <c r="AC865" s="7">
        <f>0.9*Z865*4220*MAX(0.72*G865,0.9*((G865/2)+((G865-0.11)/PI())))/AA865/1000</f>
        <v>71.137096483304632</v>
      </c>
      <c r="AD865" s="6" t="str">
        <f>+IF(AC865&gt;K865-AB865,"Cumple","No Cumple")</f>
        <v>Cumple</v>
      </c>
      <c r="AE865" s="6"/>
      <c r="AH865" s="3"/>
    </row>
    <row r="866" spans="1:34" x14ac:dyDescent="0.3">
      <c r="A866" s="13"/>
      <c r="B866" s="1">
        <v>11</v>
      </c>
      <c r="C866" s="1">
        <v>589</v>
      </c>
      <c r="D866" s="1">
        <v>1</v>
      </c>
      <c r="E866" s="5">
        <v>1</v>
      </c>
      <c r="F866" s="3">
        <f>F865+E866</f>
        <v>11</v>
      </c>
      <c r="G866" s="5">
        <v>3</v>
      </c>
      <c r="H866" s="3">
        <f>PI()*(G866^2)/4</f>
        <v>7.0685834705770345</v>
      </c>
      <c r="I866" s="4">
        <v>7.0685999999999999E-2</v>
      </c>
      <c r="K866" s="3">
        <v>267.9846301444357</v>
      </c>
      <c r="L866" s="3">
        <v>829.71114999999998</v>
      </c>
      <c r="M866" s="3">
        <v>2308.3407200000001</v>
      </c>
      <c r="N866" s="12">
        <f>I866/H866</f>
        <v>1.0000023384349969E-2</v>
      </c>
      <c r="O866" s="11">
        <f>I866*10000</f>
        <v>706.86</v>
      </c>
      <c r="P866" s="1">
        <v>10</v>
      </c>
      <c r="Q866" s="1">
        <v>1</v>
      </c>
      <c r="R866" s="3">
        <f>Q866*VLOOKUP(P866,[1]Datos!$A$2:$D$14,2)</f>
        <v>8.19</v>
      </c>
      <c r="S866" s="10">
        <f>ROUNDUP(O866/R866,0)</f>
        <v>87</v>
      </c>
      <c r="T866" s="2">
        <v>87</v>
      </c>
      <c r="U866" s="3">
        <f>ROUNDDOWN(PI()*(G866-0.185)/T866,2)</f>
        <v>0.1</v>
      </c>
      <c r="V866" s="3"/>
      <c r="W866" s="1">
        <v>280</v>
      </c>
      <c r="X866" s="9">
        <v>2</v>
      </c>
      <c r="Y866" s="1">
        <v>4</v>
      </c>
      <c r="Z866" s="3">
        <f>X866*VLOOKUP(Y866,[1]Datos!$A$2:$D$14,2)</f>
        <v>2.58</v>
      </c>
      <c r="AA866" s="8">
        <v>0.3</v>
      </c>
      <c r="AB866" s="7">
        <f>IF(D866=0,0.9,0.5)*0.9*0.53*SQRT(W866)*G866*MAX(0.72*G866,0.9*((G866/2)+((G866-0.11)/PI())))*10</f>
        <v>260.7542389499979</v>
      </c>
      <c r="AC866" s="7">
        <f>0.9*Z866*4220*MAX(0.72*G866,0.9*((G866/2)+((G866-0.11)/PI())))/AA866/1000</f>
        <v>71.137096483304632</v>
      </c>
      <c r="AD866" s="6" t="str">
        <f>+IF(AC866&gt;K866-AB866,"Cumple","No Cumple")</f>
        <v>Cumple</v>
      </c>
      <c r="AE866" s="6"/>
      <c r="AH866" s="3"/>
    </row>
    <row r="867" spans="1:34" x14ac:dyDescent="0.3">
      <c r="A867" s="13"/>
      <c r="B867" s="1">
        <v>12</v>
      </c>
      <c r="C867" s="1">
        <v>591</v>
      </c>
      <c r="D867" s="1">
        <v>1</v>
      </c>
      <c r="E867" s="5">
        <v>1</v>
      </c>
      <c r="F867" s="3">
        <f>F866+E867</f>
        <v>12</v>
      </c>
      <c r="G867" s="5">
        <v>3</v>
      </c>
      <c r="H867" s="3">
        <f>PI()*(G867^2)/4</f>
        <v>7.0685834705770345</v>
      </c>
      <c r="I867" s="4">
        <v>7.0685999999999999E-2</v>
      </c>
      <c r="K867" s="3">
        <v>263.64151697393942</v>
      </c>
      <c r="L867" s="3">
        <v>885.86503000000005</v>
      </c>
      <c r="M867" s="3">
        <v>2097.60826</v>
      </c>
      <c r="N867" s="12">
        <f>I867/H867</f>
        <v>1.0000023384349969E-2</v>
      </c>
      <c r="O867" s="11">
        <f>I867*10000</f>
        <v>706.86</v>
      </c>
      <c r="P867" s="1">
        <v>10</v>
      </c>
      <c r="Q867" s="1">
        <v>1</v>
      </c>
      <c r="R867" s="3">
        <f>Q867*VLOOKUP(P867,[1]Datos!$A$2:$D$14,2)</f>
        <v>8.19</v>
      </c>
      <c r="S867" s="10">
        <f>ROUNDUP(O867/R867,0)</f>
        <v>87</v>
      </c>
      <c r="T867" s="2">
        <v>87</v>
      </c>
      <c r="U867" s="3">
        <f>ROUNDDOWN(PI()*(G867-0.185)/T867,2)</f>
        <v>0.1</v>
      </c>
      <c r="V867" s="3"/>
      <c r="W867" s="1">
        <v>280</v>
      </c>
      <c r="X867" s="9">
        <v>2</v>
      </c>
      <c r="Y867" s="1">
        <v>4</v>
      </c>
      <c r="Z867" s="3">
        <f>X867*VLOOKUP(Y867,[1]Datos!$A$2:$D$14,2)</f>
        <v>2.58</v>
      </c>
      <c r="AA867" s="8">
        <v>0.3</v>
      </c>
      <c r="AB867" s="7">
        <f>IF(D867=0,0.9,0.5)*0.9*0.53*SQRT(W867)*G867*MAX(0.72*G867,0.9*((G867/2)+((G867-0.11)/PI())))*10</f>
        <v>260.7542389499979</v>
      </c>
      <c r="AC867" s="7">
        <f>0.9*Z867*4220*MAX(0.72*G867,0.9*((G867/2)+((G867-0.11)/PI())))/AA867/1000</f>
        <v>71.137096483304632</v>
      </c>
      <c r="AD867" s="6" t="str">
        <f>+IF(AC867&gt;K867-AB867,"Cumple","No Cumple")</f>
        <v>Cumple</v>
      </c>
      <c r="AE867" s="6"/>
      <c r="AH867" s="3"/>
    </row>
    <row r="868" spans="1:34" x14ac:dyDescent="0.3">
      <c r="A868" s="13"/>
      <c r="B868" s="1">
        <v>13</v>
      </c>
      <c r="C868" s="1">
        <v>593</v>
      </c>
      <c r="D868" s="1">
        <v>1</v>
      </c>
      <c r="E868" s="5">
        <v>1</v>
      </c>
      <c r="F868" s="3">
        <f>F867+E868</f>
        <v>13</v>
      </c>
      <c r="G868" s="5">
        <v>3</v>
      </c>
      <c r="H868" s="3">
        <f>PI()*(G868^2)/4</f>
        <v>7.0685834705770345</v>
      </c>
      <c r="I868" s="4">
        <v>7.0685999999999999E-2</v>
      </c>
      <c r="K868" s="3">
        <v>256.2275141046527</v>
      </c>
      <c r="L868" s="3">
        <v>915.81442000000004</v>
      </c>
      <c r="M868" s="3">
        <v>1876.5959600000001</v>
      </c>
      <c r="N868" s="12">
        <f>I868/H868</f>
        <v>1.0000023384349969E-2</v>
      </c>
      <c r="O868" s="11">
        <f>I868*10000</f>
        <v>706.86</v>
      </c>
      <c r="P868" s="1">
        <v>10</v>
      </c>
      <c r="Q868" s="1">
        <v>1</v>
      </c>
      <c r="R868" s="3">
        <f>Q868*VLOOKUP(P868,[1]Datos!$A$2:$D$14,2)</f>
        <v>8.19</v>
      </c>
      <c r="S868" s="10">
        <f>ROUNDUP(O868/R868,0)</f>
        <v>87</v>
      </c>
      <c r="T868" s="2">
        <v>87</v>
      </c>
      <c r="U868" s="3">
        <f>ROUNDDOWN(PI()*(G868-0.185)/T868,2)</f>
        <v>0.1</v>
      </c>
      <c r="V868" s="3"/>
      <c r="W868" s="1">
        <v>280</v>
      </c>
      <c r="X868" s="9">
        <v>2</v>
      </c>
      <c r="Y868" s="1">
        <v>4</v>
      </c>
      <c r="Z868" s="3">
        <f>X868*VLOOKUP(Y868,[1]Datos!$A$2:$D$14,2)</f>
        <v>2.58</v>
      </c>
      <c r="AA868" s="8">
        <v>0.3</v>
      </c>
      <c r="AB868" s="7">
        <f>IF(D868=0,0.9,0.5)*0.9*0.53*SQRT(W868)*G868*MAX(0.72*G868,0.9*((G868/2)+((G868-0.11)/PI())))*10</f>
        <v>260.7542389499979</v>
      </c>
      <c r="AC868" s="7">
        <f>0.9*Z868*4220*MAX(0.72*G868,0.9*((G868/2)+((G868-0.11)/PI())))/AA868/1000</f>
        <v>71.137096483304632</v>
      </c>
      <c r="AD868" s="6" t="str">
        <f>+IF(AC868&gt;K868-AB868,"Cumple","No Cumple")</f>
        <v>Cumple</v>
      </c>
      <c r="AE868" s="6"/>
      <c r="AH868" s="3"/>
    </row>
    <row r="869" spans="1:34" x14ac:dyDescent="0.3">
      <c r="A869" s="13"/>
      <c r="B869" s="1">
        <v>14</v>
      </c>
      <c r="C869" s="1">
        <v>595</v>
      </c>
      <c r="D869" s="1">
        <v>1</v>
      </c>
      <c r="E869" s="5">
        <v>1</v>
      </c>
      <c r="F869" s="3">
        <f>F868+E869</f>
        <v>14</v>
      </c>
      <c r="G869" s="5">
        <v>3</v>
      </c>
      <c r="H869" s="3">
        <f>PI()*(G869^2)/4</f>
        <v>7.0685834705770345</v>
      </c>
      <c r="I869" s="4">
        <v>7.0685999999999999E-2</v>
      </c>
      <c r="K869" s="3">
        <v>245.89288994100664</v>
      </c>
      <c r="L869" s="3">
        <v>915.81440999999995</v>
      </c>
      <c r="M869" s="3">
        <v>1651.8940399999999</v>
      </c>
      <c r="N869" s="12">
        <f>I869/H869</f>
        <v>1.0000023384349969E-2</v>
      </c>
      <c r="O869" s="11">
        <f>I869*10000</f>
        <v>706.86</v>
      </c>
      <c r="P869" s="1">
        <v>10</v>
      </c>
      <c r="Q869" s="15">
        <v>1</v>
      </c>
      <c r="R869" s="3">
        <f>Q869*VLOOKUP(P869,[1]Datos!$A$2:$D$14,2)</f>
        <v>8.19</v>
      </c>
      <c r="S869" s="10">
        <f>ROUNDUP(O869/R869,0)</f>
        <v>87</v>
      </c>
      <c r="T869" s="14">
        <v>87</v>
      </c>
      <c r="U869" s="3">
        <f>ROUNDDOWN(PI()*(G869-0.185)/T869,2)</f>
        <v>0.1</v>
      </c>
      <c r="V869" s="3"/>
      <c r="W869" s="1">
        <v>280</v>
      </c>
      <c r="X869" s="9">
        <v>2</v>
      </c>
      <c r="Y869" s="1">
        <v>4</v>
      </c>
      <c r="Z869" s="3">
        <f>X869*VLOOKUP(Y869,[1]Datos!$A$2:$D$14,2)</f>
        <v>2.58</v>
      </c>
      <c r="AA869" s="8">
        <v>0.3</v>
      </c>
      <c r="AB869" s="7">
        <f>IF(D869=0,0.9,0.5)*0.9*0.53*SQRT(W869)*G869*MAX(0.72*G869,0.9*((G869/2)+((G869-0.11)/PI())))*10</f>
        <v>260.7542389499979</v>
      </c>
      <c r="AC869" s="7">
        <f>0.9*Z869*4220*MAX(0.72*G869,0.9*((G869/2)+((G869-0.11)/PI())))/AA869/1000</f>
        <v>71.137096483304632</v>
      </c>
      <c r="AD869" s="6" t="str">
        <f>+IF(AC869&gt;K869-AB869,"Cumple","No Cumple")</f>
        <v>Cumple</v>
      </c>
      <c r="AE869" s="6"/>
      <c r="AH869" s="3"/>
    </row>
    <row r="870" spans="1:34" x14ac:dyDescent="0.3">
      <c r="A870" s="13"/>
      <c r="B870" s="1">
        <v>15</v>
      </c>
      <c r="C870" s="1">
        <v>597</v>
      </c>
      <c r="D870" s="1">
        <v>1</v>
      </c>
      <c r="E870" s="5">
        <v>1</v>
      </c>
      <c r="F870" s="3">
        <f>F869+E870</f>
        <v>15</v>
      </c>
      <c r="G870" s="5">
        <v>3</v>
      </c>
      <c r="H870" s="3">
        <f>PI()*(G870^2)/4</f>
        <v>7.0685834705770345</v>
      </c>
      <c r="I870" s="4">
        <v>7.0685999999999999E-2</v>
      </c>
      <c r="K870" s="3">
        <v>231.68867903136743</v>
      </c>
      <c r="L870" s="3">
        <v>912.65611000000001</v>
      </c>
      <c r="M870" s="3">
        <v>1429.54636</v>
      </c>
      <c r="N870" s="12">
        <f>I870/H870</f>
        <v>1.0000023384349969E-2</v>
      </c>
      <c r="O870" s="11">
        <f>I870*10000</f>
        <v>706.86</v>
      </c>
      <c r="P870" s="1">
        <v>10</v>
      </c>
      <c r="Q870" s="15">
        <v>1</v>
      </c>
      <c r="R870" s="3">
        <f>Q870*VLOOKUP(P870,[1]Datos!$A$2:$D$14,2)</f>
        <v>8.19</v>
      </c>
      <c r="S870" s="10">
        <f>ROUNDUP(O870/R870,0)</f>
        <v>87</v>
      </c>
      <c r="T870" s="14">
        <v>87</v>
      </c>
      <c r="U870" s="3">
        <f>ROUNDDOWN(PI()*(G870-0.185)/T870,2)</f>
        <v>0.1</v>
      </c>
      <c r="V870" s="3"/>
      <c r="W870" s="1">
        <v>280</v>
      </c>
      <c r="X870" s="9">
        <v>2</v>
      </c>
      <c r="Y870" s="1">
        <v>4</v>
      </c>
      <c r="Z870" s="3">
        <f>X870*VLOOKUP(Y870,[1]Datos!$A$2:$D$14,2)</f>
        <v>2.58</v>
      </c>
      <c r="AA870" s="8">
        <v>0.3</v>
      </c>
      <c r="AB870" s="7">
        <f>IF(D870=0,0.9,0.5)*0.9*0.53*SQRT(W870)*G870*MAX(0.72*G870,0.9*((G870/2)+((G870-0.11)/PI())))*10</f>
        <v>260.7542389499979</v>
      </c>
      <c r="AC870" s="7">
        <f>0.9*Z870*4220*MAX(0.72*G870,0.9*((G870/2)+((G870-0.11)/PI())))/AA870/1000</f>
        <v>71.137096483304632</v>
      </c>
      <c r="AD870" s="6" t="str">
        <f>+IF(AC870&gt;K870-AB870,"Cumple","No Cumple")</f>
        <v>Cumple</v>
      </c>
      <c r="AE870" s="6"/>
      <c r="AH870" s="3"/>
    </row>
    <row r="871" spans="1:34" x14ac:dyDescent="0.3">
      <c r="A871" s="13"/>
      <c r="B871" s="1">
        <v>16</v>
      </c>
      <c r="C871" s="1">
        <v>599</v>
      </c>
      <c r="D871" s="1">
        <v>1</v>
      </c>
      <c r="E871" s="5">
        <v>1</v>
      </c>
      <c r="F871" s="3">
        <f>F870+E871</f>
        <v>16</v>
      </c>
      <c r="G871" s="5">
        <v>3</v>
      </c>
      <c r="H871" s="3">
        <f>PI()*(G871^2)/4</f>
        <v>7.0685834705770345</v>
      </c>
      <c r="I871" s="4">
        <v>7.0685999999999999E-2</v>
      </c>
      <c r="K871" s="3">
        <v>213.9943831155388</v>
      </c>
      <c r="L871" s="3">
        <v>882.11843999999996</v>
      </c>
      <c r="M871" s="3">
        <v>1214.9423099999999</v>
      </c>
      <c r="N871" s="12">
        <f>I871/H871</f>
        <v>1.0000023384349969E-2</v>
      </c>
      <c r="O871" s="11">
        <f>I871*10000</f>
        <v>706.86</v>
      </c>
      <c r="P871" s="1">
        <v>10</v>
      </c>
      <c r="Q871" s="15">
        <v>1</v>
      </c>
      <c r="R871" s="3">
        <f>Q871*VLOOKUP(P871,[1]Datos!$A$2:$D$14,2)</f>
        <v>8.19</v>
      </c>
      <c r="S871" s="10">
        <f>ROUNDUP(O871/R871,0)</f>
        <v>87</v>
      </c>
      <c r="T871" s="14">
        <v>87</v>
      </c>
      <c r="U871" s="3">
        <f>ROUNDDOWN(PI()*(G871-0.185)/T871,2)</f>
        <v>0.1</v>
      </c>
      <c r="V871" s="3"/>
      <c r="W871" s="1">
        <v>280</v>
      </c>
      <c r="X871" s="9">
        <v>2</v>
      </c>
      <c r="Y871" s="1">
        <v>4</v>
      </c>
      <c r="Z871" s="3">
        <f>X871*VLOOKUP(Y871,[1]Datos!$A$2:$D$14,2)</f>
        <v>2.58</v>
      </c>
      <c r="AA871" s="8">
        <v>0.3</v>
      </c>
      <c r="AB871" s="7">
        <f>IF(D871=0,0.9,0.5)*0.9*0.53*SQRT(W871)*G871*MAX(0.72*G871,0.9*((G871/2)+((G871-0.11)/PI())))*10</f>
        <v>260.7542389499979</v>
      </c>
      <c r="AC871" s="7">
        <f>0.9*Z871*4220*MAX(0.72*G871,0.9*((G871/2)+((G871-0.11)/PI())))/AA871/1000</f>
        <v>71.137096483304632</v>
      </c>
      <c r="AD871" s="6" t="str">
        <f>+IF(AC871&gt;K871-AB871,"Cumple","No Cumple")</f>
        <v>Cumple</v>
      </c>
      <c r="AE871" s="6"/>
      <c r="AH871" s="3"/>
    </row>
    <row r="872" spans="1:34" x14ac:dyDescent="0.3">
      <c r="A872" s="13"/>
      <c r="B872" s="1">
        <v>17</v>
      </c>
      <c r="C872" s="1">
        <v>601</v>
      </c>
      <c r="D872" s="1">
        <v>1</v>
      </c>
      <c r="E872" s="5">
        <v>1</v>
      </c>
      <c r="F872" s="3">
        <f>F871+E872</f>
        <v>17</v>
      </c>
      <c r="G872" s="5">
        <v>3</v>
      </c>
      <c r="H872" s="3">
        <f>PI()*(G872^2)/4</f>
        <v>7.0685834705770345</v>
      </c>
      <c r="I872" s="4">
        <v>7.0685999999999999E-2</v>
      </c>
      <c r="K872" s="3">
        <v>195.24248520119795</v>
      </c>
      <c r="L872" s="3">
        <v>830.44938000000002</v>
      </c>
      <c r="M872" s="3">
        <v>1012.69052</v>
      </c>
      <c r="N872" s="12">
        <f>I872/H872</f>
        <v>1.0000023384349969E-2</v>
      </c>
      <c r="O872" s="11">
        <f>I872*10000</f>
        <v>706.86</v>
      </c>
      <c r="P872" s="1">
        <v>10</v>
      </c>
      <c r="Q872" s="1">
        <v>1</v>
      </c>
      <c r="R872" s="3">
        <f>Q872*VLOOKUP(P872,[1]Datos!$A$2:$D$14,2)</f>
        <v>8.19</v>
      </c>
      <c r="S872" s="10">
        <f>ROUNDUP(O872/R872,0)</f>
        <v>87</v>
      </c>
      <c r="T872" s="2">
        <v>87</v>
      </c>
      <c r="U872" s="3">
        <f>ROUNDDOWN(PI()*(G872-0.185)/T872,2)</f>
        <v>0.1</v>
      </c>
      <c r="V872" s="3"/>
      <c r="W872" s="1">
        <v>280</v>
      </c>
      <c r="X872" s="9">
        <v>2</v>
      </c>
      <c r="Y872" s="1">
        <v>4</v>
      </c>
      <c r="Z872" s="3">
        <f>X872*VLOOKUP(Y872,[1]Datos!$A$2:$D$14,2)</f>
        <v>2.58</v>
      </c>
      <c r="AA872" s="8">
        <v>0.3</v>
      </c>
      <c r="AB872" s="7">
        <f>IF(D872=0,0.9,0.5)*0.9*0.53*SQRT(W872)*G872*MAX(0.72*G872,0.9*((G872/2)+((G872-0.11)/PI())))*10</f>
        <v>260.7542389499979</v>
      </c>
      <c r="AC872" s="7">
        <f>0.9*Z872*4220*MAX(0.72*G872,0.9*((G872/2)+((G872-0.11)/PI())))/AA872/1000</f>
        <v>71.137096483304632</v>
      </c>
      <c r="AD872" s="6" t="str">
        <f>+IF(AC872&gt;K872-AB872,"Cumple","No Cumple")</f>
        <v>Cumple</v>
      </c>
      <c r="AE872" s="6"/>
      <c r="AH872" s="3"/>
    </row>
    <row r="873" spans="1:34" x14ac:dyDescent="0.3">
      <c r="A873" s="13"/>
      <c r="B873" s="1">
        <v>18</v>
      </c>
      <c r="C873" s="1">
        <v>603</v>
      </c>
      <c r="D873" s="1">
        <v>1</v>
      </c>
      <c r="E873" s="5">
        <v>1</v>
      </c>
      <c r="F873" s="3">
        <f>F872+E873</f>
        <v>18</v>
      </c>
      <c r="G873" s="5">
        <v>3</v>
      </c>
      <c r="H873" s="3">
        <f>PI()*(G873^2)/4</f>
        <v>7.0685834705770345</v>
      </c>
      <c r="I873" s="4">
        <v>7.0685999999999999E-2</v>
      </c>
      <c r="K873" s="3">
        <v>176.53797399248128</v>
      </c>
      <c r="L873" s="3">
        <v>762.84027000000003</v>
      </c>
      <c r="M873" s="3">
        <v>826.51248999999996</v>
      </c>
      <c r="N873" s="12">
        <f>I873/H873</f>
        <v>1.0000023384349969E-2</v>
      </c>
      <c r="O873" s="11">
        <f>I873*10000</f>
        <v>706.86</v>
      </c>
      <c r="P873" s="1">
        <v>10</v>
      </c>
      <c r="Q873" s="1">
        <v>1</v>
      </c>
      <c r="R873" s="3">
        <f>Q873*VLOOKUP(P873,[1]Datos!$A$2:$D$14,2)</f>
        <v>8.19</v>
      </c>
      <c r="S873" s="10">
        <f>ROUNDUP(O873/R873,0)</f>
        <v>87</v>
      </c>
      <c r="T873" s="2">
        <v>87</v>
      </c>
      <c r="U873" s="3">
        <f>ROUNDDOWN(PI()*(G873-0.185)/T873,2)</f>
        <v>0.1</v>
      </c>
      <c r="V873" s="3"/>
      <c r="W873" s="1">
        <v>280</v>
      </c>
      <c r="X873" s="9">
        <v>2</v>
      </c>
      <c r="Y873" s="1">
        <v>4</v>
      </c>
      <c r="Z873" s="3">
        <f>X873*VLOOKUP(Y873,[1]Datos!$A$2:$D$14,2)</f>
        <v>2.58</v>
      </c>
      <c r="AA873" s="8">
        <v>0.3</v>
      </c>
      <c r="AB873" s="7">
        <f>IF(D873=0,0.9,0.5)*0.9*0.53*SQRT(W873)*G873*MAX(0.72*G873,0.9*((G873/2)+((G873-0.11)/PI())))*10</f>
        <v>260.7542389499979</v>
      </c>
      <c r="AC873" s="7">
        <f>0.9*Z873*4220*MAX(0.72*G873,0.9*((G873/2)+((G873-0.11)/PI())))/AA873/1000</f>
        <v>71.137096483304632</v>
      </c>
      <c r="AD873" s="6" t="str">
        <f>+IF(AC873&gt;K873-AB873,"Cumple","No Cumple")</f>
        <v>Cumple</v>
      </c>
      <c r="AE873" s="6"/>
      <c r="AH873" s="3"/>
    </row>
    <row r="874" spans="1:34" x14ac:dyDescent="0.3">
      <c r="A874" s="13"/>
      <c r="B874" s="1">
        <v>19</v>
      </c>
      <c r="C874" s="1">
        <v>605</v>
      </c>
      <c r="D874" s="1">
        <v>1</v>
      </c>
      <c r="E874" s="5">
        <v>1</v>
      </c>
      <c r="F874" s="3">
        <f>F873+E874</f>
        <v>19</v>
      </c>
      <c r="G874" s="5">
        <v>3</v>
      </c>
      <c r="H874" s="3">
        <f>PI()*(G874^2)/4</f>
        <v>7.0685834705770345</v>
      </c>
      <c r="I874" s="4">
        <v>7.0685999999999999E-2</v>
      </c>
      <c r="K874" s="3">
        <v>156.58367817247111</v>
      </c>
      <c r="L874" s="3">
        <v>684.41905999999994</v>
      </c>
      <c r="M874" s="3">
        <v>659.18805999999995</v>
      </c>
      <c r="N874" s="12">
        <f>I874/H874</f>
        <v>1.0000023384349969E-2</v>
      </c>
      <c r="O874" s="11">
        <f>I874*10000</f>
        <v>706.86</v>
      </c>
      <c r="P874" s="1">
        <v>10</v>
      </c>
      <c r="Q874" s="1">
        <v>1</v>
      </c>
      <c r="R874" s="3">
        <f>Q874*VLOOKUP(P874,[1]Datos!$A$2:$D$14,2)</f>
        <v>8.19</v>
      </c>
      <c r="S874" s="10">
        <f>ROUNDUP(O874/R874,0)</f>
        <v>87</v>
      </c>
      <c r="T874" s="2">
        <v>87</v>
      </c>
      <c r="U874" s="3">
        <f>ROUNDDOWN(PI()*(G874-0.185)/T874,2)</f>
        <v>0.1</v>
      </c>
      <c r="V874" s="3"/>
      <c r="W874" s="1">
        <v>280</v>
      </c>
      <c r="X874" s="9">
        <v>2</v>
      </c>
      <c r="Y874" s="1">
        <v>4</v>
      </c>
      <c r="Z874" s="3">
        <f>X874*VLOOKUP(Y874,[1]Datos!$A$2:$D$14,2)</f>
        <v>2.58</v>
      </c>
      <c r="AA874" s="8">
        <v>0.3</v>
      </c>
      <c r="AB874" s="7">
        <f>IF(D874=0,0.9,0.5)*0.9*0.53*SQRT(W874)*G874*MAX(0.72*G874,0.9*((G874/2)+((G874-0.11)/PI())))*10</f>
        <v>260.7542389499979</v>
      </c>
      <c r="AC874" s="7">
        <f>0.9*Z874*4220*MAX(0.72*G874,0.9*((G874/2)+((G874-0.11)/PI())))/AA874/1000</f>
        <v>71.137096483304632</v>
      </c>
      <c r="AD874" s="6" t="str">
        <f>+IF(AC874&gt;K874-AB874,"Cumple","No Cumple")</f>
        <v>Cumple</v>
      </c>
      <c r="AE874" s="6"/>
      <c r="AH874" s="3"/>
    </row>
    <row r="875" spans="1:34" x14ac:dyDescent="0.3">
      <c r="A875" s="13"/>
      <c r="B875" s="1">
        <v>20</v>
      </c>
      <c r="C875" s="1">
        <v>607</v>
      </c>
      <c r="D875" s="1">
        <v>1</v>
      </c>
      <c r="E875" s="5">
        <v>1</v>
      </c>
      <c r="F875" s="3">
        <f>F874+E875</f>
        <v>20</v>
      </c>
      <c r="G875" s="5">
        <v>3</v>
      </c>
      <c r="H875" s="3">
        <f>PI()*(G875^2)/4</f>
        <v>7.0685834705770345</v>
      </c>
      <c r="I875" s="4">
        <v>7.0685999999999999E-2</v>
      </c>
      <c r="K875" s="3">
        <v>136.10050576720866</v>
      </c>
      <c r="L875" s="3">
        <v>599.89475000000004</v>
      </c>
      <c r="M875" s="3">
        <v>512.56282999999996</v>
      </c>
      <c r="N875" s="12">
        <f>I875/H875</f>
        <v>1.0000023384349969E-2</v>
      </c>
      <c r="O875" s="11">
        <f>I875*10000</f>
        <v>706.86</v>
      </c>
      <c r="P875" s="1">
        <v>10</v>
      </c>
      <c r="Q875" s="15">
        <v>1</v>
      </c>
      <c r="R875" s="3">
        <f>Q875*VLOOKUP(P875,[1]Datos!$A$2:$D$14,2)</f>
        <v>8.19</v>
      </c>
      <c r="S875" s="10">
        <f>ROUNDUP(O875/R875,0)</f>
        <v>87</v>
      </c>
      <c r="T875" s="14">
        <v>87</v>
      </c>
      <c r="U875" s="3">
        <f>ROUNDDOWN(PI()*(G875-0.185)/T875,2)</f>
        <v>0.1</v>
      </c>
      <c r="V875" s="3"/>
      <c r="W875" s="1">
        <v>280</v>
      </c>
      <c r="X875" s="9">
        <v>2</v>
      </c>
      <c r="Y875" s="1">
        <v>4</v>
      </c>
      <c r="Z875" s="3">
        <f>X875*VLOOKUP(Y875,[1]Datos!$A$2:$D$14,2)</f>
        <v>2.58</v>
      </c>
      <c r="AA875" s="8">
        <v>0.3</v>
      </c>
      <c r="AB875" s="7">
        <f>IF(D875=0,0.9,0.5)*0.9*0.53*SQRT(W875)*G875*MAX(0.72*G875,0.9*((G875/2)+((G875-0.11)/PI())))*10</f>
        <v>260.7542389499979</v>
      </c>
      <c r="AC875" s="7">
        <f>0.9*Z875*4220*MAX(0.72*G875,0.9*((G875/2)+((G875-0.11)/PI())))/AA875/1000</f>
        <v>71.137096483304632</v>
      </c>
      <c r="AD875" s="6" t="str">
        <f>+IF(AC875&gt;K875-AB875,"Cumple","No Cumple")</f>
        <v>Cumple</v>
      </c>
      <c r="AE875" s="6"/>
      <c r="AH875" s="3"/>
    </row>
    <row r="876" spans="1:34" x14ac:dyDescent="0.3">
      <c r="A876" s="13"/>
      <c r="B876" s="1">
        <v>21</v>
      </c>
      <c r="C876" s="1">
        <v>657</v>
      </c>
      <c r="D876" s="1">
        <v>1</v>
      </c>
      <c r="E876" s="5">
        <v>1</v>
      </c>
      <c r="F876" s="3">
        <f>F875+E876</f>
        <v>21</v>
      </c>
      <c r="G876" s="5">
        <v>3</v>
      </c>
      <c r="H876" s="3">
        <f>PI()*(G876^2)/4</f>
        <v>7.0685834705770345</v>
      </c>
      <c r="I876" s="4">
        <v>7.0685999999999999E-2</v>
      </c>
      <c r="K876" s="3">
        <v>115.78375394765018</v>
      </c>
      <c r="L876" s="3">
        <v>513.34625000000005</v>
      </c>
      <c r="M876" s="3">
        <v>387.61223000000001</v>
      </c>
      <c r="N876" s="12">
        <f>I876/H876</f>
        <v>1.0000023384349969E-2</v>
      </c>
      <c r="O876" s="11">
        <f>I876*10000</f>
        <v>706.86</v>
      </c>
      <c r="P876" s="1">
        <v>10</v>
      </c>
      <c r="Q876" s="15">
        <v>1</v>
      </c>
      <c r="R876" s="3">
        <f>Q876*VLOOKUP(P876,[1]Datos!$A$2:$D$14,2)</f>
        <v>8.19</v>
      </c>
      <c r="S876" s="10">
        <f>ROUNDUP(O876/R876,0)</f>
        <v>87</v>
      </c>
      <c r="T876" s="14">
        <v>87</v>
      </c>
      <c r="U876" s="3">
        <f>ROUNDDOWN(PI()*(G876-0.185)/T876,2)</f>
        <v>0.1</v>
      </c>
      <c r="V876" s="3"/>
      <c r="W876" s="1">
        <v>280</v>
      </c>
      <c r="X876" s="9">
        <v>2</v>
      </c>
      <c r="Y876" s="1">
        <v>4</v>
      </c>
      <c r="Z876" s="3">
        <f>X876*VLOOKUP(Y876,[1]Datos!$A$2:$D$14,2)</f>
        <v>2.58</v>
      </c>
      <c r="AA876" s="8">
        <v>0.3</v>
      </c>
      <c r="AB876" s="7">
        <f>IF(D876=0,0.9,0.5)*0.9*0.53*SQRT(W876)*G876*MAX(0.72*G876,0.9*((G876/2)+((G876-0.11)/PI())))*10</f>
        <v>260.7542389499979</v>
      </c>
      <c r="AC876" s="7">
        <f>0.9*Z876*4220*MAX(0.72*G876,0.9*((G876/2)+((G876-0.11)/PI())))/AA876/1000</f>
        <v>71.137096483304632</v>
      </c>
      <c r="AD876" s="6" t="str">
        <f>+IF(AC876&gt;K876-AB876,"Cumple","No Cumple")</f>
        <v>Cumple</v>
      </c>
      <c r="AE876" s="6"/>
      <c r="AH876" s="3"/>
    </row>
    <row r="877" spans="1:34" x14ac:dyDescent="0.3">
      <c r="A877" s="13"/>
      <c r="B877" s="1">
        <v>22</v>
      </c>
      <c r="C877" s="1">
        <v>658</v>
      </c>
      <c r="D877" s="1">
        <v>1</v>
      </c>
      <c r="E877" s="5">
        <v>1</v>
      </c>
      <c r="F877" s="3">
        <f>F876+E877</f>
        <v>22</v>
      </c>
      <c r="G877" s="5">
        <v>3</v>
      </c>
      <c r="H877" s="3">
        <f>PI()*(G877^2)/4</f>
        <v>7.0685834705770345</v>
      </c>
      <c r="I877" s="4">
        <v>7.0685999999999999E-2</v>
      </c>
      <c r="K877" s="3">
        <v>96.643807832731824</v>
      </c>
      <c r="L877" s="3">
        <v>428.18374</v>
      </c>
      <c r="M877" s="3">
        <v>284.55047000000002</v>
      </c>
      <c r="N877" s="12">
        <f>I877/H877</f>
        <v>1.0000023384349969E-2</v>
      </c>
      <c r="O877" s="11">
        <f>I877*10000</f>
        <v>706.86</v>
      </c>
      <c r="P877" s="1">
        <v>10</v>
      </c>
      <c r="Q877" s="15">
        <v>1</v>
      </c>
      <c r="R877" s="3">
        <f>Q877*VLOOKUP(P877,[1]Datos!$A$2:$D$14,2)</f>
        <v>8.19</v>
      </c>
      <c r="S877" s="10">
        <f>ROUNDUP(O877/R877,0)</f>
        <v>87</v>
      </c>
      <c r="T877" s="14">
        <v>87</v>
      </c>
      <c r="U877" s="3">
        <f>ROUNDDOWN(PI()*(G877-0.185)/T877,2)</f>
        <v>0.1</v>
      </c>
      <c r="V877" s="3"/>
      <c r="W877" s="1">
        <v>280</v>
      </c>
      <c r="X877" s="9">
        <v>2</v>
      </c>
      <c r="Y877" s="1">
        <v>4</v>
      </c>
      <c r="Z877" s="3">
        <f>X877*VLOOKUP(Y877,[1]Datos!$A$2:$D$14,2)</f>
        <v>2.58</v>
      </c>
      <c r="AA877" s="8">
        <v>0.3</v>
      </c>
      <c r="AB877" s="7">
        <f>IF(D877=0,0.9,0.5)*0.9*0.53*SQRT(W877)*G877*MAX(0.72*G877,0.9*((G877/2)+((G877-0.11)/PI())))*10</f>
        <v>260.7542389499979</v>
      </c>
      <c r="AC877" s="7">
        <f>0.9*Z877*4220*MAX(0.72*G877,0.9*((G877/2)+((G877-0.11)/PI())))/AA877/1000</f>
        <v>71.137096483304632</v>
      </c>
      <c r="AD877" s="6" t="str">
        <f>+IF(AC877&gt;K877-AB877,"Cumple","No Cumple")</f>
        <v>Cumple</v>
      </c>
      <c r="AE877" s="6"/>
      <c r="AH877" s="3"/>
    </row>
    <row r="878" spans="1:34" x14ac:dyDescent="0.3">
      <c r="A878" s="13"/>
      <c r="B878" s="1">
        <v>23</v>
      </c>
      <c r="C878" s="1">
        <v>659</v>
      </c>
      <c r="D878" s="1">
        <v>1</v>
      </c>
      <c r="E878" s="5">
        <v>1</v>
      </c>
      <c r="F878" s="3">
        <f>F877+E878</f>
        <v>23</v>
      </c>
      <c r="G878" s="5">
        <v>3</v>
      </c>
      <c r="H878" s="3">
        <f>PI()*(G878^2)/4</f>
        <v>7.0685834705770345</v>
      </c>
      <c r="I878" s="4">
        <v>7.0685999999999999E-2</v>
      </c>
      <c r="K878" s="3">
        <v>87.212913573163007</v>
      </c>
      <c r="L878" s="3">
        <v>347.15125999999998</v>
      </c>
      <c r="M878" s="3">
        <v>202.96118999999999</v>
      </c>
      <c r="N878" s="12">
        <f>I878/H878</f>
        <v>1.0000023384349969E-2</v>
      </c>
      <c r="O878" s="11">
        <f>I878*10000</f>
        <v>706.86</v>
      </c>
      <c r="P878" s="1">
        <v>10</v>
      </c>
      <c r="Q878" s="1">
        <v>1</v>
      </c>
      <c r="R878" s="3">
        <f>Q878*VLOOKUP(P878,[1]Datos!$A$2:$D$14,2)</f>
        <v>8.19</v>
      </c>
      <c r="S878" s="10">
        <f>ROUNDUP(O878/R878,0)</f>
        <v>87</v>
      </c>
      <c r="T878" s="2">
        <v>87</v>
      </c>
      <c r="U878" s="3">
        <f>ROUNDDOWN(PI()*(G878-0.185)/T878,2)</f>
        <v>0.1</v>
      </c>
      <c r="V878" s="3"/>
      <c r="W878" s="1">
        <v>280</v>
      </c>
      <c r="X878" s="9">
        <v>2</v>
      </c>
      <c r="Y878" s="1">
        <v>4</v>
      </c>
      <c r="Z878" s="3">
        <f>X878*VLOOKUP(Y878,[1]Datos!$A$2:$D$14,2)</f>
        <v>2.58</v>
      </c>
      <c r="AA878" s="8">
        <v>0.3</v>
      </c>
      <c r="AB878" s="7">
        <f>IF(D878=0,0.9,0.5)*0.9*0.53*SQRT(W878)*G878*MAX(0.72*G878,0.9*((G878/2)+((G878-0.11)/PI())))*10</f>
        <v>260.7542389499979</v>
      </c>
      <c r="AC878" s="7">
        <f>0.9*Z878*4220*MAX(0.72*G878,0.9*((G878/2)+((G878-0.11)/PI())))/AA878/1000</f>
        <v>71.137096483304632</v>
      </c>
      <c r="AD878" s="6" t="str">
        <f>+IF(AC878&gt;K878-AB878,"Cumple","No Cumple")</f>
        <v>Cumple</v>
      </c>
      <c r="AE878" s="6"/>
      <c r="AH878" s="3"/>
    </row>
    <row r="879" spans="1:34" x14ac:dyDescent="0.3">
      <c r="A879" s="13"/>
      <c r="B879" s="1">
        <v>24</v>
      </c>
      <c r="C879" s="1">
        <v>660</v>
      </c>
      <c r="D879" s="1">
        <v>1</v>
      </c>
      <c r="E879" s="5">
        <v>1</v>
      </c>
      <c r="F879" s="3">
        <f>F878+E879</f>
        <v>24</v>
      </c>
      <c r="G879" s="5">
        <v>3</v>
      </c>
      <c r="H879" s="3">
        <f>PI()*(G879^2)/4</f>
        <v>7.0685834705770345</v>
      </c>
      <c r="I879" s="4">
        <v>7.0685999999999999E-2</v>
      </c>
      <c r="K879" s="3">
        <v>76.769346274994433</v>
      </c>
      <c r="L879" s="3">
        <v>272.36313000000001</v>
      </c>
      <c r="M879" s="3">
        <v>141.86503999999999</v>
      </c>
      <c r="N879" s="12">
        <f>I879/H879</f>
        <v>1.0000023384349969E-2</v>
      </c>
      <c r="O879" s="11">
        <f>I879*10000</f>
        <v>706.86</v>
      </c>
      <c r="P879" s="1">
        <v>10</v>
      </c>
      <c r="Q879" s="1">
        <v>1</v>
      </c>
      <c r="R879" s="3">
        <f>Q879*VLOOKUP(P879,[1]Datos!$A$2:$D$14,2)</f>
        <v>8.19</v>
      </c>
      <c r="S879" s="10">
        <f>ROUNDUP(O879/R879,0)</f>
        <v>87</v>
      </c>
      <c r="T879" s="2">
        <v>87</v>
      </c>
      <c r="U879" s="3">
        <f>ROUNDDOWN(PI()*(G879-0.185)/T879,2)</f>
        <v>0.1</v>
      </c>
      <c r="V879" s="3"/>
      <c r="W879" s="1">
        <v>280</v>
      </c>
      <c r="X879" s="9">
        <v>2</v>
      </c>
      <c r="Y879" s="1">
        <v>4</v>
      </c>
      <c r="Z879" s="3">
        <f>X879*VLOOKUP(Y879,[1]Datos!$A$2:$D$14,2)</f>
        <v>2.58</v>
      </c>
      <c r="AA879" s="8">
        <v>0.3</v>
      </c>
      <c r="AB879" s="7">
        <f>IF(D879=0,0.9,0.5)*0.9*0.53*SQRT(W879)*G879*MAX(0.72*G879,0.9*((G879/2)+((G879-0.11)/PI())))*10</f>
        <v>260.7542389499979</v>
      </c>
      <c r="AC879" s="7">
        <f>0.9*Z879*4220*MAX(0.72*G879,0.9*((G879/2)+((G879-0.11)/PI())))/AA879/1000</f>
        <v>71.137096483304632</v>
      </c>
      <c r="AD879" s="6" t="str">
        <f>+IF(AC879&gt;K879-AB879,"Cumple","No Cumple")</f>
        <v>Cumple</v>
      </c>
      <c r="AE879" s="6"/>
      <c r="AH879" s="3"/>
    </row>
    <row r="880" spans="1:34" x14ac:dyDescent="0.3">
      <c r="A880" s="13"/>
      <c r="B880" s="1">
        <v>25</v>
      </c>
      <c r="C880" s="1">
        <v>661</v>
      </c>
      <c r="D880" s="1">
        <v>1</v>
      </c>
      <c r="E880" s="5">
        <v>1</v>
      </c>
      <c r="F880" s="3">
        <f>F879+E880</f>
        <v>25</v>
      </c>
      <c r="G880" s="5">
        <v>3</v>
      </c>
      <c r="H880" s="3">
        <f>PI()*(G880^2)/4</f>
        <v>7.0685834705770345</v>
      </c>
      <c r="I880" s="4">
        <v>7.0685999999999999E-2</v>
      </c>
      <c r="K880" s="3">
        <v>65.767181826880801</v>
      </c>
      <c r="L880" s="3">
        <v>205.36421000000001</v>
      </c>
      <c r="M880" s="3">
        <v>101.87039</v>
      </c>
      <c r="N880" s="12">
        <f>I880/H880</f>
        <v>1.0000023384349969E-2</v>
      </c>
      <c r="O880" s="11">
        <f>I880*10000</f>
        <v>706.86</v>
      </c>
      <c r="P880" s="1">
        <v>10</v>
      </c>
      <c r="Q880" s="1">
        <v>1</v>
      </c>
      <c r="R880" s="3">
        <f>Q880*VLOOKUP(P880,[1]Datos!$A$2:$D$14,2)</f>
        <v>8.19</v>
      </c>
      <c r="S880" s="10">
        <f>ROUNDUP(O880/R880,0)</f>
        <v>87</v>
      </c>
      <c r="T880" s="2">
        <v>87</v>
      </c>
      <c r="U880" s="3">
        <f>ROUNDDOWN(PI()*(G880-0.185)/T880,2)</f>
        <v>0.1</v>
      </c>
      <c r="V880" s="3"/>
      <c r="W880" s="1">
        <v>280</v>
      </c>
      <c r="X880" s="9">
        <v>2</v>
      </c>
      <c r="Y880" s="1">
        <v>4</v>
      </c>
      <c r="Z880" s="3">
        <f>X880*VLOOKUP(Y880,[1]Datos!$A$2:$D$14,2)</f>
        <v>2.58</v>
      </c>
      <c r="AA880" s="8">
        <v>0.3</v>
      </c>
      <c r="AB880" s="7">
        <f>IF(D880=0,0.9,0.5)*0.9*0.53*SQRT(W880)*G880*MAX(0.72*G880,0.9*((G880/2)+((G880-0.11)/PI())))*10</f>
        <v>260.7542389499979</v>
      </c>
      <c r="AC880" s="7">
        <f>0.9*Z880*4220*MAX(0.72*G880,0.9*((G880/2)+((G880-0.11)/PI())))/AA880/1000</f>
        <v>71.137096483304632</v>
      </c>
      <c r="AD880" s="6" t="str">
        <f>+IF(AC880&gt;K880-AB880,"Cumple","No Cumple")</f>
        <v>Cumple</v>
      </c>
      <c r="AE880" s="6"/>
      <c r="AH880" s="3"/>
    </row>
    <row r="881" spans="1:43" x14ac:dyDescent="0.3">
      <c r="A881" s="13"/>
      <c r="B881" s="1">
        <v>26</v>
      </c>
      <c r="C881" s="1">
        <v>662</v>
      </c>
      <c r="D881" s="1">
        <v>1</v>
      </c>
      <c r="E881" s="5">
        <v>1</v>
      </c>
      <c r="F881" s="3">
        <f>F880+E881</f>
        <v>26</v>
      </c>
      <c r="G881" s="5">
        <v>3</v>
      </c>
      <c r="H881" s="3">
        <f>PI()*(G881^2)/4</f>
        <v>7.0685834705770345</v>
      </c>
      <c r="I881" s="4">
        <v>7.0685999999999999E-2</v>
      </c>
      <c r="K881" s="3">
        <v>54.622009701950738</v>
      </c>
      <c r="L881" s="3">
        <v>147.20872</v>
      </c>
      <c r="M881" s="3">
        <v>74.61148</v>
      </c>
      <c r="N881" s="12">
        <f>I881/H881</f>
        <v>1.0000023384349969E-2</v>
      </c>
      <c r="O881" s="11">
        <f>I881*10000</f>
        <v>706.86</v>
      </c>
      <c r="P881" s="1">
        <v>10</v>
      </c>
      <c r="Q881" s="1">
        <v>1</v>
      </c>
      <c r="R881" s="3">
        <f>Q881*VLOOKUP(P881,[1]Datos!$A$2:$D$14,2)</f>
        <v>8.19</v>
      </c>
      <c r="S881" s="10">
        <f>ROUNDUP(O881/R881,0)</f>
        <v>87</v>
      </c>
      <c r="T881" s="2">
        <v>87</v>
      </c>
      <c r="U881" s="3">
        <f>ROUNDDOWN(PI()*(G881-0.185)/T881,2)</f>
        <v>0.1</v>
      </c>
      <c r="V881" s="3"/>
      <c r="W881" s="1">
        <v>280</v>
      </c>
      <c r="X881" s="9">
        <v>2</v>
      </c>
      <c r="Y881" s="1">
        <v>4</v>
      </c>
      <c r="Z881" s="3">
        <f>X881*VLOOKUP(Y881,[1]Datos!$A$2:$D$14,2)</f>
        <v>2.58</v>
      </c>
      <c r="AA881" s="8">
        <v>0.3</v>
      </c>
      <c r="AB881" s="7">
        <f>IF(D881=0,0.9,0.5)*0.9*0.53*SQRT(W881)*G881*MAX(0.72*G881,0.9*((G881/2)+((G881-0.11)/PI())))*10</f>
        <v>260.7542389499979</v>
      </c>
      <c r="AC881" s="7">
        <f>0.9*Z881*4220*MAX(0.72*G881,0.9*((G881/2)+((G881-0.11)/PI())))/AA881/1000</f>
        <v>71.137096483304632</v>
      </c>
      <c r="AD881" s="6" t="str">
        <f>+IF(AC881&gt;K881-AB881,"Cumple","No Cumple")</f>
        <v>Cumple</v>
      </c>
      <c r="AE881" s="6"/>
      <c r="AH881" s="3"/>
    </row>
    <row r="882" spans="1:43" x14ac:dyDescent="0.3">
      <c r="A882" s="13"/>
      <c r="B882" s="1">
        <v>27</v>
      </c>
      <c r="C882" s="1">
        <v>663</v>
      </c>
      <c r="D882" s="1">
        <v>1</v>
      </c>
      <c r="E882" s="5">
        <v>1</v>
      </c>
      <c r="F882" s="3">
        <f>F881+E882</f>
        <v>27</v>
      </c>
      <c r="G882" s="5">
        <v>3</v>
      </c>
      <c r="H882" s="3">
        <f>PI()*(G882^2)/4</f>
        <v>7.0685834705770345</v>
      </c>
      <c r="I882" s="4">
        <v>7.0685999999999999E-2</v>
      </c>
      <c r="K882" s="3">
        <v>43.712510376893249</v>
      </c>
      <c r="L882" s="3">
        <v>98.548450000000003</v>
      </c>
      <c r="M882" s="3">
        <v>52.877380000000002</v>
      </c>
      <c r="N882" s="12">
        <f>I882/H882</f>
        <v>1.0000023384349969E-2</v>
      </c>
      <c r="O882" s="11">
        <f>I882*10000</f>
        <v>706.86</v>
      </c>
      <c r="P882" s="1">
        <v>10</v>
      </c>
      <c r="Q882" s="1">
        <v>1</v>
      </c>
      <c r="R882" s="3">
        <f>Q882*VLOOKUP(P882,[1]Datos!$A$2:$D$14,2)</f>
        <v>8.19</v>
      </c>
      <c r="S882" s="10">
        <f>ROUNDUP(O882/R882,0)</f>
        <v>87</v>
      </c>
      <c r="T882" s="2">
        <v>87</v>
      </c>
      <c r="U882" s="3">
        <f>ROUNDDOWN(PI()*(G882-0.185)/T882,2)</f>
        <v>0.1</v>
      </c>
      <c r="V882" s="3"/>
      <c r="W882" s="1">
        <v>280</v>
      </c>
      <c r="X882" s="9">
        <v>2</v>
      </c>
      <c r="Y882" s="1">
        <v>4</v>
      </c>
      <c r="Z882" s="3">
        <f>X882*VLOOKUP(Y882,[1]Datos!$A$2:$D$14,2)</f>
        <v>2.58</v>
      </c>
      <c r="AA882" s="8">
        <v>0.3</v>
      </c>
      <c r="AB882" s="7">
        <f>IF(D882=0,0.9,0.5)*0.9*0.53*SQRT(W882)*G882*MAX(0.72*G882,0.9*((G882/2)+((G882-0.11)/PI())))*10</f>
        <v>260.7542389499979</v>
      </c>
      <c r="AC882" s="7">
        <f>0.9*Z882*4220*MAX(0.72*G882,0.9*((G882/2)+((G882-0.11)/PI())))/AA882/1000</f>
        <v>71.137096483304632</v>
      </c>
      <c r="AD882" s="6" t="str">
        <f>+IF(AC882&gt;K882-AB882,"Cumple","No Cumple")</f>
        <v>Cumple</v>
      </c>
      <c r="AE882" s="6"/>
      <c r="AH882" s="3"/>
    </row>
    <row r="883" spans="1:43" x14ac:dyDescent="0.3">
      <c r="A883" s="13"/>
      <c r="B883" s="1">
        <v>28</v>
      </c>
      <c r="C883" s="1">
        <v>664</v>
      </c>
      <c r="D883" s="1">
        <v>1</v>
      </c>
      <c r="E883" s="5">
        <v>1</v>
      </c>
      <c r="F883" s="3">
        <f>F882+E883</f>
        <v>28</v>
      </c>
      <c r="G883" s="5">
        <v>3</v>
      </c>
      <c r="H883" s="3">
        <f>PI()*(G883^2)/4</f>
        <v>7.0685834705770345</v>
      </c>
      <c r="I883" s="4">
        <v>7.0685999999999999E-2</v>
      </c>
      <c r="K883" s="3">
        <v>33.216296417872961</v>
      </c>
      <c r="L883" s="3">
        <v>59.712539999999997</v>
      </c>
      <c r="M883" s="3">
        <v>37.269280000000002</v>
      </c>
      <c r="N883" s="12">
        <f>I883/H883</f>
        <v>1.0000023384349969E-2</v>
      </c>
      <c r="O883" s="11">
        <f>I883*10000</f>
        <v>706.86</v>
      </c>
      <c r="P883" s="1">
        <v>10</v>
      </c>
      <c r="Q883" s="1">
        <v>1</v>
      </c>
      <c r="R883" s="3">
        <f>Q883*VLOOKUP(P883,[1]Datos!$A$2:$D$14,2)</f>
        <v>8.19</v>
      </c>
      <c r="S883" s="10">
        <f>ROUNDUP(O883/R883,0)</f>
        <v>87</v>
      </c>
      <c r="T883" s="2">
        <v>87</v>
      </c>
      <c r="U883" s="3">
        <f>ROUNDDOWN(PI()*(G883-0.185)/T883,2)</f>
        <v>0.1</v>
      </c>
      <c r="V883" s="3"/>
      <c r="W883" s="1">
        <v>280</v>
      </c>
      <c r="X883" s="9">
        <v>2</v>
      </c>
      <c r="Y883" s="1">
        <v>4</v>
      </c>
      <c r="Z883" s="3">
        <f>X883*VLOOKUP(Y883,[1]Datos!$A$2:$D$14,2)</f>
        <v>2.58</v>
      </c>
      <c r="AA883" s="8">
        <v>0.3</v>
      </c>
      <c r="AB883" s="7">
        <f>IF(D883=0,0.9,0.5)*0.9*0.53*SQRT(W883)*G883*MAX(0.72*G883,0.9*((G883/2)+((G883-0.11)/PI())))*10</f>
        <v>260.7542389499979</v>
      </c>
      <c r="AC883" s="7">
        <f>0.9*Z883*4220*MAX(0.72*G883,0.9*((G883/2)+((G883-0.11)/PI())))/AA883/1000</f>
        <v>71.137096483304632</v>
      </c>
      <c r="AD883" s="6" t="str">
        <f>+IF(AC883&gt;K883-AB883,"Cumple","No Cumple")</f>
        <v>Cumple</v>
      </c>
      <c r="AE883" s="6"/>
      <c r="AH883" s="3"/>
    </row>
    <row r="884" spans="1:43" x14ac:dyDescent="0.3">
      <c r="A884" s="13"/>
      <c r="B884" s="1">
        <v>29</v>
      </c>
      <c r="C884" s="1">
        <v>665</v>
      </c>
      <c r="D884" s="1">
        <v>1</v>
      </c>
      <c r="E884" s="5">
        <v>1</v>
      </c>
      <c r="F884" s="3">
        <f>F883+E884</f>
        <v>29</v>
      </c>
      <c r="G884" s="5">
        <v>3</v>
      </c>
      <c r="H884" s="3">
        <f>PI()*(G884^2)/4</f>
        <v>7.0685834705770345</v>
      </c>
      <c r="I884" s="4">
        <v>7.0685999999999999E-2</v>
      </c>
      <c r="K884" s="3">
        <v>22.997409011669117</v>
      </c>
      <c r="L884" s="3">
        <v>30.74973</v>
      </c>
      <c r="M884" s="3">
        <v>22.830449999999999</v>
      </c>
      <c r="N884" s="12">
        <f>I884/H884</f>
        <v>1.0000023384349969E-2</v>
      </c>
      <c r="O884" s="11">
        <f>I884*10000</f>
        <v>706.86</v>
      </c>
      <c r="P884" s="1">
        <v>10</v>
      </c>
      <c r="Q884" s="1">
        <v>1</v>
      </c>
      <c r="R884" s="3">
        <f>Q884*VLOOKUP(P884,[1]Datos!$A$2:$D$14,2)</f>
        <v>8.19</v>
      </c>
      <c r="S884" s="10">
        <f>ROUNDUP(O884/R884,0)</f>
        <v>87</v>
      </c>
      <c r="T884" s="2">
        <v>87</v>
      </c>
      <c r="U884" s="3">
        <f>ROUNDDOWN(PI()*(G884-0.185)/T884,2)</f>
        <v>0.1</v>
      </c>
      <c r="V884" s="3"/>
      <c r="W884" s="1">
        <v>280</v>
      </c>
      <c r="X884" s="9">
        <v>2</v>
      </c>
      <c r="Y884" s="1">
        <v>4</v>
      </c>
      <c r="Z884" s="3">
        <f>X884*VLOOKUP(Y884,[1]Datos!$A$2:$D$14,2)</f>
        <v>2.58</v>
      </c>
      <c r="AA884" s="8">
        <v>0.3</v>
      </c>
      <c r="AB884" s="7">
        <f>IF(D884=0,0.9,0.5)*0.9*0.53*SQRT(W884)*G884*MAX(0.72*G884,0.9*((G884/2)+((G884-0.11)/PI())))*10</f>
        <v>260.7542389499979</v>
      </c>
      <c r="AC884" s="7">
        <f>0.9*Z884*4220*MAX(0.72*G884,0.9*((G884/2)+((G884-0.11)/PI())))/AA884/1000</f>
        <v>71.137096483304632</v>
      </c>
      <c r="AD884" s="6" t="str">
        <f>+IF(AC884&gt;K884-AB884,"Cumple","No Cumple")</f>
        <v>Cumple</v>
      </c>
      <c r="AE884" s="6"/>
      <c r="AH884" s="3"/>
    </row>
    <row r="885" spans="1:43" x14ac:dyDescent="0.3">
      <c r="A885" s="13"/>
      <c r="B885" s="1">
        <v>30</v>
      </c>
      <c r="C885" s="1">
        <v>667</v>
      </c>
      <c r="D885" s="1">
        <v>1</v>
      </c>
      <c r="E885" s="5">
        <v>1</v>
      </c>
      <c r="F885" s="3">
        <f>F884+E885</f>
        <v>30</v>
      </c>
      <c r="G885" s="5">
        <v>3</v>
      </c>
      <c r="H885" s="3">
        <f>PI()*(G885^2)/4</f>
        <v>7.0685834705770345</v>
      </c>
      <c r="I885" s="4">
        <v>7.0685999999999999E-2</v>
      </c>
      <c r="K885" s="3">
        <v>13.422930669939408</v>
      </c>
      <c r="L885" s="3">
        <v>11.317080000000001</v>
      </c>
      <c r="M885" s="3">
        <v>10.00254</v>
      </c>
      <c r="N885" s="12">
        <f>I885/H885</f>
        <v>1.0000023384349969E-2</v>
      </c>
      <c r="O885" s="11">
        <f>I885*10000</f>
        <v>706.86</v>
      </c>
      <c r="P885" s="1">
        <v>10</v>
      </c>
      <c r="Q885" s="1">
        <v>1</v>
      </c>
      <c r="R885" s="3">
        <f>Q885*VLOOKUP(P885,[1]Datos!$A$2:$D$14,2)</f>
        <v>8.19</v>
      </c>
      <c r="S885" s="10">
        <f>ROUNDUP(O885/R885,0)</f>
        <v>87</v>
      </c>
      <c r="T885" s="2">
        <v>87</v>
      </c>
      <c r="U885" s="3">
        <f>ROUNDDOWN(PI()*(G885-0.185)/T885,2)</f>
        <v>0.1</v>
      </c>
      <c r="V885" s="3"/>
      <c r="W885" s="1">
        <v>280</v>
      </c>
      <c r="X885" s="9">
        <v>2</v>
      </c>
      <c r="Y885" s="1">
        <v>4</v>
      </c>
      <c r="Z885" s="3">
        <f>X885*VLOOKUP(Y885,[1]Datos!$A$2:$D$14,2)</f>
        <v>2.58</v>
      </c>
      <c r="AA885" s="8">
        <v>0.3</v>
      </c>
      <c r="AB885" s="7">
        <f>IF(D885=0,0.9,0.5)*0.9*0.53*SQRT(W885)*G885*MAX(0.72*G885,0.9*((G885/2)+((G885-0.11)/PI())))*10</f>
        <v>260.7542389499979</v>
      </c>
      <c r="AC885" s="7">
        <f>0.9*Z885*4220*MAX(0.72*G885,0.9*((G885/2)+((G885-0.11)/PI())))/AA885/1000</f>
        <v>71.137096483304632</v>
      </c>
      <c r="AD885" s="6" t="str">
        <f>+IF(AC885&gt;K885-AB885,"Cumple","No Cumple")</f>
        <v>Cumple</v>
      </c>
      <c r="AE885" s="6"/>
      <c r="AH885" s="3"/>
    </row>
    <row r="886" spans="1:43" x14ac:dyDescent="0.3">
      <c r="A886" s="13" t="s">
        <v>4</v>
      </c>
      <c r="B886" s="1">
        <v>1</v>
      </c>
      <c r="C886" s="1">
        <v>568</v>
      </c>
      <c r="D886" s="1">
        <v>1</v>
      </c>
      <c r="E886" s="5">
        <v>1</v>
      </c>
      <c r="F886" s="3">
        <f>E886</f>
        <v>1</v>
      </c>
      <c r="G886" s="5">
        <v>3</v>
      </c>
      <c r="H886" s="3">
        <f>PI()*(G886^2)/4</f>
        <v>7.0685834705770345</v>
      </c>
      <c r="I886" s="4">
        <v>9.0464000000000003E-2</v>
      </c>
      <c r="K886" s="3">
        <v>613.67906967119234</v>
      </c>
      <c r="L886" s="3">
        <v>3404.8508299999999</v>
      </c>
      <c r="M886" s="3">
        <v>2896.28559</v>
      </c>
      <c r="N886" s="12">
        <f>I886/H886</f>
        <v>1.2798038019435751E-2</v>
      </c>
      <c r="O886" s="11">
        <f>I886*10000</f>
        <v>904.64</v>
      </c>
      <c r="P886" s="1">
        <v>10</v>
      </c>
      <c r="Q886" s="1">
        <v>1.5</v>
      </c>
      <c r="R886" s="3">
        <f>Q886*VLOOKUP(P886,[1]Datos!$A$2:$D$14,2)</f>
        <v>12.285</v>
      </c>
      <c r="S886" s="10">
        <f>ROUNDUP(O886/R886,0)</f>
        <v>74</v>
      </c>
      <c r="T886" s="2">
        <v>87</v>
      </c>
      <c r="U886" s="3">
        <f>ROUNDDOWN(PI()*(G886-0.185)/T886,2)</f>
        <v>0.1</v>
      </c>
      <c r="V886" s="3"/>
      <c r="W886" s="1">
        <v>280</v>
      </c>
      <c r="X886" s="9">
        <v>2</v>
      </c>
      <c r="Y886" s="1">
        <v>6</v>
      </c>
      <c r="Z886" s="3">
        <f>X886*VLOOKUP(Y886,[1]Datos!$A$2:$D$14,2)</f>
        <v>5.68</v>
      </c>
      <c r="AA886" s="8">
        <v>4.972E-2</v>
      </c>
      <c r="AB886" s="7">
        <f>IF(D886=0,0.9,0.5)*0.9*0.53*SQRT(W886)*G886*MAX(0.72*G886,0.9*((G886/2)+((G886-0.11)/PI())))*10</f>
        <v>260.7542389499979</v>
      </c>
      <c r="AC886" s="7">
        <f>0.9*Z886*4220*MAX(0.72*G886,0.9*((G886/2)+((G886-0.11)/PI())))/AA886/1000</f>
        <v>944.96320797669352</v>
      </c>
      <c r="AD886" s="6" t="str">
        <f>+IF(AC886&gt;K886-AB886,"Cumple","No Cumple")</f>
        <v>Cumple</v>
      </c>
      <c r="AE886" s="6"/>
      <c r="AG886" s="7">
        <f>ROUNDUP(MAX(0.45,3*G886,),0)</f>
        <v>9</v>
      </c>
      <c r="AH886" s="3">
        <f>PI()*(G886-0.15)^2/4</f>
        <v>6.3793965821957741</v>
      </c>
      <c r="AI886" s="7">
        <f>G886-0.15-VLOOKUP(Y886,[1]Datos!$A$2:$D$14,3)/100</f>
        <v>2.8309000000000002</v>
      </c>
      <c r="AJ886" s="7">
        <f>SQRT((PI()*AI886)^2+AA886^2)</f>
        <v>8.8936736237329566</v>
      </c>
      <c r="AK886" s="1">
        <v>0.12</v>
      </c>
      <c r="AL886" s="16">
        <f>MAX(0.45*(H886/AH886-1),AK886)*(W886/4220)</f>
        <v>7.9620853080568724E-3</v>
      </c>
      <c r="AM886" s="7">
        <f>AG886*(AJ886/AA886)</f>
        <v>1609.8765610136084</v>
      </c>
      <c r="AN886" s="17">
        <f>AM886*Z886/X886/10000</f>
        <v>0.45720494332786477</v>
      </c>
      <c r="AO886" s="17">
        <f>AH886*AG886</f>
        <v>57.414569239761967</v>
      </c>
      <c r="AP886" s="16">
        <f>AN886/AO886</f>
        <v>7.9632216941067178E-3</v>
      </c>
      <c r="AQ886" s="6" t="str">
        <f>+IF(AP886&gt;AL886,"Cumple","No Cumple")</f>
        <v>Cumple</v>
      </c>
    </row>
    <row r="887" spans="1:43" x14ac:dyDescent="0.3">
      <c r="A887" s="13"/>
      <c r="B887" s="1">
        <v>2</v>
      </c>
      <c r="C887" s="1">
        <v>570</v>
      </c>
      <c r="D887" s="1">
        <v>1</v>
      </c>
      <c r="E887" s="5">
        <v>1</v>
      </c>
      <c r="F887" s="3">
        <f>F886+E887</f>
        <v>2</v>
      </c>
      <c r="G887" s="5">
        <v>3</v>
      </c>
      <c r="H887" s="3">
        <f>PI()*(G887^2)/4</f>
        <v>7.0685834705770345</v>
      </c>
      <c r="I887" s="4">
        <v>7.1068000000000006E-2</v>
      </c>
      <c r="K887" s="3">
        <v>600.00874820644071</v>
      </c>
      <c r="L887" s="3">
        <v>2846.9666000000002</v>
      </c>
      <c r="M887" s="3">
        <v>2955.8849</v>
      </c>
      <c r="N887" s="12">
        <f>I887/H887</f>
        <v>1.005406532947095E-2</v>
      </c>
      <c r="O887" s="11">
        <f>I887*10000</f>
        <v>710.68000000000006</v>
      </c>
      <c r="P887" s="1">
        <v>10</v>
      </c>
      <c r="Q887" s="1">
        <v>1.5</v>
      </c>
      <c r="R887" s="3">
        <f>Q887*VLOOKUP(P887,[1]Datos!$A$2:$D$14,2)</f>
        <v>12.285</v>
      </c>
      <c r="S887" s="10">
        <f>ROUNDUP(O887/R887,0)</f>
        <v>58</v>
      </c>
      <c r="T887" s="2">
        <v>87</v>
      </c>
      <c r="U887" s="3">
        <f>ROUNDDOWN(PI()*(G887-0.185)/T887,2)</f>
        <v>0.1</v>
      </c>
      <c r="V887" s="3"/>
      <c r="W887" s="1">
        <v>280</v>
      </c>
      <c r="X887" s="9">
        <v>2</v>
      </c>
      <c r="Y887" s="1">
        <v>6</v>
      </c>
      <c r="Z887" s="3">
        <f>X887*VLOOKUP(Y887,[1]Datos!$A$2:$D$14,2)</f>
        <v>5.68</v>
      </c>
      <c r="AA887" s="8">
        <v>4.972E-2</v>
      </c>
      <c r="AB887" s="7">
        <f>IF(D887=0,0.9,0.5)*0.9*0.53*SQRT(W887)*G887*MAX(0.72*G887,0.9*((G887/2)+((G887-0.11)/PI())))*10</f>
        <v>260.7542389499979</v>
      </c>
      <c r="AC887" s="7">
        <f>0.9*Z887*4220*MAX(0.72*G887,0.9*((G887/2)+((G887-0.11)/PI())))/AA887/1000</f>
        <v>944.96320797669352</v>
      </c>
      <c r="AD887" s="6" t="str">
        <f>+IF(AC887&gt;K887-AB887,"Cumple","No Cumple")</f>
        <v>Cumple</v>
      </c>
      <c r="AE887" s="6"/>
      <c r="AG887" s="7">
        <f>ROUNDUP(MAX(0.45,3*G887,),0)</f>
        <v>9</v>
      </c>
      <c r="AH887" s="3">
        <f>PI()*(G887-0.15)^2/4</f>
        <v>6.3793965821957741</v>
      </c>
      <c r="AI887" s="7">
        <f>G887-0.15-VLOOKUP(Y887,[1]Datos!$A$2:$D$14,3)/100</f>
        <v>2.8309000000000002</v>
      </c>
      <c r="AJ887" s="7">
        <f>SQRT((PI()*AI887)^2+AA887^2)</f>
        <v>8.8936736237329566</v>
      </c>
      <c r="AK887" s="1">
        <v>0.12</v>
      </c>
      <c r="AL887" s="16">
        <f>MAX(0.45*(H887/AH887-1),AK887)*(W887/4220)</f>
        <v>7.9620853080568724E-3</v>
      </c>
      <c r="AM887" s="7">
        <f>AG887*(AJ887/AA887)</f>
        <v>1609.8765610136084</v>
      </c>
      <c r="AN887" s="17">
        <f>AM887*Z887/X887/10000</f>
        <v>0.45720494332786477</v>
      </c>
      <c r="AO887" s="17">
        <f>AH887*AG887</f>
        <v>57.414569239761967</v>
      </c>
      <c r="AP887" s="16">
        <f>AN887/AO887</f>
        <v>7.9632216941067178E-3</v>
      </c>
      <c r="AQ887" s="6" t="str">
        <f>+IF(AP887&gt;AL887,"Cumple","No Cumple")</f>
        <v>Cumple</v>
      </c>
    </row>
    <row r="888" spans="1:43" x14ac:dyDescent="0.3">
      <c r="A888" s="13"/>
      <c r="B888" s="1">
        <v>3</v>
      </c>
      <c r="C888" s="1">
        <v>572</v>
      </c>
      <c r="D888" s="1">
        <v>1</v>
      </c>
      <c r="E888" s="5">
        <v>1</v>
      </c>
      <c r="F888" s="3">
        <f>F887+E888</f>
        <v>3</v>
      </c>
      <c r="G888" s="5">
        <v>3</v>
      </c>
      <c r="H888" s="3">
        <f>PI()*(G888^2)/4</f>
        <v>7.0685834705770345</v>
      </c>
      <c r="I888" s="4">
        <v>7.0685999999999999E-2</v>
      </c>
      <c r="K888" s="3">
        <v>571.10820333920094</v>
      </c>
      <c r="L888" s="3">
        <v>2300.0039200000001</v>
      </c>
      <c r="M888" s="3">
        <v>3001.0718999999999</v>
      </c>
      <c r="N888" s="12">
        <f>I888/H888</f>
        <v>1.0000023384349969E-2</v>
      </c>
      <c r="O888" s="11">
        <f>I888*10000</f>
        <v>706.86</v>
      </c>
      <c r="P888" s="1">
        <v>10</v>
      </c>
      <c r="Q888" s="1">
        <v>1.5</v>
      </c>
      <c r="R888" s="3">
        <f>Q888*VLOOKUP(P888,[1]Datos!$A$2:$D$14,2)</f>
        <v>12.285</v>
      </c>
      <c r="S888" s="10">
        <f>ROUNDUP(O888/R888,0)</f>
        <v>58</v>
      </c>
      <c r="T888" s="2">
        <v>87</v>
      </c>
      <c r="U888" s="3">
        <f>ROUNDDOWN(PI()*(G888-0.185)/T888,2)</f>
        <v>0.1</v>
      </c>
      <c r="V888" s="3"/>
      <c r="W888" s="1">
        <v>280</v>
      </c>
      <c r="X888" s="9">
        <v>2</v>
      </c>
      <c r="Y888" s="1">
        <v>6</v>
      </c>
      <c r="Z888" s="3">
        <f>X888*VLOOKUP(Y888,[1]Datos!$A$2:$D$14,2)</f>
        <v>5.68</v>
      </c>
      <c r="AA888" s="8">
        <v>4.972E-2</v>
      </c>
      <c r="AB888" s="7">
        <f>IF(D888=0,0.9,0.5)*0.9*0.53*SQRT(W888)*G888*MAX(0.72*G888,0.9*((G888/2)+((G888-0.11)/PI())))*10</f>
        <v>260.7542389499979</v>
      </c>
      <c r="AC888" s="7">
        <f>0.9*Z888*4220*MAX(0.72*G888,0.9*((G888/2)+((G888-0.11)/PI())))/AA888/1000</f>
        <v>944.96320797669352</v>
      </c>
      <c r="AD888" s="6" t="str">
        <f>+IF(AC888&gt;K888-AB888,"Cumple","No Cumple")</f>
        <v>Cumple</v>
      </c>
      <c r="AE888" s="6"/>
      <c r="AG888" s="7">
        <f>ROUNDUP(MAX(0.45,3*G888,),0)</f>
        <v>9</v>
      </c>
      <c r="AH888" s="3">
        <f>PI()*(G888-0.15)^2/4</f>
        <v>6.3793965821957741</v>
      </c>
      <c r="AI888" s="7">
        <f>G888-0.15-VLOOKUP(Y888,[1]Datos!$A$2:$D$14,3)/100</f>
        <v>2.8309000000000002</v>
      </c>
      <c r="AJ888" s="7">
        <f>SQRT((PI()*AI888)^2+AA888^2)</f>
        <v>8.8936736237329566</v>
      </c>
      <c r="AK888" s="1">
        <v>0.12</v>
      </c>
      <c r="AL888" s="16">
        <f>MAX(0.45*(H888/AH888-1),AK888)*(W888/4220)</f>
        <v>7.9620853080568724E-3</v>
      </c>
      <c r="AM888" s="7">
        <f>AG888*(AJ888/AA888)</f>
        <v>1609.8765610136084</v>
      </c>
      <c r="AN888" s="17">
        <f>AM888*Z888/X888/10000</f>
        <v>0.45720494332786477</v>
      </c>
      <c r="AO888" s="17">
        <f>AH888*AG888</f>
        <v>57.414569239761967</v>
      </c>
      <c r="AP888" s="16">
        <f>AN888/AO888</f>
        <v>7.9632216941067178E-3</v>
      </c>
      <c r="AQ888" s="6" t="str">
        <f>+IF(AP888&gt;AL888,"Cumple","No Cumple")</f>
        <v>Cumple</v>
      </c>
    </row>
    <row r="889" spans="1:43" x14ac:dyDescent="0.3">
      <c r="A889" s="13"/>
      <c r="B889" s="1">
        <v>4</v>
      </c>
      <c r="C889" s="1">
        <v>574</v>
      </c>
      <c r="D889" s="1">
        <v>1</v>
      </c>
      <c r="E889" s="5">
        <v>1</v>
      </c>
      <c r="F889" s="3">
        <f>F888+E889</f>
        <v>4</v>
      </c>
      <c r="G889" s="5">
        <v>3</v>
      </c>
      <c r="H889" s="3">
        <f>PI()*(G889^2)/4</f>
        <v>7.0685834705770345</v>
      </c>
      <c r="I889" s="4">
        <v>7.0685999999999999E-2</v>
      </c>
      <c r="K889" s="3">
        <v>530.28792677836816</v>
      </c>
      <c r="L889" s="3">
        <v>1778.5299500000001</v>
      </c>
      <c r="M889" s="3">
        <v>3020.3763899999999</v>
      </c>
      <c r="N889" s="12">
        <f>I889/H889</f>
        <v>1.0000023384349969E-2</v>
      </c>
      <c r="O889" s="11">
        <f>I889*10000</f>
        <v>706.86</v>
      </c>
      <c r="P889" s="1">
        <v>10</v>
      </c>
      <c r="Q889" s="1">
        <v>1</v>
      </c>
      <c r="R889" s="3">
        <f>Q889*VLOOKUP(P889,[1]Datos!$A$2:$D$14,2)</f>
        <v>8.19</v>
      </c>
      <c r="S889" s="10">
        <f>ROUNDUP(O889/R889,0)</f>
        <v>87</v>
      </c>
      <c r="T889" s="2">
        <v>87</v>
      </c>
      <c r="U889" s="3">
        <f>ROUNDDOWN(PI()*(G889-0.185)/T889,2)</f>
        <v>0.1</v>
      </c>
      <c r="V889" s="3"/>
      <c r="W889" s="1">
        <v>280</v>
      </c>
      <c r="X889" s="9">
        <v>2</v>
      </c>
      <c r="Y889" s="1">
        <v>6</v>
      </c>
      <c r="Z889" s="3">
        <f>X889*VLOOKUP(Y889,[1]Datos!$A$2:$D$14,2)</f>
        <v>5.68</v>
      </c>
      <c r="AA889" s="8">
        <v>4.972E-2</v>
      </c>
      <c r="AB889" s="7">
        <f>IF(D889=0,0.9,0.5)*0.9*0.53*SQRT(W889)*G889*MAX(0.72*G889,0.9*((G889/2)+((G889-0.11)/PI())))*10</f>
        <v>260.7542389499979</v>
      </c>
      <c r="AC889" s="7">
        <f>0.9*Z889*4220*MAX(0.72*G889,0.9*((G889/2)+((G889-0.11)/PI())))/AA889/1000</f>
        <v>944.96320797669352</v>
      </c>
      <c r="AD889" s="6" t="str">
        <f>+IF(AC889&gt;K889-AB889,"Cumple","No Cumple")</f>
        <v>Cumple</v>
      </c>
      <c r="AE889" s="6"/>
      <c r="AG889" s="7">
        <f>ROUNDUP(MAX(0.45,3*G889,),0)</f>
        <v>9</v>
      </c>
      <c r="AH889" s="3">
        <f>PI()*(G889-0.15)^2/4</f>
        <v>6.3793965821957741</v>
      </c>
      <c r="AI889" s="7">
        <f>G889-0.15-VLOOKUP(Y889,[1]Datos!$A$2:$D$14,3)/100</f>
        <v>2.8309000000000002</v>
      </c>
      <c r="AJ889" s="7">
        <f>SQRT((PI()*AI889)^2+AA889^2)</f>
        <v>8.8936736237329566</v>
      </c>
      <c r="AK889" s="1">
        <v>0.12</v>
      </c>
      <c r="AL889" s="16">
        <f>MAX(0.45*(H889/AH889-1),AK889)*(W889/4220)</f>
        <v>7.9620853080568724E-3</v>
      </c>
      <c r="AM889" s="7">
        <f>AG889*(AJ889/AA889)</f>
        <v>1609.8765610136084</v>
      </c>
      <c r="AN889" s="17">
        <f>AM889*Z889/X889/10000</f>
        <v>0.45720494332786477</v>
      </c>
      <c r="AO889" s="17">
        <f>AH889*AG889</f>
        <v>57.414569239761967</v>
      </c>
      <c r="AP889" s="16">
        <f>AN889/AO889</f>
        <v>7.9632216941067178E-3</v>
      </c>
      <c r="AQ889" s="6" t="str">
        <f>+IF(AP889&gt;AL889,"Cumple","No Cumple")</f>
        <v>Cumple</v>
      </c>
    </row>
    <row r="890" spans="1:43" x14ac:dyDescent="0.3">
      <c r="A890" s="13"/>
      <c r="B890" s="1">
        <v>5</v>
      </c>
      <c r="C890" s="1">
        <v>576</v>
      </c>
      <c r="D890" s="1">
        <v>1</v>
      </c>
      <c r="E890" s="5">
        <v>1</v>
      </c>
      <c r="F890" s="3">
        <f>F889+E890</f>
        <v>5</v>
      </c>
      <c r="G890" s="5">
        <v>3</v>
      </c>
      <c r="H890" s="3">
        <f>PI()*(G890^2)/4</f>
        <v>7.0685834705770345</v>
      </c>
      <c r="I890" s="4">
        <v>7.0685999999999999E-2</v>
      </c>
      <c r="K890" s="3">
        <v>481.25945086430249</v>
      </c>
      <c r="L890" s="3">
        <v>1298.0957000000001</v>
      </c>
      <c r="M890" s="3">
        <v>3020.3763899999999</v>
      </c>
      <c r="N890" s="12">
        <f>I890/H890</f>
        <v>1.0000023384349969E-2</v>
      </c>
      <c r="O890" s="11">
        <f>I890*10000</f>
        <v>706.86</v>
      </c>
      <c r="P890" s="1">
        <v>10</v>
      </c>
      <c r="Q890" s="15">
        <v>1</v>
      </c>
      <c r="R890" s="3">
        <f>Q890*VLOOKUP(P890,[1]Datos!$A$2:$D$14,2)</f>
        <v>8.19</v>
      </c>
      <c r="S890" s="10">
        <f>ROUNDUP(O890/R890,0)</f>
        <v>87</v>
      </c>
      <c r="T890" s="14">
        <v>87</v>
      </c>
      <c r="U890" s="3">
        <f>ROUNDDOWN(PI()*(G890-0.185)/T890,2)</f>
        <v>0.1</v>
      </c>
      <c r="V890" s="3"/>
      <c r="W890" s="1">
        <v>280</v>
      </c>
      <c r="X890" s="9">
        <v>2</v>
      </c>
      <c r="Y890" s="1">
        <v>6</v>
      </c>
      <c r="Z890" s="3">
        <f>X890*VLOOKUP(Y890,[1]Datos!$A$2:$D$14,2)</f>
        <v>5.68</v>
      </c>
      <c r="AA890" s="8">
        <v>4.972E-2</v>
      </c>
      <c r="AB890" s="7">
        <f>IF(D890=0,0.9,0.5)*0.9*0.53*SQRT(W890)*G890*MAX(0.72*G890,0.9*((G890/2)+((G890-0.11)/PI())))*10</f>
        <v>260.7542389499979</v>
      </c>
      <c r="AC890" s="7">
        <f>0.9*Z890*4220*MAX(0.72*G890,0.9*((G890/2)+((G890-0.11)/PI())))/AA890/1000</f>
        <v>944.96320797669352</v>
      </c>
      <c r="AD890" s="6" t="str">
        <f>+IF(AC890&gt;K890-AB890,"Cumple","No Cumple")</f>
        <v>Cumple</v>
      </c>
      <c r="AE890" s="6"/>
      <c r="AG890" s="7">
        <f>ROUNDUP(MAX(0.45,3*G890,),0)</f>
        <v>9</v>
      </c>
      <c r="AH890" s="3">
        <f>PI()*(G890-0.15)^2/4</f>
        <v>6.3793965821957741</v>
      </c>
      <c r="AI890" s="7">
        <f>G890-0.15-VLOOKUP(Y890,[1]Datos!$A$2:$D$14,3)/100</f>
        <v>2.8309000000000002</v>
      </c>
      <c r="AJ890" s="7">
        <f>SQRT((PI()*AI890)^2+AA890^2)</f>
        <v>8.8936736237329566</v>
      </c>
      <c r="AK890" s="1">
        <v>0.12</v>
      </c>
      <c r="AL890" s="16">
        <f>MAX(0.45*(H890/AH890-1),AK890)*(W890/4220)</f>
        <v>7.9620853080568724E-3</v>
      </c>
      <c r="AM890" s="7">
        <f>AG890*(AJ890/AA890)</f>
        <v>1609.8765610136084</v>
      </c>
      <c r="AN890" s="17">
        <f>AM890*Z890/X890/10000</f>
        <v>0.45720494332786477</v>
      </c>
      <c r="AO890" s="17">
        <f>AH890*AG890</f>
        <v>57.414569239761967</v>
      </c>
      <c r="AP890" s="16">
        <f>AN890/AO890</f>
        <v>7.9632216941067178E-3</v>
      </c>
      <c r="AQ890" s="6" t="str">
        <f>+IF(AP890&gt;AL890,"Cumple","No Cumple")</f>
        <v>Cumple</v>
      </c>
    </row>
    <row r="891" spans="1:43" x14ac:dyDescent="0.3">
      <c r="A891" s="13"/>
      <c r="B891" s="1">
        <v>6</v>
      </c>
      <c r="C891" s="1">
        <v>578</v>
      </c>
      <c r="D891" s="1">
        <v>1</v>
      </c>
      <c r="E891" s="5">
        <v>1</v>
      </c>
      <c r="F891" s="3">
        <f>F890+E891</f>
        <v>6</v>
      </c>
      <c r="G891" s="5">
        <v>3</v>
      </c>
      <c r="H891" s="3">
        <f>PI()*(G891^2)/4</f>
        <v>7.0685834705770345</v>
      </c>
      <c r="I891" s="4">
        <v>7.0685999999999999E-2</v>
      </c>
      <c r="K891" s="3">
        <v>428.14474673914896</v>
      </c>
      <c r="L891" s="3">
        <v>884.33847000000003</v>
      </c>
      <c r="M891" s="3">
        <v>3005.2261400000002</v>
      </c>
      <c r="N891" s="12">
        <f>I891/H891</f>
        <v>1.0000023384349969E-2</v>
      </c>
      <c r="O891" s="11">
        <f>I891*10000</f>
        <v>706.86</v>
      </c>
      <c r="P891" s="1">
        <v>10</v>
      </c>
      <c r="Q891" s="15">
        <v>1</v>
      </c>
      <c r="R891" s="3">
        <f>Q891*VLOOKUP(P891,[1]Datos!$A$2:$D$14,2)</f>
        <v>8.19</v>
      </c>
      <c r="S891" s="10">
        <f>ROUNDUP(O891/R891,0)</f>
        <v>87</v>
      </c>
      <c r="T891" s="14">
        <v>87</v>
      </c>
      <c r="U891" s="3">
        <f>ROUNDDOWN(PI()*(G891-0.185)/T891,2)</f>
        <v>0.1</v>
      </c>
      <c r="V891" s="3"/>
      <c r="W891" s="1">
        <v>280</v>
      </c>
      <c r="X891" s="9">
        <v>2</v>
      </c>
      <c r="Y891" s="1">
        <v>6</v>
      </c>
      <c r="Z891" s="3">
        <f>X891*VLOOKUP(Y891,[1]Datos!$A$2:$D$14,2)</f>
        <v>5.68</v>
      </c>
      <c r="AA891" s="8">
        <v>4.972E-2</v>
      </c>
      <c r="AB891" s="7">
        <f>IF(D891=0,0.9,0.5)*0.9*0.53*SQRT(W891)*G891*MAX(0.72*G891,0.9*((G891/2)+((G891-0.11)/PI())))*10</f>
        <v>260.7542389499979</v>
      </c>
      <c r="AC891" s="7">
        <f>0.9*Z891*4220*MAX(0.72*G891,0.9*((G891/2)+((G891-0.11)/PI())))/AA891/1000</f>
        <v>944.96320797669352</v>
      </c>
      <c r="AD891" s="6" t="str">
        <f>+IF(AC891&gt;K891-AB891,"Cumple","No Cumple")</f>
        <v>Cumple</v>
      </c>
      <c r="AE891" s="6"/>
      <c r="AG891" s="7">
        <f>ROUNDUP(MAX(0.45,3*G891,),0)</f>
        <v>9</v>
      </c>
      <c r="AH891" s="3">
        <f>PI()*(G891-0.15)^2/4</f>
        <v>6.3793965821957741</v>
      </c>
      <c r="AI891" s="7">
        <f>G891-0.15-VLOOKUP(Y891,[1]Datos!$A$2:$D$14,3)/100</f>
        <v>2.8309000000000002</v>
      </c>
      <c r="AJ891" s="7">
        <f>SQRT((PI()*AI891)^2+AA891^2)</f>
        <v>8.8936736237329566</v>
      </c>
      <c r="AK891" s="1">
        <v>0.12</v>
      </c>
      <c r="AL891" s="16">
        <f>MAX(0.45*(H891/AH891-1),AK891)*(W891/4220)</f>
        <v>7.9620853080568724E-3</v>
      </c>
      <c r="AM891" s="7">
        <f>AG891*(AJ891/AA891)</f>
        <v>1609.8765610136084</v>
      </c>
      <c r="AN891" s="17">
        <f>AM891*Z891/X891/10000</f>
        <v>0.45720494332786477</v>
      </c>
      <c r="AO891" s="17">
        <f>AH891*AG891</f>
        <v>57.414569239761967</v>
      </c>
      <c r="AP891" s="16">
        <f>AN891/AO891</f>
        <v>7.9632216941067178E-3</v>
      </c>
      <c r="AQ891" s="6" t="str">
        <f>+IF(AP891&gt;AL891,"Cumple","No Cumple")</f>
        <v>Cumple</v>
      </c>
    </row>
    <row r="892" spans="1:43" x14ac:dyDescent="0.3">
      <c r="A892" s="13"/>
      <c r="B892" s="1">
        <v>7</v>
      </c>
      <c r="C892" s="1">
        <v>580</v>
      </c>
      <c r="D892" s="1">
        <v>1</v>
      </c>
      <c r="E892" s="5">
        <v>1</v>
      </c>
      <c r="F892" s="3">
        <f>F891+E892</f>
        <v>7</v>
      </c>
      <c r="G892" s="5">
        <v>3</v>
      </c>
      <c r="H892" s="3">
        <f>PI()*(G892^2)/4</f>
        <v>7.0685834705770345</v>
      </c>
      <c r="I892" s="4">
        <v>7.0685999999999999E-2</v>
      </c>
      <c r="K892" s="3">
        <v>372.39245535348857</v>
      </c>
      <c r="L892" s="3">
        <v>651.94551000000001</v>
      </c>
      <c r="M892" s="3">
        <v>2949.6522799999998</v>
      </c>
      <c r="N892" s="12">
        <f>I892/H892</f>
        <v>1.0000023384349969E-2</v>
      </c>
      <c r="O892" s="11">
        <f>I892*10000</f>
        <v>706.86</v>
      </c>
      <c r="P892" s="1">
        <v>10</v>
      </c>
      <c r="Q892" s="15">
        <v>1</v>
      </c>
      <c r="R892" s="3">
        <f>Q892*VLOOKUP(P892,[1]Datos!$A$2:$D$14,2)</f>
        <v>8.19</v>
      </c>
      <c r="S892" s="10">
        <f>ROUNDUP(O892/R892,0)</f>
        <v>87</v>
      </c>
      <c r="T892" s="14">
        <v>87</v>
      </c>
      <c r="U892" s="3">
        <f>ROUNDDOWN(PI()*(G892-0.185)/T892,2)</f>
        <v>0.1</v>
      </c>
      <c r="V892" s="3"/>
      <c r="W892" s="1">
        <v>280</v>
      </c>
      <c r="X892" s="9">
        <v>2</v>
      </c>
      <c r="Y892" s="1">
        <v>6</v>
      </c>
      <c r="Z892" s="3">
        <f>X892*VLOOKUP(Y892,[1]Datos!$A$2:$D$14,2)</f>
        <v>5.68</v>
      </c>
      <c r="AA892" s="8">
        <v>4.972E-2</v>
      </c>
      <c r="AB892" s="7">
        <f>IF(D892=0,0.9,0.5)*0.9*0.53*SQRT(W892)*G892*MAX(0.72*G892,0.9*((G892/2)+((G892-0.11)/PI())))*10</f>
        <v>260.7542389499979</v>
      </c>
      <c r="AC892" s="7">
        <f>0.9*Z892*4220*MAX(0.72*G892,0.9*((G892/2)+((G892-0.11)/PI())))/AA892/1000</f>
        <v>944.96320797669352</v>
      </c>
      <c r="AD892" s="6" t="str">
        <f>+IF(AC892&gt;K892-AB892,"Cumple","No Cumple")</f>
        <v>Cumple</v>
      </c>
      <c r="AE892" s="6"/>
      <c r="AG892" s="7">
        <f>ROUNDUP(MAX(0.45,3*G892,),0)</f>
        <v>9</v>
      </c>
      <c r="AH892" s="3">
        <f>PI()*(G892-0.15)^2/4</f>
        <v>6.3793965821957741</v>
      </c>
      <c r="AI892" s="7">
        <f>G892-0.15-VLOOKUP(Y892,[1]Datos!$A$2:$D$14,3)/100</f>
        <v>2.8309000000000002</v>
      </c>
      <c r="AJ892" s="7">
        <f>SQRT((PI()*AI892)^2+AA892^2)</f>
        <v>8.8936736237329566</v>
      </c>
      <c r="AK892" s="1">
        <v>0.12</v>
      </c>
      <c r="AL892" s="16">
        <f>MAX(0.45*(H892/AH892-1),AK892)*(W892/4220)</f>
        <v>7.9620853080568724E-3</v>
      </c>
      <c r="AM892" s="7">
        <f>AG892*(AJ892/AA892)</f>
        <v>1609.8765610136084</v>
      </c>
      <c r="AN892" s="17">
        <f>AM892*Z892/X892/10000</f>
        <v>0.45720494332786477</v>
      </c>
      <c r="AO892" s="17">
        <f>AH892*AG892</f>
        <v>57.414569239761967</v>
      </c>
      <c r="AP892" s="16">
        <f>AN892/AO892</f>
        <v>7.9632216941067178E-3</v>
      </c>
      <c r="AQ892" s="6" t="str">
        <f>+IF(AP892&gt;AL892,"Cumple","No Cumple")</f>
        <v>Cumple</v>
      </c>
    </row>
    <row r="893" spans="1:43" x14ac:dyDescent="0.3">
      <c r="A893" s="13"/>
      <c r="B893" s="1">
        <v>8</v>
      </c>
      <c r="C893" s="1">
        <v>582</v>
      </c>
      <c r="D893" s="1">
        <v>1</v>
      </c>
      <c r="E893" s="5">
        <v>1</v>
      </c>
      <c r="F893" s="3">
        <f>F892+E893</f>
        <v>8</v>
      </c>
      <c r="G893" s="5">
        <v>3</v>
      </c>
      <c r="H893" s="3">
        <f>PI()*(G893^2)/4</f>
        <v>7.0685834705770345</v>
      </c>
      <c r="I893" s="4">
        <v>7.0685999999999999E-2</v>
      </c>
      <c r="K893" s="3">
        <v>315.95441213385516</v>
      </c>
      <c r="L893" s="3">
        <v>731.19678999999996</v>
      </c>
      <c r="M893" s="3">
        <v>2852.5297599999999</v>
      </c>
      <c r="N893" s="12">
        <f>I893/H893</f>
        <v>1.0000023384349969E-2</v>
      </c>
      <c r="O893" s="11">
        <f>I893*10000</f>
        <v>706.86</v>
      </c>
      <c r="P893" s="1">
        <v>10</v>
      </c>
      <c r="Q893" s="1">
        <v>1</v>
      </c>
      <c r="R893" s="3">
        <f>Q893*VLOOKUP(P893,[1]Datos!$A$2:$D$14,2)</f>
        <v>8.19</v>
      </c>
      <c r="S893" s="10">
        <f>ROUNDUP(O893/R893,0)</f>
        <v>87</v>
      </c>
      <c r="T893" s="2">
        <v>87</v>
      </c>
      <c r="U893" s="3">
        <f>ROUNDDOWN(PI()*(G893-0.185)/T893,2)</f>
        <v>0.1</v>
      </c>
      <c r="V893" s="3"/>
      <c r="W893" s="1">
        <v>280</v>
      </c>
      <c r="X893" s="9">
        <v>2</v>
      </c>
      <c r="Y893" s="1">
        <v>6</v>
      </c>
      <c r="Z893" s="3">
        <f>X893*VLOOKUP(Y893,[1]Datos!$A$2:$D$14,2)</f>
        <v>5.68</v>
      </c>
      <c r="AA893" s="8">
        <v>4.972E-2</v>
      </c>
      <c r="AB893" s="7">
        <f>IF(D893=0,0.9,0.5)*0.9*0.53*SQRT(W893)*G893*MAX(0.72*G893,0.9*((G893/2)+((G893-0.11)/PI())))*10</f>
        <v>260.7542389499979</v>
      </c>
      <c r="AC893" s="7">
        <f>0.9*Z893*4220*MAX(0.72*G893,0.9*((G893/2)+((G893-0.11)/PI())))/AA893/1000</f>
        <v>944.96320797669352</v>
      </c>
      <c r="AD893" s="6" t="str">
        <f>+IF(AC893&gt;K893-AB893,"Cumple","No Cumple")</f>
        <v>Cumple</v>
      </c>
      <c r="AE893" s="6"/>
      <c r="AG893" s="7">
        <f>ROUNDUP(MAX(0.45,3*G893,),0)</f>
        <v>9</v>
      </c>
      <c r="AH893" s="3">
        <f>PI()*(G893-0.15)^2/4</f>
        <v>6.3793965821957741</v>
      </c>
      <c r="AI893" s="7">
        <f>G893-0.15-VLOOKUP(Y893,[1]Datos!$A$2:$D$14,3)/100</f>
        <v>2.8309000000000002</v>
      </c>
      <c r="AJ893" s="7">
        <f>SQRT((PI()*AI893)^2+AA893^2)</f>
        <v>8.8936736237329566</v>
      </c>
      <c r="AK893" s="1">
        <v>0.12</v>
      </c>
      <c r="AL893" s="16">
        <f>MAX(0.45*(H893/AH893-1),AK893)*(W893/4220)</f>
        <v>7.9620853080568724E-3</v>
      </c>
      <c r="AM893" s="7">
        <f>AG893*(AJ893/AA893)</f>
        <v>1609.8765610136084</v>
      </c>
      <c r="AN893" s="17">
        <f>AM893*Z893/X893/10000</f>
        <v>0.45720494332786477</v>
      </c>
      <c r="AO893" s="17">
        <f>AH893*AG893</f>
        <v>57.414569239761967</v>
      </c>
      <c r="AP893" s="16">
        <f>AN893/AO893</f>
        <v>7.9632216941067178E-3</v>
      </c>
      <c r="AQ893" s="6" t="str">
        <f>+IF(AP893&gt;AL893,"Cumple","No Cumple")</f>
        <v>Cumple</v>
      </c>
    </row>
    <row r="894" spans="1:43" x14ac:dyDescent="0.3">
      <c r="A894" s="13"/>
      <c r="B894" s="1">
        <v>9</v>
      </c>
      <c r="C894" s="1">
        <v>584</v>
      </c>
      <c r="D894" s="1">
        <v>1</v>
      </c>
      <c r="E894" s="5">
        <v>1</v>
      </c>
      <c r="F894" s="3">
        <f>F893+E894</f>
        <v>9</v>
      </c>
      <c r="G894" s="5">
        <v>3</v>
      </c>
      <c r="H894" s="3">
        <f>PI()*(G894^2)/4</f>
        <v>7.0685834705770345</v>
      </c>
      <c r="I894" s="4">
        <v>7.0685999999999999E-2</v>
      </c>
      <c r="K894" s="3">
        <v>261.33510809303829</v>
      </c>
      <c r="L894" s="3">
        <v>798.30543</v>
      </c>
      <c r="M894" s="3">
        <v>2715.4509200000002</v>
      </c>
      <c r="N894" s="12">
        <f>I894/H894</f>
        <v>1.0000023384349969E-2</v>
      </c>
      <c r="O894" s="11">
        <f>I894*10000</f>
        <v>706.86</v>
      </c>
      <c r="P894" s="1">
        <v>10</v>
      </c>
      <c r="Q894" s="1">
        <v>1</v>
      </c>
      <c r="R894" s="3">
        <f>Q894*VLOOKUP(P894,[1]Datos!$A$2:$D$14,2)</f>
        <v>8.19</v>
      </c>
      <c r="S894" s="10">
        <f>ROUNDUP(O894/R894,0)</f>
        <v>87</v>
      </c>
      <c r="T894" s="2">
        <v>87</v>
      </c>
      <c r="U894" s="3">
        <f>ROUNDDOWN(PI()*(G894-0.185)/T894,2)</f>
        <v>0.1</v>
      </c>
      <c r="V894" s="3"/>
      <c r="W894" s="1">
        <v>280</v>
      </c>
      <c r="X894" s="9">
        <v>2</v>
      </c>
      <c r="Y894" s="1">
        <v>6</v>
      </c>
      <c r="Z894" s="3">
        <f>X894*VLOOKUP(Y894,[1]Datos!$A$2:$D$14,2)</f>
        <v>5.68</v>
      </c>
      <c r="AA894" s="8">
        <v>4.972E-2</v>
      </c>
      <c r="AB894" s="7">
        <f>IF(D894=0,0.9,0.5)*0.9*0.53*SQRT(W894)*G894*MAX(0.72*G894,0.9*((G894/2)+((G894-0.11)/PI())))*10</f>
        <v>260.7542389499979</v>
      </c>
      <c r="AC894" s="7">
        <f>0.9*Z894*4220*MAX(0.72*G894,0.9*((G894/2)+((G894-0.11)/PI())))/AA894/1000</f>
        <v>944.96320797669352</v>
      </c>
      <c r="AD894" s="6" t="str">
        <f>+IF(AC894&gt;K894-AB894,"Cumple","No Cumple")</f>
        <v>Cumple</v>
      </c>
      <c r="AE894" s="6"/>
      <c r="AG894" s="7">
        <f>ROUNDUP(MAX(0.45,3*G894,),0)</f>
        <v>9</v>
      </c>
      <c r="AH894" s="3">
        <f>PI()*(G894-0.15)^2/4</f>
        <v>6.3793965821957741</v>
      </c>
      <c r="AI894" s="7">
        <f>G894-0.15-VLOOKUP(Y894,[1]Datos!$A$2:$D$14,3)/100</f>
        <v>2.8309000000000002</v>
      </c>
      <c r="AJ894" s="7">
        <f>SQRT((PI()*AI894)^2+AA894^2)</f>
        <v>8.8936736237329566</v>
      </c>
      <c r="AK894" s="1">
        <v>0.12</v>
      </c>
      <c r="AL894" s="16">
        <f>MAX(0.45*(H894/AH894-1),AK894)*(W894/4220)</f>
        <v>7.9620853080568724E-3</v>
      </c>
      <c r="AM894" s="7">
        <f>AG894*(AJ894/AA894)</f>
        <v>1609.8765610136084</v>
      </c>
      <c r="AN894" s="17">
        <f>AM894*Z894/X894/10000</f>
        <v>0.45720494332786477</v>
      </c>
      <c r="AO894" s="17">
        <f>AH894*AG894</f>
        <v>57.414569239761967</v>
      </c>
      <c r="AP894" s="16">
        <f>AN894/AO894</f>
        <v>7.9632216941067178E-3</v>
      </c>
      <c r="AQ894" s="6" t="str">
        <f>+IF(AP894&gt;AL894,"Cumple","No Cumple")</f>
        <v>Cumple</v>
      </c>
    </row>
    <row r="895" spans="1:43" x14ac:dyDescent="0.3">
      <c r="A895" s="13"/>
      <c r="B895" s="1">
        <v>10</v>
      </c>
      <c r="C895" s="1">
        <v>586</v>
      </c>
      <c r="D895" s="1">
        <v>1</v>
      </c>
      <c r="E895" s="5">
        <v>1</v>
      </c>
      <c r="F895" s="3">
        <f>F894+E895</f>
        <v>10</v>
      </c>
      <c r="G895" s="5">
        <v>3</v>
      </c>
      <c r="H895" s="3">
        <f>PI()*(G895^2)/4</f>
        <v>7.0685834705770345</v>
      </c>
      <c r="I895" s="4">
        <v>7.0685999999999999E-2</v>
      </c>
      <c r="K895" s="3">
        <v>255.780670075692</v>
      </c>
      <c r="L895" s="3">
        <v>840.47586999999999</v>
      </c>
      <c r="M895" s="3">
        <v>2543.3815399999999</v>
      </c>
      <c r="N895" s="12">
        <f>I895/H895</f>
        <v>1.0000023384349969E-2</v>
      </c>
      <c r="O895" s="11">
        <f>I895*10000</f>
        <v>706.86</v>
      </c>
      <c r="P895" s="1">
        <v>10</v>
      </c>
      <c r="Q895" s="1">
        <v>1</v>
      </c>
      <c r="R895" s="3">
        <f>Q895*VLOOKUP(P895,[1]Datos!$A$2:$D$14,2)</f>
        <v>8.19</v>
      </c>
      <c r="S895" s="10">
        <f>ROUNDUP(O895/R895,0)</f>
        <v>87</v>
      </c>
      <c r="T895" s="2">
        <v>87</v>
      </c>
      <c r="U895" s="3">
        <f>ROUNDDOWN(PI()*(G895-0.185)/T895,2)</f>
        <v>0.1</v>
      </c>
      <c r="V895" s="3"/>
      <c r="W895" s="1">
        <v>280</v>
      </c>
      <c r="X895" s="9">
        <v>2</v>
      </c>
      <c r="Y895" s="1">
        <v>4</v>
      </c>
      <c r="Z895" s="3">
        <f>X895*VLOOKUP(Y895,[1]Datos!$A$2:$D$14,2)</f>
        <v>2.58</v>
      </c>
      <c r="AA895" s="8">
        <v>0.3</v>
      </c>
      <c r="AB895" s="7">
        <f>IF(D895=0,0.9,0.5)*0.9*0.53*SQRT(W895)*G895*MAX(0.72*G895,0.9*((G895/2)+((G895-0.11)/PI())))*10</f>
        <v>260.7542389499979</v>
      </c>
      <c r="AC895" s="7">
        <f>0.9*Z895*4220*MAX(0.72*G895,0.9*((G895/2)+((G895-0.11)/PI())))/AA895/1000</f>
        <v>71.137096483304632</v>
      </c>
      <c r="AD895" s="6" t="str">
        <f>+IF(AC895&gt;K895-AB895,"Cumple","No Cumple")</f>
        <v>Cumple</v>
      </c>
      <c r="AE895" s="6"/>
      <c r="AH895" s="3"/>
    </row>
    <row r="896" spans="1:43" x14ac:dyDescent="0.3">
      <c r="A896" s="13"/>
      <c r="B896" s="1">
        <v>11</v>
      </c>
      <c r="C896" s="1">
        <v>588</v>
      </c>
      <c r="D896" s="1">
        <v>1</v>
      </c>
      <c r="E896" s="5">
        <v>1</v>
      </c>
      <c r="F896" s="3">
        <f>F895+E896</f>
        <v>11</v>
      </c>
      <c r="G896" s="5">
        <v>3</v>
      </c>
      <c r="H896" s="3">
        <f>PI()*(G896^2)/4</f>
        <v>7.0685834705770345</v>
      </c>
      <c r="I896" s="4">
        <v>7.0685999999999999E-2</v>
      </c>
      <c r="K896" s="3">
        <v>255.06091270292669</v>
      </c>
      <c r="L896" s="3">
        <v>856.44124999999997</v>
      </c>
      <c r="M896" s="3">
        <v>2343.3297299999999</v>
      </c>
      <c r="N896" s="12">
        <f>I896/H896</f>
        <v>1.0000023384349969E-2</v>
      </c>
      <c r="O896" s="11">
        <f>I896*10000</f>
        <v>706.86</v>
      </c>
      <c r="P896" s="1">
        <v>10</v>
      </c>
      <c r="Q896" s="1">
        <v>1</v>
      </c>
      <c r="R896" s="3">
        <f>Q896*VLOOKUP(P896,[1]Datos!$A$2:$D$14,2)</f>
        <v>8.19</v>
      </c>
      <c r="S896" s="10">
        <f>ROUNDUP(O896/R896,0)</f>
        <v>87</v>
      </c>
      <c r="T896" s="2">
        <v>87</v>
      </c>
      <c r="U896" s="3">
        <f>ROUNDDOWN(PI()*(G896-0.185)/T896,2)</f>
        <v>0.1</v>
      </c>
      <c r="V896" s="3"/>
      <c r="W896" s="1">
        <v>280</v>
      </c>
      <c r="X896" s="9">
        <v>2</v>
      </c>
      <c r="Y896" s="1">
        <v>4</v>
      </c>
      <c r="Z896" s="3">
        <f>X896*VLOOKUP(Y896,[1]Datos!$A$2:$D$14,2)</f>
        <v>2.58</v>
      </c>
      <c r="AA896" s="8">
        <v>0.3</v>
      </c>
      <c r="AB896" s="7">
        <f>IF(D896=0,0.9,0.5)*0.9*0.53*SQRT(W896)*G896*MAX(0.72*G896,0.9*((G896/2)+((G896-0.11)/PI())))*10</f>
        <v>260.7542389499979</v>
      </c>
      <c r="AC896" s="7">
        <f>0.9*Z896*4220*MAX(0.72*G896,0.9*((G896/2)+((G896-0.11)/PI())))/AA896/1000</f>
        <v>71.137096483304632</v>
      </c>
      <c r="AD896" s="6" t="str">
        <f>+IF(AC896&gt;K896-AB896,"Cumple","No Cumple")</f>
        <v>Cumple</v>
      </c>
      <c r="AE896" s="6"/>
      <c r="AH896" s="3"/>
    </row>
    <row r="897" spans="1:34" x14ac:dyDescent="0.3">
      <c r="A897" s="13"/>
      <c r="B897" s="1">
        <v>12</v>
      </c>
      <c r="C897" s="1">
        <v>590</v>
      </c>
      <c r="D897" s="1">
        <v>1</v>
      </c>
      <c r="E897" s="5">
        <v>1</v>
      </c>
      <c r="F897" s="3">
        <f>F896+E897</f>
        <v>12</v>
      </c>
      <c r="G897" s="5">
        <v>3</v>
      </c>
      <c r="H897" s="3">
        <f>PI()*(G897^2)/4</f>
        <v>7.0685834705770345</v>
      </c>
      <c r="I897" s="4">
        <v>7.0685999999999999E-2</v>
      </c>
      <c r="K897" s="3">
        <v>253.72102469937332</v>
      </c>
      <c r="L897" s="3">
        <v>904.53565000000003</v>
      </c>
      <c r="M897" s="3">
        <v>2123.21659</v>
      </c>
      <c r="N897" s="12">
        <f>I897/H897</f>
        <v>1.0000023384349969E-2</v>
      </c>
      <c r="O897" s="11">
        <f>I897*10000</f>
        <v>706.86</v>
      </c>
      <c r="P897" s="1">
        <v>10</v>
      </c>
      <c r="Q897" s="1">
        <v>1</v>
      </c>
      <c r="R897" s="3">
        <f>Q897*VLOOKUP(P897,[1]Datos!$A$2:$D$14,2)</f>
        <v>8.19</v>
      </c>
      <c r="S897" s="10">
        <f>ROUNDUP(O897/R897,0)</f>
        <v>87</v>
      </c>
      <c r="T897" s="2">
        <v>87</v>
      </c>
      <c r="U897" s="3">
        <f>ROUNDDOWN(PI()*(G897-0.185)/T897,2)</f>
        <v>0.1</v>
      </c>
      <c r="V897" s="3"/>
      <c r="W897" s="1">
        <v>280</v>
      </c>
      <c r="X897" s="9">
        <v>2</v>
      </c>
      <c r="Y897" s="1">
        <v>4</v>
      </c>
      <c r="Z897" s="3">
        <f>X897*VLOOKUP(Y897,[1]Datos!$A$2:$D$14,2)</f>
        <v>2.58</v>
      </c>
      <c r="AA897" s="8">
        <v>0.3</v>
      </c>
      <c r="AB897" s="7">
        <f>IF(D897=0,0.9,0.5)*0.9*0.53*SQRT(W897)*G897*MAX(0.72*G897,0.9*((G897/2)+((G897-0.11)/PI())))*10</f>
        <v>260.7542389499979</v>
      </c>
      <c r="AC897" s="7">
        <f>0.9*Z897*4220*MAX(0.72*G897,0.9*((G897/2)+((G897-0.11)/PI())))/AA897/1000</f>
        <v>71.137096483304632</v>
      </c>
      <c r="AD897" s="6" t="str">
        <f>+IF(AC897&gt;K897-AB897,"Cumple","No Cumple")</f>
        <v>Cumple</v>
      </c>
      <c r="AE897" s="6"/>
      <c r="AH897" s="3"/>
    </row>
    <row r="898" spans="1:34" x14ac:dyDescent="0.3">
      <c r="A898" s="13"/>
      <c r="B898" s="1">
        <v>13</v>
      </c>
      <c r="C898" s="1">
        <v>592</v>
      </c>
      <c r="D898" s="1">
        <v>1</v>
      </c>
      <c r="E898" s="5">
        <v>1</v>
      </c>
      <c r="F898" s="3">
        <f>F897+E898</f>
        <v>13</v>
      </c>
      <c r="G898" s="5">
        <v>3</v>
      </c>
      <c r="H898" s="3">
        <f>PI()*(G898^2)/4</f>
        <v>7.0685834705770345</v>
      </c>
      <c r="I898" s="4">
        <v>7.0685999999999999E-2</v>
      </c>
      <c r="K898" s="3">
        <v>250.21482875309371</v>
      </c>
      <c r="L898" s="3">
        <v>936.72886000000005</v>
      </c>
      <c r="M898" s="3">
        <v>1891.17382</v>
      </c>
      <c r="N898" s="12">
        <f>I898/H898</f>
        <v>1.0000023384349969E-2</v>
      </c>
      <c r="O898" s="11">
        <f>I898*10000</f>
        <v>706.86</v>
      </c>
      <c r="P898" s="1">
        <v>10</v>
      </c>
      <c r="Q898" s="1">
        <v>1</v>
      </c>
      <c r="R898" s="3">
        <f>Q898*VLOOKUP(P898,[1]Datos!$A$2:$D$14,2)</f>
        <v>8.19</v>
      </c>
      <c r="S898" s="10">
        <f>ROUNDUP(O898/R898,0)</f>
        <v>87</v>
      </c>
      <c r="T898" s="2">
        <v>87</v>
      </c>
      <c r="U898" s="3">
        <f>ROUNDDOWN(PI()*(G898-0.185)/T898,2)</f>
        <v>0.1</v>
      </c>
      <c r="V898" s="3"/>
      <c r="W898" s="1">
        <v>280</v>
      </c>
      <c r="X898" s="9">
        <v>2</v>
      </c>
      <c r="Y898" s="1">
        <v>4</v>
      </c>
      <c r="Z898" s="3">
        <f>X898*VLOOKUP(Y898,[1]Datos!$A$2:$D$14,2)</f>
        <v>2.58</v>
      </c>
      <c r="AA898" s="8">
        <v>0.3</v>
      </c>
      <c r="AB898" s="7">
        <f>IF(D898=0,0.9,0.5)*0.9*0.53*SQRT(W898)*G898*MAX(0.72*G898,0.9*((G898/2)+((G898-0.11)/PI())))*10</f>
        <v>260.7542389499979</v>
      </c>
      <c r="AC898" s="7">
        <f>0.9*Z898*4220*MAX(0.72*G898,0.9*((G898/2)+((G898-0.11)/PI())))/AA898/1000</f>
        <v>71.137096483304632</v>
      </c>
      <c r="AD898" s="6" t="str">
        <f>+IF(AC898&gt;K898-AB898,"Cumple","No Cumple")</f>
        <v>Cumple</v>
      </c>
      <c r="AE898" s="6"/>
      <c r="AH898" s="3"/>
    </row>
    <row r="899" spans="1:34" x14ac:dyDescent="0.3">
      <c r="A899" s="13"/>
      <c r="B899" s="1">
        <v>14</v>
      </c>
      <c r="C899" s="1">
        <v>594</v>
      </c>
      <c r="D899" s="1">
        <v>1</v>
      </c>
      <c r="E899" s="5">
        <v>1</v>
      </c>
      <c r="F899" s="3">
        <f>F898+E899</f>
        <v>14</v>
      </c>
      <c r="G899" s="5">
        <v>3</v>
      </c>
      <c r="H899" s="3">
        <f>PI()*(G899^2)/4</f>
        <v>7.0685834705770345</v>
      </c>
      <c r="I899" s="4">
        <v>7.0685999999999999E-2</v>
      </c>
      <c r="K899" s="3">
        <v>243.78837781208929</v>
      </c>
      <c r="L899" s="3">
        <v>936.72886000000005</v>
      </c>
      <c r="M899" s="3">
        <v>1655.0189800000001</v>
      </c>
      <c r="N899" s="12">
        <f>I899/H899</f>
        <v>1.0000023384349969E-2</v>
      </c>
      <c r="O899" s="11">
        <f>I899*10000</f>
        <v>706.86</v>
      </c>
      <c r="P899" s="1">
        <v>10</v>
      </c>
      <c r="Q899" s="15">
        <v>1</v>
      </c>
      <c r="R899" s="3">
        <f>Q899*VLOOKUP(P899,[1]Datos!$A$2:$D$14,2)</f>
        <v>8.19</v>
      </c>
      <c r="S899" s="10">
        <f>ROUNDUP(O899/R899,0)</f>
        <v>87</v>
      </c>
      <c r="T899" s="14">
        <v>87</v>
      </c>
      <c r="U899" s="3">
        <f>ROUNDDOWN(PI()*(G899-0.185)/T899,2)</f>
        <v>0.1</v>
      </c>
      <c r="V899" s="3"/>
      <c r="W899" s="1">
        <v>280</v>
      </c>
      <c r="X899" s="9">
        <v>2</v>
      </c>
      <c r="Y899" s="1">
        <v>4</v>
      </c>
      <c r="Z899" s="3">
        <f>X899*VLOOKUP(Y899,[1]Datos!$A$2:$D$14,2)</f>
        <v>2.58</v>
      </c>
      <c r="AA899" s="8">
        <v>0.3</v>
      </c>
      <c r="AB899" s="7">
        <f>IF(D899=0,0.9,0.5)*0.9*0.53*SQRT(W899)*G899*MAX(0.72*G899,0.9*((G899/2)+((G899-0.11)/PI())))*10</f>
        <v>260.7542389499979</v>
      </c>
      <c r="AC899" s="7">
        <f>0.9*Z899*4220*MAX(0.72*G899,0.9*((G899/2)+((G899-0.11)/PI())))/AA899/1000</f>
        <v>71.137096483304632</v>
      </c>
      <c r="AD899" s="6" t="str">
        <f>+IF(AC899&gt;K899-AB899,"Cumple","No Cumple")</f>
        <v>Cumple</v>
      </c>
      <c r="AE899" s="6"/>
      <c r="AH899" s="3"/>
    </row>
    <row r="900" spans="1:34" x14ac:dyDescent="0.3">
      <c r="A900" s="13"/>
      <c r="B900" s="1">
        <v>15</v>
      </c>
      <c r="C900" s="1">
        <v>596</v>
      </c>
      <c r="D900" s="1">
        <v>1</v>
      </c>
      <c r="E900" s="5">
        <v>1</v>
      </c>
      <c r="F900" s="3">
        <f>F899+E900</f>
        <v>15</v>
      </c>
      <c r="G900" s="5">
        <v>3</v>
      </c>
      <c r="H900" s="3">
        <f>PI()*(G900^2)/4</f>
        <v>7.0685834705770345</v>
      </c>
      <c r="I900" s="4">
        <v>7.0685999999999999E-2</v>
      </c>
      <c r="K900" s="3">
        <v>232.78991571382554</v>
      </c>
      <c r="L900" s="3">
        <v>934.66783999999996</v>
      </c>
      <c r="M900" s="3">
        <v>1421.8777700000001</v>
      </c>
      <c r="N900" s="12">
        <f>I900/H900</f>
        <v>1.0000023384349969E-2</v>
      </c>
      <c r="O900" s="11">
        <f>I900*10000</f>
        <v>706.86</v>
      </c>
      <c r="P900" s="1">
        <v>10</v>
      </c>
      <c r="Q900" s="15">
        <v>1</v>
      </c>
      <c r="R900" s="3">
        <f>Q900*VLOOKUP(P900,[1]Datos!$A$2:$D$14,2)</f>
        <v>8.19</v>
      </c>
      <c r="S900" s="10">
        <f>ROUNDUP(O900/R900,0)</f>
        <v>87</v>
      </c>
      <c r="T900" s="14">
        <v>87</v>
      </c>
      <c r="U900" s="3">
        <f>ROUNDDOWN(PI()*(G900-0.185)/T900,2)</f>
        <v>0.1</v>
      </c>
      <c r="V900" s="3"/>
      <c r="W900" s="1">
        <v>280</v>
      </c>
      <c r="X900" s="9">
        <v>2</v>
      </c>
      <c r="Y900" s="1">
        <v>4</v>
      </c>
      <c r="Z900" s="3">
        <f>X900*VLOOKUP(Y900,[1]Datos!$A$2:$D$14,2)</f>
        <v>2.58</v>
      </c>
      <c r="AA900" s="8">
        <v>0.3</v>
      </c>
      <c r="AB900" s="7">
        <f>IF(D900=0,0.9,0.5)*0.9*0.53*SQRT(W900)*G900*MAX(0.72*G900,0.9*((G900/2)+((G900-0.11)/PI())))*10</f>
        <v>260.7542389499979</v>
      </c>
      <c r="AC900" s="7">
        <f>0.9*Z900*4220*MAX(0.72*G900,0.9*((G900/2)+((G900-0.11)/PI())))/AA900/1000</f>
        <v>71.137096483304632</v>
      </c>
      <c r="AD900" s="6" t="str">
        <f>+IF(AC900&gt;K900-AB900,"Cumple","No Cumple")</f>
        <v>Cumple</v>
      </c>
      <c r="AE900" s="6"/>
      <c r="AH900" s="3"/>
    </row>
    <row r="901" spans="1:34" x14ac:dyDescent="0.3">
      <c r="A901" s="13"/>
      <c r="B901" s="1">
        <v>16</v>
      </c>
      <c r="C901" s="1">
        <v>598</v>
      </c>
      <c r="D901" s="1">
        <v>1</v>
      </c>
      <c r="E901" s="5">
        <v>1</v>
      </c>
      <c r="F901" s="3">
        <f>F900+E901</f>
        <v>16</v>
      </c>
      <c r="G901" s="5">
        <v>3</v>
      </c>
      <c r="H901" s="3">
        <f>PI()*(G901^2)/4</f>
        <v>7.0685834705770345</v>
      </c>
      <c r="I901" s="4">
        <v>7.0685999999999999E-2</v>
      </c>
      <c r="K901" s="3">
        <v>217.40448739738562</v>
      </c>
      <c r="L901" s="3">
        <v>904.26176999999996</v>
      </c>
      <c r="M901" s="3">
        <v>1197.9303399999999</v>
      </c>
      <c r="N901" s="12">
        <f>I901/H901</f>
        <v>1.0000023384349969E-2</v>
      </c>
      <c r="O901" s="11">
        <f>I901*10000</f>
        <v>706.86</v>
      </c>
      <c r="P901" s="1">
        <v>10</v>
      </c>
      <c r="Q901" s="15">
        <v>1</v>
      </c>
      <c r="R901" s="3">
        <f>Q901*VLOOKUP(P901,[1]Datos!$A$2:$D$14,2)</f>
        <v>8.19</v>
      </c>
      <c r="S901" s="10">
        <f>ROUNDUP(O901/R901,0)</f>
        <v>87</v>
      </c>
      <c r="T901" s="14">
        <v>87</v>
      </c>
      <c r="U901" s="3">
        <f>ROUNDDOWN(PI()*(G901-0.185)/T901,2)</f>
        <v>0.1</v>
      </c>
      <c r="V901" s="3"/>
      <c r="W901" s="1">
        <v>280</v>
      </c>
      <c r="X901" s="9">
        <v>2</v>
      </c>
      <c r="Y901" s="1">
        <v>4</v>
      </c>
      <c r="Z901" s="3">
        <f>X901*VLOOKUP(Y901,[1]Datos!$A$2:$D$14,2)</f>
        <v>2.58</v>
      </c>
      <c r="AA901" s="8">
        <v>0.3</v>
      </c>
      <c r="AB901" s="7">
        <f>IF(D901=0,0.9,0.5)*0.9*0.53*SQRT(W901)*G901*MAX(0.72*G901,0.9*((G901/2)+((G901-0.11)/PI())))*10</f>
        <v>260.7542389499979</v>
      </c>
      <c r="AC901" s="7">
        <f>0.9*Z901*4220*MAX(0.72*G901,0.9*((G901/2)+((G901-0.11)/PI())))/AA901/1000</f>
        <v>71.137096483304632</v>
      </c>
      <c r="AD901" s="6" t="str">
        <f>+IF(AC901&gt;K901-AB901,"Cumple","No Cumple")</f>
        <v>Cumple</v>
      </c>
      <c r="AE901" s="6"/>
      <c r="AH901" s="3"/>
    </row>
    <row r="902" spans="1:34" x14ac:dyDescent="0.3">
      <c r="A902" s="13"/>
      <c r="B902" s="1">
        <v>17</v>
      </c>
      <c r="C902" s="1">
        <v>600</v>
      </c>
      <c r="D902" s="1">
        <v>1</v>
      </c>
      <c r="E902" s="5">
        <v>1</v>
      </c>
      <c r="F902" s="3">
        <f>F901+E902</f>
        <v>17</v>
      </c>
      <c r="G902" s="5">
        <v>3</v>
      </c>
      <c r="H902" s="3">
        <f>PI()*(G902^2)/4</f>
        <v>7.0685834705770345</v>
      </c>
      <c r="I902" s="4">
        <v>7.0685999999999999E-2</v>
      </c>
      <c r="K902" s="3">
        <v>198.50535137799184</v>
      </c>
      <c r="L902" s="3">
        <v>851.51873999999998</v>
      </c>
      <c r="M902" s="3">
        <v>988.26306999999997</v>
      </c>
      <c r="N902" s="12">
        <f>I902/H902</f>
        <v>1.0000023384349969E-2</v>
      </c>
      <c r="O902" s="11">
        <f>I902*10000</f>
        <v>706.86</v>
      </c>
      <c r="P902" s="1">
        <v>10</v>
      </c>
      <c r="Q902" s="1">
        <v>1</v>
      </c>
      <c r="R902" s="3">
        <f>Q902*VLOOKUP(P902,[1]Datos!$A$2:$D$14,2)</f>
        <v>8.19</v>
      </c>
      <c r="S902" s="10">
        <f>ROUNDUP(O902/R902,0)</f>
        <v>87</v>
      </c>
      <c r="T902" s="2">
        <v>87</v>
      </c>
      <c r="U902" s="3">
        <f>ROUNDDOWN(PI()*(G902-0.185)/T902,2)</f>
        <v>0.1</v>
      </c>
      <c r="V902" s="3"/>
      <c r="W902" s="1">
        <v>280</v>
      </c>
      <c r="X902" s="9">
        <v>2</v>
      </c>
      <c r="Y902" s="1">
        <v>4</v>
      </c>
      <c r="Z902" s="3">
        <f>X902*VLOOKUP(Y902,[1]Datos!$A$2:$D$14,2)</f>
        <v>2.58</v>
      </c>
      <c r="AA902" s="8">
        <v>0.3</v>
      </c>
      <c r="AB902" s="7">
        <f>IF(D902=0,0.9,0.5)*0.9*0.53*SQRT(W902)*G902*MAX(0.72*G902,0.9*((G902/2)+((G902-0.11)/PI())))*10</f>
        <v>260.7542389499979</v>
      </c>
      <c r="AC902" s="7">
        <f>0.9*Z902*4220*MAX(0.72*G902,0.9*((G902/2)+((G902-0.11)/PI())))/AA902/1000</f>
        <v>71.137096483304632</v>
      </c>
      <c r="AD902" s="6" t="str">
        <f>+IF(AC902&gt;K902-AB902,"Cumple","No Cumple")</f>
        <v>Cumple</v>
      </c>
      <c r="AE902" s="6"/>
      <c r="AH902" s="3"/>
    </row>
    <row r="903" spans="1:34" x14ac:dyDescent="0.3">
      <c r="A903" s="13"/>
      <c r="B903" s="1">
        <v>18</v>
      </c>
      <c r="C903" s="1">
        <v>602</v>
      </c>
      <c r="D903" s="1">
        <v>1</v>
      </c>
      <c r="E903" s="5">
        <v>1</v>
      </c>
      <c r="F903" s="3">
        <f>F902+E903</f>
        <v>18</v>
      </c>
      <c r="G903" s="5">
        <v>3</v>
      </c>
      <c r="H903" s="3">
        <f>PI()*(G903^2)/4</f>
        <v>7.0685834705770345</v>
      </c>
      <c r="I903" s="4">
        <v>7.0685999999999999E-2</v>
      </c>
      <c r="K903" s="3">
        <v>177.7759978956102</v>
      </c>
      <c r="L903" s="3">
        <v>782.25064999999995</v>
      </c>
      <c r="M903" s="3">
        <v>796.80916000000002</v>
      </c>
      <c r="N903" s="12">
        <f>I903/H903</f>
        <v>1.0000023384349969E-2</v>
      </c>
      <c r="O903" s="11">
        <f>I903*10000</f>
        <v>706.86</v>
      </c>
      <c r="P903" s="1">
        <v>10</v>
      </c>
      <c r="Q903" s="1">
        <v>1</v>
      </c>
      <c r="R903" s="3">
        <f>Q903*VLOOKUP(P903,[1]Datos!$A$2:$D$14,2)</f>
        <v>8.19</v>
      </c>
      <c r="S903" s="10">
        <f>ROUNDUP(O903/R903,0)</f>
        <v>87</v>
      </c>
      <c r="T903" s="2">
        <v>87</v>
      </c>
      <c r="U903" s="3">
        <f>ROUNDDOWN(PI()*(G903-0.185)/T903,2)</f>
        <v>0.1</v>
      </c>
      <c r="V903" s="3"/>
      <c r="W903" s="1">
        <v>280</v>
      </c>
      <c r="X903" s="9">
        <v>2</v>
      </c>
      <c r="Y903" s="1">
        <v>4</v>
      </c>
      <c r="Z903" s="3">
        <f>X903*VLOOKUP(Y903,[1]Datos!$A$2:$D$14,2)</f>
        <v>2.58</v>
      </c>
      <c r="AA903" s="8">
        <v>0.3</v>
      </c>
      <c r="AB903" s="7">
        <f>IF(D903=0,0.9,0.5)*0.9*0.53*SQRT(W903)*G903*MAX(0.72*G903,0.9*((G903/2)+((G903-0.11)/PI())))*10</f>
        <v>260.7542389499979</v>
      </c>
      <c r="AC903" s="7">
        <f>0.9*Z903*4220*MAX(0.72*G903,0.9*((G903/2)+((G903-0.11)/PI())))/AA903/1000</f>
        <v>71.137096483304632</v>
      </c>
      <c r="AD903" s="6" t="str">
        <f>+IF(AC903&gt;K903-AB903,"Cumple","No Cumple")</f>
        <v>Cumple</v>
      </c>
      <c r="AE903" s="6"/>
      <c r="AH903" s="3"/>
    </row>
    <row r="904" spans="1:34" x14ac:dyDescent="0.3">
      <c r="A904" s="13"/>
      <c r="B904" s="1">
        <v>19</v>
      </c>
      <c r="C904" s="1">
        <v>604</v>
      </c>
      <c r="D904" s="1">
        <v>1</v>
      </c>
      <c r="E904" s="5">
        <v>1</v>
      </c>
      <c r="F904" s="3">
        <f>F903+E904</f>
        <v>19</v>
      </c>
      <c r="G904" s="5">
        <v>3</v>
      </c>
      <c r="H904" s="3">
        <f>PI()*(G904^2)/4</f>
        <v>7.0685834705770345</v>
      </c>
      <c r="I904" s="4">
        <v>7.0685999999999999E-2</v>
      </c>
      <c r="K904" s="3">
        <v>156.68027775651919</v>
      </c>
      <c r="L904" s="3">
        <v>701.85801000000004</v>
      </c>
      <c r="M904" s="3">
        <v>626.36216999999999</v>
      </c>
      <c r="N904" s="12">
        <f>I904/H904</f>
        <v>1.0000023384349969E-2</v>
      </c>
      <c r="O904" s="11">
        <f>I904*10000</f>
        <v>706.86</v>
      </c>
      <c r="P904" s="1">
        <v>10</v>
      </c>
      <c r="Q904" s="1">
        <v>1</v>
      </c>
      <c r="R904" s="3">
        <f>Q904*VLOOKUP(P904,[1]Datos!$A$2:$D$14,2)</f>
        <v>8.19</v>
      </c>
      <c r="S904" s="10">
        <f>ROUNDUP(O904/R904,0)</f>
        <v>87</v>
      </c>
      <c r="T904" s="2">
        <v>87</v>
      </c>
      <c r="U904" s="3">
        <f>ROUNDDOWN(PI()*(G904-0.185)/T904,2)</f>
        <v>0.1</v>
      </c>
      <c r="V904" s="3"/>
      <c r="W904" s="1">
        <v>280</v>
      </c>
      <c r="X904" s="9">
        <v>2</v>
      </c>
      <c r="Y904" s="1">
        <v>4</v>
      </c>
      <c r="Z904" s="3">
        <f>X904*VLOOKUP(Y904,[1]Datos!$A$2:$D$14,2)</f>
        <v>2.58</v>
      </c>
      <c r="AA904" s="8">
        <v>0.3</v>
      </c>
      <c r="AB904" s="7">
        <f>IF(D904=0,0.9,0.5)*0.9*0.53*SQRT(W904)*G904*MAX(0.72*G904,0.9*((G904/2)+((G904-0.11)/PI())))*10</f>
        <v>260.7542389499979</v>
      </c>
      <c r="AC904" s="7">
        <f>0.9*Z904*4220*MAX(0.72*G904,0.9*((G904/2)+((G904-0.11)/PI())))/AA904/1000</f>
        <v>71.137096483304632</v>
      </c>
      <c r="AD904" s="6" t="str">
        <f>+IF(AC904&gt;K904-AB904,"Cumple","No Cumple")</f>
        <v>Cumple</v>
      </c>
      <c r="AE904" s="6"/>
      <c r="AH904" s="3"/>
    </row>
    <row r="905" spans="1:34" x14ac:dyDescent="0.3">
      <c r="A905" s="13"/>
      <c r="B905" s="1">
        <v>20</v>
      </c>
      <c r="C905" s="1">
        <v>606</v>
      </c>
      <c r="D905" s="1">
        <v>1</v>
      </c>
      <c r="E905" s="5">
        <v>1</v>
      </c>
      <c r="F905" s="3">
        <f>F904+E905</f>
        <v>20</v>
      </c>
      <c r="G905" s="5">
        <v>3</v>
      </c>
      <c r="H905" s="3">
        <f>PI()*(G905^2)/4</f>
        <v>7.0685834705770345</v>
      </c>
      <c r="I905" s="4">
        <v>7.0685999999999999E-2</v>
      </c>
      <c r="K905" s="3">
        <v>135.12140165218094</v>
      </c>
      <c r="L905" s="3">
        <v>615.18210999999997</v>
      </c>
      <c r="M905" s="3">
        <v>478.64845000000003</v>
      </c>
      <c r="N905" s="12">
        <f>I905/H905</f>
        <v>1.0000023384349969E-2</v>
      </c>
      <c r="O905" s="11">
        <f>I905*10000</f>
        <v>706.86</v>
      </c>
      <c r="P905" s="1">
        <v>10</v>
      </c>
      <c r="Q905" s="15">
        <v>1</v>
      </c>
      <c r="R905" s="3">
        <f>Q905*VLOOKUP(P905,[1]Datos!$A$2:$D$14,2)</f>
        <v>8.19</v>
      </c>
      <c r="S905" s="10">
        <f>ROUNDUP(O905/R905,0)</f>
        <v>87</v>
      </c>
      <c r="T905" s="14">
        <v>87</v>
      </c>
      <c r="U905" s="3">
        <f>ROUNDDOWN(PI()*(G905-0.185)/T905,2)</f>
        <v>0.1</v>
      </c>
      <c r="V905" s="3"/>
      <c r="W905" s="1">
        <v>280</v>
      </c>
      <c r="X905" s="9">
        <v>2</v>
      </c>
      <c r="Y905" s="1">
        <v>4</v>
      </c>
      <c r="Z905" s="3">
        <f>X905*VLOOKUP(Y905,[1]Datos!$A$2:$D$14,2)</f>
        <v>2.58</v>
      </c>
      <c r="AA905" s="8">
        <v>0.3</v>
      </c>
      <c r="AB905" s="7">
        <f>IF(D905=0,0.9,0.5)*0.9*0.53*SQRT(W905)*G905*MAX(0.72*G905,0.9*((G905/2)+((G905-0.11)/PI())))*10</f>
        <v>260.7542389499979</v>
      </c>
      <c r="AC905" s="7">
        <f>0.9*Z905*4220*MAX(0.72*G905,0.9*((G905/2)+((G905-0.11)/PI())))/AA905/1000</f>
        <v>71.137096483304632</v>
      </c>
      <c r="AD905" s="6" t="str">
        <f>+IF(AC905&gt;K905-AB905,"Cumple","No Cumple")</f>
        <v>Cumple</v>
      </c>
      <c r="AE905" s="6"/>
      <c r="AH905" s="3"/>
    </row>
    <row r="906" spans="1:34" x14ac:dyDescent="0.3">
      <c r="A906" s="13"/>
      <c r="B906" s="1">
        <v>21</v>
      </c>
      <c r="C906" s="1">
        <v>648</v>
      </c>
      <c r="D906" s="1">
        <v>1</v>
      </c>
      <c r="E906" s="5">
        <v>1</v>
      </c>
      <c r="F906" s="3">
        <f>F905+E906</f>
        <v>21</v>
      </c>
      <c r="G906" s="5">
        <v>3</v>
      </c>
      <c r="H906" s="3">
        <f>PI()*(G906^2)/4</f>
        <v>7.0685834705770345</v>
      </c>
      <c r="I906" s="4">
        <v>7.0685999999999999E-2</v>
      </c>
      <c r="K906" s="3">
        <v>113.89901874981189</v>
      </c>
      <c r="L906" s="3">
        <v>526.41557999999998</v>
      </c>
      <c r="M906" s="3">
        <v>354.44574999999998</v>
      </c>
      <c r="N906" s="12">
        <f>I906/H906</f>
        <v>1.0000023384349969E-2</v>
      </c>
      <c r="O906" s="11">
        <f>I906*10000</f>
        <v>706.86</v>
      </c>
      <c r="P906" s="1">
        <v>10</v>
      </c>
      <c r="Q906" s="15">
        <v>1</v>
      </c>
      <c r="R906" s="3">
        <f>Q906*VLOOKUP(P906,[1]Datos!$A$2:$D$14,2)</f>
        <v>8.19</v>
      </c>
      <c r="S906" s="10">
        <f>ROUNDUP(O906/R906,0)</f>
        <v>87</v>
      </c>
      <c r="T906" s="14">
        <v>87</v>
      </c>
      <c r="U906" s="3">
        <f>ROUNDDOWN(PI()*(G906-0.185)/T906,2)</f>
        <v>0.1</v>
      </c>
      <c r="V906" s="3"/>
      <c r="W906" s="1">
        <v>280</v>
      </c>
      <c r="X906" s="9">
        <v>2</v>
      </c>
      <c r="Y906" s="1">
        <v>4</v>
      </c>
      <c r="Z906" s="3">
        <f>X906*VLOOKUP(Y906,[1]Datos!$A$2:$D$14,2)</f>
        <v>2.58</v>
      </c>
      <c r="AA906" s="8">
        <v>0.3</v>
      </c>
      <c r="AB906" s="7">
        <f>IF(D906=0,0.9,0.5)*0.9*0.53*SQRT(W906)*G906*MAX(0.72*G906,0.9*((G906/2)+((G906-0.11)/PI())))*10</f>
        <v>260.7542389499979</v>
      </c>
      <c r="AC906" s="7">
        <f>0.9*Z906*4220*MAX(0.72*G906,0.9*((G906/2)+((G906-0.11)/PI())))/AA906/1000</f>
        <v>71.137096483304632</v>
      </c>
      <c r="AD906" s="6" t="str">
        <f>+IF(AC906&gt;K906-AB906,"Cumple","No Cumple")</f>
        <v>Cumple</v>
      </c>
      <c r="AE906" s="6"/>
      <c r="AH906" s="3"/>
    </row>
    <row r="907" spans="1:34" x14ac:dyDescent="0.3">
      <c r="A907" s="13"/>
      <c r="B907" s="1">
        <v>22</v>
      </c>
      <c r="C907" s="1">
        <v>649</v>
      </c>
      <c r="D907" s="1">
        <v>1</v>
      </c>
      <c r="E907" s="5">
        <v>1</v>
      </c>
      <c r="F907" s="3">
        <f>F906+E907</f>
        <v>22</v>
      </c>
      <c r="G907" s="5">
        <v>3</v>
      </c>
      <c r="H907" s="3">
        <f>PI()*(G907^2)/4</f>
        <v>7.0685834705770345</v>
      </c>
      <c r="I907" s="4">
        <v>7.0685999999999999E-2</v>
      </c>
      <c r="K907" s="3">
        <v>102.40458791606946</v>
      </c>
      <c r="L907" s="3">
        <v>439.06301000000002</v>
      </c>
      <c r="M907" s="3">
        <v>253.73564999999999</v>
      </c>
      <c r="N907" s="12">
        <f>I907/H907</f>
        <v>1.0000023384349969E-2</v>
      </c>
      <c r="O907" s="11">
        <f>I907*10000</f>
        <v>706.86</v>
      </c>
      <c r="P907" s="1">
        <v>10</v>
      </c>
      <c r="Q907" s="15">
        <v>1</v>
      </c>
      <c r="R907" s="3">
        <f>Q907*VLOOKUP(P907,[1]Datos!$A$2:$D$14,2)</f>
        <v>8.19</v>
      </c>
      <c r="S907" s="10">
        <f>ROUNDUP(O907/R907,0)</f>
        <v>87</v>
      </c>
      <c r="T907" s="14">
        <v>87</v>
      </c>
      <c r="U907" s="3">
        <f>ROUNDDOWN(PI()*(G907-0.185)/T907,2)</f>
        <v>0.1</v>
      </c>
      <c r="V907" s="3"/>
      <c r="W907" s="1">
        <v>280</v>
      </c>
      <c r="X907" s="9">
        <v>2</v>
      </c>
      <c r="Y907" s="1">
        <v>4</v>
      </c>
      <c r="Z907" s="3">
        <f>X907*VLOOKUP(Y907,[1]Datos!$A$2:$D$14,2)</f>
        <v>2.58</v>
      </c>
      <c r="AA907" s="8">
        <v>0.3</v>
      </c>
      <c r="AB907" s="7">
        <f>IF(D907=0,0.9,0.5)*0.9*0.53*SQRT(W907)*G907*MAX(0.72*G907,0.9*((G907/2)+((G907-0.11)/PI())))*10</f>
        <v>260.7542389499979</v>
      </c>
      <c r="AC907" s="7">
        <f>0.9*Z907*4220*MAX(0.72*G907,0.9*((G907/2)+((G907-0.11)/PI())))/AA907/1000</f>
        <v>71.137096483304632</v>
      </c>
      <c r="AD907" s="6" t="str">
        <f>+IF(AC907&gt;K907-AB907,"Cumple","No Cumple")</f>
        <v>Cumple</v>
      </c>
      <c r="AE907" s="6"/>
      <c r="AH907" s="3"/>
    </row>
    <row r="908" spans="1:34" x14ac:dyDescent="0.3">
      <c r="A908" s="13"/>
      <c r="B908" s="1">
        <v>23</v>
      </c>
      <c r="C908" s="1">
        <v>650</v>
      </c>
      <c r="D908" s="1">
        <v>1</v>
      </c>
      <c r="E908" s="5">
        <v>1</v>
      </c>
      <c r="F908" s="3">
        <f>F907+E908</f>
        <v>23</v>
      </c>
      <c r="G908" s="5">
        <v>3</v>
      </c>
      <c r="H908" s="3">
        <f>PI()*(G908^2)/4</f>
        <v>7.0685834705770345</v>
      </c>
      <c r="I908" s="4">
        <v>7.0685999999999999E-2</v>
      </c>
      <c r="K908" s="3">
        <v>90.784327223811033</v>
      </c>
      <c r="L908" s="3">
        <v>355.94382000000002</v>
      </c>
      <c r="M908" s="3">
        <v>175.86172999999999</v>
      </c>
      <c r="N908" s="12">
        <f>I908/H908</f>
        <v>1.0000023384349969E-2</v>
      </c>
      <c r="O908" s="11">
        <f>I908*10000</f>
        <v>706.86</v>
      </c>
      <c r="P908" s="1">
        <v>10</v>
      </c>
      <c r="Q908" s="1">
        <v>1</v>
      </c>
      <c r="R908" s="3">
        <f>Q908*VLOOKUP(P908,[1]Datos!$A$2:$D$14,2)</f>
        <v>8.19</v>
      </c>
      <c r="S908" s="10">
        <f>ROUNDUP(O908/R908,0)</f>
        <v>87</v>
      </c>
      <c r="T908" s="2">
        <v>87</v>
      </c>
      <c r="U908" s="3">
        <f>ROUNDDOWN(PI()*(G908-0.185)/T908,2)</f>
        <v>0.1</v>
      </c>
      <c r="V908" s="3"/>
      <c r="W908" s="1">
        <v>280</v>
      </c>
      <c r="X908" s="9">
        <v>2</v>
      </c>
      <c r="Y908" s="1">
        <v>4</v>
      </c>
      <c r="Z908" s="3">
        <f>X908*VLOOKUP(Y908,[1]Datos!$A$2:$D$14,2)</f>
        <v>2.58</v>
      </c>
      <c r="AA908" s="8">
        <v>0.3</v>
      </c>
      <c r="AB908" s="7">
        <f>IF(D908=0,0.9,0.5)*0.9*0.53*SQRT(W908)*G908*MAX(0.72*G908,0.9*((G908/2)+((G908-0.11)/PI())))*10</f>
        <v>260.7542389499979</v>
      </c>
      <c r="AC908" s="7">
        <f>0.9*Z908*4220*MAX(0.72*G908,0.9*((G908/2)+((G908-0.11)/PI())))/AA908/1000</f>
        <v>71.137096483304632</v>
      </c>
      <c r="AD908" s="6" t="str">
        <f>+IF(AC908&gt;K908-AB908,"Cumple","No Cumple")</f>
        <v>Cumple</v>
      </c>
      <c r="AE908" s="6"/>
      <c r="AH908" s="3"/>
    </row>
    <row r="909" spans="1:34" x14ac:dyDescent="0.3">
      <c r="A909" s="13"/>
      <c r="B909" s="1">
        <v>24</v>
      </c>
      <c r="C909" s="1">
        <v>651</v>
      </c>
      <c r="D909" s="1">
        <v>1</v>
      </c>
      <c r="E909" s="5">
        <v>1</v>
      </c>
      <c r="F909" s="3">
        <f>F908+E909</f>
        <v>24</v>
      </c>
      <c r="G909" s="5">
        <v>3</v>
      </c>
      <c r="H909" s="3">
        <f>PI()*(G909^2)/4</f>
        <v>7.0685834705770345</v>
      </c>
      <c r="I909" s="4">
        <v>7.0685999999999999E-2</v>
      </c>
      <c r="K909" s="3">
        <v>78.596592356793678</v>
      </c>
      <c r="L909" s="3">
        <v>279.22994</v>
      </c>
      <c r="M909" s="3">
        <v>119.56879000000001</v>
      </c>
      <c r="N909" s="12">
        <f>I909/H909</f>
        <v>1.0000023384349969E-2</v>
      </c>
      <c r="O909" s="11">
        <f>I909*10000</f>
        <v>706.86</v>
      </c>
      <c r="P909" s="1">
        <v>10</v>
      </c>
      <c r="Q909" s="1">
        <v>1</v>
      </c>
      <c r="R909" s="3">
        <f>Q909*VLOOKUP(P909,[1]Datos!$A$2:$D$14,2)</f>
        <v>8.19</v>
      </c>
      <c r="S909" s="10">
        <f>ROUNDUP(O909/R909,0)</f>
        <v>87</v>
      </c>
      <c r="T909" s="2">
        <v>87</v>
      </c>
      <c r="U909" s="3">
        <f>ROUNDDOWN(PI()*(G909-0.185)/T909,2)</f>
        <v>0.1</v>
      </c>
      <c r="V909" s="3"/>
      <c r="W909" s="1">
        <v>280</v>
      </c>
      <c r="X909" s="9">
        <v>2</v>
      </c>
      <c r="Y909" s="1">
        <v>4</v>
      </c>
      <c r="Z909" s="3">
        <f>X909*VLOOKUP(Y909,[1]Datos!$A$2:$D$14,2)</f>
        <v>2.58</v>
      </c>
      <c r="AA909" s="8">
        <v>0.3</v>
      </c>
      <c r="AB909" s="7">
        <f>IF(D909=0,0.9,0.5)*0.9*0.53*SQRT(W909)*G909*MAX(0.72*G909,0.9*((G909/2)+((G909-0.11)/PI())))*10</f>
        <v>260.7542389499979</v>
      </c>
      <c r="AC909" s="7">
        <f>0.9*Z909*4220*MAX(0.72*G909,0.9*((G909/2)+((G909-0.11)/PI())))/AA909/1000</f>
        <v>71.137096483304632</v>
      </c>
      <c r="AD909" s="6" t="str">
        <f>+IF(AC909&gt;K909-AB909,"Cumple","No Cumple")</f>
        <v>Cumple</v>
      </c>
      <c r="AE909" s="6"/>
      <c r="AH909" s="3"/>
    </row>
    <row r="910" spans="1:34" x14ac:dyDescent="0.3">
      <c r="A910" s="13"/>
      <c r="B910" s="1">
        <v>25</v>
      </c>
      <c r="C910" s="1">
        <v>652</v>
      </c>
      <c r="D910" s="1">
        <v>1</v>
      </c>
      <c r="E910" s="5">
        <v>1</v>
      </c>
      <c r="F910" s="3">
        <f>F909+E910</f>
        <v>25</v>
      </c>
      <c r="G910" s="5">
        <v>3</v>
      </c>
      <c r="H910" s="3">
        <f>PI()*(G910^2)/4</f>
        <v>7.0685834705770345</v>
      </c>
      <c r="I910" s="4">
        <v>7.0685999999999999E-2</v>
      </c>
      <c r="K910" s="3">
        <v>66.310646152559841</v>
      </c>
      <c r="L910" s="3">
        <v>210.50771</v>
      </c>
      <c r="M910" s="3">
        <v>82.596869999999996</v>
      </c>
      <c r="N910" s="12">
        <f>I910/H910</f>
        <v>1.0000023384349969E-2</v>
      </c>
      <c r="O910" s="11">
        <f>I910*10000</f>
        <v>706.86</v>
      </c>
      <c r="P910" s="1">
        <v>10</v>
      </c>
      <c r="Q910" s="1">
        <v>1</v>
      </c>
      <c r="R910" s="3">
        <f>Q910*VLOOKUP(P910,[1]Datos!$A$2:$D$14,2)</f>
        <v>8.19</v>
      </c>
      <c r="S910" s="10">
        <f>ROUNDUP(O910/R910,0)</f>
        <v>87</v>
      </c>
      <c r="T910" s="2">
        <v>87</v>
      </c>
      <c r="U910" s="3">
        <f>ROUNDDOWN(PI()*(G910-0.185)/T910,2)</f>
        <v>0.1</v>
      </c>
      <c r="V910" s="3"/>
      <c r="W910" s="1">
        <v>280</v>
      </c>
      <c r="X910" s="9">
        <v>2</v>
      </c>
      <c r="Y910" s="1">
        <v>4</v>
      </c>
      <c r="Z910" s="3">
        <f>X910*VLOOKUP(Y910,[1]Datos!$A$2:$D$14,2)</f>
        <v>2.58</v>
      </c>
      <c r="AA910" s="8">
        <v>0.3</v>
      </c>
      <c r="AB910" s="7">
        <f>IF(D910=0,0.9,0.5)*0.9*0.53*SQRT(W910)*G910*MAX(0.72*G910,0.9*((G910/2)+((G910-0.11)/PI())))*10</f>
        <v>260.7542389499979</v>
      </c>
      <c r="AC910" s="7">
        <f>0.9*Z910*4220*MAX(0.72*G910,0.9*((G910/2)+((G910-0.11)/PI())))/AA910/1000</f>
        <v>71.137096483304632</v>
      </c>
      <c r="AD910" s="6" t="str">
        <f>+IF(AC910&gt;K910-AB910,"Cumple","No Cumple")</f>
        <v>Cumple</v>
      </c>
      <c r="AE910" s="6"/>
      <c r="AH910" s="3"/>
    </row>
    <row r="911" spans="1:34" x14ac:dyDescent="0.3">
      <c r="A911" s="13"/>
      <c r="B911" s="1">
        <v>26</v>
      </c>
      <c r="C911" s="1">
        <v>653</v>
      </c>
      <c r="D911" s="1">
        <v>1</v>
      </c>
      <c r="E911" s="5">
        <v>1</v>
      </c>
      <c r="F911" s="3">
        <f>F910+E911</f>
        <v>26</v>
      </c>
      <c r="G911" s="5">
        <v>3</v>
      </c>
      <c r="H911" s="3">
        <f>PI()*(G911^2)/4</f>
        <v>7.0685834705770345</v>
      </c>
      <c r="I911" s="4">
        <v>7.0685999999999999E-2</v>
      </c>
      <c r="K911" s="3">
        <v>54.314260792999839</v>
      </c>
      <c r="L911" s="3">
        <v>150.85896</v>
      </c>
      <c r="M911" s="3">
        <v>59.879739999999998</v>
      </c>
      <c r="N911" s="12">
        <f>I911/H911</f>
        <v>1.0000023384349969E-2</v>
      </c>
      <c r="O911" s="11">
        <f>I911*10000</f>
        <v>706.86</v>
      </c>
      <c r="P911" s="1">
        <v>10</v>
      </c>
      <c r="Q911" s="1">
        <v>1</v>
      </c>
      <c r="R911" s="3">
        <f>Q911*VLOOKUP(P911,[1]Datos!$A$2:$D$14,2)</f>
        <v>8.19</v>
      </c>
      <c r="S911" s="10">
        <f>ROUNDUP(O911/R911,0)</f>
        <v>87</v>
      </c>
      <c r="T911" s="2">
        <v>87</v>
      </c>
      <c r="U911" s="3">
        <f>ROUNDDOWN(PI()*(G911-0.185)/T911,2)</f>
        <v>0.1</v>
      </c>
      <c r="V911" s="3"/>
      <c r="W911" s="1">
        <v>280</v>
      </c>
      <c r="X911" s="9">
        <v>2</v>
      </c>
      <c r="Y911" s="1">
        <v>4</v>
      </c>
      <c r="Z911" s="3">
        <f>X911*VLOOKUP(Y911,[1]Datos!$A$2:$D$14,2)</f>
        <v>2.58</v>
      </c>
      <c r="AA911" s="8">
        <v>0.3</v>
      </c>
      <c r="AB911" s="7">
        <f>IF(D911=0,0.9,0.5)*0.9*0.53*SQRT(W911)*G911*MAX(0.72*G911,0.9*((G911/2)+((G911-0.11)/PI())))*10</f>
        <v>260.7542389499979</v>
      </c>
      <c r="AC911" s="7">
        <f>0.9*Z911*4220*MAX(0.72*G911,0.9*((G911/2)+((G911-0.11)/PI())))/AA911/1000</f>
        <v>71.137096483304632</v>
      </c>
      <c r="AD911" s="6" t="str">
        <f>+IF(AC911&gt;K911-AB911,"Cumple","No Cumple")</f>
        <v>Cumple</v>
      </c>
      <c r="AE911" s="6"/>
      <c r="AH911" s="3"/>
    </row>
    <row r="912" spans="1:34" x14ac:dyDescent="0.3">
      <c r="A912" s="13"/>
      <c r="B912" s="1">
        <v>27</v>
      </c>
      <c r="C912" s="1">
        <v>654</v>
      </c>
      <c r="D912" s="1">
        <v>1</v>
      </c>
      <c r="E912" s="5">
        <v>1</v>
      </c>
      <c r="F912" s="3">
        <f>F911+E912</f>
        <v>27</v>
      </c>
      <c r="G912" s="5">
        <v>3</v>
      </c>
      <c r="H912" s="3">
        <f>PI()*(G912^2)/4</f>
        <v>7.0685834705770345</v>
      </c>
      <c r="I912" s="4">
        <v>7.0685999999999999E-2</v>
      </c>
      <c r="K912" s="3">
        <v>42.891369168400303</v>
      </c>
      <c r="L912" s="3">
        <v>100.9517</v>
      </c>
      <c r="M912" s="3">
        <v>45.333480000000002</v>
      </c>
      <c r="N912" s="12">
        <f>I912/H912</f>
        <v>1.0000023384349969E-2</v>
      </c>
      <c r="O912" s="11">
        <f>I912*10000</f>
        <v>706.86</v>
      </c>
      <c r="P912" s="1">
        <v>10</v>
      </c>
      <c r="Q912" s="1">
        <v>1</v>
      </c>
      <c r="R912" s="3">
        <f>Q912*VLOOKUP(P912,[1]Datos!$A$2:$D$14,2)</f>
        <v>8.19</v>
      </c>
      <c r="S912" s="10">
        <f>ROUNDUP(O912/R912,0)</f>
        <v>87</v>
      </c>
      <c r="T912" s="2">
        <v>87</v>
      </c>
      <c r="U912" s="3">
        <f>ROUNDDOWN(PI()*(G912-0.185)/T912,2)</f>
        <v>0.1</v>
      </c>
      <c r="V912" s="3"/>
      <c r="W912" s="1">
        <v>280</v>
      </c>
      <c r="X912" s="9">
        <v>2</v>
      </c>
      <c r="Y912" s="1">
        <v>4</v>
      </c>
      <c r="Z912" s="3">
        <f>X912*VLOOKUP(Y912,[1]Datos!$A$2:$D$14,2)</f>
        <v>2.58</v>
      </c>
      <c r="AA912" s="8">
        <v>0.3</v>
      </c>
      <c r="AB912" s="7">
        <f>IF(D912=0,0.9,0.5)*0.9*0.53*SQRT(W912)*G912*MAX(0.72*G912,0.9*((G912/2)+((G912-0.11)/PI())))*10</f>
        <v>260.7542389499979</v>
      </c>
      <c r="AC912" s="7">
        <f>0.9*Z912*4220*MAX(0.72*G912,0.9*((G912/2)+((G912-0.11)/PI())))/AA912/1000</f>
        <v>71.137096483304632</v>
      </c>
      <c r="AD912" s="6" t="str">
        <f>+IF(AC912&gt;K912-AB912,"Cumple","No Cumple")</f>
        <v>Cumple</v>
      </c>
      <c r="AE912" s="6"/>
      <c r="AH912" s="3"/>
    </row>
    <row r="913" spans="1:43" x14ac:dyDescent="0.3">
      <c r="A913" s="13"/>
      <c r="B913" s="1">
        <v>28</v>
      </c>
      <c r="C913" s="1">
        <v>655</v>
      </c>
      <c r="D913" s="1">
        <v>1</v>
      </c>
      <c r="E913" s="5">
        <v>1</v>
      </c>
      <c r="F913" s="3">
        <f>F912+E913</f>
        <v>28</v>
      </c>
      <c r="G913" s="5">
        <v>3</v>
      </c>
      <c r="H913" s="3">
        <f>PI()*(G913^2)/4</f>
        <v>7.0685834705770345</v>
      </c>
      <c r="I913" s="4">
        <v>7.0685999999999999E-2</v>
      </c>
      <c r="K913" s="3">
        <v>32.152854829703692</v>
      </c>
      <c r="L913" s="3">
        <v>61.122819999999997</v>
      </c>
      <c r="M913" s="3">
        <v>32.916359999999997</v>
      </c>
      <c r="N913" s="12">
        <f>I913/H913</f>
        <v>1.0000023384349969E-2</v>
      </c>
      <c r="O913" s="11">
        <f>I913*10000</f>
        <v>706.86</v>
      </c>
      <c r="P913" s="1">
        <v>10</v>
      </c>
      <c r="Q913" s="1">
        <v>1</v>
      </c>
      <c r="R913" s="3">
        <f>Q913*VLOOKUP(P913,[1]Datos!$A$2:$D$14,2)</f>
        <v>8.19</v>
      </c>
      <c r="S913" s="10">
        <f>ROUNDUP(O913/R913,0)</f>
        <v>87</v>
      </c>
      <c r="T913" s="2">
        <v>87</v>
      </c>
      <c r="U913" s="3">
        <f>ROUNDDOWN(PI()*(G913-0.185)/T913,2)</f>
        <v>0.1</v>
      </c>
      <c r="V913" s="3"/>
      <c r="W913" s="1">
        <v>280</v>
      </c>
      <c r="X913" s="9">
        <v>2</v>
      </c>
      <c r="Y913" s="1">
        <v>4</v>
      </c>
      <c r="Z913" s="3">
        <f>X913*VLOOKUP(Y913,[1]Datos!$A$2:$D$14,2)</f>
        <v>2.58</v>
      </c>
      <c r="AA913" s="8">
        <v>0.3</v>
      </c>
      <c r="AB913" s="7">
        <f>IF(D913=0,0.9,0.5)*0.9*0.53*SQRT(W913)*G913*MAX(0.72*G913,0.9*((G913/2)+((G913-0.11)/PI())))*10</f>
        <v>260.7542389499979</v>
      </c>
      <c r="AC913" s="7">
        <f>0.9*Z913*4220*MAX(0.72*G913,0.9*((G913/2)+((G913-0.11)/PI())))/AA913/1000</f>
        <v>71.137096483304632</v>
      </c>
      <c r="AD913" s="6" t="str">
        <f>+IF(AC913&gt;K913-AB913,"Cumple","No Cumple")</f>
        <v>Cumple</v>
      </c>
      <c r="AE913" s="6"/>
      <c r="AH913" s="3"/>
    </row>
    <row r="914" spans="1:43" x14ac:dyDescent="0.3">
      <c r="A914" s="13"/>
      <c r="B914" s="1">
        <v>29</v>
      </c>
      <c r="C914" s="1">
        <v>656</v>
      </c>
      <c r="D914" s="1">
        <v>1</v>
      </c>
      <c r="E914" s="5">
        <v>1</v>
      </c>
      <c r="F914" s="3">
        <f>F913+E914</f>
        <v>29</v>
      </c>
      <c r="G914" s="5">
        <v>3</v>
      </c>
      <c r="H914" s="3">
        <f>PI()*(G914^2)/4</f>
        <v>7.0685834705770345</v>
      </c>
      <c r="I914" s="4">
        <v>7.0685999999999999E-2</v>
      </c>
      <c r="K914" s="3">
        <v>21.91414902659923</v>
      </c>
      <c r="L914" s="3">
        <v>31.42426</v>
      </c>
      <c r="M914" s="3">
        <v>20.674130000000002</v>
      </c>
      <c r="N914" s="12">
        <f>I914/H914</f>
        <v>1.0000023384349969E-2</v>
      </c>
      <c r="O914" s="11">
        <f>I914*10000</f>
        <v>706.86</v>
      </c>
      <c r="P914" s="1">
        <v>10</v>
      </c>
      <c r="Q914" s="1">
        <v>1</v>
      </c>
      <c r="R914" s="3">
        <f>Q914*VLOOKUP(P914,[1]Datos!$A$2:$D$14,2)</f>
        <v>8.19</v>
      </c>
      <c r="S914" s="10">
        <f>ROUNDUP(O914/R914,0)</f>
        <v>87</v>
      </c>
      <c r="T914" s="2">
        <v>87</v>
      </c>
      <c r="U914" s="3">
        <f>ROUNDDOWN(PI()*(G914-0.185)/T914,2)</f>
        <v>0.1</v>
      </c>
      <c r="V914" s="3"/>
      <c r="W914" s="1">
        <v>280</v>
      </c>
      <c r="X914" s="9">
        <v>2</v>
      </c>
      <c r="Y914" s="1">
        <v>4</v>
      </c>
      <c r="Z914" s="3">
        <f>X914*VLOOKUP(Y914,[1]Datos!$A$2:$D$14,2)</f>
        <v>2.58</v>
      </c>
      <c r="AA914" s="8">
        <v>0.3</v>
      </c>
      <c r="AB914" s="7">
        <f>IF(D914=0,0.9,0.5)*0.9*0.53*SQRT(W914)*G914*MAX(0.72*G914,0.9*((G914/2)+((G914-0.11)/PI())))*10</f>
        <v>260.7542389499979</v>
      </c>
      <c r="AC914" s="7">
        <f>0.9*Z914*4220*MAX(0.72*G914,0.9*((G914/2)+((G914-0.11)/PI())))/AA914/1000</f>
        <v>71.137096483304632</v>
      </c>
      <c r="AD914" s="6" t="str">
        <f>+IF(AC914&gt;K914-AB914,"Cumple","No Cumple")</f>
        <v>Cumple</v>
      </c>
      <c r="AE914" s="6"/>
      <c r="AH914" s="3"/>
    </row>
    <row r="915" spans="1:43" x14ac:dyDescent="0.3">
      <c r="A915" s="13"/>
      <c r="B915" s="1">
        <v>30</v>
      </c>
      <c r="C915" s="1">
        <v>666</v>
      </c>
      <c r="D915" s="1">
        <v>1</v>
      </c>
      <c r="E915" s="5">
        <v>1</v>
      </c>
      <c r="F915" s="3">
        <f>F914+E915</f>
        <v>30</v>
      </c>
      <c r="G915" s="5">
        <v>3</v>
      </c>
      <c r="H915" s="3">
        <f>PI()*(G915^2)/4</f>
        <v>7.0685834705770345</v>
      </c>
      <c r="I915" s="4">
        <v>7.0685999999999999E-2</v>
      </c>
      <c r="K915" s="3">
        <v>12.690771855170984</v>
      </c>
      <c r="L915" s="3">
        <v>11.51843</v>
      </c>
      <c r="M915" s="3">
        <v>9.2801899999999993</v>
      </c>
      <c r="N915" s="12">
        <f>I915/H915</f>
        <v>1.0000023384349969E-2</v>
      </c>
      <c r="O915" s="11">
        <f>I915*10000</f>
        <v>706.86</v>
      </c>
      <c r="P915" s="1">
        <v>10</v>
      </c>
      <c r="Q915" s="1">
        <v>1</v>
      </c>
      <c r="R915" s="3">
        <f>Q915*VLOOKUP(P915,[1]Datos!$A$2:$D$14,2)</f>
        <v>8.19</v>
      </c>
      <c r="S915" s="10">
        <f>ROUNDUP(O915/R915,0)</f>
        <v>87</v>
      </c>
      <c r="T915" s="2">
        <v>87</v>
      </c>
      <c r="U915" s="3">
        <f>ROUNDDOWN(PI()*(G915-0.185)/T915,2)</f>
        <v>0.1</v>
      </c>
      <c r="V915" s="3"/>
      <c r="W915" s="1">
        <v>280</v>
      </c>
      <c r="X915" s="9">
        <v>2</v>
      </c>
      <c r="Y915" s="1">
        <v>4</v>
      </c>
      <c r="Z915" s="3">
        <f>X915*VLOOKUP(Y915,[1]Datos!$A$2:$D$14,2)</f>
        <v>2.58</v>
      </c>
      <c r="AA915" s="8">
        <v>0.3</v>
      </c>
      <c r="AB915" s="7">
        <f>IF(D915=0,0.9,0.5)*0.9*0.53*SQRT(W915)*G915*MAX(0.72*G915,0.9*((G915/2)+((G915-0.11)/PI())))*10</f>
        <v>260.7542389499979</v>
      </c>
      <c r="AC915" s="7">
        <f>0.9*Z915*4220*MAX(0.72*G915,0.9*((G915/2)+((G915-0.11)/PI())))/AA915/1000</f>
        <v>71.137096483304632</v>
      </c>
      <c r="AD915" s="6" t="str">
        <f>+IF(AC915&gt;K915-AB915,"Cumple","No Cumple")</f>
        <v>Cumple</v>
      </c>
      <c r="AE915" s="6"/>
      <c r="AH915" s="3"/>
    </row>
    <row r="916" spans="1:43" ht="15" customHeight="1" x14ac:dyDescent="0.3">
      <c r="A916" s="13" t="s">
        <v>3</v>
      </c>
      <c r="B916" s="1">
        <v>1</v>
      </c>
      <c r="C916" s="1">
        <v>628</v>
      </c>
      <c r="D916" s="1">
        <v>1</v>
      </c>
      <c r="E916" s="5">
        <v>1</v>
      </c>
      <c r="F916" s="3">
        <f>E916</f>
        <v>1</v>
      </c>
      <c r="G916" s="5">
        <v>3</v>
      </c>
      <c r="H916" s="3">
        <f>PI()*(G916^2)/4</f>
        <v>7.0685834705770345</v>
      </c>
      <c r="I916" s="4">
        <v>9.0191999999999994E-2</v>
      </c>
      <c r="K916" s="3">
        <v>664.26856625441042</v>
      </c>
      <c r="L916" s="3">
        <v>3271.1407399999998</v>
      </c>
      <c r="M916" s="3">
        <v>3610.24991</v>
      </c>
      <c r="N916" s="12">
        <f>I916/H916</f>
        <v>1.2759557890972644E-2</v>
      </c>
      <c r="O916" s="11">
        <f>I916*10000</f>
        <v>901.92</v>
      </c>
      <c r="P916" s="1">
        <v>10</v>
      </c>
      <c r="Q916" s="1">
        <v>1.33</v>
      </c>
      <c r="R916" s="3">
        <f>Q916*VLOOKUP(P916,[1]Datos!$A$2:$D$14,2)</f>
        <v>10.8927</v>
      </c>
      <c r="S916" s="10">
        <f>ROUNDUP(O916/R916,0)</f>
        <v>83</v>
      </c>
      <c r="T916" s="2">
        <v>87</v>
      </c>
      <c r="U916" s="3">
        <f>ROUNDDOWN(PI()*(G916-0.185)/T916,2)</f>
        <v>0.1</v>
      </c>
      <c r="V916" s="3"/>
      <c r="W916" s="1">
        <v>280</v>
      </c>
      <c r="X916" s="9">
        <v>2</v>
      </c>
      <c r="Y916" s="1">
        <v>6</v>
      </c>
      <c r="Z916" s="3">
        <f>X916*VLOOKUP(Y916,[1]Datos!$A$2:$D$14,2)</f>
        <v>5.68</v>
      </c>
      <c r="AA916" s="8">
        <v>4.972E-2</v>
      </c>
      <c r="AB916" s="7">
        <f>IF(D916=0,0.9,0.5)*0.9*0.53*SQRT(W916)*G916*MAX(0.72*G916,0.9*((G916/2)+((G916-0.11)/PI())))*10</f>
        <v>260.7542389499979</v>
      </c>
      <c r="AC916" s="7">
        <f>0.9*Z916*4220*MAX(0.72*G916,0.9*((G916/2)+((G916-0.11)/PI())))/AA916/1000</f>
        <v>944.96320797669352</v>
      </c>
      <c r="AD916" s="6" t="str">
        <f>+IF(AC916&gt;K916-AB916,"Cumple","No Cumple")</f>
        <v>Cumple</v>
      </c>
      <c r="AE916" s="6"/>
      <c r="AG916" s="7">
        <f>ROUNDUP(MAX(0.45,3*G916,),0)</f>
        <v>9</v>
      </c>
      <c r="AH916" s="3">
        <f>PI()*(G916-0.15)^2/4</f>
        <v>6.3793965821957741</v>
      </c>
      <c r="AI916" s="7">
        <f>G916-0.15-VLOOKUP(Y916,[1]Datos!$A$2:$D$14,3)/100</f>
        <v>2.8309000000000002</v>
      </c>
      <c r="AJ916" s="7">
        <f>SQRT((PI()*AI916)^2+AA916^2)</f>
        <v>8.8936736237329566</v>
      </c>
      <c r="AK916" s="1">
        <v>0.12</v>
      </c>
      <c r="AL916" s="16">
        <f>MAX(0.45*(H916/AH916-1),AK916)*(W916/4220)</f>
        <v>7.9620853080568724E-3</v>
      </c>
      <c r="AM916" s="7">
        <f>AG916*(AJ916/AA916)</f>
        <v>1609.8765610136084</v>
      </c>
      <c r="AN916" s="17">
        <f>AM916*Z916/X916/10000</f>
        <v>0.45720494332786477</v>
      </c>
      <c r="AO916" s="17">
        <f>AH916*AG916</f>
        <v>57.414569239761967</v>
      </c>
      <c r="AP916" s="16">
        <f>AN916/AO916</f>
        <v>7.9632216941067178E-3</v>
      </c>
      <c r="AQ916" s="6" t="str">
        <f>+IF(AP916&gt;AL916,"Cumple","No Cumple")</f>
        <v>Cumple</v>
      </c>
    </row>
    <row r="917" spans="1:43" ht="15" customHeight="1" x14ac:dyDescent="0.3">
      <c r="A917" s="13"/>
      <c r="B917" s="1">
        <v>2</v>
      </c>
      <c r="C917" s="1">
        <v>629</v>
      </c>
      <c r="D917" s="1">
        <v>1</v>
      </c>
      <c r="E917" s="5">
        <v>1</v>
      </c>
      <c r="F917" s="3">
        <f>F916+E917</f>
        <v>2</v>
      </c>
      <c r="G917" s="5">
        <v>3</v>
      </c>
      <c r="H917" s="3">
        <f>PI()*(G917^2)/4</f>
        <v>7.0685834705770345</v>
      </c>
      <c r="I917" s="4">
        <v>7.0685999999999999E-2</v>
      </c>
      <c r="K917" s="3">
        <v>644.0156674575627</v>
      </c>
      <c r="L917" s="3">
        <v>2677.5304299999998</v>
      </c>
      <c r="M917" s="3">
        <v>3618.2461899999998</v>
      </c>
      <c r="N917" s="12">
        <f>I917/H917</f>
        <v>1.0000023384349969E-2</v>
      </c>
      <c r="O917" s="11">
        <f>I917*10000</f>
        <v>706.86</v>
      </c>
      <c r="P917" s="1">
        <v>10</v>
      </c>
      <c r="Q917" s="1">
        <v>1.33</v>
      </c>
      <c r="R917" s="3">
        <f>Q917*VLOOKUP(P917,[1]Datos!$A$2:$D$14,2)</f>
        <v>10.8927</v>
      </c>
      <c r="S917" s="10">
        <f>ROUNDUP(O917/R917,0)</f>
        <v>65</v>
      </c>
      <c r="T917" s="2">
        <v>87</v>
      </c>
      <c r="U917" s="3">
        <f>ROUNDDOWN(PI()*(G917-0.185)/T917,2)</f>
        <v>0.1</v>
      </c>
      <c r="V917" s="3"/>
      <c r="W917" s="1">
        <v>280</v>
      </c>
      <c r="X917" s="9">
        <v>2</v>
      </c>
      <c r="Y917" s="1">
        <v>6</v>
      </c>
      <c r="Z917" s="3">
        <f>X917*VLOOKUP(Y917,[1]Datos!$A$2:$D$14,2)</f>
        <v>5.68</v>
      </c>
      <c r="AA917" s="8">
        <v>4.972E-2</v>
      </c>
      <c r="AB917" s="7">
        <f>IF(D917=0,0.9,0.5)*0.9*0.53*SQRT(W917)*G917*MAX(0.72*G917,0.9*((G917/2)+((G917-0.11)/PI())))*10</f>
        <v>260.7542389499979</v>
      </c>
      <c r="AC917" s="7">
        <f>0.9*Z917*4220*MAX(0.72*G917,0.9*((G917/2)+((G917-0.11)/PI())))/AA917/1000</f>
        <v>944.96320797669352</v>
      </c>
      <c r="AD917" s="6" t="str">
        <f>+IF(AC917&gt;K917-AB917,"Cumple","No Cumple")</f>
        <v>Cumple</v>
      </c>
      <c r="AE917" s="6"/>
      <c r="AG917" s="7">
        <f>ROUNDUP(MAX(0.45,3*G917,),0)</f>
        <v>9</v>
      </c>
      <c r="AH917" s="3">
        <f>PI()*(G917-0.15)^2/4</f>
        <v>6.3793965821957741</v>
      </c>
      <c r="AI917" s="7">
        <f>G917-0.15-VLOOKUP(Y917,[1]Datos!$A$2:$D$14,3)/100</f>
        <v>2.8309000000000002</v>
      </c>
      <c r="AJ917" s="7">
        <f>SQRT((PI()*AI917)^2+AA917^2)</f>
        <v>8.8936736237329566</v>
      </c>
      <c r="AK917" s="1">
        <v>0.12</v>
      </c>
      <c r="AL917" s="16">
        <f>MAX(0.45*(H917/AH917-1),AK917)*(W917/4220)</f>
        <v>7.9620853080568724E-3</v>
      </c>
      <c r="AM917" s="7">
        <f>AG917*(AJ917/AA917)</f>
        <v>1609.8765610136084</v>
      </c>
      <c r="AN917" s="17">
        <f>AM917*Z917/X917/10000</f>
        <v>0.45720494332786477</v>
      </c>
      <c r="AO917" s="17">
        <f>AH917*AG917</f>
        <v>57.414569239761967</v>
      </c>
      <c r="AP917" s="16">
        <f>AN917/AO917</f>
        <v>7.9632216941067178E-3</v>
      </c>
      <c r="AQ917" s="6" t="str">
        <f>+IF(AP917&gt;AL917,"Cumple","No Cumple")</f>
        <v>Cumple</v>
      </c>
    </row>
    <row r="918" spans="1:43" ht="15" customHeight="1" x14ac:dyDescent="0.3">
      <c r="A918" s="13"/>
      <c r="B918" s="1">
        <v>3</v>
      </c>
      <c r="C918" s="1">
        <v>630</v>
      </c>
      <c r="D918" s="1">
        <v>1</v>
      </c>
      <c r="E918" s="5">
        <v>1</v>
      </c>
      <c r="F918" s="3">
        <f>F917+E918</f>
        <v>3</v>
      </c>
      <c r="G918" s="5">
        <v>3</v>
      </c>
      <c r="H918" s="3">
        <f>PI()*(G918^2)/4</f>
        <v>7.0685834705770345</v>
      </c>
      <c r="I918" s="4">
        <v>7.0685999999999999E-2</v>
      </c>
      <c r="K918" s="3">
        <v>605.16867591383152</v>
      </c>
      <c r="L918" s="3">
        <v>2100.1652600000002</v>
      </c>
      <c r="M918" s="3">
        <v>3618.2461899999998</v>
      </c>
      <c r="N918" s="12">
        <f>I918/H918</f>
        <v>1.0000023384349969E-2</v>
      </c>
      <c r="O918" s="11">
        <f>I918*10000</f>
        <v>706.86</v>
      </c>
      <c r="P918" s="1">
        <v>10</v>
      </c>
      <c r="Q918" s="1">
        <v>1</v>
      </c>
      <c r="R918" s="3">
        <f>Q918*VLOOKUP(P918,[1]Datos!$A$2:$D$14,2)</f>
        <v>8.19</v>
      </c>
      <c r="S918" s="10">
        <f>ROUNDUP(O918/R918,0)</f>
        <v>87</v>
      </c>
      <c r="T918" s="2">
        <v>87</v>
      </c>
      <c r="U918" s="3">
        <f>ROUNDDOWN(PI()*(G918-0.185)/T918,2)</f>
        <v>0.1</v>
      </c>
      <c r="V918" s="3"/>
      <c r="W918" s="1">
        <v>280</v>
      </c>
      <c r="X918" s="9">
        <v>2</v>
      </c>
      <c r="Y918" s="1">
        <v>6</v>
      </c>
      <c r="Z918" s="3">
        <f>X918*VLOOKUP(Y918,[1]Datos!$A$2:$D$14,2)</f>
        <v>5.68</v>
      </c>
      <c r="AA918" s="8">
        <v>4.972E-2</v>
      </c>
      <c r="AB918" s="7">
        <f>IF(D918=0,0.9,0.5)*0.9*0.53*SQRT(W918)*G918*MAX(0.72*G918,0.9*((G918/2)+((G918-0.11)/PI())))*10</f>
        <v>260.7542389499979</v>
      </c>
      <c r="AC918" s="7">
        <f>0.9*Z918*4220*MAX(0.72*G918,0.9*((G918/2)+((G918-0.11)/PI())))/AA918/1000</f>
        <v>944.96320797669352</v>
      </c>
      <c r="AD918" s="6" t="str">
        <f>+IF(AC918&gt;K918-AB918,"Cumple","No Cumple")</f>
        <v>Cumple</v>
      </c>
      <c r="AE918" s="6"/>
      <c r="AG918" s="7">
        <f>ROUNDUP(MAX(0.45,3*G918,),0)</f>
        <v>9</v>
      </c>
      <c r="AH918" s="3">
        <f>PI()*(G918-0.15)^2/4</f>
        <v>6.3793965821957741</v>
      </c>
      <c r="AI918" s="7">
        <f>G918-0.15-VLOOKUP(Y918,[1]Datos!$A$2:$D$14,3)/100</f>
        <v>2.8309000000000002</v>
      </c>
      <c r="AJ918" s="7">
        <f>SQRT((PI()*AI918)^2+AA918^2)</f>
        <v>8.8936736237329566</v>
      </c>
      <c r="AK918" s="1">
        <v>0.12</v>
      </c>
      <c r="AL918" s="16">
        <f>MAX(0.45*(H918/AH918-1),AK918)*(W918/4220)</f>
        <v>7.9620853080568724E-3</v>
      </c>
      <c r="AM918" s="7">
        <f>AG918*(AJ918/AA918)</f>
        <v>1609.8765610136084</v>
      </c>
      <c r="AN918" s="17">
        <f>AM918*Z918/X918/10000</f>
        <v>0.45720494332786477</v>
      </c>
      <c r="AO918" s="17">
        <f>AH918*AG918</f>
        <v>57.414569239761967</v>
      </c>
      <c r="AP918" s="16">
        <f>AN918/AO918</f>
        <v>7.9632216941067178E-3</v>
      </c>
      <c r="AQ918" s="6" t="str">
        <f>+IF(AP918&gt;AL918,"Cumple","No Cumple")</f>
        <v>Cumple</v>
      </c>
    </row>
    <row r="919" spans="1:43" ht="15" customHeight="1" x14ac:dyDescent="0.3">
      <c r="A919" s="13"/>
      <c r="B919" s="1">
        <v>4</v>
      </c>
      <c r="C919" s="1">
        <v>631</v>
      </c>
      <c r="D919" s="1">
        <v>1</v>
      </c>
      <c r="E919" s="5">
        <v>1</v>
      </c>
      <c r="F919" s="3">
        <f>F918+E919</f>
        <v>4</v>
      </c>
      <c r="G919" s="5">
        <v>3</v>
      </c>
      <c r="H919" s="3">
        <f>PI()*(G919^2)/4</f>
        <v>7.0685834705770345</v>
      </c>
      <c r="I919" s="4">
        <v>7.0685999999999999E-2</v>
      </c>
      <c r="K919" s="3">
        <v>553.97276481592485</v>
      </c>
      <c r="L919" s="3">
        <v>1558.41391</v>
      </c>
      <c r="M919" s="3">
        <v>3595.2631900000001</v>
      </c>
      <c r="N919" s="12">
        <f>I919/H919</f>
        <v>1.0000023384349969E-2</v>
      </c>
      <c r="O919" s="11">
        <f>I919*10000</f>
        <v>706.86</v>
      </c>
      <c r="P919" s="1">
        <v>10</v>
      </c>
      <c r="Q919" s="1">
        <v>1</v>
      </c>
      <c r="R919" s="3">
        <f>Q919*VLOOKUP(P919,[1]Datos!$A$2:$D$14,2)</f>
        <v>8.19</v>
      </c>
      <c r="S919" s="10">
        <f>ROUNDUP(O919/R919,0)</f>
        <v>87</v>
      </c>
      <c r="T919" s="2">
        <v>87</v>
      </c>
      <c r="U919" s="3">
        <f>ROUNDDOWN(PI()*(G919-0.185)/T919,2)</f>
        <v>0.1</v>
      </c>
      <c r="V919" s="3"/>
      <c r="W919" s="1">
        <v>280</v>
      </c>
      <c r="X919" s="9">
        <v>2</v>
      </c>
      <c r="Y919" s="1">
        <v>6</v>
      </c>
      <c r="Z919" s="3">
        <f>X919*VLOOKUP(Y919,[1]Datos!$A$2:$D$14,2)</f>
        <v>5.68</v>
      </c>
      <c r="AA919" s="8">
        <v>4.972E-2</v>
      </c>
      <c r="AB919" s="7">
        <f>IF(D919=0,0.9,0.5)*0.9*0.53*SQRT(W919)*G919*MAX(0.72*G919,0.9*((G919/2)+((G919-0.11)/PI())))*10</f>
        <v>260.7542389499979</v>
      </c>
      <c r="AC919" s="7">
        <f>0.9*Z919*4220*MAX(0.72*G919,0.9*((G919/2)+((G919-0.11)/PI())))/AA919/1000</f>
        <v>944.96320797669352</v>
      </c>
      <c r="AD919" s="6" t="str">
        <f>+IF(AC919&gt;K919-AB919,"Cumple","No Cumple")</f>
        <v>Cumple</v>
      </c>
      <c r="AE919" s="6"/>
      <c r="AG919" s="7">
        <f>ROUNDUP(MAX(0.45,3*G919,),0)</f>
        <v>9</v>
      </c>
      <c r="AH919" s="3">
        <f>PI()*(G919-0.15)^2/4</f>
        <v>6.3793965821957741</v>
      </c>
      <c r="AI919" s="7">
        <f>G919-0.15-VLOOKUP(Y919,[1]Datos!$A$2:$D$14,3)/100</f>
        <v>2.8309000000000002</v>
      </c>
      <c r="AJ919" s="7">
        <f>SQRT((PI()*AI919)^2+AA919^2)</f>
        <v>8.8936736237329566</v>
      </c>
      <c r="AK919" s="1">
        <v>0.12</v>
      </c>
      <c r="AL919" s="16">
        <f>MAX(0.45*(H919/AH919-1),AK919)*(W919/4220)</f>
        <v>7.9620853080568724E-3</v>
      </c>
      <c r="AM919" s="7">
        <f>AG919*(AJ919/AA919)</f>
        <v>1609.8765610136084</v>
      </c>
      <c r="AN919" s="17">
        <f>AM919*Z919/X919/10000</f>
        <v>0.45720494332786477</v>
      </c>
      <c r="AO919" s="17">
        <f>AH919*AG919</f>
        <v>57.414569239761967</v>
      </c>
      <c r="AP919" s="16">
        <f>AN919/AO919</f>
        <v>7.9632216941067178E-3</v>
      </c>
      <c r="AQ919" s="6" t="str">
        <f>+IF(AP919&gt;AL919,"Cumple","No Cumple")</f>
        <v>Cumple</v>
      </c>
    </row>
    <row r="920" spans="1:43" ht="15" customHeight="1" x14ac:dyDescent="0.3">
      <c r="A920" s="13"/>
      <c r="B920" s="1">
        <v>5</v>
      </c>
      <c r="C920" s="1">
        <v>632</v>
      </c>
      <c r="D920" s="1">
        <v>1</v>
      </c>
      <c r="E920" s="5">
        <v>1</v>
      </c>
      <c r="F920" s="3">
        <f>F919+E920</f>
        <v>5</v>
      </c>
      <c r="G920" s="5">
        <v>3</v>
      </c>
      <c r="H920" s="3">
        <f>PI()*(G920^2)/4</f>
        <v>7.0685834705770345</v>
      </c>
      <c r="I920" s="4">
        <v>7.0685999999999999E-2</v>
      </c>
      <c r="K920" s="3">
        <v>494.53766560460286</v>
      </c>
      <c r="L920" s="3">
        <v>1075.3432700000001</v>
      </c>
      <c r="M920" s="3">
        <v>3532.4537599999999</v>
      </c>
      <c r="N920" s="12">
        <f>I920/H920</f>
        <v>1.0000023384349969E-2</v>
      </c>
      <c r="O920" s="11">
        <f>I920*10000</f>
        <v>706.86</v>
      </c>
      <c r="P920" s="1">
        <v>10</v>
      </c>
      <c r="Q920" s="15">
        <v>1</v>
      </c>
      <c r="R920" s="3">
        <f>Q920*VLOOKUP(P920,[1]Datos!$A$2:$D$14,2)</f>
        <v>8.19</v>
      </c>
      <c r="S920" s="10">
        <f>ROUNDUP(O920/R920,0)</f>
        <v>87</v>
      </c>
      <c r="T920" s="14">
        <v>87</v>
      </c>
      <c r="U920" s="3">
        <f>ROUNDDOWN(PI()*(G920-0.185)/T920,2)</f>
        <v>0.1</v>
      </c>
      <c r="V920" s="3"/>
      <c r="W920" s="1">
        <v>280</v>
      </c>
      <c r="X920" s="9">
        <v>2</v>
      </c>
      <c r="Y920" s="1">
        <v>6</v>
      </c>
      <c r="Z920" s="3">
        <f>X920*VLOOKUP(Y920,[1]Datos!$A$2:$D$14,2)</f>
        <v>5.68</v>
      </c>
      <c r="AA920" s="8">
        <v>4.972E-2</v>
      </c>
      <c r="AB920" s="7">
        <f>IF(D920=0,0.9,0.5)*0.9*0.53*SQRT(W920)*G920*MAX(0.72*G920,0.9*((G920/2)+((G920-0.11)/PI())))*10</f>
        <v>260.7542389499979</v>
      </c>
      <c r="AC920" s="7">
        <f>0.9*Z920*4220*MAX(0.72*G920,0.9*((G920/2)+((G920-0.11)/PI())))/AA920/1000</f>
        <v>944.96320797669352</v>
      </c>
      <c r="AD920" s="6" t="str">
        <f>+IF(AC920&gt;K920-AB920,"Cumple","No Cumple")</f>
        <v>Cumple</v>
      </c>
      <c r="AE920" s="6"/>
      <c r="AG920" s="7">
        <f>ROUNDUP(MAX(0.45,3*G920,),0)</f>
        <v>9</v>
      </c>
      <c r="AH920" s="3">
        <f>PI()*(G920-0.15)^2/4</f>
        <v>6.3793965821957741</v>
      </c>
      <c r="AI920" s="7">
        <f>G920-0.15-VLOOKUP(Y920,[1]Datos!$A$2:$D$14,3)/100</f>
        <v>2.8309000000000002</v>
      </c>
      <c r="AJ920" s="7">
        <f>SQRT((PI()*AI920)^2+AA920^2)</f>
        <v>8.8936736237329566</v>
      </c>
      <c r="AK920" s="1">
        <v>0.12</v>
      </c>
      <c r="AL920" s="16">
        <f>MAX(0.45*(H920/AH920-1),AK920)*(W920/4220)</f>
        <v>7.9620853080568724E-3</v>
      </c>
      <c r="AM920" s="7">
        <f>AG920*(AJ920/AA920)</f>
        <v>1609.8765610136084</v>
      </c>
      <c r="AN920" s="17">
        <f>AM920*Z920/X920/10000</f>
        <v>0.45720494332786477</v>
      </c>
      <c r="AO920" s="17">
        <f>AH920*AG920</f>
        <v>57.414569239761967</v>
      </c>
      <c r="AP920" s="16">
        <f>AN920/AO920</f>
        <v>7.9632216941067178E-3</v>
      </c>
      <c r="AQ920" s="6" t="str">
        <f>+IF(AP920&gt;AL920,"Cumple","No Cumple")</f>
        <v>Cumple</v>
      </c>
    </row>
    <row r="921" spans="1:43" ht="15" customHeight="1" x14ac:dyDescent="0.3">
      <c r="A921" s="13"/>
      <c r="B921" s="1">
        <v>6</v>
      </c>
      <c r="C921" s="1">
        <v>633</v>
      </c>
      <c r="D921" s="1">
        <v>1</v>
      </c>
      <c r="E921" s="5">
        <v>1</v>
      </c>
      <c r="F921" s="3">
        <f>F920+E921</f>
        <v>6</v>
      </c>
      <c r="G921" s="5">
        <v>3</v>
      </c>
      <c r="H921" s="3">
        <f>PI()*(G921^2)/4</f>
        <v>7.0685834705770345</v>
      </c>
      <c r="I921" s="4">
        <v>7.0685999999999999E-2</v>
      </c>
      <c r="K921" s="3">
        <v>429.75723369485013</v>
      </c>
      <c r="L921" s="3">
        <v>743.21031000000005</v>
      </c>
      <c r="M921" s="3">
        <v>3421.2196199999998</v>
      </c>
      <c r="N921" s="12">
        <f>I921/H921</f>
        <v>1.0000023384349969E-2</v>
      </c>
      <c r="O921" s="11">
        <f>I921*10000</f>
        <v>706.86</v>
      </c>
      <c r="P921" s="1">
        <v>10</v>
      </c>
      <c r="Q921" s="15">
        <v>1</v>
      </c>
      <c r="R921" s="3">
        <f>Q921*VLOOKUP(P921,[1]Datos!$A$2:$D$14,2)</f>
        <v>8.19</v>
      </c>
      <c r="S921" s="10">
        <f>ROUNDUP(O921/R921,0)</f>
        <v>87</v>
      </c>
      <c r="T921" s="14">
        <v>87</v>
      </c>
      <c r="U921" s="3">
        <f>ROUNDDOWN(PI()*(G921-0.185)/T921,2)</f>
        <v>0.1</v>
      </c>
      <c r="V921" s="3"/>
      <c r="W921" s="1">
        <v>280</v>
      </c>
      <c r="X921" s="9">
        <v>2</v>
      </c>
      <c r="Y921" s="1">
        <v>6</v>
      </c>
      <c r="Z921" s="3">
        <f>X921*VLOOKUP(Y921,[1]Datos!$A$2:$D$14,2)</f>
        <v>5.68</v>
      </c>
      <c r="AA921" s="8">
        <v>4.972E-2</v>
      </c>
      <c r="AB921" s="7">
        <f>IF(D921=0,0.9,0.5)*0.9*0.53*SQRT(W921)*G921*MAX(0.72*G921,0.9*((G921/2)+((G921-0.11)/PI())))*10</f>
        <v>260.7542389499979</v>
      </c>
      <c r="AC921" s="7">
        <f>0.9*Z921*4220*MAX(0.72*G921,0.9*((G921/2)+((G921-0.11)/PI())))/AA921/1000</f>
        <v>944.96320797669352</v>
      </c>
      <c r="AD921" s="6" t="str">
        <f>+IF(AC921&gt;K921-AB921,"Cumple","No Cumple")</f>
        <v>Cumple</v>
      </c>
      <c r="AE921" s="6"/>
      <c r="AG921" s="7">
        <f>ROUNDUP(MAX(0.45,3*G921,),0)</f>
        <v>9</v>
      </c>
      <c r="AH921" s="3">
        <f>PI()*(G921-0.15)^2/4</f>
        <v>6.3793965821957741</v>
      </c>
      <c r="AI921" s="7">
        <f>G921-0.15-VLOOKUP(Y921,[1]Datos!$A$2:$D$14,3)/100</f>
        <v>2.8309000000000002</v>
      </c>
      <c r="AJ921" s="7">
        <f>SQRT((PI()*AI921)^2+AA921^2)</f>
        <v>8.8936736237329566</v>
      </c>
      <c r="AK921" s="1">
        <v>0.12</v>
      </c>
      <c r="AL921" s="16">
        <f>MAX(0.45*(H921/AH921-1),AK921)*(W921/4220)</f>
        <v>7.9620853080568724E-3</v>
      </c>
      <c r="AM921" s="7">
        <f>AG921*(AJ921/AA921)</f>
        <v>1609.8765610136084</v>
      </c>
      <c r="AN921" s="17">
        <f>AM921*Z921/X921/10000</f>
        <v>0.45720494332786477</v>
      </c>
      <c r="AO921" s="17">
        <f>AH921*AG921</f>
        <v>57.414569239761967</v>
      </c>
      <c r="AP921" s="16">
        <f>AN921/AO921</f>
        <v>7.9632216941067178E-3</v>
      </c>
      <c r="AQ921" s="6" t="str">
        <f>+IF(AP921&gt;AL921,"Cumple","No Cumple")</f>
        <v>Cumple</v>
      </c>
    </row>
    <row r="922" spans="1:43" ht="15" customHeight="1" x14ac:dyDescent="0.3">
      <c r="A922" s="13"/>
      <c r="B922" s="1">
        <v>7</v>
      </c>
      <c r="C922" s="1">
        <v>634</v>
      </c>
      <c r="D922" s="1">
        <v>1</v>
      </c>
      <c r="E922" s="5">
        <v>1</v>
      </c>
      <c r="F922" s="3">
        <f>F921+E922</f>
        <v>7</v>
      </c>
      <c r="G922" s="5">
        <v>3</v>
      </c>
      <c r="H922" s="3">
        <f>PI()*(G922^2)/4</f>
        <v>7.0685834705770345</v>
      </c>
      <c r="I922" s="4">
        <v>7.0685999999999999E-2</v>
      </c>
      <c r="K922" s="3">
        <v>362.69433531916377</v>
      </c>
      <c r="L922" s="3">
        <v>733.72671000000003</v>
      </c>
      <c r="M922" s="3">
        <v>3256.1888300000001</v>
      </c>
      <c r="N922" s="12">
        <f>I922/H922</f>
        <v>1.0000023384349969E-2</v>
      </c>
      <c r="O922" s="11">
        <f>I922*10000</f>
        <v>706.86</v>
      </c>
      <c r="P922" s="1">
        <v>10</v>
      </c>
      <c r="Q922" s="15">
        <v>1</v>
      </c>
      <c r="R922" s="3">
        <f>Q922*VLOOKUP(P922,[1]Datos!$A$2:$D$14,2)</f>
        <v>8.19</v>
      </c>
      <c r="S922" s="10">
        <f>ROUNDUP(O922/R922,0)</f>
        <v>87</v>
      </c>
      <c r="T922" s="14">
        <v>87</v>
      </c>
      <c r="U922" s="3">
        <f>ROUNDDOWN(PI()*(G922-0.185)/T922,2)</f>
        <v>0.1</v>
      </c>
      <c r="V922" s="3"/>
      <c r="W922" s="1">
        <v>280</v>
      </c>
      <c r="X922" s="9">
        <v>2</v>
      </c>
      <c r="Y922" s="1">
        <v>6</v>
      </c>
      <c r="Z922" s="3">
        <f>X922*VLOOKUP(Y922,[1]Datos!$A$2:$D$14,2)</f>
        <v>5.68</v>
      </c>
      <c r="AA922" s="8">
        <v>4.972E-2</v>
      </c>
      <c r="AB922" s="7">
        <f>IF(D922=0,0.9,0.5)*0.9*0.53*SQRT(W922)*G922*MAX(0.72*G922,0.9*((G922/2)+((G922-0.11)/PI())))*10</f>
        <v>260.7542389499979</v>
      </c>
      <c r="AC922" s="7">
        <f>0.9*Z922*4220*MAX(0.72*G922,0.9*((G922/2)+((G922-0.11)/PI())))/AA922/1000</f>
        <v>944.96320797669352</v>
      </c>
      <c r="AD922" s="6" t="str">
        <f>+IF(AC922&gt;K922-AB922,"Cumple","No Cumple")</f>
        <v>Cumple</v>
      </c>
      <c r="AE922" s="6"/>
      <c r="AG922" s="7">
        <f>ROUNDUP(MAX(0.45,3*G922,),0)</f>
        <v>9</v>
      </c>
      <c r="AH922" s="3">
        <f>PI()*(G922-0.15)^2/4</f>
        <v>6.3793965821957741</v>
      </c>
      <c r="AI922" s="7">
        <f>G922-0.15-VLOOKUP(Y922,[1]Datos!$A$2:$D$14,3)/100</f>
        <v>2.8309000000000002</v>
      </c>
      <c r="AJ922" s="7">
        <f>SQRT((PI()*AI922)^2+AA922^2)</f>
        <v>8.8936736237329566</v>
      </c>
      <c r="AK922" s="1">
        <v>0.12</v>
      </c>
      <c r="AL922" s="16">
        <f>MAX(0.45*(H922/AH922-1),AK922)*(W922/4220)</f>
        <v>7.9620853080568724E-3</v>
      </c>
      <c r="AM922" s="7">
        <f>AG922*(AJ922/AA922)</f>
        <v>1609.8765610136084</v>
      </c>
      <c r="AN922" s="17">
        <f>AM922*Z922/X922/10000</f>
        <v>0.45720494332786477</v>
      </c>
      <c r="AO922" s="17">
        <f>AH922*AG922</f>
        <v>57.414569239761967</v>
      </c>
      <c r="AP922" s="16">
        <f>AN922/AO922</f>
        <v>7.9632216941067178E-3</v>
      </c>
      <c r="AQ922" s="6" t="str">
        <f>+IF(AP922&gt;AL922,"Cumple","No Cumple")</f>
        <v>Cumple</v>
      </c>
    </row>
    <row r="923" spans="1:43" ht="15" customHeight="1" x14ac:dyDescent="0.3">
      <c r="A923" s="13"/>
      <c r="B923" s="1">
        <v>8</v>
      </c>
      <c r="C923" s="1">
        <v>635</v>
      </c>
      <c r="D923" s="1">
        <v>1</v>
      </c>
      <c r="E923" s="5">
        <v>1</v>
      </c>
      <c r="F923" s="3">
        <f>F922+E923</f>
        <v>8</v>
      </c>
      <c r="G923" s="5">
        <v>3</v>
      </c>
      <c r="H923" s="3">
        <f>PI()*(G923^2)/4</f>
        <v>7.0685834705770345</v>
      </c>
      <c r="I923" s="4">
        <v>7.0685999999999999E-2</v>
      </c>
      <c r="K923" s="3">
        <v>343.22476966049521</v>
      </c>
      <c r="L923" s="3">
        <v>771.00783000000001</v>
      </c>
      <c r="M923" s="3">
        <v>3039.52297</v>
      </c>
      <c r="N923" s="12">
        <f>I923/H923</f>
        <v>1.0000023384349969E-2</v>
      </c>
      <c r="O923" s="11">
        <f>I923*10000</f>
        <v>706.86</v>
      </c>
      <c r="P923" s="1">
        <v>10</v>
      </c>
      <c r="Q923" s="1">
        <v>1</v>
      </c>
      <c r="R923" s="3">
        <f>Q923*VLOOKUP(P923,[1]Datos!$A$2:$D$14,2)</f>
        <v>8.19</v>
      </c>
      <c r="S923" s="10">
        <f>ROUNDUP(O923/R923,0)</f>
        <v>87</v>
      </c>
      <c r="T923" s="2">
        <v>87</v>
      </c>
      <c r="U923" s="3">
        <f>ROUNDDOWN(PI()*(G923-0.185)/T923,2)</f>
        <v>0.1</v>
      </c>
      <c r="V923" s="3"/>
      <c r="W923" s="1">
        <v>280</v>
      </c>
      <c r="X923" s="9">
        <v>2</v>
      </c>
      <c r="Y923" s="1">
        <v>6</v>
      </c>
      <c r="Z923" s="3">
        <f>X923*VLOOKUP(Y923,[1]Datos!$A$2:$D$14,2)</f>
        <v>5.68</v>
      </c>
      <c r="AA923" s="8">
        <v>4.972E-2</v>
      </c>
      <c r="AB923" s="7">
        <f>IF(D923=0,0.9,0.5)*0.9*0.53*SQRT(W923)*G923*MAX(0.72*G923,0.9*((G923/2)+((G923-0.11)/PI())))*10</f>
        <v>260.7542389499979</v>
      </c>
      <c r="AC923" s="7">
        <f>0.9*Z923*4220*MAX(0.72*G923,0.9*((G923/2)+((G923-0.11)/PI())))/AA923/1000</f>
        <v>944.96320797669352</v>
      </c>
      <c r="AD923" s="6" t="str">
        <f>+IF(AC923&gt;K923-AB923,"Cumple","No Cumple")</f>
        <v>Cumple</v>
      </c>
      <c r="AE923" s="6"/>
      <c r="AG923" s="7">
        <f>ROUNDUP(MAX(0.45,3*G923,),0)</f>
        <v>9</v>
      </c>
      <c r="AH923" s="3">
        <f>PI()*(G923-0.15)^2/4</f>
        <v>6.3793965821957741</v>
      </c>
      <c r="AI923" s="7">
        <f>G923-0.15-VLOOKUP(Y923,[1]Datos!$A$2:$D$14,3)/100</f>
        <v>2.8309000000000002</v>
      </c>
      <c r="AJ923" s="7">
        <f>SQRT((PI()*AI923)^2+AA923^2)</f>
        <v>8.8936736237329566</v>
      </c>
      <c r="AK923" s="1">
        <v>0.12</v>
      </c>
      <c r="AL923" s="16">
        <f>MAX(0.45*(H923/AH923-1),AK923)*(W923/4220)</f>
        <v>7.9620853080568724E-3</v>
      </c>
      <c r="AM923" s="7">
        <f>AG923*(AJ923/AA923)</f>
        <v>1609.8765610136084</v>
      </c>
      <c r="AN923" s="17">
        <f>AM923*Z923/X923/10000</f>
        <v>0.45720494332786477</v>
      </c>
      <c r="AO923" s="17">
        <f>AH923*AG923</f>
        <v>57.414569239761967</v>
      </c>
      <c r="AP923" s="16">
        <f>AN923/AO923</f>
        <v>7.9632216941067178E-3</v>
      </c>
      <c r="AQ923" s="6" t="str">
        <f>+IF(AP923&gt;AL923,"Cumple","No Cumple")</f>
        <v>Cumple</v>
      </c>
    </row>
    <row r="924" spans="1:43" ht="15" customHeight="1" x14ac:dyDescent="0.3">
      <c r="A924" s="13"/>
      <c r="B924" s="1">
        <v>9</v>
      </c>
      <c r="C924" s="1">
        <v>636</v>
      </c>
      <c r="D924" s="1">
        <v>1</v>
      </c>
      <c r="E924" s="5">
        <v>1</v>
      </c>
      <c r="F924" s="3">
        <f>F923+E924</f>
        <v>9</v>
      </c>
      <c r="G924" s="5">
        <v>3</v>
      </c>
      <c r="H924" s="3">
        <f>PI()*(G924^2)/4</f>
        <v>7.0685834705770345</v>
      </c>
      <c r="I924" s="4">
        <v>7.0685999999999999E-2</v>
      </c>
      <c r="K924" s="3">
        <v>343.34267096364533</v>
      </c>
      <c r="L924" s="3">
        <v>780.52793999999994</v>
      </c>
      <c r="M924" s="3">
        <v>2779.7132200000001</v>
      </c>
      <c r="N924" s="12">
        <f>I924/H924</f>
        <v>1.0000023384349969E-2</v>
      </c>
      <c r="O924" s="11">
        <f>I924*10000</f>
        <v>706.86</v>
      </c>
      <c r="P924" s="1">
        <v>10</v>
      </c>
      <c r="Q924" s="1">
        <v>1</v>
      </c>
      <c r="R924" s="3">
        <f>Q924*VLOOKUP(P924,[1]Datos!$A$2:$D$14,2)</f>
        <v>8.19</v>
      </c>
      <c r="S924" s="10">
        <f>ROUNDUP(O924/R924,0)</f>
        <v>87</v>
      </c>
      <c r="T924" s="2">
        <v>87</v>
      </c>
      <c r="U924" s="3">
        <f>ROUNDDOWN(PI()*(G924-0.185)/T924,2)</f>
        <v>0.1</v>
      </c>
      <c r="V924" s="3"/>
      <c r="W924" s="1">
        <v>280</v>
      </c>
      <c r="X924" s="9">
        <v>2</v>
      </c>
      <c r="Y924" s="1">
        <v>6</v>
      </c>
      <c r="Z924" s="3">
        <f>X924*VLOOKUP(Y924,[1]Datos!$A$2:$D$14,2)</f>
        <v>5.68</v>
      </c>
      <c r="AA924" s="8">
        <v>4.972E-2</v>
      </c>
      <c r="AB924" s="7">
        <f>IF(D924=0,0.9,0.5)*0.9*0.53*SQRT(W924)*G924*MAX(0.72*G924,0.9*((G924/2)+((G924-0.11)/PI())))*10</f>
        <v>260.7542389499979</v>
      </c>
      <c r="AC924" s="7">
        <f>0.9*Z924*4220*MAX(0.72*G924,0.9*((G924/2)+((G924-0.11)/PI())))/AA924/1000</f>
        <v>944.96320797669352</v>
      </c>
      <c r="AD924" s="6" t="str">
        <f>+IF(AC924&gt;K924-AB924,"Cumple","No Cumple")</f>
        <v>Cumple</v>
      </c>
      <c r="AE924" s="6"/>
      <c r="AG924" s="7">
        <f>ROUNDUP(MAX(0.45,3*G924,),0)</f>
        <v>9</v>
      </c>
      <c r="AH924" s="3">
        <f>PI()*(G924-0.15)^2/4</f>
        <v>6.3793965821957741</v>
      </c>
      <c r="AI924" s="7">
        <f>G924-0.15-VLOOKUP(Y924,[1]Datos!$A$2:$D$14,3)/100</f>
        <v>2.8309000000000002</v>
      </c>
      <c r="AJ924" s="7">
        <f>SQRT((PI()*AI924)^2+AA924^2)</f>
        <v>8.8936736237329566</v>
      </c>
      <c r="AK924" s="1">
        <v>0.12</v>
      </c>
      <c r="AL924" s="16">
        <f>MAX(0.45*(H924/AH924-1),AK924)*(W924/4220)</f>
        <v>7.9620853080568724E-3</v>
      </c>
      <c r="AM924" s="7">
        <f>AG924*(AJ924/AA924)</f>
        <v>1609.8765610136084</v>
      </c>
      <c r="AN924" s="17">
        <f>AM924*Z924/X924/10000</f>
        <v>0.45720494332786477</v>
      </c>
      <c r="AO924" s="17">
        <f>AH924*AG924</f>
        <v>57.414569239761967</v>
      </c>
      <c r="AP924" s="16">
        <f>AN924/AO924</f>
        <v>7.9632216941067178E-3</v>
      </c>
      <c r="AQ924" s="6" t="str">
        <f>+IF(AP924&gt;AL924,"Cumple","No Cumple")</f>
        <v>Cumple</v>
      </c>
    </row>
    <row r="925" spans="1:43" ht="15" customHeight="1" x14ac:dyDescent="0.3">
      <c r="A925" s="13"/>
      <c r="B925" s="1">
        <v>10</v>
      </c>
      <c r="C925" s="1">
        <v>637</v>
      </c>
      <c r="D925" s="1">
        <v>1</v>
      </c>
      <c r="E925" s="5">
        <v>1</v>
      </c>
      <c r="F925" s="3">
        <f>F924+E925</f>
        <v>10</v>
      </c>
      <c r="G925" s="5">
        <v>3</v>
      </c>
      <c r="H925" s="3">
        <f>PI()*(G925^2)/4</f>
        <v>7.0685834705770345</v>
      </c>
      <c r="I925" s="4">
        <v>7.0685999999999999E-2</v>
      </c>
      <c r="K925" s="3">
        <v>339.93330275549647</v>
      </c>
      <c r="L925" s="3">
        <v>780.52795000000003</v>
      </c>
      <c r="M925" s="3">
        <v>2488.7702300000001</v>
      </c>
      <c r="N925" s="12">
        <f>I925/H925</f>
        <v>1.0000023384349969E-2</v>
      </c>
      <c r="O925" s="11">
        <f>I925*10000</f>
        <v>706.86</v>
      </c>
      <c r="P925" s="1">
        <v>10</v>
      </c>
      <c r="Q925" s="1">
        <v>1</v>
      </c>
      <c r="R925" s="3">
        <f>Q925*VLOOKUP(P925,[1]Datos!$A$2:$D$14,2)</f>
        <v>8.19</v>
      </c>
      <c r="S925" s="10">
        <f>ROUNDUP(O925/R925,0)</f>
        <v>87</v>
      </c>
      <c r="T925" s="2">
        <v>87</v>
      </c>
      <c r="U925" s="3">
        <f>ROUNDDOWN(PI()*(G925-0.185)/T925,2)</f>
        <v>0.1</v>
      </c>
      <c r="V925" s="3"/>
      <c r="W925" s="1">
        <v>280</v>
      </c>
      <c r="X925" s="9">
        <v>2</v>
      </c>
      <c r="Y925" s="1">
        <v>4</v>
      </c>
      <c r="Z925" s="3">
        <f>X925*VLOOKUP(Y925,[1]Datos!$A$2:$D$14,2)</f>
        <v>2.58</v>
      </c>
      <c r="AA925" s="8">
        <v>0.15</v>
      </c>
      <c r="AB925" s="7">
        <f>IF(D925=0,0.9,0.5)*0.9*0.53*SQRT(W925)*G925*MAX(0.72*G925,0.9*((G925/2)+((G925-0.11)/PI())))*10</f>
        <v>260.7542389499979</v>
      </c>
      <c r="AC925" s="7">
        <f>0.9*Z925*4220*MAX(0.72*G925,0.9*((G925/2)+((G925-0.11)/PI())))/AA925/1000</f>
        <v>142.27419296660926</v>
      </c>
      <c r="AD925" s="6" t="str">
        <f>+IF(AC925&gt;K925-AB925,"Cumple","No Cumple")</f>
        <v>Cumple</v>
      </c>
      <c r="AE925" s="6"/>
      <c r="AH925" s="3"/>
    </row>
    <row r="926" spans="1:43" ht="15" customHeight="1" x14ac:dyDescent="0.3">
      <c r="A926" s="13"/>
      <c r="B926" s="1">
        <v>11</v>
      </c>
      <c r="C926" s="1">
        <v>638</v>
      </c>
      <c r="D926" s="1">
        <v>1</v>
      </c>
      <c r="E926" s="5">
        <v>1</v>
      </c>
      <c r="F926" s="3">
        <f>F925+E926</f>
        <v>11</v>
      </c>
      <c r="G926" s="5">
        <v>3</v>
      </c>
      <c r="H926" s="3">
        <f>PI()*(G926^2)/4</f>
        <v>7.0685834705770345</v>
      </c>
      <c r="I926" s="4">
        <v>7.0685999999999999E-2</v>
      </c>
      <c r="K926" s="3">
        <v>332.08243181464752</v>
      </c>
      <c r="L926" s="3">
        <v>817.63917000000004</v>
      </c>
      <c r="M926" s="3">
        <v>2179.9813399999998</v>
      </c>
      <c r="N926" s="12">
        <f>I926/H926</f>
        <v>1.0000023384349969E-2</v>
      </c>
      <c r="O926" s="11">
        <f>I926*10000</f>
        <v>706.86</v>
      </c>
      <c r="P926" s="1">
        <v>10</v>
      </c>
      <c r="Q926" s="1">
        <v>1</v>
      </c>
      <c r="R926" s="3">
        <f>Q926*VLOOKUP(P926,[1]Datos!$A$2:$D$14,2)</f>
        <v>8.19</v>
      </c>
      <c r="S926" s="10">
        <f>ROUNDUP(O926/R926,0)</f>
        <v>87</v>
      </c>
      <c r="T926" s="2">
        <v>87</v>
      </c>
      <c r="U926" s="3">
        <f>ROUNDDOWN(PI()*(G926-0.185)/T926,2)</f>
        <v>0.1</v>
      </c>
      <c r="V926" s="3"/>
      <c r="W926" s="1">
        <v>280</v>
      </c>
      <c r="X926" s="9">
        <v>2</v>
      </c>
      <c r="Y926" s="1">
        <v>4</v>
      </c>
      <c r="Z926" s="3">
        <f>X926*VLOOKUP(Y926,[1]Datos!$A$2:$D$14,2)</f>
        <v>2.58</v>
      </c>
      <c r="AA926" s="8">
        <v>0.15</v>
      </c>
      <c r="AB926" s="7">
        <f>IF(D926=0,0.9,0.5)*0.9*0.53*SQRT(W926)*G926*MAX(0.72*G926,0.9*((G926/2)+((G926-0.11)/PI())))*10</f>
        <v>260.7542389499979</v>
      </c>
      <c r="AC926" s="7">
        <f>0.9*Z926*4220*MAX(0.72*G926,0.9*((G926/2)+((G926-0.11)/PI())))/AA926/1000</f>
        <v>142.27419296660926</v>
      </c>
      <c r="AD926" s="6" t="str">
        <f>+IF(AC926&gt;K926-AB926,"Cumple","No Cumple")</f>
        <v>Cumple</v>
      </c>
      <c r="AE926" s="6"/>
      <c r="AH926" s="3"/>
    </row>
    <row r="927" spans="1:43" ht="15" customHeight="1" x14ac:dyDescent="0.3">
      <c r="A927" s="13"/>
      <c r="B927" s="1">
        <v>12</v>
      </c>
      <c r="C927" s="1">
        <v>639</v>
      </c>
      <c r="D927" s="1">
        <v>1</v>
      </c>
      <c r="E927" s="5">
        <v>1</v>
      </c>
      <c r="F927" s="3">
        <f>F926+E927</f>
        <v>12</v>
      </c>
      <c r="G927" s="5">
        <v>3</v>
      </c>
      <c r="H927" s="3">
        <f>PI()*(G927^2)/4</f>
        <v>7.0685834705770345</v>
      </c>
      <c r="I927" s="4">
        <v>7.0685999999999999E-2</v>
      </c>
      <c r="K927" s="3">
        <v>319.24947396041239</v>
      </c>
      <c r="L927" s="3">
        <v>823.70160999999996</v>
      </c>
      <c r="M927" s="3">
        <v>1866.28568</v>
      </c>
      <c r="N927" s="12">
        <f>I927/H927</f>
        <v>1.0000023384349969E-2</v>
      </c>
      <c r="O927" s="11">
        <f>I927*10000</f>
        <v>706.86</v>
      </c>
      <c r="P927" s="1">
        <v>10</v>
      </c>
      <c r="Q927" s="1">
        <v>1</v>
      </c>
      <c r="R927" s="3">
        <f>Q927*VLOOKUP(P927,[1]Datos!$A$2:$D$14,2)</f>
        <v>8.19</v>
      </c>
      <c r="S927" s="10">
        <f>ROUNDUP(O927/R927,0)</f>
        <v>87</v>
      </c>
      <c r="T927" s="2">
        <v>87</v>
      </c>
      <c r="U927" s="3">
        <f>ROUNDDOWN(PI()*(G927-0.185)/T927,2)</f>
        <v>0.1</v>
      </c>
      <c r="V927" s="3"/>
      <c r="W927" s="1">
        <v>280</v>
      </c>
      <c r="X927" s="9">
        <v>2</v>
      </c>
      <c r="Y927" s="1">
        <v>4</v>
      </c>
      <c r="Z927" s="3">
        <f>X927*VLOOKUP(Y927,[1]Datos!$A$2:$D$14,2)</f>
        <v>2.58</v>
      </c>
      <c r="AA927" s="8">
        <v>0.3</v>
      </c>
      <c r="AB927" s="7">
        <f>IF(D927=0,0.9,0.5)*0.9*0.53*SQRT(W927)*G927*MAX(0.72*G927,0.9*((G927/2)+((G927-0.11)/PI())))*10</f>
        <v>260.7542389499979</v>
      </c>
      <c r="AC927" s="7">
        <f>0.9*Z927*4220*MAX(0.72*G927,0.9*((G927/2)+((G927-0.11)/PI())))/AA927/1000</f>
        <v>71.137096483304632</v>
      </c>
      <c r="AD927" s="6" t="str">
        <f>+IF(AC927&gt;K927-AB927,"Cumple","No Cumple")</f>
        <v>Cumple</v>
      </c>
      <c r="AE927" s="6"/>
      <c r="AH927" s="3"/>
    </row>
    <row r="928" spans="1:43" ht="15" customHeight="1" x14ac:dyDescent="0.3">
      <c r="A928" s="13"/>
      <c r="B928" s="1">
        <v>13</v>
      </c>
      <c r="C928" s="1">
        <v>640</v>
      </c>
      <c r="D928" s="1">
        <v>1</v>
      </c>
      <c r="E928" s="5">
        <v>1</v>
      </c>
      <c r="F928" s="3">
        <f>F927+E928</f>
        <v>13</v>
      </c>
      <c r="G928" s="5">
        <v>3</v>
      </c>
      <c r="H928" s="3">
        <f>PI()*(G928^2)/4</f>
        <v>7.0685834705770345</v>
      </c>
      <c r="I928" s="4">
        <v>7.0685999999999999E-2</v>
      </c>
      <c r="K928" s="3">
        <v>299.5889384981528</v>
      </c>
      <c r="L928" s="3">
        <v>823.70160999999996</v>
      </c>
      <c r="M928" s="3">
        <v>1559.5065</v>
      </c>
      <c r="N928" s="12">
        <f>I928/H928</f>
        <v>1.0000023384349969E-2</v>
      </c>
      <c r="O928" s="11">
        <f>I928*10000</f>
        <v>706.86</v>
      </c>
      <c r="P928" s="1">
        <v>10</v>
      </c>
      <c r="Q928" s="1">
        <v>1</v>
      </c>
      <c r="R928" s="3">
        <f>Q928*VLOOKUP(P928,[1]Datos!$A$2:$D$14,2)</f>
        <v>8.19</v>
      </c>
      <c r="S928" s="10">
        <f>ROUNDUP(O928/R928,0)</f>
        <v>87</v>
      </c>
      <c r="T928" s="2">
        <v>87</v>
      </c>
      <c r="U928" s="3">
        <f>ROUNDDOWN(PI()*(G928-0.185)/T928,2)</f>
        <v>0.1</v>
      </c>
      <c r="V928" s="3"/>
      <c r="W928" s="1">
        <v>280</v>
      </c>
      <c r="X928" s="9">
        <v>2</v>
      </c>
      <c r="Y928" s="1">
        <v>4</v>
      </c>
      <c r="Z928" s="3">
        <f>X928*VLOOKUP(Y928,[1]Datos!$A$2:$D$14,2)</f>
        <v>2.58</v>
      </c>
      <c r="AA928" s="8">
        <v>0.3</v>
      </c>
      <c r="AB928" s="7">
        <f>IF(D928=0,0.9,0.5)*0.9*0.53*SQRT(W928)*G928*MAX(0.72*G928,0.9*((G928/2)+((G928-0.11)/PI())))*10</f>
        <v>260.7542389499979</v>
      </c>
      <c r="AC928" s="7">
        <f>0.9*Z928*4220*MAX(0.72*G928,0.9*((G928/2)+((G928-0.11)/PI())))/AA928/1000</f>
        <v>71.137096483304632</v>
      </c>
      <c r="AD928" s="6" t="str">
        <f>+IF(AC928&gt;K928-AB928,"Cumple","No Cumple")</f>
        <v>Cumple</v>
      </c>
      <c r="AE928" s="6"/>
      <c r="AH928" s="3"/>
    </row>
    <row r="929" spans="1:43" ht="15" customHeight="1" x14ac:dyDescent="0.3">
      <c r="A929" s="13"/>
      <c r="B929" s="1">
        <v>14</v>
      </c>
      <c r="C929" s="1">
        <v>641</v>
      </c>
      <c r="D929" s="1">
        <v>1</v>
      </c>
      <c r="E929" s="5">
        <v>1</v>
      </c>
      <c r="F929" s="3">
        <f>F928+E929</f>
        <v>14</v>
      </c>
      <c r="G929" s="5">
        <v>3</v>
      </c>
      <c r="H929" s="3">
        <f>PI()*(G929^2)/4</f>
        <v>7.0685834705770345</v>
      </c>
      <c r="I929" s="4">
        <v>7.0685999999999999E-2</v>
      </c>
      <c r="K929" s="3">
        <v>273.07342193455958</v>
      </c>
      <c r="L929" s="3">
        <v>797.12653</v>
      </c>
      <c r="M929" s="3">
        <v>1269.6410699999999</v>
      </c>
      <c r="N929" s="12">
        <f>I929/H929</f>
        <v>1.0000023384349969E-2</v>
      </c>
      <c r="O929" s="11">
        <f>I929*10000</f>
        <v>706.86</v>
      </c>
      <c r="P929" s="1">
        <v>10</v>
      </c>
      <c r="Q929" s="15">
        <v>1</v>
      </c>
      <c r="R929" s="3">
        <f>Q929*VLOOKUP(P929,[1]Datos!$A$2:$D$14,2)</f>
        <v>8.19</v>
      </c>
      <c r="S929" s="10">
        <f>ROUNDUP(O929/R929,0)</f>
        <v>87</v>
      </c>
      <c r="T929" s="14">
        <v>87</v>
      </c>
      <c r="U929" s="3">
        <f>ROUNDDOWN(PI()*(G929-0.185)/T929,2)</f>
        <v>0.1</v>
      </c>
      <c r="V929" s="3"/>
      <c r="W929" s="1">
        <v>280</v>
      </c>
      <c r="X929" s="9">
        <v>2</v>
      </c>
      <c r="Y929" s="1">
        <v>4</v>
      </c>
      <c r="Z929" s="3">
        <f>X929*VLOOKUP(Y929,[1]Datos!$A$2:$D$14,2)</f>
        <v>2.58</v>
      </c>
      <c r="AA929" s="8">
        <v>0.3</v>
      </c>
      <c r="AB929" s="7">
        <f>IF(D929=0,0.9,0.5)*0.9*0.53*SQRT(W929)*G929*MAX(0.72*G929,0.9*((G929/2)+((G929-0.11)/PI())))*10</f>
        <v>260.7542389499979</v>
      </c>
      <c r="AC929" s="7">
        <f>0.9*Z929*4220*MAX(0.72*G929,0.9*((G929/2)+((G929-0.11)/PI())))/AA929/1000</f>
        <v>71.137096483304632</v>
      </c>
      <c r="AD929" s="6" t="str">
        <f>+IF(AC929&gt;K929-AB929,"Cumple","No Cumple")</f>
        <v>Cumple</v>
      </c>
      <c r="AE929" s="6"/>
      <c r="AH929" s="3"/>
    </row>
    <row r="930" spans="1:43" ht="15" customHeight="1" x14ac:dyDescent="0.3">
      <c r="A930" s="13"/>
      <c r="B930" s="1">
        <v>15</v>
      </c>
      <c r="C930" s="1">
        <v>642</v>
      </c>
      <c r="D930" s="1">
        <v>1</v>
      </c>
      <c r="E930" s="5">
        <v>1</v>
      </c>
      <c r="F930" s="3">
        <f>F929+E930</f>
        <v>15</v>
      </c>
      <c r="G930" s="5">
        <v>3</v>
      </c>
      <c r="H930" s="3">
        <f>PI()*(G930^2)/4</f>
        <v>7.0685834705770345</v>
      </c>
      <c r="I930" s="4">
        <v>7.0685999999999999E-2</v>
      </c>
      <c r="K930" s="3">
        <v>241.53076183215254</v>
      </c>
      <c r="L930" s="3">
        <v>744.98307</v>
      </c>
      <c r="M930" s="3">
        <v>1004.53326</v>
      </c>
      <c r="N930" s="12">
        <f>I930/H930</f>
        <v>1.0000023384349969E-2</v>
      </c>
      <c r="O930" s="11">
        <f>I930*10000</f>
        <v>706.86</v>
      </c>
      <c r="P930" s="1">
        <v>10</v>
      </c>
      <c r="Q930" s="15">
        <v>1</v>
      </c>
      <c r="R930" s="3">
        <f>Q930*VLOOKUP(P930,[1]Datos!$A$2:$D$14,2)</f>
        <v>8.19</v>
      </c>
      <c r="S930" s="10">
        <f>ROUNDUP(O930/R930,0)</f>
        <v>87</v>
      </c>
      <c r="T930" s="14">
        <v>87</v>
      </c>
      <c r="U930" s="3">
        <f>ROUNDDOWN(PI()*(G930-0.185)/T930,2)</f>
        <v>0.1</v>
      </c>
      <c r="V930" s="3"/>
      <c r="W930" s="1">
        <v>280</v>
      </c>
      <c r="X930" s="9">
        <v>2</v>
      </c>
      <c r="Y930" s="1">
        <v>4</v>
      </c>
      <c r="Z930" s="3">
        <f>X930*VLOOKUP(Y930,[1]Datos!$A$2:$D$14,2)</f>
        <v>2.58</v>
      </c>
      <c r="AA930" s="8">
        <v>0.3</v>
      </c>
      <c r="AB930" s="7">
        <f>IF(D930=0,0.9,0.5)*0.9*0.53*SQRT(W930)*G930*MAX(0.72*G930,0.9*((G930/2)+((G930-0.11)/PI())))*10</f>
        <v>260.7542389499979</v>
      </c>
      <c r="AC930" s="7">
        <f>0.9*Z930*4220*MAX(0.72*G930,0.9*((G930/2)+((G930-0.11)/PI())))/AA930/1000</f>
        <v>71.137096483304632</v>
      </c>
      <c r="AD930" s="6" t="str">
        <f>+IF(AC930&gt;K930-AB930,"Cumple","No Cumple")</f>
        <v>Cumple</v>
      </c>
      <c r="AE930" s="6"/>
      <c r="AH930" s="3"/>
    </row>
    <row r="931" spans="1:43" ht="15" customHeight="1" x14ac:dyDescent="0.3">
      <c r="A931" s="13"/>
      <c r="B931" s="1">
        <v>16</v>
      </c>
      <c r="C931" s="1">
        <v>643</v>
      </c>
      <c r="D931" s="1">
        <v>1</v>
      </c>
      <c r="E931" s="5">
        <v>1</v>
      </c>
      <c r="F931" s="3">
        <f>F930+E931</f>
        <v>16</v>
      </c>
      <c r="G931" s="5">
        <v>3</v>
      </c>
      <c r="H931" s="3">
        <f>PI()*(G931^2)/4</f>
        <v>7.0685834705770345</v>
      </c>
      <c r="I931" s="4">
        <v>7.0685999999999999E-2</v>
      </c>
      <c r="K931" s="3">
        <v>206.991086586476</v>
      </c>
      <c r="L931" s="3">
        <v>673.17566999999997</v>
      </c>
      <c r="M931" s="3">
        <v>773.23582999999996</v>
      </c>
      <c r="N931" s="12">
        <f>I931/H931</f>
        <v>1.0000023384349969E-2</v>
      </c>
      <c r="O931" s="11">
        <f>I931*10000</f>
        <v>706.86</v>
      </c>
      <c r="P931" s="1">
        <v>10</v>
      </c>
      <c r="Q931" s="15">
        <v>1</v>
      </c>
      <c r="R931" s="3">
        <f>Q931*VLOOKUP(P931,[1]Datos!$A$2:$D$14,2)</f>
        <v>8.19</v>
      </c>
      <c r="S931" s="10">
        <f>ROUNDUP(O931/R931,0)</f>
        <v>87</v>
      </c>
      <c r="T931" s="14">
        <v>87</v>
      </c>
      <c r="U931" s="3">
        <f>ROUNDDOWN(PI()*(G931-0.185)/T931,2)</f>
        <v>0.1</v>
      </c>
      <c r="V931" s="3"/>
      <c r="W931" s="1">
        <v>280</v>
      </c>
      <c r="X931" s="9">
        <v>2</v>
      </c>
      <c r="Y931" s="1">
        <v>4</v>
      </c>
      <c r="Z931" s="3">
        <f>X931*VLOOKUP(Y931,[1]Datos!$A$2:$D$14,2)</f>
        <v>2.58</v>
      </c>
      <c r="AA931" s="8">
        <v>0.3</v>
      </c>
      <c r="AB931" s="7">
        <f>IF(D931=0,0.9,0.5)*0.9*0.53*SQRT(W931)*G931*MAX(0.72*G931,0.9*((G931/2)+((G931-0.11)/PI())))*10</f>
        <v>260.7542389499979</v>
      </c>
      <c r="AC931" s="7">
        <f>0.9*Z931*4220*MAX(0.72*G931,0.9*((G931/2)+((G931-0.11)/PI())))/AA931/1000</f>
        <v>71.137096483304632</v>
      </c>
      <c r="AD931" s="6" t="str">
        <f>+IF(AC931&gt;K931-AB931,"Cumple","No Cumple")</f>
        <v>Cumple</v>
      </c>
      <c r="AE931" s="6"/>
      <c r="AH931" s="3"/>
    </row>
    <row r="932" spans="1:43" ht="15" customHeight="1" x14ac:dyDescent="0.3">
      <c r="A932" s="13"/>
      <c r="B932" s="1">
        <v>17</v>
      </c>
      <c r="C932" s="1">
        <v>644</v>
      </c>
      <c r="D932" s="1">
        <v>1</v>
      </c>
      <c r="E932" s="5">
        <v>1</v>
      </c>
      <c r="F932" s="3">
        <f>F931+E932</f>
        <v>17</v>
      </c>
      <c r="G932" s="5">
        <v>3</v>
      </c>
      <c r="H932" s="3">
        <f>PI()*(G932^2)/4</f>
        <v>7.0685834705770345</v>
      </c>
      <c r="I932" s="4">
        <v>7.0685999999999999E-2</v>
      </c>
      <c r="K932" s="3">
        <v>173.57356489007768</v>
      </c>
      <c r="L932" s="3">
        <v>588.36600999999996</v>
      </c>
      <c r="M932" s="3">
        <v>574.83235999999999</v>
      </c>
      <c r="N932" s="12">
        <f>I932/H932</f>
        <v>1.0000023384349969E-2</v>
      </c>
      <c r="O932" s="11">
        <f>I932*10000</f>
        <v>706.86</v>
      </c>
      <c r="P932" s="1">
        <v>10</v>
      </c>
      <c r="Q932" s="1">
        <v>1</v>
      </c>
      <c r="R932" s="3">
        <f>Q932*VLOOKUP(P932,[1]Datos!$A$2:$D$14,2)</f>
        <v>8.19</v>
      </c>
      <c r="S932" s="10">
        <f>ROUNDUP(O932/R932,0)</f>
        <v>87</v>
      </c>
      <c r="T932" s="2">
        <v>87</v>
      </c>
      <c r="U932" s="3">
        <f>ROUNDDOWN(PI()*(G932-0.185)/T932,2)</f>
        <v>0.1</v>
      </c>
      <c r="V932" s="3"/>
      <c r="W932" s="1">
        <v>280</v>
      </c>
      <c r="X932" s="9">
        <v>2</v>
      </c>
      <c r="Y932" s="1">
        <v>4</v>
      </c>
      <c r="Z932" s="3">
        <f>X932*VLOOKUP(Y932,[1]Datos!$A$2:$D$14,2)</f>
        <v>2.58</v>
      </c>
      <c r="AA932" s="8">
        <v>0.3</v>
      </c>
      <c r="AB932" s="7">
        <f>IF(D932=0,0.9,0.5)*0.9*0.53*SQRT(W932)*G932*MAX(0.72*G932,0.9*((G932/2)+((G932-0.11)/PI())))*10</f>
        <v>260.7542389499979</v>
      </c>
      <c r="AC932" s="7">
        <f>0.9*Z932*4220*MAX(0.72*G932,0.9*((G932/2)+((G932-0.11)/PI())))/AA932/1000</f>
        <v>71.137096483304632</v>
      </c>
      <c r="AD932" s="6" t="str">
        <f>+IF(AC932&gt;K932-AB932,"Cumple","No Cumple")</f>
        <v>Cumple</v>
      </c>
      <c r="AE932" s="6"/>
      <c r="AH932" s="3"/>
    </row>
    <row r="933" spans="1:43" ht="15" customHeight="1" x14ac:dyDescent="0.3">
      <c r="A933" s="13"/>
      <c r="B933" s="1">
        <v>18</v>
      </c>
      <c r="C933" s="1">
        <v>645</v>
      </c>
      <c r="D933" s="1">
        <v>1</v>
      </c>
      <c r="E933" s="5">
        <v>1</v>
      </c>
      <c r="F933" s="3">
        <f>F932+E933</f>
        <v>18</v>
      </c>
      <c r="G933" s="5">
        <v>3</v>
      </c>
      <c r="H933" s="3">
        <f>PI()*(G933^2)/4</f>
        <v>7.0685834705770345</v>
      </c>
      <c r="I933" s="4">
        <v>7.0685999999999999E-2</v>
      </c>
      <c r="K933" s="3">
        <v>141.90396719912377</v>
      </c>
      <c r="L933" s="3">
        <v>497.01033000000001</v>
      </c>
      <c r="M933" s="3">
        <v>410.37736999999998</v>
      </c>
      <c r="N933" s="12">
        <f>I933/H933</f>
        <v>1.0000023384349969E-2</v>
      </c>
      <c r="O933" s="11">
        <f>I933*10000</f>
        <v>706.86</v>
      </c>
      <c r="P933" s="1">
        <v>10</v>
      </c>
      <c r="Q933" s="1">
        <v>1</v>
      </c>
      <c r="R933" s="3">
        <f>Q933*VLOOKUP(P933,[1]Datos!$A$2:$D$14,2)</f>
        <v>8.19</v>
      </c>
      <c r="S933" s="10">
        <f>ROUNDUP(O933/R933,0)</f>
        <v>87</v>
      </c>
      <c r="T933" s="2">
        <v>87</v>
      </c>
      <c r="U933" s="3">
        <f>ROUNDDOWN(PI()*(G933-0.185)/T933,2)</f>
        <v>0.1</v>
      </c>
      <c r="V933" s="3"/>
      <c r="W933" s="1">
        <v>280</v>
      </c>
      <c r="X933" s="9">
        <v>2</v>
      </c>
      <c r="Y933" s="1">
        <v>4</v>
      </c>
      <c r="Z933" s="3">
        <f>X933*VLOOKUP(Y933,[1]Datos!$A$2:$D$14,2)</f>
        <v>2.58</v>
      </c>
      <c r="AA933" s="8">
        <v>0.3</v>
      </c>
      <c r="AB933" s="7">
        <f>IF(D933=0,0.9,0.5)*0.9*0.53*SQRT(W933)*G933*MAX(0.72*G933,0.9*((G933/2)+((G933-0.11)/PI())))*10</f>
        <v>260.7542389499979</v>
      </c>
      <c r="AC933" s="7">
        <f>0.9*Z933*4220*MAX(0.72*G933,0.9*((G933/2)+((G933-0.11)/PI())))/AA933/1000</f>
        <v>71.137096483304632</v>
      </c>
      <c r="AD933" s="6" t="str">
        <f>+IF(AC933&gt;K933-AB933,"Cumple","No Cumple")</f>
        <v>Cumple</v>
      </c>
      <c r="AE933" s="6"/>
      <c r="AH933" s="3"/>
    </row>
    <row r="934" spans="1:43" ht="15" customHeight="1" x14ac:dyDescent="0.3">
      <c r="A934" s="13"/>
      <c r="B934" s="1">
        <v>19</v>
      </c>
      <c r="C934" s="1">
        <v>646</v>
      </c>
      <c r="D934" s="1">
        <v>1</v>
      </c>
      <c r="E934" s="5">
        <v>1</v>
      </c>
      <c r="F934" s="3">
        <f>F933+E934</f>
        <v>19</v>
      </c>
      <c r="G934" s="5">
        <v>3</v>
      </c>
      <c r="H934" s="3">
        <f>PI()*(G934^2)/4</f>
        <v>7.0685834705770345</v>
      </c>
      <c r="I934" s="4">
        <v>7.0685999999999999E-2</v>
      </c>
      <c r="K934" s="3">
        <v>114.86208871807965</v>
      </c>
      <c r="L934" s="3">
        <v>404.57447999999999</v>
      </c>
      <c r="M934" s="3">
        <v>279.80953</v>
      </c>
      <c r="N934" s="12">
        <f>I934/H934</f>
        <v>1.0000023384349969E-2</v>
      </c>
      <c r="O934" s="11">
        <f>I934*10000</f>
        <v>706.86</v>
      </c>
      <c r="P934" s="1">
        <v>10</v>
      </c>
      <c r="Q934" s="1">
        <v>1</v>
      </c>
      <c r="R934" s="3">
        <f>Q934*VLOOKUP(P934,[1]Datos!$A$2:$D$14,2)</f>
        <v>8.19</v>
      </c>
      <c r="S934" s="10">
        <f>ROUNDUP(O934/R934,0)</f>
        <v>87</v>
      </c>
      <c r="T934" s="2">
        <v>87</v>
      </c>
      <c r="U934" s="3">
        <f>ROUNDDOWN(PI()*(G934-0.185)/T934,2)</f>
        <v>0.1</v>
      </c>
      <c r="V934" s="3"/>
      <c r="W934" s="1">
        <v>280</v>
      </c>
      <c r="X934" s="9">
        <v>2</v>
      </c>
      <c r="Y934" s="1">
        <v>4</v>
      </c>
      <c r="Z934" s="3">
        <f>X934*VLOOKUP(Y934,[1]Datos!$A$2:$D$14,2)</f>
        <v>2.58</v>
      </c>
      <c r="AA934" s="8">
        <v>0.3</v>
      </c>
      <c r="AB934" s="7">
        <f>IF(D934=0,0.9,0.5)*0.9*0.53*SQRT(W934)*G934*MAX(0.72*G934,0.9*((G934/2)+((G934-0.11)/PI())))*10</f>
        <v>260.7542389499979</v>
      </c>
      <c r="AC934" s="7">
        <f>0.9*Z934*4220*MAX(0.72*G934,0.9*((G934/2)+((G934-0.11)/PI())))/AA934/1000</f>
        <v>71.137096483304632</v>
      </c>
      <c r="AD934" s="6" t="str">
        <f>+IF(AC934&gt;K934-AB934,"Cumple","No Cumple")</f>
        <v>Cumple</v>
      </c>
      <c r="AE934" s="6"/>
      <c r="AH934" s="3"/>
    </row>
    <row r="935" spans="1:43" ht="15" customHeight="1" x14ac:dyDescent="0.3">
      <c r="A935" s="13"/>
      <c r="B935" s="1">
        <v>20</v>
      </c>
      <c r="C935" s="1">
        <v>647</v>
      </c>
      <c r="D935" s="1">
        <v>1</v>
      </c>
      <c r="E935" s="5">
        <v>1</v>
      </c>
      <c r="F935" s="3">
        <f>F934+E935</f>
        <v>20</v>
      </c>
      <c r="G935" s="5">
        <v>3</v>
      </c>
      <c r="H935" s="3">
        <f>PI()*(G935^2)/4</f>
        <v>7.0685834705770345</v>
      </c>
      <c r="I935" s="4">
        <v>7.0685999999999999E-2</v>
      </c>
      <c r="K935" s="3">
        <v>100.29326865213837</v>
      </c>
      <c r="L935" s="3">
        <v>315.51999000000001</v>
      </c>
      <c r="M935" s="3">
        <v>181.67524</v>
      </c>
      <c r="N935" s="12">
        <f>I935/H935</f>
        <v>1.0000023384349969E-2</v>
      </c>
      <c r="O935" s="11">
        <f>I935*10000</f>
        <v>706.86</v>
      </c>
      <c r="P935" s="1">
        <v>10</v>
      </c>
      <c r="Q935" s="1">
        <v>1</v>
      </c>
      <c r="R935" s="3">
        <f>Q935*VLOOKUP(P935,[1]Datos!$A$2:$D$14,2)</f>
        <v>8.19</v>
      </c>
      <c r="S935" s="10">
        <f>ROUNDUP(O935/R935,0)</f>
        <v>87</v>
      </c>
      <c r="T935" s="2">
        <v>87</v>
      </c>
      <c r="U935" s="3">
        <f>ROUNDDOWN(PI()*(G935-0.185)/T935,2)</f>
        <v>0.1</v>
      </c>
      <c r="V935" s="3"/>
      <c r="W935" s="1">
        <v>280</v>
      </c>
      <c r="X935" s="9">
        <v>2</v>
      </c>
      <c r="Y935" s="1">
        <v>4</v>
      </c>
      <c r="Z935" s="3">
        <f>X935*VLOOKUP(Y935,[1]Datos!$A$2:$D$14,2)</f>
        <v>2.58</v>
      </c>
      <c r="AA935" s="8">
        <v>0.3</v>
      </c>
      <c r="AB935" s="7">
        <f>IF(D935=0,0.9,0.5)*0.9*0.53*SQRT(W935)*G935*MAX(0.72*G935,0.9*((G935/2)+((G935-0.11)/PI())))*10</f>
        <v>260.7542389499979</v>
      </c>
      <c r="AC935" s="7">
        <f>0.9*Z935*4220*MAX(0.72*G935,0.9*((G935/2)+((G935-0.11)/PI())))/AA935/1000</f>
        <v>71.137096483304632</v>
      </c>
      <c r="AD935" s="6" t="str">
        <f>+IF(AC935&gt;K935-AB935,"Cumple","No Cumple")</f>
        <v>Cumple</v>
      </c>
      <c r="AE935" s="6"/>
      <c r="AH935" s="3"/>
    </row>
    <row r="936" spans="1:43" ht="15" customHeight="1" x14ac:dyDescent="0.3">
      <c r="A936" s="13"/>
      <c r="B936" s="1">
        <v>21</v>
      </c>
      <c r="C936" s="1">
        <v>673</v>
      </c>
      <c r="D936" s="1">
        <v>1</v>
      </c>
      <c r="E936" s="5">
        <v>1</v>
      </c>
      <c r="F936" s="3">
        <f>F935+E936</f>
        <v>21</v>
      </c>
      <c r="G936" s="5">
        <v>3</v>
      </c>
      <c r="H936" s="3">
        <f>PI()*(G936^2)/4</f>
        <v>7.0685834705770345</v>
      </c>
      <c r="I936" s="4">
        <v>7.0685999999999999E-2</v>
      </c>
      <c r="K936" s="3">
        <v>84.722972304623497</v>
      </c>
      <c r="L936" s="3">
        <v>233.37018</v>
      </c>
      <c r="M936" s="3">
        <v>117.17807999999999</v>
      </c>
      <c r="N936" s="12">
        <f>I936/H936</f>
        <v>1.0000023384349969E-2</v>
      </c>
      <c r="O936" s="11">
        <f>I936*10000</f>
        <v>706.86</v>
      </c>
      <c r="P936" s="1">
        <v>10</v>
      </c>
      <c r="Q936" s="1">
        <v>1</v>
      </c>
      <c r="R936" s="3">
        <f>Q936*VLOOKUP(P936,[1]Datos!$A$2:$D$14,2)</f>
        <v>8.19</v>
      </c>
      <c r="S936" s="10">
        <f>ROUNDUP(O936/R936,0)</f>
        <v>87</v>
      </c>
      <c r="T936" s="2">
        <v>87</v>
      </c>
      <c r="U936" s="3">
        <f>ROUNDDOWN(PI()*(G936-0.185)/T936,2)</f>
        <v>0.1</v>
      </c>
      <c r="V936" s="3"/>
      <c r="W936" s="1">
        <v>280</v>
      </c>
      <c r="X936" s="9">
        <v>2</v>
      </c>
      <c r="Y936" s="1">
        <v>4</v>
      </c>
      <c r="Z936" s="3">
        <f>X936*VLOOKUP(Y936,[1]Datos!$A$2:$D$14,2)</f>
        <v>2.58</v>
      </c>
      <c r="AA936" s="8">
        <v>0.3</v>
      </c>
      <c r="AB936" s="7">
        <f>IF(D936=0,0.9,0.5)*0.9*0.53*SQRT(W936)*G936*MAX(0.72*G936,0.9*((G936/2)+((G936-0.11)/PI())))*10</f>
        <v>260.7542389499979</v>
      </c>
      <c r="AC936" s="7">
        <f>0.9*Z936*4220*MAX(0.72*G936,0.9*((G936/2)+((G936-0.11)/PI())))/AA936/1000</f>
        <v>71.137096483304632</v>
      </c>
      <c r="AD936" s="6" t="str">
        <f>+IF(AC936&gt;K936-AB936,"Cumple","No Cumple")</f>
        <v>Cumple</v>
      </c>
      <c r="AE936" s="6"/>
      <c r="AH936" s="3"/>
    </row>
    <row r="937" spans="1:43" ht="15" customHeight="1" x14ac:dyDescent="0.3">
      <c r="A937" s="13"/>
      <c r="B937" s="1">
        <v>22</v>
      </c>
      <c r="C937" s="1">
        <v>674</v>
      </c>
      <c r="D937" s="1">
        <v>1</v>
      </c>
      <c r="E937" s="5">
        <v>1</v>
      </c>
      <c r="F937" s="3">
        <f>F936+E937</f>
        <v>22</v>
      </c>
      <c r="G937" s="5">
        <v>3</v>
      </c>
      <c r="H937" s="3">
        <f>PI()*(G937^2)/4</f>
        <v>7.0685834705770345</v>
      </c>
      <c r="I937" s="4">
        <v>7.0685999999999999E-2</v>
      </c>
      <c r="K937" s="3">
        <v>68.728242455194504</v>
      </c>
      <c r="L937" s="3">
        <v>160.83671000000001</v>
      </c>
      <c r="M937" s="3">
        <v>75.598190000000002</v>
      </c>
      <c r="N937" s="12">
        <f>I937/H937</f>
        <v>1.0000023384349969E-2</v>
      </c>
      <c r="O937" s="11">
        <f>I937*10000</f>
        <v>706.86</v>
      </c>
      <c r="P937" s="1">
        <v>10</v>
      </c>
      <c r="Q937" s="1">
        <v>1</v>
      </c>
      <c r="R937" s="3">
        <f>Q937*VLOOKUP(P937,[1]Datos!$A$2:$D$14,2)</f>
        <v>8.19</v>
      </c>
      <c r="S937" s="10">
        <f>ROUNDUP(O937/R937,0)</f>
        <v>87</v>
      </c>
      <c r="T937" s="2">
        <v>87</v>
      </c>
      <c r="U937" s="3">
        <f>ROUNDDOWN(PI()*(G937-0.185)/T937,2)</f>
        <v>0.1</v>
      </c>
      <c r="V937" s="3"/>
      <c r="W937" s="1">
        <v>280</v>
      </c>
      <c r="X937" s="9">
        <v>2</v>
      </c>
      <c r="Y937" s="1">
        <v>4</v>
      </c>
      <c r="Z937" s="3">
        <f>X937*VLOOKUP(Y937,[1]Datos!$A$2:$D$14,2)</f>
        <v>2.58</v>
      </c>
      <c r="AA937" s="8">
        <v>0.3</v>
      </c>
      <c r="AB937" s="7">
        <f>IF(D937=0,0.9,0.5)*0.9*0.53*SQRT(W937)*G937*MAX(0.72*G937,0.9*((G937/2)+((G937-0.11)/PI())))*10</f>
        <v>260.7542389499979</v>
      </c>
      <c r="AC937" s="7">
        <f>0.9*Z937*4220*MAX(0.72*G937,0.9*((G937/2)+((G937-0.11)/PI())))/AA937/1000</f>
        <v>71.137096483304632</v>
      </c>
      <c r="AD937" s="6" t="str">
        <f>+IF(AC937&gt;K937-AB937,"Cumple","No Cumple")</f>
        <v>Cumple</v>
      </c>
      <c r="AE937" s="6"/>
      <c r="AH937" s="3"/>
    </row>
    <row r="938" spans="1:43" ht="15" customHeight="1" x14ac:dyDescent="0.3">
      <c r="A938" s="13"/>
      <c r="B938" s="1">
        <v>23</v>
      </c>
      <c r="C938" s="1">
        <v>675</v>
      </c>
      <c r="D938" s="1">
        <v>1</v>
      </c>
      <c r="E938" s="5">
        <v>1</v>
      </c>
      <c r="F938" s="3">
        <f>F937+E938</f>
        <v>23</v>
      </c>
      <c r="G938" s="5">
        <v>3</v>
      </c>
      <c r="H938" s="3">
        <f>PI()*(G938^2)/4</f>
        <v>7.0685834705770345</v>
      </c>
      <c r="I938" s="4">
        <v>7.0685999999999999E-2</v>
      </c>
      <c r="K938" s="3">
        <v>52.732075884133373</v>
      </c>
      <c r="L938" s="3">
        <v>99.978179999999995</v>
      </c>
      <c r="M938" s="3">
        <v>45.602350000000001</v>
      </c>
      <c r="N938" s="12">
        <f>I938/H938</f>
        <v>1.0000023384349969E-2</v>
      </c>
      <c r="O938" s="11">
        <f>I938*10000</f>
        <v>706.86</v>
      </c>
      <c r="P938" s="1">
        <v>10</v>
      </c>
      <c r="Q938" s="1">
        <v>1</v>
      </c>
      <c r="R938" s="3">
        <f>Q938*VLOOKUP(P938,[1]Datos!$A$2:$D$14,2)</f>
        <v>8.19</v>
      </c>
      <c r="S938" s="10">
        <f>ROUNDUP(O938/R938,0)</f>
        <v>87</v>
      </c>
      <c r="T938" s="2">
        <v>87</v>
      </c>
      <c r="U938" s="3">
        <f>ROUNDDOWN(PI()*(G938-0.185)/T938,2)</f>
        <v>0.1</v>
      </c>
      <c r="V938" s="3"/>
      <c r="W938" s="1">
        <v>280</v>
      </c>
      <c r="X938" s="9">
        <v>2</v>
      </c>
      <c r="Y938" s="1">
        <v>4</v>
      </c>
      <c r="Z938" s="3">
        <f>X938*VLOOKUP(Y938,[1]Datos!$A$2:$D$14,2)</f>
        <v>2.58</v>
      </c>
      <c r="AA938" s="8">
        <v>0.3</v>
      </c>
      <c r="AB938" s="7">
        <f>IF(D938=0,0.9,0.5)*0.9*0.53*SQRT(W938)*G938*MAX(0.72*G938,0.9*((G938/2)+((G938-0.11)/PI())))*10</f>
        <v>260.7542389499979</v>
      </c>
      <c r="AC938" s="7">
        <f>0.9*Z938*4220*MAX(0.72*G938,0.9*((G938/2)+((G938-0.11)/PI())))/AA938/1000</f>
        <v>71.137096483304632</v>
      </c>
      <c r="AD938" s="6" t="str">
        <f>+IF(AC938&gt;K938-AB938,"Cumple","No Cumple")</f>
        <v>Cumple</v>
      </c>
      <c r="AE938" s="6"/>
      <c r="AH938" s="3"/>
    </row>
    <row r="939" spans="1:43" ht="15" customHeight="1" x14ac:dyDescent="0.3">
      <c r="A939" s="13"/>
      <c r="B939" s="1">
        <v>24</v>
      </c>
      <c r="C939" s="1">
        <v>676</v>
      </c>
      <c r="D939" s="1">
        <v>1</v>
      </c>
      <c r="E939" s="5">
        <v>1</v>
      </c>
      <c r="F939" s="3">
        <f>F938+E939</f>
        <v>24</v>
      </c>
      <c r="G939" s="5">
        <v>3</v>
      </c>
      <c r="H939" s="3">
        <f>PI()*(G939^2)/4</f>
        <v>7.0685834705770345</v>
      </c>
      <c r="I939" s="4">
        <v>7.0685999999999999E-2</v>
      </c>
      <c r="K939" s="3">
        <v>37.018810905403214</v>
      </c>
      <c r="L939" s="3">
        <v>52.355980000000002</v>
      </c>
      <c r="M939" s="3">
        <v>27.152950000000001</v>
      </c>
      <c r="N939" s="12">
        <f>I939/H939</f>
        <v>1.0000023384349969E-2</v>
      </c>
      <c r="O939" s="11">
        <f>I939*10000</f>
        <v>706.86</v>
      </c>
      <c r="P939" s="1">
        <v>10</v>
      </c>
      <c r="Q939" s="1">
        <v>1</v>
      </c>
      <c r="R939" s="3">
        <f>Q939*VLOOKUP(P939,[1]Datos!$A$2:$D$14,2)</f>
        <v>8.19</v>
      </c>
      <c r="S939" s="10">
        <f>ROUNDUP(O939/R939,0)</f>
        <v>87</v>
      </c>
      <c r="T939" s="2">
        <v>87</v>
      </c>
      <c r="U939" s="3">
        <f>ROUNDDOWN(PI()*(G939-0.185)/T939,2)</f>
        <v>0.1</v>
      </c>
      <c r="V939" s="3"/>
      <c r="W939" s="1">
        <v>280</v>
      </c>
      <c r="X939" s="9">
        <v>2</v>
      </c>
      <c r="Y939" s="1">
        <v>4</v>
      </c>
      <c r="Z939" s="3">
        <f>X939*VLOOKUP(Y939,[1]Datos!$A$2:$D$14,2)</f>
        <v>2.58</v>
      </c>
      <c r="AA939" s="8">
        <v>0.3</v>
      </c>
      <c r="AB939" s="7">
        <f>IF(D939=0,0.9,0.5)*0.9*0.53*SQRT(W939)*G939*MAX(0.72*G939,0.9*((G939/2)+((G939-0.11)/PI())))*10</f>
        <v>260.7542389499979</v>
      </c>
      <c r="AC939" s="7">
        <f>0.9*Z939*4220*MAX(0.72*G939,0.9*((G939/2)+((G939-0.11)/PI())))/AA939/1000</f>
        <v>71.137096483304632</v>
      </c>
      <c r="AD939" s="6" t="str">
        <f>+IF(AC939&gt;K939-AB939,"Cumple","No Cumple")</f>
        <v>Cumple</v>
      </c>
      <c r="AE939" s="6"/>
      <c r="AH939" s="3"/>
    </row>
    <row r="940" spans="1:43" ht="15" customHeight="1" x14ac:dyDescent="0.3">
      <c r="A940" s="13"/>
      <c r="B940" s="1">
        <v>25</v>
      </c>
      <c r="C940" s="1">
        <v>677</v>
      </c>
      <c r="D940" s="1">
        <v>1</v>
      </c>
      <c r="E940" s="5">
        <v>1</v>
      </c>
      <c r="F940" s="3">
        <f>F939+E940</f>
        <v>25</v>
      </c>
      <c r="G940" s="5">
        <v>3</v>
      </c>
      <c r="H940" s="3">
        <f>PI()*(G940^2)/4</f>
        <v>7.0685834705770345</v>
      </c>
      <c r="I940" s="4">
        <v>7.0685999999999999E-2</v>
      </c>
      <c r="K940" s="3">
        <v>21.243648178690965</v>
      </c>
      <c r="L940" s="3">
        <v>19.056429999999999</v>
      </c>
      <c r="M940" s="3">
        <v>12.37861</v>
      </c>
      <c r="N940" s="12">
        <f>I940/H940</f>
        <v>1.0000023384349969E-2</v>
      </c>
      <c r="O940" s="11">
        <f>I940*10000</f>
        <v>706.86</v>
      </c>
      <c r="P940" s="1">
        <v>10</v>
      </c>
      <c r="Q940" s="1">
        <v>1</v>
      </c>
      <c r="R940" s="3">
        <f>Q940*VLOOKUP(P940,[1]Datos!$A$2:$D$14,2)</f>
        <v>8.19</v>
      </c>
      <c r="S940" s="10">
        <f>ROUNDUP(O940/R940,0)</f>
        <v>87</v>
      </c>
      <c r="T940" s="2">
        <v>87</v>
      </c>
      <c r="U940" s="3">
        <f>ROUNDDOWN(PI()*(G940-0.185)/T940,2)</f>
        <v>0.1</v>
      </c>
      <c r="V940" s="3"/>
      <c r="W940" s="1">
        <v>280</v>
      </c>
      <c r="X940" s="9">
        <v>2</v>
      </c>
      <c r="Y940" s="1">
        <v>4</v>
      </c>
      <c r="Z940" s="3">
        <f>X940*VLOOKUP(Y940,[1]Datos!$A$2:$D$14,2)</f>
        <v>2.58</v>
      </c>
      <c r="AA940" s="8">
        <v>0.3</v>
      </c>
      <c r="AB940" s="7">
        <f>IF(D940=0,0.9,0.5)*0.9*0.53*SQRT(W940)*G940*MAX(0.72*G940,0.9*((G940/2)+((G940-0.11)/PI())))*10</f>
        <v>260.7542389499979</v>
      </c>
      <c r="AC940" s="7">
        <f>0.9*Z940*4220*MAX(0.72*G940,0.9*((G940/2)+((G940-0.11)/PI())))/AA940/1000</f>
        <v>71.137096483304632</v>
      </c>
      <c r="AD940" s="6" t="str">
        <f>+IF(AC940&gt;K940-AB940,"Cumple","No Cumple")</f>
        <v>Cumple</v>
      </c>
      <c r="AE940" s="6"/>
      <c r="AH940" s="3"/>
    </row>
    <row r="941" spans="1:43" ht="15" customHeight="1" x14ac:dyDescent="0.3">
      <c r="A941" s="13" t="s">
        <v>2</v>
      </c>
      <c r="B941" s="1">
        <v>1</v>
      </c>
      <c r="C941" s="1">
        <v>608</v>
      </c>
      <c r="D941" s="1">
        <v>1</v>
      </c>
      <c r="E941" s="5">
        <v>1</v>
      </c>
      <c r="F941" s="3">
        <f>E941</f>
        <v>1</v>
      </c>
      <c r="G941" s="5">
        <v>3</v>
      </c>
      <c r="H941" s="3">
        <f>PI()*(G941^2)/4</f>
        <v>7.0685834705770345</v>
      </c>
      <c r="I941" s="4">
        <v>8.5218000000000002E-2</v>
      </c>
      <c r="K941" s="3">
        <v>669.60202680383964</v>
      </c>
      <c r="L941" s="3">
        <v>3061.5783200000001</v>
      </c>
      <c r="M941" s="3">
        <v>3515.6355100000001</v>
      </c>
      <c r="N941" s="12">
        <f>I941/H941</f>
        <v>1.2055880835915678E-2</v>
      </c>
      <c r="O941" s="11">
        <f>I941*10000</f>
        <v>852.18000000000006</v>
      </c>
      <c r="P941" s="1">
        <v>10</v>
      </c>
      <c r="Q941" s="1">
        <v>1.33</v>
      </c>
      <c r="R941" s="3">
        <f>Q941*VLOOKUP(P941,[1]Datos!$A$2:$D$14,2)</f>
        <v>10.8927</v>
      </c>
      <c r="S941" s="10">
        <f>ROUNDUP(O941/R941,0)</f>
        <v>79</v>
      </c>
      <c r="T941" s="2">
        <v>87</v>
      </c>
      <c r="U941" s="3">
        <f>ROUNDDOWN(PI()*(G941-0.185)/T941,2)</f>
        <v>0.1</v>
      </c>
      <c r="V941" s="3"/>
      <c r="W941" s="1">
        <v>280</v>
      </c>
      <c r="X941" s="9">
        <v>2</v>
      </c>
      <c r="Y941" s="1">
        <v>6</v>
      </c>
      <c r="Z941" s="3">
        <f>X941*VLOOKUP(Y941,[1]Datos!$A$2:$D$14,2)</f>
        <v>5.68</v>
      </c>
      <c r="AA941" s="8">
        <v>4.972E-2</v>
      </c>
      <c r="AB941" s="7">
        <f>IF(D941=0,0.9,0.5)*0.9*0.53*SQRT(W941)*G941*MAX(0.72*G941,0.9*((G941/2)+((G941-0.11)/PI())))*10</f>
        <v>260.7542389499979</v>
      </c>
      <c r="AC941" s="7">
        <f>0.9*Z941*4220*MAX(0.72*G941,0.9*((G941/2)+((G941-0.11)/PI())))/AA941/1000</f>
        <v>944.96320797669352</v>
      </c>
      <c r="AD941" s="6" t="str">
        <f>+IF(AC941&gt;K941-AB941,"Cumple","No Cumple")</f>
        <v>Cumple</v>
      </c>
      <c r="AE941" s="6"/>
      <c r="AG941" s="7">
        <f>ROUNDUP(MAX(0.45,3*G941,),0)</f>
        <v>9</v>
      </c>
      <c r="AH941" s="3">
        <f>PI()*(G941-0.15)^2/4</f>
        <v>6.3793965821957741</v>
      </c>
      <c r="AI941" s="7">
        <f>G941-0.15-VLOOKUP(Y941,[1]Datos!$A$2:$D$14,3)/100</f>
        <v>2.8309000000000002</v>
      </c>
      <c r="AJ941" s="7">
        <f>SQRT((PI()*AI941)^2+AA941^2)</f>
        <v>8.8936736237329566</v>
      </c>
      <c r="AK941" s="1">
        <v>0.12</v>
      </c>
      <c r="AL941" s="16">
        <f>MAX(0.45*(H941/AH941-1),AK941)*(W941/4220)</f>
        <v>7.9620853080568724E-3</v>
      </c>
      <c r="AM941" s="7">
        <f>AG941*(AJ941/AA941)</f>
        <v>1609.8765610136084</v>
      </c>
      <c r="AN941" s="17">
        <f>AM941*Z941/X941/10000</f>
        <v>0.45720494332786477</v>
      </c>
      <c r="AO941" s="17">
        <f>AH941*AG941</f>
        <v>57.414569239761967</v>
      </c>
      <c r="AP941" s="16">
        <f>AN941/AO941</f>
        <v>7.9632216941067178E-3</v>
      </c>
      <c r="AQ941" s="6" t="str">
        <f>+IF(AP941&gt;AL941,"Cumple","No Cumple")</f>
        <v>Cumple</v>
      </c>
    </row>
    <row r="942" spans="1:43" ht="15" customHeight="1" x14ac:dyDescent="0.3">
      <c r="A942" s="13"/>
      <c r="B942" s="1">
        <v>2</v>
      </c>
      <c r="C942" s="1">
        <v>609</v>
      </c>
      <c r="D942" s="1">
        <v>1</v>
      </c>
      <c r="E942" s="5">
        <v>1</v>
      </c>
      <c r="F942" s="3">
        <f>F941+E942</f>
        <v>2</v>
      </c>
      <c r="G942" s="5">
        <v>3</v>
      </c>
      <c r="H942" s="3">
        <f>PI()*(G942^2)/4</f>
        <v>7.0685834705770345</v>
      </c>
      <c r="I942" s="4">
        <v>7.0685999999999999E-2</v>
      </c>
      <c r="K942" s="3">
        <v>649.72539099513426</v>
      </c>
      <c r="L942" s="3">
        <v>2492.8213799999999</v>
      </c>
      <c r="M942" s="3">
        <v>3564.3879999999999</v>
      </c>
      <c r="N942" s="12">
        <f>I942/H942</f>
        <v>1.0000023384349969E-2</v>
      </c>
      <c r="O942" s="11">
        <f>I942*10000</f>
        <v>706.86</v>
      </c>
      <c r="P942" s="1">
        <v>10</v>
      </c>
      <c r="Q942" s="1">
        <v>1.33</v>
      </c>
      <c r="R942" s="3">
        <f>Q942*VLOOKUP(P942,[1]Datos!$A$2:$D$14,2)</f>
        <v>10.8927</v>
      </c>
      <c r="S942" s="10">
        <f>ROUNDUP(O942/R942,0)</f>
        <v>65</v>
      </c>
      <c r="T942" s="2">
        <v>87</v>
      </c>
      <c r="U942" s="3">
        <f>ROUNDDOWN(PI()*(G942-0.185)/T942,2)</f>
        <v>0.1</v>
      </c>
      <c r="V942" s="3"/>
      <c r="W942" s="1">
        <v>280</v>
      </c>
      <c r="X942" s="9">
        <v>2</v>
      </c>
      <c r="Y942" s="1">
        <v>6</v>
      </c>
      <c r="Z942" s="3">
        <f>X942*VLOOKUP(Y942,[1]Datos!$A$2:$D$14,2)</f>
        <v>5.68</v>
      </c>
      <c r="AA942" s="8">
        <v>4.972E-2</v>
      </c>
      <c r="AB942" s="7">
        <f>IF(D942=0,0.9,0.5)*0.9*0.53*SQRT(W942)*G942*MAX(0.72*G942,0.9*((G942/2)+((G942-0.11)/PI())))*10</f>
        <v>260.7542389499979</v>
      </c>
      <c r="AC942" s="7">
        <f>0.9*Z942*4220*MAX(0.72*G942,0.9*((G942/2)+((G942-0.11)/PI())))/AA942/1000</f>
        <v>944.96320797669352</v>
      </c>
      <c r="AD942" s="6" t="str">
        <f>+IF(AC942&gt;K942-AB942,"Cumple","No Cumple")</f>
        <v>Cumple</v>
      </c>
      <c r="AE942" s="6"/>
      <c r="AG942" s="7">
        <f>ROUNDUP(MAX(0.45,3*G942,),0)</f>
        <v>9</v>
      </c>
      <c r="AH942" s="3">
        <f>PI()*(G942-0.15)^2/4</f>
        <v>6.3793965821957741</v>
      </c>
      <c r="AI942" s="7">
        <f>G942-0.15-VLOOKUP(Y942,[1]Datos!$A$2:$D$14,3)/100</f>
        <v>2.8309000000000002</v>
      </c>
      <c r="AJ942" s="7">
        <f>SQRT((PI()*AI942)^2+AA942^2)</f>
        <v>8.8936736237329566</v>
      </c>
      <c r="AK942" s="1">
        <v>0.12</v>
      </c>
      <c r="AL942" s="16">
        <f>MAX(0.45*(H942/AH942-1),AK942)*(W942/4220)</f>
        <v>7.9620853080568724E-3</v>
      </c>
      <c r="AM942" s="7">
        <f>AG942*(AJ942/AA942)</f>
        <v>1609.8765610136084</v>
      </c>
      <c r="AN942" s="17">
        <f>AM942*Z942/X942/10000</f>
        <v>0.45720494332786477</v>
      </c>
      <c r="AO942" s="17">
        <f>AH942*AG942</f>
        <v>57.414569239761967</v>
      </c>
      <c r="AP942" s="16">
        <f>AN942/AO942</f>
        <v>7.9632216941067178E-3</v>
      </c>
      <c r="AQ942" s="6" t="str">
        <f>+IF(AP942&gt;AL942,"Cumple","No Cumple")</f>
        <v>Cumple</v>
      </c>
    </row>
    <row r="943" spans="1:43" ht="15" customHeight="1" x14ac:dyDescent="0.3">
      <c r="A943" s="13"/>
      <c r="B943" s="1">
        <v>3</v>
      </c>
      <c r="C943" s="1">
        <v>610</v>
      </c>
      <c r="D943" s="1">
        <v>1</v>
      </c>
      <c r="E943" s="5">
        <v>1</v>
      </c>
      <c r="F943" s="3">
        <f>F942+E943</f>
        <v>3</v>
      </c>
      <c r="G943" s="5">
        <v>3</v>
      </c>
      <c r="H943" s="3">
        <f>PI()*(G943^2)/4</f>
        <v>7.0685834705770345</v>
      </c>
      <c r="I943" s="4">
        <v>7.0685999999999999E-2</v>
      </c>
      <c r="K943" s="3">
        <v>609.81615352823337</v>
      </c>
      <c r="L943" s="3">
        <v>1940.58609</v>
      </c>
      <c r="M943" s="3">
        <v>3566.1042699999998</v>
      </c>
      <c r="N943" s="12">
        <f>I943/H943</f>
        <v>1.0000023384349969E-2</v>
      </c>
      <c r="O943" s="11">
        <f>I943*10000</f>
        <v>706.86</v>
      </c>
      <c r="P943" s="1">
        <v>10</v>
      </c>
      <c r="Q943" s="1">
        <v>1</v>
      </c>
      <c r="R943" s="3">
        <f>Q943*VLOOKUP(P943,[1]Datos!$A$2:$D$14,2)</f>
        <v>8.19</v>
      </c>
      <c r="S943" s="10">
        <f>ROUNDUP(O943/R943,0)</f>
        <v>87</v>
      </c>
      <c r="T943" s="2">
        <v>87</v>
      </c>
      <c r="U943" s="3">
        <f>ROUNDDOWN(PI()*(G943-0.185)/T943,2)</f>
        <v>0.1</v>
      </c>
      <c r="V943" s="3"/>
      <c r="W943" s="1">
        <v>280</v>
      </c>
      <c r="X943" s="9">
        <v>2</v>
      </c>
      <c r="Y943" s="1">
        <v>6</v>
      </c>
      <c r="Z943" s="3">
        <f>X943*VLOOKUP(Y943,[1]Datos!$A$2:$D$14,2)</f>
        <v>5.68</v>
      </c>
      <c r="AA943" s="8">
        <v>4.972E-2</v>
      </c>
      <c r="AB943" s="7">
        <f>IF(D943=0,0.9,0.5)*0.9*0.53*SQRT(W943)*G943*MAX(0.72*G943,0.9*((G943/2)+((G943-0.11)/PI())))*10</f>
        <v>260.7542389499979</v>
      </c>
      <c r="AC943" s="7">
        <f>0.9*Z943*4220*MAX(0.72*G943,0.9*((G943/2)+((G943-0.11)/PI())))/AA943/1000</f>
        <v>944.96320797669352</v>
      </c>
      <c r="AD943" s="6" t="str">
        <f>+IF(AC943&gt;K943-AB943,"Cumple","No Cumple")</f>
        <v>Cumple</v>
      </c>
      <c r="AE943" s="6"/>
      <c r="AG943" s="7">
        <f>ROUNDUP(MAX(0.45,3*G943,),0)</f>
        <v>9</v>
      </c>
      <c r="AH943" s="3">
        <f>PI()*(G943-0.15)^2/4</f>
        <v>6.3793965821957741</v>
      </c>
      <c r="AI943" s="7">
        <f>G943-0.15-VLOOKUP(Y943,[1]Datos!$A$2:$D$14,3)/100</f>
        <v>2.8309000000000002</v>
      </c>
      <c r="AJ943" s="7">
        <f>SQRT((PI()*AI943)^2+AA943^2)</f>
        <v>8.8936736237329566</v>
      </c>
      <c r="AK943" s="1">
        <v>0.12</v>
      </c>
      <c r="AL943" s="16">
        <f>MAX(0.45*(H943/AH943-1),AK943)*(W943/4220)</f>
        <v>7.9620853080568724E-3</v>
      </c>
      <c r="AM943" s="7">
        <f>AG943*(AJ943/AA943)</f>
        <v>1609.8765610136084</v>
      </c>
      <c r="AN943" s="17">
        <f>AM943*Z943/X943/10000</f>
        <v>0.45720494332786477</v>
      </c>
      <c r="AO943" s="17">
        <f>AH943*AG943</f>
        <v>57.414569239761967</v>
      </c>
      <c r="AP943" s="16">
        <f>AN943/AO943</f>
        <v>7.9632216941067178E-3</v>
      </c>
      <c r="AQ943" s="6" t="str">
        <f>+IF(AP943&gt;AL943,"Cumple","No Cumple")</f>
        <v>Cumple</v>
      </c>
    </row>
    <row r="944" spans="1:43" ht="15" customHeight="1" x14ac:dyDescent="0.3">
      <c r="A944" s="13"/>
      <c r="B944" s="1">
        <v>4</v>
      </c>
      <c r="C944" s="1">
        <v>611</v>
      </c>
      <c r="D944" s="1">
        <v>1</v>
      </c>
      <c r="E944" s="5">
        <v>1</v>
      </c>
      <c r="F944" s="3">
        <f>F943+E944</f>
        <v>4</v>
      </c>
      <c r="G944" s="5">
        <v>3</v>
      </c>
      <c r="H944" s="3">
        <f>PI()*(G944^2)/4</f>
        <v>7.0685834705770345</v>
      </c>
      <c r="I944" s="4">
        <v>7.0685999999999999E-2</v>
      </c>
      <c r="K944" s="3">
        <v>555.97575067275193</v>
      </c>
      <c r="L944" s="3">
        <v>1424.18967</v>
      </c>
      <c r="M944" s="3">
        <v>3566.1042699999998</v>
      </c>
      <c r="N944" s="12">
        <f>I944/H944</f>
        <v>1.0000023384349969E-2</v>
      </c>
      <c r="O944" s="11">
        <f>I944*10000</f>
        <v>706.86</v>
      </c>
      <c r="P944" s="1">
        <v>10</v>
      </c>
      <c r="Q944" s="1">
        <v>1</v>
      </c>
      <c r="R944" s="3">
        <f>Q944*VLOOKUP(P944,[1]Datos!$A$2:$D$14,2)</f>
        <v>8.19</v>
      </c>
      <c r="S944" s="10">
        <f>ROUNDUP(O944/R944,0)</f>
        <v>87</v>
      </c>
      <c r="T944" s="2">
        <v>87</v>
      </c>
      <c r="U944" s="3">
        <f>ROUNDDOWN(PI()*(G944-0.185)/T944,2)</f>
        <v>0.1</v>
      </c>
      <c r="V944" s="3"/>
      <c r="W944" s="1">
        <v>280</v>
      </c>
      <c r="X944" s="9">
        <v>2</v>
      </c>
      <c r="Y944" s="1">
        <v>6</v>
      </c>
      <c r="Z944" s="3">
        <f>X944*VLOOKUP(Y944,[1]Datos!$A$2:$D$14,2)</f>
        <v>5.68</v>
      </c>
      <c r="AA944" s="8">
        <v>4.972E-2</v>
      </c>
      <c r="AB944" s="7">
        <f>IF(D944=0,0.9,0.5)*0.9*0.53*SQRT(W944)*G944*MAX(0.72*G944,0.9*((G944/2)+((G944-0.11)/PI())))*10</f>
        <v>260.7542389499979</v>
      </c>
      <c r="AC944" s="7">
        <f>0.9*Z944*4220*MAX(0.72*G944,0.9*((G944/2)+((G944-0.11)/PI())))/AA944/1000</f>
        <v>944.96320797669352</v>
      </c>
      <c r="AD944" s="6" t="str">
        <f>+IF(AC944&gt;K944-AB944,"Cumple","No Cumple")</f>
        <v>Cumple</v>
      </c>
      <c r="AE944" s="6"/>
      <c r="AG944" s="7">
        <f>ROUNDUP(MAX(0.45,3*G944,),0)</f>
        <v>9</v>
      </c>
      <c r="AH944" s="3">
        <f>PI()*(G944-0.15)^2/4</f>
        <v>6.3793965821957741</v>
      </c>
      <c r="AI944" s="7">
        <f>G944-0.15-VLOOKUP(Y944,[1]Datos!$A$2:$D$14,3)/100</f>
        <v>2.8309000000000002</v>
      </c>
      <c r="AJ944" s="7">
        <f>SQRT((PI()*AI944)^2+AA944^2)</f>
        <v>8.8936736237329566</v>
      </c>
      <c r="AK944" s="1">
        <v>0.12</v>
      </c>
      <c r="AL944" s="16">
        <f>MAX(0.45*(H944/AH944-1),AK944)*(W944/4220)</f>
        <v>7.9620853080568724E-3</v>
      </c>
      <c r="AM944" s="7">
        <f>AG944*(AJ944/AA944)</f>
        <v>1609.8765610136084</v>
      </c>
      <c r="AN944" s="17">
        <f>AM944*Z944/X944/10000</f>
        <v>0.45720494332786477</v>
      </c>
      <c r="AO944" s="17">
        <f>AH944*AG944</f>
        <v>57.414569239761967</v>
      </c>
      <c r="AP944" s="16">
        <f>AN944/AO944</f>
        <v>7.9632216941067178E-3</v>
      </c>
      <c r="AQ944" s="6" t="str">
        <f>+IF(AP944&gt;AL944,"Cumple","No Cumple")</f>
        <v>Cumple</v>
      </c>
    </row>
    <row r="945" spans="1:43" ht="15" customHeight="1" x14ac:dyDescent="0.3">
      <c r="A945" s="13"/>
      <c r="B945" s="1">
        <v>5</v>
      </c>
      <c r="C945" s="1">
        <v>612</v>
      </c>
      <c r="D945" s="1">
        <v>1</v>
      </c>
      <c r="E945" s="5">
        <v>1</v>
      </c>
      <c r="F945" s="3">
        <f>F944+E945</f>
        <v>5</v>
      </c>
      <c r="G945" s="5">
        <v>3</v>
      </c>
      <c r="H945" s="3">
        <f>PI()*(G945^2)/4</f>
        <v>7.0685834705770345</v>
      </c>
      <c r="I945" s="4">
        <v>7.0685999999999999E-2</v>
      </c>
      <c r="K945" s="3">
        <v>496.06489161101695</v>
      </c>
      <c r="L945" s="3">
        <v>967.06524999999999</v>
      </c>
      <c r="M945" s="3">
        <v>3509.4853199999998</v>
      </c>
      <c r="N945" s="12">
        <f>I945/H945</f>
        <v>1.0000023384349969E-2</v>
      </c>
      <c r="O945" s="11">
        <f>I945*10000</f>
        <v>706.86</v>
      </c>
      <c r="P945" s="1">
        <v>10</v>
      </c>
      <c r="Q945" s="15">
        <v>1</v>
      </c>
      <c r="R945" s="3">
        <f>Q945*VLOOKUP(P945,[1]Datos!$A$2:$D$14,2)</f>
        <v>8.19</v>
      </c>
      <c r="S945" s="10">
        <f>ROUNDUP(O945/R945,0)</f>
        <v>87</v>
      </c>
      <c r="T945" s="14">
        <v>87</v>
      </c>
      <c r="U945" s="3">
        <f>ROUNDDOWN(PI()*(G945-0.185)/T945,2)</f>
        <v>0.1</v>
      </c>
      <c r="V945" s="3"/>
      <c r="W945" s="1">
        <v>280</v>
      </c>
      <c r="X945" s="9">
        <v>2</v>
      </c>
      <c r="Y945" s="1">
        <v>6</v>
      </c>
      <c r="Z945" s="3">
        <f>X945*VLOOKUP(Y945,[1]Datos!$A$2:$D$14,2)</f>
        <v>5.68</v>
      </c>
      <c r="AA945" s="8">
        <v>4.972E-2</v>
      </c>
      <c r="AB945" s="7">
        <f>IF(D945=0,0.9,0.5)*0.9*0.53*SQRT(W945)*G945*MAX(0.72*G945,0.9*((G945/2)+((G945-0.11)/PI())))*10</f>
        <v>260.7542389499979</v>
      </c>
      <c r="AC945" s="7">
        <f>0.9*Z945*4220*MAX(0.72*G945,0.9*((G945/2)+((G945-0.11)/PI())))/AA945/1000</f>
        <v>944.96320797669352</v>
      </c>
      <c r="AD945" s="6" t="str">
        <f>+IF(AC945&gt;K945-AB945,"Cumple","No Cumple")</f>
        <v>Cumple</v>
      </c>
      <c r="AE945" s="6"/>
      <c r="AG945" s="7">
        <f>ROUNDUP(MAX(0.45,3*G945,),0)</f>
        <v>9</v>
      </c>
      <c r="AH945" s="3">
        <f>PI()*(G945-0.15)^2/4</f>
        <v>6.3793965821957741</v>
      </c>
      <c r="AI945" s="7">
        <f>G945-0.15-VLOOKUP(Y945,[1]Datos!$A$2:$D$14,3)/100</f>
        <v>2.8309000000000002</v>
      </c>
      <c r="AJ945" s="7">
        <f>SQRT((PI()*AI945)^2+AA945^2)</f>
        <v>8.8936736237329566</v>
      </c>
      <c r="AK945" s="1">
        <v>0.12</v>
      </c>
      <c r="AL945" s="16">
        <f>MAX(0.45*(H945/AH945-1),AK945)*(W945/4220)</f>
        <v>7.9620853080568724E-3</v>
      </c>
      <c r="AM945" s="7">
        <f>AG945*(AJ945/AA945)</f>
        <v>1609.8765610136084</v>
      </c>
      <c r="AN945" s="17">
        <f>AM945*Z945/X945/10000</f>
        <v>0.45720494332786477</v>
      </c>
      <c r="AO945" s="17">
        <f>AH945*AG945</f>
        <v>57.414569239761967</v>
      </c>
      <c r="AP945" s="16">
        <f>AN945/AO945</f>
        <v>7.9632216941067178E-3</v>
      </c>
      <c r="AQ945" s="6" t="str">
        <f>+IF(AP945&gt;AL945,"Cumple","No Cumple")</f>
        <v>Cumple</v>
      </c>
    </row>
    <row r="946" spans="1:43" x14ac:dyDescent="0.3">
      <c r="A946" s="13"/>
      <c r="B946" s="1">
        <v>6</v>
      </c>
      <c r="C946" s="1">
        <v>613</v>
      </c>
      <c r="D946" s="1">
        <v>1</v>
      </c>
      <c r="E946" s="5">
        <v>1</v>
      </c>
      <c r="F946" s="3">
        <f>F945+E946</f>
        <v>6</v>
      </c>
      <c r="G946" s="5">
        <v>3</v>
      </c>
      <c r="H946" s="3">
        <f>PI()*(G946^2)/4</f>
        <v>7.0685834705770345</v>
      </c>
      <c r="I946" s="4">
        <v>7.0685999999999999E-2</v>
      </c>
      <c r="K946" s="3">
        <v>434.24183446145537</v>
      </c>
      <c r="L946" s="3">
        <v>647.71425999999997</v>
      </c>
      <c r="M946" s="3">
        <v>3392.1442499999998</v>
      </c>
      <c r="N946" s="12">
        <f>I946/H946</f>
        <v>1.0000023384349969E-2</v>
      </c>
      <c r="O946" s="11">
        <f>I946*10000</f>
        <v>706.86</v>
      </c>
      <c r="P946" s="1">
        <v>10</v>
      </c>
      <c r="Q946" s="15">
        <v>1</v>
      </c>
      <c r="R946" s="3">
        <f>Q946*VLOOKUP(P946,[1]Datos!$A$2:$D$14,2)</f>
        <v>8.19</v>
      </c>
      <c r="S946" s="10">
        <f>ROUNDUP(O946/R946,0)</f>
        <v>87</v>
      </c>
      <c r="T946" s="14">
        <v>87</v>
      </c>
      <c r="U946" s="3">
        <f>ROUNDDOWN(PI()*(G946-0.185)/T946,2)</f>
        <v>0.1</v>
      </c>
      <c r="V946" s="3"/>
      <c r="W946" s="1">
        <v>280</v>
      </c>
      <c r="X946" s="9">
        <v>2</v>
      </c>
      <c r="Y946" s="1">
        <v>6</v>
      </c>
      <c r="Z946" s="3">
        <f>X946*VLOOKUP(Y946,[1]Datos!$A$2:$D$14,2)</f>
        <v>5.68</v>
      </c>
      <c r="AA946" s="8">
        <v>4.972E-2</v>
      </c>
      <c r="AB946" s="7">
        <f>IF(D946=0,0.9,0.5)*0.9*0.53*SQRT(W946)*G946*MAX(0.72*G946,0.9*((G946/2)+((G946-0.11)/PI())))*10</f>
        <v>260.7542389499979</v>
      </c>
      <c r="AC946" s="7">
        <f>0.9*Z946*4220*MAX(0.72*G946,0.9*((G946/2)+((G946-0.11)/PI())))/AA946/1000</f>
        <v>944.96320797669352</v>
      </c>
      <c r="AD946" s="6" t="str">
        <f>+IF(AC946&gt;K946-AB946,"Cumple","No Cumple")</f>
        <v>Cumple</v>
      </c>
      <c r="AE946" s="6"/>
      <c r="AG946" s="7">
        <f>ROUNDUP(MAX(0.45,3*G946,),0)</f>
        <v>9</v>
      </c>
      <c r="AH946" s="3">
        <f>PI()*(G946-0.15)^2/4</f>
        <v>6.3793965821957741</v>
      </c>
      <c r="AI946" s="7">
        <f>G946-0.15-VLOOKUP(Y946,[1]Datos!$A$2:$D$14,3)/100</f>
        <v>2.8309000000000002</v>
      </c>
      <c r="AJ946" s="7">
        <f>SQRT((PI()*AI946)^2+AA946^2)</f>
        <v>8.8936736237329566</v>
      </c>
      <c r="AK946" s="1">
        <v>0.12</v>
      </c>
      <c r="AL946" s="16">
        <f>MAX(0.45*(H946/AH946-1),AK946)*(W946/4220)</f>
        <v>7.9620853080568724E-3</v>
      </c>
      <c r="AM946" s="7">
        <f>AG946*(AJ946/AA946)</f>
        <v>1609.8765610136084</v>
      </c>
      <c r="AN946" s="17">
        <f>AM946*Z946/X946/10000</f>
        <v>0.45720494332786477</v>
      </c>
      <c r="AO946" s="17">
        <f>AH946*AG946</f>
        <v>57.414569239761967</v>
      </c>
      <c r="AP946" s="16">
        <f>AN946/AO946</f>
        <v>7.9632216941067178E-3</v>
      </c>
      <c r="AQ946" s="6" t="str">
        <f>+IF(AP946&gt;AL946,"Cumple","No Cumple")</f>
        <v>Cumple</v>
      </c>
    </row>
    <row r="947" spans="1:43" x14ac:dyDescent="0.3">
      <c r="A947" s="13"/>
      <c r="B947" s="1">
        <v>7</v>
      </c>
      <c r="C947" s="1">
        <v>614</v>
      </c>
      <c r="D947" s="1">
        <v>1</v>
      </c>
      <c r="E947" s="5">
        <v>1</v>
      </c>
      <c r="F947" s="3">
        <f>F946+E947</f>
        <v>7</v>
      </c>
      <c r="G947" s="5">
        <v>3</v>
      </c>
      <c r="H947" s="3">
        <f>PI()*(G947^2)/4</f>
        <v>7.0685834705770345</v>
      </c>
      <c r="I947" s="4">
        <v>7.0685999999999999E-2</v>
      </c>
      <c r="K947" s="3">
        <v>373.23292771256132</v>
      </c>
      <c r="L947" s="3">
        <v>656.61656000000005</v>
      </c>
      <c r="M947" s="3">
        <v>3222.1333599999998</v>
      </c>
      <c r="N947" s="12">
        <f>I947/H947</f>
        <v>1.0000023384349969E-2</v>
      </c>
      <c r="O947" s="11">
        <f>I947*10000</f>
        <v>706.86</v>
      </c>
      <c r="P947" s="1">
        <v>10</v>
      </c>
      <c r="Q947" s="15">
        <v>1</v>
      </c>
      <c r="R947" s="3">
        <f>Q947*VLOOKUP(P947,[1]Datos!$A$2:$D$14,2)</f>
        <v>8.19</v>
      </c>
      <c r="S947" s="10">
        <f>ROUNDUP(O947/R947,0)</f>
        <v>87</v>
      </c>
      <c r="T947" s="14">
        <v>87</v>
      </c>
      <c r="U947" s="3">
        <f>ROUNDDOWN(PI()*(G947-0.185)/T947,2)</f>
        <v>0.1</v>
      </c>
      <c r="V947" s="3"/>
      <c r="W947" s="1">
        <v>280</v>
      </c>
      <c r="X947" s="9">
        <v>2</v>
      </c>
      <c r="Y947" s="1">
        <v>6</v>
      </c>
      <c r="Z947" s="3">
        <f>X947*VLOOKUP(Y947,[1]Datos!$A$2:$D$14,2)</f>
        <v>5.68</v>
      </c>
      <c r="AA947" s="8">
        <v>4.972E-2</v>
      </c>
      <c r="AB947" s="7">
        <f>IF(D947=0,0.9,0.5)*0.9*0.53*SQRT(W947)*G947*MAX(0.72*G947,0.9*((G947/2)+((G947-0.11)/PI())))*10</f>
        <v>260.7542389499979</v>
      </c>
      <c r="AC947" s="7">
        <f>0.9*Z947*4220*MAX(0.72*G947,0.9*((G947/2)+((G947-0.11)/PI())))/AA947/1000</f>
        <v>944.96320797669352</v>
      </c>
      <c r="AD947" s="6" t="str">
        <f>+IF(AC947&gt;K947-AB947,"Cumple","No Cumple")</f>
        <v>Cumple</v>
      </c>
      <c r="AE947" s="6"/>
      <c r="AG947" s="7">
        <f>ROUNDUP(MAX(0.45,3*G947,),0)</f>
        <v>9</v>
      </c>
      <c r="AH947" s="3">
        <f>PI()*(G947-0.15)^2/4</f>
        <v>6.3793965821957741</v>
      </c>
      <c r="AI947" s="7">
        <f>G947-0.15-VLOOKUP(Y947,[1]Datos!$A$2:$D$14,3)/100</f>
        <v>2.8309000000000002</v>
      </c>
      <c r="AJ947" s="7">
        <f>SQRT((PI()*AI947)^2+AA947^2)</f>
        <v>8.8936736237329566</v>
      </c>
      <c r="AK947" s="1">
        <v>0.12</v>
      </c>
      <c r="AL947" s="16">
        <f>MAX(0.45*(H947/AH947-1),AK947)*(W947/4220)</f>
        <v>7.9620853080568724E-3</v>
      </c>
      <c r="AM947" s="7">
        <f>AG947*(AJ947/AA947)</f>
        <v>1609.8765610136084</v>
      </c>
      <c r="AN947" s="17">
        <f>AM947*Z947/X947/10000</f>
        <v>0.45720494332786477</v>
      </c>
      <c r="AO947" s="17">
        <f>AH947*AG947</f>
        <v>57.414569239761967</v>
      </c>
      <c r="AP947" s="16">
        <f>AN947/AO947</f>
        <v>7.9632216941067178E-3</v>
      </c>
      <c r="AQ947" s="6" t="str">
        <f>+IF(AP947&gt;AL947,"Cumple","No Cumple")</f>
        <v>Cumple</v>
      </c>
    </row>
    <row r="948" spans="1:43" x14ac:dyDescent="0.3">
      <c r="A948" s="13"/>
      <c r="B948" s="1">
        <v>8</v>
      </c>
      <c r="C948" s="1">
        <v>615</v>
      </c>
      <c r="D948" s="1">
        <v>1</v>
      </c>
      <c r="E948" s="5">
        <v>1</v>
      </c>
      <c r="F948" s="3">
        <f>F947+E948</f>
        <v>8</v>
      </c>
      <c r="G948" s="5">
        <v>3</v>
      </c>
      <c r="H948" s="3">
        <f>PI()*(G948^2)/4</f>
        <v>7.0685834705770345</v>
      </c>
      <c r="I948" s="4">
        <v>7.0685999999999999E-2</v>
      </c>
      <c r="K948" s="3">
        <v>326.91578524298882</v>
      </c>
      <c r="L948" s="3">
        <v>703.52427</v>
      </c>
      <c r="M948" s="3">
        <v>3016.8651300000001</v>
      </c>
      <c r="N948" s="12">
        <f>I948/H948</f>
        <v>1.0000023384349969E-2</v>
      </c>
      <c r="O948" s="11">
        <f>I948*10000</f>
        <v>706.86</v>
      </c>
      <c r="P948" s="1">
        <v>10</v>
      </c>
      <c r="Q948" s="1">
        <v>1</v>
      </c>
      <c r="R948" s="3">
        <f>Q948*VLOOKUP(P948,[1]Datos!$A$2:$D$14,2)</f>
        <v>8.19</v>
      </c>
      <c r="S948" s="10">
        <f>ROUNDUP(O948/R948,0)</f>
        <v>87</v>
      </c>
      <c r="T948" s="2">
        <v>87</v>
      </c>
      <c r="U948" s="3">
        <f>ROUNDDOWN(PI()*(G948-0.185)/T948,2)</f>
        <v>0.1</v>
      </c>
      <c r="V948" s="3"/>
      <c r="W948" s="1">
        <v>280</v>
      </c>
      <c r="X948" s="9">
        <v>2</v>
      </c>
      <c r="Y948" s="1">
        <v>6</v>
      </c>
      <c r="Z948" s="3">
        <f>X948*VLOOKUP(Y948,[1]Datos!$A$2:$D$14,2)</f>
        <v>5.68</v>
      </c>
      <c r="AA948" s="8">
        <v>4.972E-2</v>
      </c>
      <c r="AB948" s="7">
        <f>IF(D948=0,0.9,0.5)*0.9*0.53*SQRT(W948)*G948*MAX(0.72*G948,0.9*((G948/2)+((G948-0.11)/PI())))*10</f>
        <v>260.7542389499979</v>
      </c>
      <c r="AC948" s="7">
        <f>0.9*Z948*4220*MAX(0.72*G948,0.9*((G948/2)+((G948-0.11)/PI())))/AA948/1000</f>
        <v>944.96320797669352</v>
      </c>
      <c r="AD948" s="6" t="str">
        <f>+IF(AC948&gt;K948-AB948,"Cumple","No Cumple")</f>
        <v>Cumple</v>
      </c>
      <c r="AE948" s="6"/>
      <c r="AG948" s="7">
        <f>ROUNDUP(MAX(0.45,3*G948,),0)</f>
        <v>9</v>
      </c>
      <c r="AH948" s="3">
        <f>PI()*(G948-0.15)^2/4</f>
        <v>6.3793965821957741</v>
      </c>
      <c r="AI948" s="7">
        <f>G948-0.15-VLOOKUP(Y948,[1]Datos!$A$2:$D$14,3)/100</f>
        <v>2.8309000000000002</v>
      </c>
      <c r="AJ948" s="7">
        <f>SQRT((PI()*AI948)^2+AA948^2)</f>
        <v>8.8936736237329566</v>
      </c>
      <c r="AK948" s="1">
        <v>0.12</v>
      </c>
      <c r="AL948" s="16">
        <f>MAX(0.45*(H948/AH948-1),AK948)*(W948/4220)</f>
        <v>7.9620853080568724E-3</v>
      </c>
      <c r="AM948" s="7">
        <f>AG948*(AJ948/AA948)</f>
        <v>1609.8765610136084</v>
      </c>
      <c r="AN948" s="17">
        <f>AM948*Z948/X948/10000</f>
        <v>0.45720494332786477</v>
      </c>
      <c r="AO948" s="17">
        <f>AH948*AG948</f>
        <v>57.414569239761967</v>
      </c>
      <c r="AP948" s="16">
        <f>AN948/AO948</f>
        <v>7.9632216941067178E-3</v>
      </c>
      <c r="AQ948" s="6" t="str">
        <f>+IF(AP948&gt;AL948,"Cumple","No Cumple")</f>
        <v>Cumple</v>
      </c>
    </row>
    <row r="949" spans="1:43" x14ac:dyDescent="0.3">
      <c r="A949" s="13"/>
      <c r="B949" s="1">
        <v>9</v>
      </c>
      <c r="C949" s="1">
        <v>616</v>
      </c>
      <c r="D949" s="1">
        <v>1</v>
      </c>
      <c r="E949" s="5">
        <v>1</v>
      </c>
      <c r="F949" s="3">
        <f>F948+E949</f>
        <v>9</v>
      </c>
      <c r="G949" s="5">
        <v>3</v>
      </c>
      <c r="H949" s="3">
        <f>PI()*(G949^2)/4</f>
        <v>7.0685834705770345</v>
      </c>
      <c r="I949" s="4">
        <v>7.0685999999999999E-2</v>
      </c>
      <c r="K949" s="3">
        <v>333.73034094022677</v>
      </c>
      <c r="L949" s="3">
        <v>726.46540000000005</v>
      </c>
      <c r="M949" s="3">
        <v>2772.7638299999999</v>
      </c>
      <c r="N949" s="12">
        <f>I949/H949</f>
        <v>1.0000023384349969E-2</v>
      </c>
      <c r="O949" s="11">
        <f>I949*10000</f>
        <v>706.86</v>
      </c>
      <c r="P949" s="1">
        <v>10</v>
      </c>
      <c r="Q949" s="1">
        <v>1</v>
      </c>
      <c r="R949" s="3">
        <f>Q949*VLOOKUP(P949,[1]Datos!$A$2:$D$14,2)</f>
        <v>8.19</v>
      </c>
      <c r="S949" s="10">
        <f>ROUNDUP(O949/R949,0)</f>
        <v>87</v>
      </c>
      <c r="T949" s="2">
        <v>87</v>
      </c>
      <c r="U949" s="3">
        <f>ROUNDDOWN(PI()*(G949-0.185)/T949,2)</f>
        <v>0.1</v>
      </c>
      <c r="V949" s="3"/>
      <c r="W949" s="1">
        <v>280</v>
      </c>
      <c r="X949" s="9">
        <v>2</v>
      </c>
      <c r="Y949" s="1">
        <v>6</v>
      </c>
      <c r="Z949" s="3">
        <f>X949*VLOOKUP(Y949,[1]Datos!$A$2:$D$14,2)</f>
        <v>5.68</v>
      </c>
      <c r="AA949" s="8">
        <v>4.972E-2</v>
      </c>
      <c r="AB949" s="7">
        <f>IF(D949=0,0.9,0.5)*0.9*0.53*SQRT(W949)*G949*MAX(0.72*G949,0.9*((G949/2)+((G949-0.11)/PI())))*10</f>
        <v>260.7542389499979</v>
      </c>
      <c r="AC949" s="7">
        <f>0.9*Z949*4220*MAX(0.72*G949,0.9*((G949/2)+((G949-0.11)/PI())))/AA949/1000</f>
        <v>944.96320797669352</v>
      </c>
      <c r="AD949" s="6" t="str">
        <f>+IF(AC949&gt;K949-AB949,"Cumple","No Cumple")</f>
        <v>Cumple</v>
      </c>
      <c r="AE949" s="6"/>
      <c r="AG949" s="7">
        <f>ROUNDUP(MAX(0.45,3*G949,),0)</f>
        <v>9</v>
      </c>
      <c r="AH949" s="3">
        <f>PI()*(G949-0.15)^2/4</f>
        <v>6.3793965821957741</v>
      </c>
      <c r="AI949" s="7">
        <f>G949-0.15-VLOOKUP(Y949,[1]Datos!$A$2:$D$14,3)/100</f>
        <v>2.8309000000000002</v>
      </c>
      <c r="AJ949" s="7">
        <f>SQRT((PI()*AI949)^2+AA949^2)</f>
        <v>8.8936736237329566</v>
      </c>
      <c r="AK949" s="1">
        <v>0.12</v>
      </c>
      <c r="AL949" s="16">
        <f>MAX(0.45*(H949/AH949-1),AK949)*(W949/4220)</f>
        <v>7.9620853080568724E-3</v>
      </c>
      <c r="AM949" s="7">
        <f>AG949*(AJ949/AA949)</f>
        <v>1609.8765610136084</v>
      </c>
      <c r="AN949" s="17">
        <f>AM949*Z949/X949/10000</f>
        <v>0.45720494332786477</v>
      </c>
      <c r="AO949" s="17">
        <f>AH949*AG949</f>
        <v>57.414569239761967</v>
      </c>
      <c r="AP949" s="16">
        <f>AN949/AO949</f>
        <v>7.9632216941067178E-3</v>
      </c>
      <c r="AQ949" s="6" t="str">
        <f>+IF(AP949&gt;AL949,"Cumple","No Cumple")</f>
        <v>Cumple</v>
      </c>
    </row>
    <row r="950" spans="1:43" x14ac:dyDescent="0.3">
      <c r="A950" s="13"/>
      <c r="B950" s="1">
        <v>10</v>
      </c>
      <c r="C950" s="1">
        <v>617</v>
      </c>
      <c r="D950" s="1">
        <v>1</v>
      </c>
      <c r="E950" s="5">
        <v>1</v>
      </c>
      <c r="F950" s="3">
        <f>F949+E950</f>
        <v>10</v>
      </c>
      <c r="G950" s="5">
        <v>3</v>
      </c>
      <c r="H950" s="3">
        <f>PI()*(G950^2)/4</f>
        <v>7.0685834705770345</v>
      </c>
      <c r="I950" s="4">
        <v>7.0685999999999999E-2</v>
      </c>
      <c r="K950" s="3">
        <v>334.31282905987916</v>
      </c>
      <c r="L950" s="3">
        <v>775.78611000000001</v>
      </c>
      <c r="M950" s="3">
        <v>2501.2063199999998</v>
      </c>
      <c r="N950" s="12">
        <f>I950/H950</f>
        <v>1.0000023384349969E-2</v>
      </c>
      <c r="O950" s="11">
        <f>I950*10000</f>
        <v>706.86</v>
      </c>
      <c r="P950" s="1">
        <v>10</v>
      </c>
      <c r="Q950" s="1">
        <v>1</v>
      </c>
      <c r="R950" s="3">
        <f>Q950*VLOOKUP(P950,[1]Datos!$A$2:$D$14,2)</f>
        <v>8.19</v>
      </c>
      <c r="S950" s="10">
        <f>ROUNDUP(O950/R950,0)</f>
        <v>87</v>
      </c>
      <c r="T950" s="2">
        <v>87</v>
      </c>
      <c r="U950" s="3">
        <f>ROUNDDOWN(PI()*(G950-0.185)/T950,2)</f>
        <v>0.1</v>
      </c>
      <c r="V950" s="3"/>
      <c r="W950" s="1">
        <v>280</v>
      </c>
      <c r="X950" s="9">
        <v>2</v>
      </c>
      <c r="Y950" s="1">
        <v>4</v>
      </c>
      <c r="Z950" s="3">
        <f>X950*VLOOKUP(Y950,[1]Datos!$A$2:$D$14,2)</f>
        <v>2.58</v>
      </c>
      <c r="AA950" s="8">
        <v>0.15</v>
      </c>
      <c r="AB950" s="7">
        <f>IF(D950=0,0.9,0.5)*0.9*0.53*SQRT(W950)*G950*MAX(0.72*G950,0.9*((G950/2)+((G950-0.11)/PI())))*10</f>
        <v>260.7542389499979</v>
      </c>
      <c r="AC950" s="7">
        <f>0.9*Z950*4220*MAX(0.72*G950,0.9*((G950/2)+((G950-0.11)/PI())))/AA950/1000</f>
        <v>142.27419296660926</v>
      </c>
      <c r="AD950" s="6" t="str">
        <f>+IF(AC950&gt;K950-AB950,"Cumple","No Cumple")</f>
        <v>Cumple</v>
      </c>
      <c r="AE950" s="6"/>
      <c r="AH950" s="3"/>
    </row>
    <row r="951" spans="1:43" x14ac:dyDescent="0.3">
      <c r="A951" s="13"/>
      <c r="B951" s="1">
        <v>11</v>
      </c>
      <c r="C951" s="1">
        <v>618</v>
      </c>
      <c r="D951" s="1">
        <v>1</v>
      </c>
      <c r="E951" s="5">
        <v>1</v>
      </c>
      <c r="F951" s="3">
        <f>F950+E951</f>
        <v>11</v>
      </c>
      <c r="G951" s="5">
        <v>3</v>
      </c>
      <c r="H951" s="3">
        <f>PI()*(G951^2)/4</f>
        <v>7.0685834705770345</v>
      </c>
      <c r="I951" s="4">
        <v>7.0685999999999999E-2</v>
      </c>
      <c r="K951" s="3">
        <v>327.52211156769249</v>
      </c>
      <c r="L951" s="3">
        <v>822.48101999999994</v>
      </c>
      <c r="M951" s="3">
        <v>2212.4037499999999</v>
      </c>
      <c r="N951" s="12">
        <f>I951/H951</f>
        <v>1.0000023384349969E-2</v>
      </c>
      <c r="O951" s="11">
        <f>I951*10000</f>
        <v>706.86</v>
      </c>
      <c r="P951" s="1">
        <v>10</v>
      </c>
      <c r="Q951" s="1">
        <v>1</v>
      </c>
      <c r="R951" s="3">
        <f>Q951*VLOOKUP(P951,[1]Datos!$A$2:$D$14,2)</f>
        <v>8.19</v>
      </c>
      <c r="S951" s="10">
        <f>ROUNDUP(O951/R951,0)</f>
        <v>87</v>
      </c>
      <c r="T951" s="2">
        <v>87</v>
      </c>
      <c r="U951" s="3">
        <f>ROUNDDOWN(PI()*(G951-0.185)/T951,2)</f>
        <v>0.1</v>
      </c>
      <c r="V951" s="3"/>
      <c r="W951" s="1">
        <v>280</v>
      </c>
      <c r="X951" s="9">
        <v>2</v>
      </c>
      <c r="Y951" s="1">
        <v>4</v>
      </c>
      <c r="Z951" s="3">
        <f>X951*VLOOKUP(Y951,[1]Datos!$A$2:$D$14,2)</f>
        <v>2.58</v>
      </c>
      <c r="AA951" s="8">
        <v>0.15</v>
      </c>
      <c r="AB951" s="7">
        <f>IF(D951=0,0.9,0.5)*0.9*0.53*SQRT(W951)*G951*MAX(0.72*G951,0.9*((G951/2)+((G951-0.11)/PI())))*10</f>
        <v>260.7542389499979</v>
      </c>
      <c r="AC951" s="7">
        <f>0.9*Z951*4220*MAX(0.72*G951,0.9*((G951/2)+((G951-0.11)/PI())))/AA951/1000</f>
        <v>142.27419296660926</v>
      </c>
      <c r="AD951" s="6" t="str">
        <f>+IF(AC951&gt;K951-AB951,"Cumple","No Cumple")</f>
        <v>Cumple</v>
      </c>
      <c r="AE951" s="6"/>
      <c r="AH951" s="3"/>
    </row>
    <row r="952" spans="1:43" x14ac:dyDescent="0.3">
      <c r="A952" s="13"/>
      <c r="B952" s="1">
        <v>12</v>
      </c>
      <c r="C952" s="1">
        <v>619</v>
      </c>
      <c r="D952" s="1">
        <v>1</v>
      </c>
      <c r="E952" s="5">
        <v>1</v>
      </c>
      <c r="F952" s="3">
        <f>F951+E952</f>
        <v>12</v>
      </c>
      <c r="G952" s="5">
        <v>3</v>
      </c>
      <c r="H952" s="3">
        <f>PI()*(G952^2)/4</f>
        <v>7.0685834705770345</v>
      </c>
      <c r="I952" s="4">
        <v>7.0685999999999999E-2</v>
      </c>
      <c r="K952" s="3">
        <v>314.23545211151782</v>
      </c>
      <c r="L952" s="3">
        <v>826.62003000000004</v>
      </c>
      <c r="M952" s="3">
        <v>1916.2553800000001</v>
      </c>
      <c r="N952" s="12">
        <f>I952/H952</f>
        <v>1.0000023384349969E-2</v>
      </c>
      <c r="O952" s="11">
        <f>I952*10000</f>
        <v>706.86</v>
      </c>
      <c r="P952" s="1">
        <v>10</v>
      </c>
      <c r="Q952" s="1">
        <v>1</v>
      </c>
      <c r="R952" s="3">
        <f>Q952*VLOOKUP(P952,[1]Datos!$A$2:$D$14,2)</f>
        <v>8.19</v>
      </c>
      <c r="S952" s="10">
        <f>ROUNDUP(O952/R952,0)</f>
        <v>87</v>
      </c>
      <c r="T952" s="2">
        <v>87</v>
      </c>
      <c r="U952" s="3">
        <f>ROUNDDOWN(PI()*(G952-0.185)/T952,2)</f>
        <v>0.1</v>
      </c>
      <c r="V952" s="3"/>
      <c r="W952" s="1">
        <v>280</v>
      </c>
      <c r="X952" s="9">
        <v>2</v>
      </c>
      <c r="Y952" s="1">
        <v>4</v>
      </c>
      <c r="Z952" s="3">
        <f>X952*VLOOKUP(Y952,[1]Datos!$A$2:$D$14,2)</f>
        <v>2.58</v>
      </c>
      <c r="AA952" s="8">
        <v>0.3</v>
      </c>
      <c r="AB952" s="7">
        <f>IF(D952=0,0.9,0.5)*0.9*0.53*SQRT(W952)*G952*MAX(0.72*G952,0.9*((G952/2)+((G952-0.11)/PI())))*10</f>
        <v>260.7542389499979</v>
      </c>
      <c r="AC952" s="7">
        <f>0.9*Z952*4220*MAX(0.72*G952,0.9*((G952/2)+((G952-0.11)/PI())))/AA952/1000</f>
        <v>71.137096483304632</v>
      </c>
      <c r="AD952" s="6" t="str">
        <f>+IF(AC952&gt;K952-AB952,"Cumple","No Cumple")</f>
        <v>Cumple</v>
      </c>
      <c r="AE952" s="6"/>
      <c r="AH952" s="3"/>
    </row>
    <row r="953" spans="1:43" x14ac:dyDescent="0.3">
      <c r="A953" s="13"/>
      <c r="B953" s="1">
        <v>13</v>
      </c>
      <c r="C953" s="1">
        <v>620</v>
      </c>
      <c r="D953" s="1">
        <v>1</v>
      </c>
      <c r="E953" s="5">
        <v>1</v>
      </c>
      <c r="F953" s="3">
        <f>F952+E953</f>
        <v>13</v>
      </c>
      <c r="G953" s="5">
        <v>3</v>
      </c>
      <c r="H953" s="3">
        <f>PI()*(G953^2)/4</f>
        <v>7.0685834705770345</v>
      </c>
      <c r="I953" s="4">
        <v>7.0685999999999999E-2</v>
      </c>
      <c r="K953" s="3">
        <v>294.47448866864505</v>
      </c>
      <c r="L953" s="3">
        <v>826.62001999999995</v>
      </c>
      <c r="M953" s="3">
        <v>1622.6483000000001</v>
      </c>
      <c r="N953" s="12">
        <f>I953/H953</f>
        <v>1.0000023384349969E-2</v>
      </c>
      <c r="O953" s="11">
        <f>I953*10000</f>
        <v>706.86</v>
      </c>
      <c r="P953" s="1">
        <v>10</v>
      </c>
      <c r="Q953" s="1">
        <v>1</v>
      </c>
      <c r="R953" s="3">
        <f>Q953*VLOOKUP(P953,[1]Datos!$A$2:$D$14,2)</f>
        <v>8.19</v>
      </c>
      <c r="S953" s="10">
        <f>ROUNDUP(O953/R953,0)</f>
        <v>87</v>
      </c>
      <c r="T953" s="2">
        <v>87</v>
      </c>
      <c r="U953" s="3">
        <f>ROUNDDOWN(PI()*(G953-0.185)/T953,2)</f>
        <v>0.1</v>
      </c>
      <c r="V953" s="3"/>
      <c r="W953" s="1">
        <v>280</v>
      </c>
      <c r="X953" s="9">
        <v>2</v>
      </c>
      <c r="Y953" s="1">
        <v>4</v>
      </c>
      <c r="Z953" s="3">
        <f>X953*VLOOKUP(Y953,[1]Datos!$A$2:$D$14,2)</f>
        <v>2.58</v>
      </c>
      <c r="AA953" s="8">
        <v>0.3</v>
      </c>
      <c r="AB953" s="7">
        <f>IF(D953=0,0.9,0.5)*0.9*0.53*SQRT(W953)*G953*MAX(0.72*G953,0.9*((G953/2)+((G953-0.11)/PI())))*10</f>
        <v>260.7542389499979</v>
      </c>
      <c r="AC953" s="7">
        <f>0.9*Z953*4220*MAX(0.72*G953,0.9*((G953/2)+((G953-0.11)/PI())))/AA953/1000</f>
        <v>71.137096483304632</v>
      </c>
      <c r="AD953" s="6" t="str">
        <f>+IF(AC953&gt;K953-AB953,"Cumple","No Cumple")</f>
        <v>Cumple</v>
      </c>
      <c r="AE953" s="6"/>
      <c r="AH953" s="3"/>
    </row>
    <row r="954" spans="1:43" x14ac:dyDescent="0.3">
      <c r="A954" s="13"/>
      <c r="B954" s="1">
        <v>14</v>
      </c>
      <c r="C954" s="1">
        <v>621</v>
      </c>
      <c r="D954" s="1">
        <v>1</v>
      </c>
      <c r="E954" s="5">
        <v>1</v>
      </c>
      <c r="F954" s="3">
        <f>F953+E954</f>
        <v>14</v>
      </c>
      <c r="G954" s="5">
        <v>3</v>
      </c>
      <c r="H954" s="3">
        <f>PI()*(G954^2)/4</f>
        <v>7.0685834705770345</v>
      </c>
      <c r="I954" s="4">
        <v>7.0685999999999999E-2</v>
      </c>
      <c r="K954" s="3">
        <v>270.72333163999735</v>
      </c>
      <c r="L954" s="3">
        <v>796.25620000000004</v>
      </c>
      <c r="M954" s="3">
        <v>1340.8275000000001</v>
      </c>
      <c r="N954" s="12">
        <f>I954/H954</f>
        <v>1.0000023384349969E-2</v>
      </c>
      <c r="O954" s="11">
        <f>I954*10000</f>
        <v>706.86</v>
      </c>
      <c r="P954" s="1">
        <v>10</v>
      </c>
      <c r="Q954" s="15">
        <v>1</v>
      </c>
      <c r="R954" s="3">
        <f>Q954*VLOOKUP(P954,[1]Datos!$A$2:$D$14,2)</f>
        <v>8.19</v>
      </c>
      <c r="S954" s="10">
        <f>ROUNDUP(O954/R954,0)</f>
        <v>87</v>
      </c>
      <c r="T954" s="14">
        <v>87</v>
      </c>
      <c r="U954" s="3">
        <f>ROUNDDOWN(PI()*(G954-0.185)/T954,2)</f>
        <v>0.1</v>
      </c>
      <c r="V954" s="3"/>
      <c r="W954" s="1">
        <v>280</v>
      </c>
      <c r="X954" s="9">
        <v>2</v>
      </c>
      <c r="Y954" s="1">
        <v>4</v>
      </c>
      <c r="Z954" s="3">
        <f>X954*VLOOKUP(Y954,[1]Datos!$A$2:$D$14,2)</f>
        <v>2.58</v>
      </c>
      <c r="AA954" s="8">
        <v>0.3</v>
      </c>
      <c r="AB954" s="7">
        <f>IF(D954=0,0.9,0.5)*0.9*0.53*SQRT(W954)*G954*MAX(0.72*G954,0.9*((G954/2)+((G954-0.11)/PI())))*10</f>
        <v>260.7542389499979</v>
      </c>
      <c r="AC954" s="7">
        <f>0.9*Z954*4220*MAX(0.72*G954,0.9*((G954/2)+((G954-0.11)/PI())))/AA954/1000</f>
        <v>71.137096483304632</v>
      </c>
      <c r="AD954" s="6" t="str">
        <f>+IF(AC954&gt;K954-AB954,"Cumple","No Cumple")</f>
        <v>Cumple</v>
      </c>
      <c r="AE954" s="6"/>
      <c r="AH954" s="3"/>
    </row>
    <row r="955" spans="1:43" x14ac:dyDescent="0.3">
      <c r="A955" s="13"/>
      <c r="B955" s="1">
        <v>15</v>
      </c>
      <c r="C955" s="1">
        <v>622</v>
      </c>
      <c r="D955" s="1">
        <v>1</v>
      </c>
      <c r="E955" s="5">
        <v>1</v>
      </c>
      <c r="F955" s="3">
        <f>F954+E955</f>
        <v>15</v>
      </c>
      <c r="G955" s="5">
        <v>3</v>
      </c>
      <c r="H955" s="3">
        <f>PI()*(G955^2)/4</f>
        <v>7.0685834705770345</v>
      </c>
      <c r="I955" s="4">
        <v>7.0685999999999999E-2</v>
      </c>
      <c r="K955" s="3">
        <v>243.94307603031081</v>
      </c>
      <c r="L955" s="3">
        <v>739.54758000000004</v>
      </c>
      <c r="M955" s="3">
        <v>1078.7580700000001</v>
      </c>
      <c r="N955" s="12">
        <f>I955/H955</f>
        <v>1.0000023384349969E-2</v>
      </c>
      <c r="O955" s="11">
        <f>I955*10000</f>
        <v>706.86</v>
      </c>
      <c r="P955" s="1">
        <v>10</v>
      </c>
      <c r="Q955" s="15">
        <v>1</v>
      </c>
      <c r="R955" s="3">
        <f>Q955*VLOOKUP(P955,[1]Datos!$A$2:$D$14,2)</f>
        <v>8.19</v>
      </c>
      <c r="S955" s="10">
        <f>ROUNDUP(O955/R955,0)</f>
        <v>87</v>
      </c>
      <c r="T955" s="14">
        <v>87</v>
      </c>
      <c r="U955" s="3">
        <f>ROUNDDOWN(PI()*(G955-0.185)/T955,2)</f>
        <v>0.1</v>
      </c>
      <c r="V955" s="3"/>
      <c r="W955" s="1">
        <v>280</v>
      </c>
      <c r="X955" s="9">
        <v>2</v>
      </c>
      <c r="Y955" s="1">
        <v>4</v>
      </c>
      <c r="Z955" s="3">
        <f>X955*VLOOKUP(Y955,[1]Datos!$A$2:$D$14,2)</f>
        <v>2.58</v>
      </c>
      <c r="AA955" s="8">
        <v>0.3</v>
      </c>
      <c r="AB955" s="7">
        <f>IF(D955=0,0.9,0.5)*0.9*0.53*SQRT(W955)*G955*MAX(0.72*G955,0.9*((G955/2)+((G955-0.11)/PI())))*10</f>
        <v>260.7542389499979</v>
      </c>
      <c r="AC955" s="7">
        <f>0.9*Z955*4220*MAX(0.72*G955,0.9*((G955/2)+((G955-0.11)/PI())))/AA955/1000</f>
        <v>71.137096483304632</v>
      </c>
      <c r="AD955" s="6" t="str">
        <f>+IF(AC955&gt;K955-AB955,"Cumple","No Cumple")</f>
        <v>Cumple</v>
      </c>
      <c r="AE955" s="6"/>
      <c r="AH955" s="3"/>
    </row>
    <row r="956" spans="1:43" x14ac:dyDescent="0.3">
      <c r="A956" s="13"/>
      <c r="B956" s="1">
        <v>16</v>
      </c>
      <c r="C956" s="1">
        <v>623</v>
      </c>
      <c r="D956" s="1">
        <v>1</v>
      </c>
      <c r="E956" s="5">
        <v>1</v>
      </c>
      <c r="F956" s="3">
        <f>F955+E956</f>
        <v>16</v>
      </c>
      <c r="G956" s="5">
        <v>3</v>
      </c>
      <c r="H956" s="3">
        <f>PI()*(G956^2)/4</f>
        <v>7.0685834705770345</v>
      </c>
      <c r="I956" s="4">
        <v>7.0685999999999999E-2</v>
      </c>
      <c r="K956" s="3">
        <v>214.25391786014089</v>
      </c>
      <c r="L956" s="3">
        <v>664.28770999999995</v>
      </c>
      <c r="M956" s="3">
        <v>843.31196</v>
      </c>
      <c r="N956" s="12">
        <f>I956/H956</f>
        <v>1.0000023384349969E-2</v>
      </c>
      <c r="O956" s="11">
        <f>I956*10000</f>
        <v>706.86</v>
      </c>
      <c r="P956" s="1">
        <v>10</v>
      </c>
      <c r="Q956" s="15">
        <v>1</v>
      </c>
      <c r="R956" s="3">
        <f>Q956*VLOOKUP(P956,[1]Datos!$A$2:$D$14,2)</f>
        <v>8.19</v>
      </c>
      <c r="S956" s="10">
        <f>ROUNDUP(O956/R956,0)</f>
        <v>87</v>
      </c>
      <c r="T956" s="14">
        <v>87</v>
      </c>
      <c r="U956" s="3">
        <f>ROUNDDOWN(PI()*(G956-0.185)/T956,2)</f>
        <v>0.1</v>
      </c>
      <c r="V956" s="3"/>
      <c r="W956" s="1">
        <v>280</v>
      </c>
      <c r="X956" s="9">
        <v>2</v>
      </c>
      <c r="Y956" s="1">
        <v>4</v>
      </c>
      <c r="Z956" s="3">
        <f>X956*VLOOKUP(Y956,[1]Datos!$A$2:$D$14,2)</f>
        <v>2.58</v>
      </c>
      <c r="AA956" s="8">
        <v>0.3</v>
      </c>
      <c r="AB956" s="7">
        <f>IF(D956=0,0.9,0.5)*0.9*0.53*SQRT(W956)*G956*MAX(0.72*G956,0.9*((G956/2)+((G956-0.11)/PI())))*10</f>
        <v>260.7542389499979</v>
      </c>
      <c r="AC956" s="7">
        <f>0.9*Z956*4220*MAX(0.72*G956,0.9*((G956/2)+((G956-0.11)/PI())))/AA956/1000</f>
        <v>71.137096483304632</v>
      </c>
      <c r="AD956" s="6" t="str">
        <f>+IF(AC956&gt;K956-AB956,"Cumple","No Cumple")</f>
        <v>Cumple</v>
      </c>
      <c r="AE956" s="6"/>
      <c r="AH956" s="3"/>
    </row>
    <row r="957" spans="1:43" x14ac:dyDescent="0.3">
      <c r="A957" s="13"/>
      <c r="B957" s="1">
        <v>17</v>
      </c>
      <c r="C957" s="1">
        <v>624</v>
      </c>
      <c r="D957" s="1">
        <v>1</v>
      </c>
      <c r="E957" s="5">
        <v>1</v>
      </c>
      <c r="F957" s="3">
        <f>F956+E957</f>
        <v>17</v>
      </c>
      <c r="G957" s="5">
        <v>3</v>
      </c>
      <c r="H957" s="3">
        <f>PI()*(G957^2)/4</f>
        <v>7.0685834705770345</v>
      </c>
      <c r="I957" s="4">
        <v>7.0685999999999999E-2</v>
      </c>
      <c r="K957" s="3">
        <v>183.02346615090102</v>
      </c>
      <c r="L957" s="3">
        <v>577.57651999999996</v>
      </c>
      <c r="M957" s="3">
        <v>640.40939000000003</v>
      </c>
      <c r="N957" s="12">
        <f>I957/H957</f>
        <v>1.0000023384349969E-2</v>
      </c>
      <c r="O957" s="11">
        <f>I957*10000</f>
        <v>706.86</v>
      </c>
      <c r="P957" s="1">
        <v>10</v>
      </c>
      <c r="Q957" s="1">
        <v>1</v>
      </c>
      <c r="R957" s="3">
        <f>Q957*VLOOKUP(P957,[1]Datos!$A$2:$D$14,2)</f>
        <v>8.19</v>
      </c>
      <c r="S957" s="10">
        <f>ROUNDUP(O957/R957,0)</f>
        <v>87</v>
      </c>
      <c r="T957" s="2">
        <v>87</v>
      </c>
      <c r="U957" s="3">
        <f>ROUNDDOWN(PI()*(G957-0.185)/T957,2)</f>
        <v>0.1</v>
      </c>
      <c r="V957" s="3"/>
      <c r="W957" s="1">
        <v>280</v>
      </c>
      <c r="X957" s="9">
        <v>2</v>
      </c>
      <c r="Y957" s="1">
        <v>4</v>
      </c>
      <c r="Z957" s="3">
        <f>X957*VLOOKUP(Y957,[1]Datos!$A$2:$D$14,2)</f>
        <v>2.58</v>
      </c>
      <c r="AA957" s="8">
        <v>0.3</v>
      </c>
      <c r="AB957" s="7">
        <f>IF(D957=0,0.9,0.5)*0.9*0.53*SQRT(W957)*G957*MAX(0.72*G957,0.9*((G957/2)+((G957-0.11)/PI())))*10</f>
        <v>260.7542389499979</v>
      </c>
      <c r="AC957" s="7">
        <f>0.9*Z957*4220*MAX(0.72*G957,0.9*((G957/2)+((G957-0.11)/PI())))/AA957/1000</f>
        <v>71.137096483304632</v>
      </c>
      <c r="AD957" s="6" t="str">
        <f>+IF(AC957&gt;K957-AB957,"Cumple","No Cumple")</f>
        <v>Cumple</v>
      </c>
      <c r="AE957" s="6"/>
      <c r="AH957" s="3"/>
    </row>
    <row r="958" spans="1:43" x14ac:dyDescent="0.3">
      <c r="A958" s="13"/>
      <c r="B958" s="1">
        <v>18</v>
      </c>
      <c r="C958" s="1">
        <v>625</v>
      </c>
      <c r="D958" s="1">
        <v>1</v>
      </c>
      <c r="E958" s="5">
        <v>1</v>
      </c>
      <c r="F958" s="3">
        <f>F957+E958</f>
        <v>18</v>
      </c>
      <c r="G958" s="5">
        <v>3</v>
      </c>
      <c r="H958" s="3">
        <f>PI()*(G958^2)/4</f>
        <v>7.0685834705770345</v>
      </c>
      <c r="I958" s="4">
        <v>7.0685999999999999E-2</v>
      </c>
      <c r="K958" s="3">
        <v>151.67544305245988</v>
      </c>
      <c r="L958" s="3">
        <v>485.61392999999998</v>
      </c>
      <c r="M958" s="3">
        <v>468.50763000000001</v>
      </c>
      <c r="N958" s="12">
        <f>I958/H958</f>
        <v>1.0000023384349969E-2</v>
      </c>
      <c r="O958" s="11">
        <f>I958*10000</f>
        <v>706.86</v>
      </c>
      <c r="P958" s="1">
        <v>10</v>
      </c>
      <c r="Q958" s="1">
        <v>1</v>
      </c>
      <c r="R958" s="3">
        <f>Q958*VLOOKUP(P958,[1]Datos!$A$2:$D$14,2)</f>
        <v>8.19</v>
      </c>
      <c r="S958" s="10">
        <f>ROUNDUP(O958/R958,0)</f>
        <v>87</v>
      </c>
      <c r="T958" s="2">
        <v>87</v>
      </c>
      <c r="U958" s="3">
        <f>ROUNDDOWN(PI()*(G958-0.185)/T958,2)</f>
        <v>0.1</v>
      </c>
      <c r="V958" s="3"/>
      <c r="W958" s="1">
        <v>280</v>
      </c>
      <c r="X958" s="9">
        <v>2</v>
      </c>
      <c r="Y958" s="1">
        <v>4</v>
      </c>
      <c r="Z958" s="3">
        <f>X958*VLOOKUP(Y958,[1]Datos!$A$2:$D$14,2)</f>
        <v>2.58</v>
      </c>
      <c r="AA958" s="8">
        <v>0.3</v>
      </c>
      <c r="AB958" s="7">
        <f>IF(D958=0,0.9,0.5)*0.9*0.53*SQRT(W958)*G958*MAX(0.72*G958,0.9*((G958/2)+((G958-0.11)/PI())))*10</f>
        <v>260.7542389499979</v>
      </c>
      <c r="AC958" s="7">
        <f>0.9*Z958*4220*MAX(0.72*G958,0.9*((G958/2)+((G958-0.11)/PI())))/AA958/1000</f>
        <v>71.137096483304632</v>
      </c>
      <c r="AD958" s="6" t="str">
        <f>+IF(AC958&gt;K958-AB958,"Cumple","No Cumple")</f>
        <v>Cumple</v>
      </c>
      <c r="AE958" s="6"/>
      <c r="AH958" s="3"/>
    </row>
    <row r="959" spans="1:43" x14ac:dyDescent="0.3">
      <c r="A959" s="13"/>
      <c r="B959" s="1">
        <v>19</v>
      </c>
      <c r="C959" s="1">
        <v>626</v>
      </c>
      <c r="D959" s="1">
        <v>1</v>
      </c>
      <c r="E959" s="5">
        <v>1</v>
      </c>
      <c r="F959" s="3">
        <f>F958+E959</f>
        <v>19</v>
      </c>
      <c r="G959" s="5">
        <v>3</v>
      </c>
      <c r="H959" s="3">
        <f>PI()*(G959^2)/4</f>
        <v>7.0685834705770345</v>
      </c>
      <c r="I959" s="4">
        <v>7.0685999999999999E-2</v>
      </c>
      <c r="K959" s="3">
        <v>121.67554439594672</v>
      </c>
      <c r="L959" s="3">
        <v>393.60217999999998</v>
      </c>
      <c r="M959" s="3">
        <v>328.29701</v>
      </c>
      <c r="N959" s="12">
        <f>I959/H959</f>
        <v>1.0000023384349969E-2</v>
      </c>
      <c r="O959" s="11">
        <f>I959*10000</f>
        <v>706.86</v>
      </c>
      <c r="P959" s="1">
        <v>10</v>
      </c>
      <c r="Q959" s="1">
        <v>1</v>
      </c>
      <c r="R959" s="3">
        <f>Q959*VLOOKUP(P959,[1]Datos!$A$2:$D$14,2)</f>
        <v>8.19</v>
      </c>
      <c r="S959" s="10">
        <f>ROUNDUP(O959/R959,0)</f>
        <v>87</v>
      </c>
      <c r="T959" s="2">
        <v>87</v>
      </c>
      <c r="U959" s="3">
        <f>ROUNDDOWN(PI()*(G959-0.185)/T959,2)</f>
        <v>0.1</v>
      </c>
      <c r="V959" s="3"/>
      <c r="W959" s="1">
        <v>280</v>
      </c>
      <c r="X959" s="9">
        <v>2</v>
      </c>
      <c r="Y959" s="1">
        <v>4</v>
      </c>
      <c r="Z959" s="3">
        <f>X959*VLOOKUP(Y959,[1]Datos!$A$2:$D$14,2)</f>
        <v>2.58</v>
      </c>
      <c r="AA959" s="8">
        <v>0.3</v>
      </c>
      <c r="AB959" s="7">
        <f>IF(D959=0,0.9,0.5)*0.9*0.53*SQRT(W959)*G959*MAX(0.72*G959,0.9*((G959/2)+((G959-0.11)/PI())))*10</f>
        <v>260.7542389499979</v>
      </c>
      <c r="AC959" s="7">
        <f>0.9*Z959*4220*MAX(0.72*G959,0.9*((G959/2)+((G959-0.11)/PI())))/AA959/1000</f>
        <v>71.137096483304632</v>
      </c>
      <c r="AD959" s="6" t="str">
        <f>+IF(AC959&gt;K959-AB959,"Cumple","No Cumple")</f>
        <v>Cumple</v>
      </c>
      <c r="AE959" s="6"/>
      <c r="AH959" s="3"/>
    </row>
    <row r="960" spans="1:43" x14ac:dyDescent="0.3">
      <c r="A960" s="13"/>
      <c r="B960" s="1">
        <v>20</v>
      </c>
      <c r="C960" s="1">
        <v>627</v>
      </c>
      <c r="D960" s="1">
        <v>1</v>
      </c>
      <c r="E960" s="5">
        <v>1</v>
      </c>
      <c r="F960" s="3">
        <f>F959+E960</f>
        <v>20</v>
      </c>
      <c r="G960" s="5">
        <v>3</v>
      </c>
      <c r="H960" s="3">
        <f>PI()*(G960^2)/4</f>
        <v>7.0685834705770345</v>
      </c>
      <c r="I960" s="4">
        <v>7.0685999999999999E-2</v>
      </c>
      <c r="K960" s="3">
        <v>98.43650039070873</v>
      </c>
      <c r="L960" s="3">
        <v>305.74182000000002</v>
      </c>
      <c r="M960" s="3">
        <v>218.9804</v>
      </c>
      <c r="N960" s="12">
        <f>I960/H960</f>
        <v>1.0000023384349969E-2</v>
      </c>
      <c r="O960" s="11">
        <f>I960*10000</f>
        <v>706.86</v>
      </c>
      <c r="P960" s="1">
        <v>10</v>
      </c>
      <c r="Q960" s="1">
        <v>1</v>
      </c>
      <c r="R960" s="3">
        <f>Q960*VLOOKUP(P960,[1]Datos!$A$2:$D$14,2)</f>
        <v>8.19</v>
      </c>
      <c r="S960" s="10">
        <f>ROUNDUP(O960/R960,0)</f>
        <v>87</v>
      </c>
      <c r="T960" s="2">
        <v>87</v>
      </c>
      <c r="U960" s="3">
        <f>ROUNDDOWN(PI()*(G960-0.185)/T960,2)</f>
        <v>0.1</v>
      </c>
      <c r="V960" s="3"/>
      <c r="W960" s="1">
        <v>280</v>
      </c>
      <c r="X960" s="9">
        <v>2</v>
      </c>
      <c r="Y960" s="1">
        <v>4</v>
      </c>
      <c r="Z960" s="3">
        <f>X960*VLOOKUP(Y960,[1]Datos!$A$2:$D$14,2)</f>
        <v>2.58</v>
      </c>
      <c r="AA960" s="8">
        <v>0.3</v>
      </c>
      <c r="AB960" s="7">
        <f>IF(D960=0,0.9,0.5)*0.9*0.53*SQRT(W960)*G960*MAX(0.72*G960,0.9*((G960/2)+((G960-0.11)/PI())))*10</f>
        <v>260.7542389499979</v>
      </c>
      <c r="AC960" s="7">
        <f>0.9*Z960*4220*MAX(0.72*G960,0.9*((G960/2)+((G960-0.11)/PI())))/AA960/1000</f>
        <v>71.137096483304632</v>
      </c>
      <c r="AD960" s="6" t="str">
        <f>+IF(AC960&gt;K960-AB960,"Cumple","No Cumple")</f>
        <v>Cumple</v>
      </c>
      <c r="AE960" s="6"/>
      <c r="AH960" s="3"/>
    </row>
    <row r="961" spans="1:43" x14ac:dyDescent="0.3">
      <c r="A961" s="13"/>
      <c r="B961" s="1">
        <v>21</v>
      </c>
      <c r="C961" s="1">
        <v>668</v>
      </c>
      <c r="D961" s="1">
        <v>1</v>
      </c>
      <c r="E961" s="5">
        <v>1</v>
      </c>
      <c r="F961" s="3">
        <f>F960+E961</f>
        <v>21</v>
      </c>
      <c r="G961" s="5">
        <v>3</v>
      </c>
      <c r="H961" s="3">
        <f>PI()*(G961^2)/4</f>
        <v>7.0685834705770345</v>
      </c>
      <c r="I961" s="4">
        <v>7.0685999999999999E-2</v>
      </c>
      <c r="K961" s="3">
        <v>84.264894320529478</v>
      </c>
      <c r="L961" s="3">
        <v>225.3039</v>
      </c>
      <c r="M961" s="3">
        <v>138.52121</v>
      </c>
      <c r="N961" s="12">
        <f>I961/H961</f>
        <v>1.0000023384349969E-2</v>
      </c>
      <c r="O961" s="11">
        <f>I961*10000</f>
        <v>706.86</v>
      </c>
      <c r="P961" s="1">
        <v>10</v>
      </c>
      <c r="Q961" s="1">
        <v>1</v>
      </c>
      <c r="R961" s="3">
        <f>Q961*VLOOKUP(P961,[1]Datos!$A$2:$D$14,2)</f>
        <v>8.19</v>
      </c>
      <c r="S961" s="10">
        <f>ROUNDUP(O961/R961,0)</f>
        <v>87</v>
      </c>
      <c r="T961" s="2">
        <v>87</v>
      </c>
      <c r="U961" s="3">
        <f>ROUNDDOWN(PI()*(G961-0.185)/T961,2)</f>
        <v>0.1</v>
      </c>
      <c r="V961" s="3"/>
      <c r="W961" s="1">
        <v>280</v>
      </c>
      <c r="X961" s="9">
        <v>2</v>
      </c>
      <c r="Y961" s="1">
        <v>4</v>
      </c>
      <c r="Z961" s="3">
        <f>X961*VLOOKUP(Y961,[1]Datos!$A$2:$D$14,2)</f>
        <v>2.58</v>
      </c>
      <c r="AA961" s="8">
        <v>0.3</v>
      </c>
      <c r="AB961" s="7">
        <f>IF(D961=0,0.9,0.5)*0.9*0.53*SQRT(W961)*G961*MAX(0.72*G961,0.9*((G961/2)+((G961-0.11)/PI())))*10</f>
        <v>260.7542389499979</v>
      </c>
      <c r="AC961" s="7">
        <f>0.9*Z961*4220*MAX(0.72*G961,0.9*((G961/2)+((G961-0.11)/PI())))/AA961/1000</f>
        <v>71.137096483304632</v>
      </c>
      <c r="AD961" s="6" t="str">
        <f>+IF(AC961&gt;K961-AB961,"Cumple","No Cumple")</f>
        <v>Cumple</v>
      </c>
      <c r="AE961" s="6"/>
      <c r="AH961" s="3"/>
    </row>
    <row r="962" spans="1:43" x14ac:dyDescent="0.3">
      <c r="A962" s="13"/>
      <c r="B962" s="1">
        <v>22</v>
      </c>
      <c r="C962" s="1">
        <v>669</v>
      </c>
      <c r="D962" s="1">
        <v>1</v>
      </c>
      <c r="E962" s="5">
        <v>1</v>
      </c>
      <c r="F962" s="3">
        <f>F961+E962</f>
        <v>22</v>
      </c>
      <c r="G962" s="5">
        <v>3</v>
      </c>
      <c r="H962" s="3">
        <f>PI()*(G962^2)/4</f>
        <v>7.0685834705770345</v>
      </c>
      <c r="I962" s="4">
        <v>7.0685999999999999E-2</v>
      </c>
      <c r="K962" s="3">
        <v>68.994744876113572</v>
      </c>
      <c r="L962" s="3">
        <v>154.85855000000001</v>
      </c>
      <c r="M962" s="3">
        <v>88.478639999999999</v>
      </c>
      <c r="N962" s="12">
        <f>I962/H962</f>
        <v>1.0000023384349969E-2</v>
      </c>
      <c r="O962" s="11">
        <f>I962*10000</f>
        <v>706.86</v>
      </c>
      <c r="P962" s="1">
        <v>10</v>
      </c>
      <c r="Q962" s="1">
        <v>1</v>
      </c>
      <c r="R962" s="3">
        <f>Q962*VLOOKUP(P962,[1]Datos!$A$2:$D$14,2)</f>
        <v>8.19</v>
      </c>
      <c r="S962" s="10">
        <f>ROUNDUP(O962/R962,0)</f>
        <v>87</v>
      </c>
      <c r="T962" s="2">
        <v>87</v>
      </c>
      <c r="U962" s="3">
        <f>ROUNDDOWN(PI()*(G962-0.185)/T962,2)</f>
        <v>0.1</v>
      </c>
      <c r="V962" s="3"/>
      <c r="W962" s="1">
        <v>280</v>
      </c>
      <c r="X962" s="9">
        <v>2</v>
      </c>
      <c r="Y962" s="1">
        <v>4</v>
      </c>
      <c r="Z962" s="3">
        <f>X962*VLOOKUP(Y962,[1]Datos!$A$2:$D$14,2)</f>
        <v>2.58</v>
      </c>
      <c r="AA962" s="8">
        <v>0.3</v>
      </c>
      <c r="AB962" s="7">
        <f>IF(D962=0,0.9,0.5)*0.9*0.53*SQRT(W962)*G962*MAX(0.72*G962,0.9*((G962/2)+((G962-0.11)/PI())))*10</f>
        <v>260.7542389499979</v>
      </c>
      <c r="AC962" s="7">
        <f>0.9*Z962*4220*MAX(0.72*G962,0.9*((G962/2)+((G962-0.11)/PI())))/AA962/1000</f>
        <v>71.137096483304632</v>
      </c>
      <c r="AD962" s="6" t="str">
        <f>+IF(AC962&gt;K962-AB962,"Cumple","No Cumple")</f>
        <v>Cumple</v>
      </c>
      <c r="AE962" s="6"/>
      <c r="AH962" s="3"/>
    </row>
    <row r="963" spans="1:43" x14ac:dyDescent="0.3">
      <c r="A963" s="13"/>
      <c r="B963" s="1">
        <v>23</v>
      </c>
      <c r="C963" s="1">
        <v>670</v>
      </c>
      <c r="D963" s="1">
        <v>1</v>
      </c>
      <c r="E963" s="5">
        <v>1</v>
      </c>
      <c r="F963" s="3">
        <f>F962+E963</f>
        <v>23</v>
      </c>
      <c r="G963" s="5">
        <v>3</v>
      </c>
      <c r="H963" s="3">
        <f>PI()*(G963^2)/4</f>
        <v>7.0685834705770345</v>
      </c>
      <c r="I963" s="4">
        <v>7.0685999999999999E-2</v>
      </c>
      <c r="K963" s="3">
        <v>53.191092814680914</v>
      </c>
      <c r="L963" s="3">
        <v>96.063329999999993</v>
      </c>
      <c r="M963" s="3">
        <v>54.66827</v>
      </c>
      <c r="N963" s="12">
        <f>I963/H963</f>
        <v>1.0000023384349969E-2</v>
      </c>
      <c r="O963" s="11">
        <f>I963*10000</f>
        <v>706.86</v>
      </c>
      <c r="P963" s="1">
        <v>10</v>
      </c>
      <c r="Q963" s="1">
        <v>1</v>
      </c>
      <c r="R963" s="3">
        <f>Q963*VLOOKUP(P963,[1]Datos!$A$2:$D$14,2)</f>
        <v>8.19</v>
      </c>
      <c r="S963" s="10">
        <f>ROUNDUP(O963/R963,0)</f>
        <v>87</v>
      </c>
      <c r="T963" s="2">
        <v>87</v>
      </c>
      <c r="U963" s="3">
        <f>ROUNDDOWN(PI()*(G963-0.185)/T963,2)</f>
        <v>0.1</v>
      </c>
      <c r="V963" s="3"/>
      <c r="W963" s="1">
        <v>280</v>
      </c>
      <c r="X963" s="9">
        <v>2</v>
      </c>
      <c r="Y963" s="1">
        <v>4</v>
      </c>
      <c r="Z963" s="3">
        <f>X963*VLOOKUP(Y963,[1]Datos!$A$2:$D$14,2)</f>
        <v>2.58</v>
      </c>
      <c r="AA963" s="8">
        <v>0.3</v>
      </c>
      <c r="AB963" s="7">
        <f>IF(D963=0,0.9,0.5)*0.9*0.53*SQRT(W963)*G963*MAX(0.72*G963,0.9*((G963/2)+((G963-0.11)/PI())))*10</f>
        <v>260.7542389499979</v>
      </c>
      <c r="AC963" s="7">
        <f>0.9*Z963*4220*MAX(0.72*G963,0.9*((G963/2)+((G963-0.11)/PI())))/AA963/1000</f>
        <v>71.137096483304632</v>
      </c>
      <c r="AD963" s="6" t="str">
        <f>+IF(AC963&gt;K963-AB963,"Cumple","No Cumple")</f>
        <v>Cumple</v>
      </c>
      <c r="AE963" s="6"/>
      <c r="AH963" s="3"/>
    </row>
    <row r="964" spans="1:43" x14ac:dyDescent="0.3">
      <c r="A964" s="13"/>
      <c r="B964" s="1">
        <v>24</v>
      </c>
      <c r="C964" s="1">
        <v>671</v>
      </c>
      <c r="D964" s="1">
        <v>1</v>
      </c>
      <c r="E964" s="5">
        <v>1</v>
      </c>
      <c r="F964" s="3">
        <f>F963+E964</f>
        <v>24</v>
      </c>
      <c r="G964" s="5">
        <v>3</v>
      </c>
      <c r="H964" s="3">
        <f>PI()*(G964^2)/4</f>
        <v>7.0685834705770345</v>
      </c>
      <c r="I964" s="4">
        <v>7.0685999999999999E-2</v>
      </c>
      <c r="K964" s="3">
        <v>37.272576734242556</v>
      </c>
      <c r="L964" s="3">
        <v>50.261020000000002</v>
      </c>
      <c r="M964" s="3">
        <v>29.367519999999999</v>
      </c>
      <c r="N964" s="12">
        <f>I964/H964</f>
        <v>1.0000023384349969E-2</v>
      </c>
      <c r="O964" s="11">
        <f>I964*10000</f>
        <v>706.86</v>
      </c>
      <c r="P964" s="1">
        <v>10</v>
      </c>
      <c r="Q964" s="1">
        <v>1</v>
      </c>
      <c r="R964" s="3">
        <f>Q964*VLOOKUP(P964,[1]Datos!$A$2:$D$14,2)</f>
        <v>8.19</v>
      </c>
      <c r="S964" s="10">
        <f>ROUNDUP(O964/R964,0)</f>
        <v>87</v>
      </c>
      <c r="T964" s="2">
        <v>87</v>
      </c>
      <c r="U964" s="3">
        <f>ROUNDDOWN(PI()*(G964-0.185)/T964,2)</f>
        <v>0.1</v>
      </c>
      <c r="V964" s="3"/>
      <c r="W964" s="1">
        <v>280</v>
      </c>
      <c r="X964" s="9">
        <v>2</v>
      </c>
      <c r="Y964" s="1">
        <v>4</v>
      </c>
      <c r="Z964" s="3">
        <f>X964*VLOOKUP(Y964,[1]Datos!$A$2:$D$14,2)</f>
        <v>2.58</v>
      </c>
      <c r="AA964" s="8">
        <v>0.3</v>
      </c>
      <c r="AB964" s="7">
        <f>IF(D964=0,0.9,0.5)*0.9*0.53*SQRT(W964)*G964*MAX(0.72*G964,0.9*((G964/2)+((G964-0.11)/PI())))*10</f>
        <v>260.7542389499979</v>
      </c>
      <c r="AC964" s="7">
        <f>0.9*Z964*4220*MAX(0.72*G964,0.9*((G964/2)+((G964-0.11)/PI())))/AA964/1000</f>
        <v>71.137096483304632</v>
      </c>
      <c r="AD964" s="6" t="str">
        <f>+IF(AC964&gt;K964-AB964,"Cumple","No Cumple")</f>
        <v>Cumple</v>
      </c>
      <c r="AE964" s="6"/>
      <c r="AH964" s="3"/>
    </row>
    <row r="965" spans="1:43" x14ac:dyDescent="0.3">
      <c r="A965" s="13"/>
      <c r="B965" s="1">
        <v>25</v>
      </c>
      <c r="C965" s="1">
        <v>672</v>
      </c>
      <c r="D965" s="1">
        <v>1</v>
      </c>
      <c r="E965" s="5">
        <v>1</v>
      </c>
      <c r="F965" s="3">
        <f>F964+E965</f>
        <v>25</v>
      </c>
      <c r="G965" s="5">
        <v>3</v>
      </c>
      <c r="H965" s="3">
        <f>PI()*(G965^2)/4</f>
        <v>7.0685834705770345</v>
      </c>
      <c r="I965" s="4">
        <v>7.0685999999999999E-2</v>
      </c>
      <c r="K965" s="3">
        <v>21.514684937037771</v>
      </c>
      <c r="L965" s="3">
        <v>18.337440000000001</v>
      </c>
      <c r="M965" s="3">
        <v>12.47932</v>
      </c>
      <c r="N965" s="12">
        <f>I965/H965</f>
        <v>1.0000023384349969E-2</v>
      </c>
      <c r="O965" s="11">
        <f>I965*10000</f>
        <v>706.86</v>
      </c>
      <c r="P965" s="1">
        <v>10</v>
      </c>
      <c r="Q965" s="1">
        <v>1</v>
      </c>
      <c r="R965" s="3">
        <f>Q965*VLOOKUP(P965,[1]Datos!$A$2:$D$14,2)</f>
        <v>8.19</v>
      </c>
      <c r="S965" s="10">
        <f>ROUNDUP(O965/R965,0)</f>
        <v>87</v>
      </c>
      <c r="T965" s="2">
        <v>87</v>
      </c>
      <c r="U965" s="3">
        <f>ROUNDDOWN(PI()*(G965-0.185)/T965,2)</f>
        <v>0.1</v>
      </c>
      <c r="V965" s="3"/>
      <c r="W965" s="1">
        <v>280</v>
      </c>
      <c r="X965" s="9">
        <v>2</v>
      </c>
      <c r="Y965" s="1">
        <v>4</v>
      </c>
      <c r="Z965" s="3">
        <f>X965*VLOOKUP(Y965,[1]Datos!$A$2:$D$14,2)</f>
        <v>2.58</v>
      </c>
      <c r="AA965" s="8">
        <v>0.3</v>
      </c>
      <c r="AB965" s="7">
        <f>IF(D965=0,0.9,0.5)*0.9*0.53*SQRT(W965)*G965*MAX(0.72*G965,0.9*((G965/2)+((G965-0.11)/PI())))*10</f>
        <v>260.7542389499979</v>
      </c>
      <c r="AC965" s="7">
        <f>0.9*Z965*4220*MAX(0.72*G965,0.9*((G965/2)+((G965-0.11)/PI())))/AA965/1000</f>
        <v>71.137096483304632</v>
      </c>
      <c r="AD965" s="6" t="str">
        <f>+IF(AC965&gt;K965-AB965,"Cumple","No Cumple")</f>
        <v>Cumple</v>
      </c>
      <c r="AE965" s="6"/>
      <c r="AH965" s="3"/>
    </row>
    <row r="966" spans="1:43" ht="15" customHeight="1" x14ac:dyDescent="0.3">
      <c r="A966" s="13" t="s">
        <v>1</v>
      </c>
      <c r="B966" s="1">
        <v>1</v>
      </c>
      <c r="C966" s="1">
        <v>548</v>
      </c>
      <c r="D966" s="1">
        <v>1</v>
      </c>
      <c r="E966" s="5">
        <v>1</v>
      </c>
      <c r="F966" s="3">
        <f>E966</f>
        <v>1</v>
      </c>
      <c r="G966" s="5">
        <v>2.5</v>
      </c>
      <c r="H966" s="3">
        <f>PI()*(G966^2)/4</f>
        <v>4.908738521234052</v>
      </c>
      <c r="I966" s="4">
        <v>8.0409999999999995E-2</v>
      </c>
      <c r="K966" s="3">
        <v>356.7634121620938</v>
      </c>
      <c r="L966" s="3">
        <v>1678.5486100000001</v>
      </c>
      <c r="M966" s="3">
        <v>2407.81034</v>
      </c>
      <c r="N966" s="12">
        <f>I966/H966</f>
        <v>1.6380990686744708E-2</v>
      </c>
      <c r="O966" s="11">
        <f>I966*10000</f>
        <v>804.09999999999991</v>
      </c>
      <c r="P966" s="1">
        <v>10</v>
      </c>
      <c r="Q966" s="1">
        <v>2</v>
      </c>
      <c r="R966" s="3">
        <f>Q966*VLOOKUP(P966,[1]Datos!$A$2:$D$14,2)</f>
        <v>16.38</v>
      </c>
      <c r="S966" s="10">
        <f>ROUNDUP(O966/R966,0)</f>
        <v>50</v>
      </c>
      <c r="T966" s="2">
        <v>52</v>
      </c>
      <c r="U966" s="3">
        <f>ROUNDDOWN(PI()*(G966-0.185)/T966,2)</f>
        <v>0.13</v>
      </c>
      <c r="V966" s="3"/>
      <c r="W966" s="1">
        <v>280</v>
      </c>
      <c r="X966" s="9">
        <v>2</v>
      </c>
      <c r="Y966" s="1">
        <v>6</v>
      </c>
      <c r="Z966" s="3">
        <f>X966*VLOOKUP(Y966,[1]Datos!$A$2:$D$14,2)</f>
        <v>5.68</v>
      </c>
      <c r="AA966" s="8">
        <v>0.06</v>
      </c>
      <c r="AB966" s="7">
        <f>IF(D966=0,0.9,0.5)*0.9*0.53*SQRT(W966)*G966*MAX(0.72*G966,0.9*((G966/2)+((G966-0.11)/PI())))*10</f>
        <v>180.55532030650846</v>
      </c>
      <c r="AC966" s="7">
        <f>0.9*Z966*4220*MAX(0.72*G966,0.9*((G966/2)+((G966-0.11)/PI())))/AA966/1000</f>
        <v>650.66122730355755</v>
      </c>
      <c r="AD966" s="6" t="str">
        <f>+IF(AC966&gt;K966-AB966,"Cumple","No Cumple")</f>
        <v>Cumple</v>
      </c>
      <c r="AE966" s="6"/>
      <c r="AG966" s="7">
        <f>ROUNDUP(MAX(0.45,3*G966,),0)</f>
        <v>8</v>
      </c>
      <c r="AH966" s="3">
        <f>PI()*(G966-0.15)^2/4</f>
        <v>4.3373613573624086</v>
      </c>
      <c r="AI966" s="7">
        <f>G966-0.15-VLOOKUP(Y966,[1]Datos!$A$2:$D$14,3)/100</f>
        <v>2.3309000000000002</v>
      </c>
      <c r="AJ966" s="7">
        <f>SQRT((PI()*AI966)^2+AA966^2)</f>
        <v>7.3229841218120741</v>
      </c>
      <c r="AK966" s="1">
        <v>0.12</v>
      </c>
      <c r="AL966" s="16">
        <f>MAX(0.45*(H966/AH966-1),AK966)*(W966/4220)</f>
        <v>7.9620853080568724E-3</v>
      </c>
      <c r="AM966" s="7">
        <f>AG966*(AJ966/AA966)</f>
        <v>976.39788290827664</v>
      </c>
      <c r="AN966" s="17">
        <f>AM966*Z966/X966/10000</f>
        <v>0.27729699874595054</v>
      </c>
      <c r="AO966" s="17">
        <f>AH966*AG966</f>
        <v>34.698890858899269</v>
      </c>
      <c r="AP966" s="16">
        <f>AN966/AO966</f>
        <v>7.9915234142082618E-3</v>
      </c>
      <c r="AQ966" s="6" t="str">
        <f>+IF(AP966&gt;AL966,"Cumple","No Cumple")</f>
        <v>Cumple</v>
      </c>
    </row>
    <row r="967" spans="1:43" ht="15" customHeight="1" x14ac:dyDescent="0.3">
      <c r="A967" s="13"/>
      <c r="B967" s="1">
        <v>2</v>
      </c>
      <c r="C967" s="1">
        <v>549</v>
      </c>
      <c r="D967" s="1">
        <v>1</v>
      </c>
      <c r="E967" s="5">
        <v>1</v>
      </c>
      <c r="F967" s="3">
        <f>F966+E967</f>
        <v>2</v>
      </c>
      <c r="G967" s="5">
        <v>2.5</v>
      </c>
      <c r="H967" s="3">
        <f>PI()*(G967^2)/4</f>
        <v>4.908738521234052</v>
      </c>
      <c r="I967" s="4">
        <v>8.3048999999999998E-2</v>
      </c>
      <c r="K967" s="3">
        <v>326.44990990112098</v>
      </c>
      <c r="L967" s="3">
        <v>1608.36859</v>
      </c>
      <c r="M967" s="3">
        <v>2547.9482499999999</v>
      </c>
      <c r="N967" s="12">
        <f>I967/H967</f>
        <v>1.6918603352113683E-2</v>
      </c>
      <c r="O967" s="11">
        <f>I967*10000</f>
        <v>830.49</v>
      </c>
      <c r="P967" s="1">
        <v>10</v>
      </c>
      <c r="Q967" s="1">
        <v>2</v>
      </c>
      <c r="R967" s="3">
        <f>Q967*VLOOKUP(P967,[1]Datos!$A$2:$D$14,2)</f>
        <v>16.38</v>
      </c>
      <c r="S967" s="10">
        <f>ROUNDUP(O967/R967,0)</f>
        <v>51</v>
      </c>
      <c r="T967" s="2">
        <v>52</v>
      </c>
      <c r="U967" s="3">
        <f>ROUNDDOWN(PI()*(G967-0.185)/T967,2)</f>
        <v>0.13</v>
      </c>
      <c r="V967" s="3"/>
      <c r="W967" s="1">
        <v>280</v>
      </c>
      <c r="X967" s="9">
        <v>2</v>
      </c>
      <c r="Y967" s="1">
        <v>6</v>
      </c>
      <c r="Z967" s="3">
        <f>X967*VLOOKUP(Y967,[1]Datos!$A$2:$D$14,2)</f>
        <v>5.68</v>
      </c>
      <c r="AA967" s="8">
        <v>0.06</v>
      </c>
      <c r="AB967" s="7">
        <f>IF(D967=0,0.9,0.5)*0.9*0.53*SQRT(W967)*G967*MAX(0.72*G967,0.9*((G967/2)+((G967-0.11)/PI())))*10</f>
        <v>180.55532030650846</v>
      </c>
      <c r="AC967" s="7">
        <f>0.9*Z967*4220*MAX(0.72*G967,0.9*((G967/2)+((G967-0.11)/PI())))/AA967/1000</f>
        <v>650.66122730355755</v>
      </c>
      <c r="AD967" s="6" t="str">
        <f>+IF(AC967&gt;K967-AB967,"Cumple","No Cumple")</f>
        <v>Cumple</v>
      </c>
      <c r="AE967" s="6"/>
      <c r="AG967" s="7">
        <f>ROUNDUP(MAX(0.45,3*G967,),0)</f>
        <v>8</v>
      </c>
      <c r="AH967" s="3">
        <f>PI()*(G967-0.15)^2/4</f>
        <v>4.3373613573624086</v>
      </c>
      <c r="AI967" s="7">
        <f>G967-0.15-VLOOKUP(Y967,[1]Datos!$A$2:$D$14,3)/100</f>
        <v>2.3309000000000002</v>
      </c>
      <c r="AJ967" s="7">
        <f>SQRT((PI()*AI967)^2+AA967^2)</f>
        <v>7.3229841218120741</v>
      </c>
      <c r="AK967" s="1">
        <v>0.12</v>
      </c>
      <c r="AL967" s="16">
        <f>MAX(0.45*(H967/AH967-1),AK967)*(W967/4220)</f>
        <v>7.9620853080568724E-3</v>
      </c>
      <c r="AM967" s="7">
        <f>AG967*(AJ967/AA967)</f>
        <v>976.39788290827664</v>
      </c>
      <c r="AN967" s="17">
        <f>AM967*Z967/X967/10000</f>
        <v>0.27729699874595054</v>
      </c>
      <c r="AO967" s="17">
        <f>AH967*AG967</f>
        <v>34.698890858899269</v>
      </c>
      <c r="AP967" s="16">
        <f>AN967/AO967</f>
        <v>7.9915234142082618E-3</v>
      </c>
      <c r="AQ967" s="6" t="str">
        <f>+IF(AP967&gt;AL967,"Cumple","No Cumple")</f>
        <v>Cumple</v>
      </c>
    </row>
    <row r="968" spans="1:43" ht="15" customHeight="1" x14ac:dyDescent="0.3">
      <c r="A968" s="13"/>
      <c r="B968" s="1">
        <v>3</v>
      </c>
      <c r="C968" s="1">
        <v>550</v>
      </c>
      <c r="D968" s="1">
        <v>1</v>
      </c>
      <c r="E968" s="5">
        <v>1</v>
      </c>
      <c r="F968" s="3">
        <f>F967+E968</f>
        <v>3</v>
      </c>
      <c r="G968" s="5">
        <v>2.5</v>
      </c>
      <c r="H968" s="3">
        <f>PI()*(G968^2)/4</f>
        <v>4.908738521234052</v>
      </c>
      <c r="I968" s="4">
        <v>8.4647E-2</v>
      </c>
      <c r="K968" s="3">
        <v>275.12182401687073</v>
      </c>
      <c r="L968" s="3">
        <v>1537.43912</v>
      </c>
      <c r="M968" s="3">
        <v>2640.4404599999998</v>
      </c>
      <c r="N968" s="12">
        <f>I968/H968</f>
        <v>1.724414523891157E-2</v>
      </c>
      <c r="O968" s="11">
        <f>I968*10000</f>
        <v>846.47</v>
      </c>
      <c r="P968" s="1">
        <v>10</v>
      </c>
      <c r="Q968" s="1">
        <v>2</v>
      </c>
      <c r="R968" s="3">
        <f>Q968*VLOOKUP(P968,[1]Datos!$A$2:$D$14,2)</f>
        <v>16.38</v>
      </c>
      <c r="S968" s="10">
        <f>ROUNDUP(O968/R968,0)</f>
        <v>52</v>
      </c>
      <c r="T968" s="2">
        <v>52</v>
      </c>
      <c r="U968" s="3">
        <f>ROUNDDOWN(PI()*(G968-0.185)/T968,2)</f>
        <v>0.13</v>
      </c>
      <c r="V968" s="3"/>
      <c r="W968" s="1">
        <v>280</v>
      </c>
      <c r="X968" s="9">
        <v>2</v>
      </c>
      <c r="Y968" s="1">
        <v>6</v>
      </c>
      <c r="Z968" s="3">
        <f>X968*VLOOKUP(Y968,[1]Datos!$A$2:$D$14,2)</f>
        <v>5.68</v>
      </c>
      <c r="AA968" s="8">
        <v>0.06</v>
      </c>
      <c r="AB968" s="7">
        <f>IF(D968=0,0.9,0.5)*0.9*0.53*SQRT(W968)*G968*MAX(0.72*G968,0.9*((G968/2)+((G968-0.11)/PI())))*10</f>
        <v>180.55532030650846</v>
      </c>
      <c r="AC968" s="7">
        <f>0.9*Z968*4220*MAX(0.72*G968,0.9*((G968/2)+((G968-0.11)/PI())))/AA968/1000</f>
        <v>650.66122730355755</v>
      </c>
      <c r="AD968" s="6" t="str">
        <f>+IF(AC968&gt;K968-AB968,"Cumple","No Cumple")</f>
        <v>Cumple</v>
      </c>
      <c r="AE968" s="6"/>
      <c r="AG968" s="7">
        <f>ROUNDUP(MAX(0.45,3*G968,),0)</f>
        <v>8</v>
      </c>
      <c r="AH968" s="3">
        <f>PI()*(G968-0.15)^2/4</f>
        <v>4.3373613573624086</v>
      </c>
      <c r="AI968" s="7">
        <f>G968-0.15-VLOOKUP(Y968,[1]Datos!$A$2:$D$14,3)/100</f>
        <v>2.3309000000000002</v>
      </c>
      <c r="AJ968" s="7">
        <f>SQRT((PI()*AI968)^2+AA968^2)</f>
        <v>7.3229841218120741</v>
      </c>
      <c r="AK968" s="1">
        <v>0.12</v>
      </c>
      <c r="AL968" s="16">
        <f>MAX(0.45*(H968/AH968-1),AK968)*(W968/4220)</f>
        <v>7.9620853080568724E-3</v>
      </c>
      <c r="AM968" s="7">
        <f>AG968*(AJ968/AA968)</f>
        <v>976.39788290827664</v>
      </c>
      <c r="AN968" s="17">
        <f>AM968*Z968/X968/10000</f>
        <v>0.27729699874595054</v>
      </c>
      <c r="AO968" s="17">
        <f>AH968*AG968</f>
        <v>34.698890858899269</v>
      </c>
      <c r="AP968" s="16">
        <f>AN968/AO968</f>
        <v>7.9915234142082618E-3</v>
      </c>
      <c r="AQ968" s="6" t="str">
        <f>+IF(AP968&gt;AL968,"Cumple","No Cumple")</f>
        <v>Cumple</v>
      </c>
    </row>
    <row r="969" spans="1:43" ht="15" customHeight="1" x14ac:dyDescent="0.3">
      <c r="A969" s="13"/>
      <c r="B969" s="1">
        <v>4</v>
      </c>
      <c r="C969" s="1">
        <v>551</v>
      </c>
      <c r="D969" s="1">
        <v>1</v>
      </c>
      <c r="E969" s="5">
        <v>1</v>
      </c>
      <c r="F969" s="3">
        <f>F968+E969</f>
        <v>4</v>
      </c>
      <c r="G969" s="5">
        <v>2.5</v>
      </c>
      <c r="H969" s="3">
        <f>PI()*(G969^2)/4</f>
        <v>4.908738521234052</v>
      </c>
      <c r="I969" s="4">
        <v>8.5064000000000001E-2</v>
      </c>
      <c r="K969" s="3">
        <v>240.84310272208336</v>
      </c>
      <c r="L969" s="3">
        <v>1463.7616599999999</v>
      </c>
      <c r="M969" s="3">
        <v>2673.7157099999999</v>
      </c>
      <c r="N969" s="12">
        <f>I969/H969</f>
        <v>1.73290957813363E-2</v>
      </c>
      <c r="O969" s="11">
        <f>I969*10000</f>
        <v>850.64</v>
      </c>
      <c r="P969" s="1">
        <v>10</v>
      </c>
      <c r="Q969" s="1">
        <v>2</v>
      </c>
      <c r="R969" s="3">
        <f>Q969*VLOOKUP(P969,[1]Datos!$A$2:$D$14,2)</f>
        <v>16.38</v>
      </c>
      <c r="S969" s="10">
        <f>ROUNDUP(O969/R969,0)</f>
        <v>52</v>
      </c>
      <c r="T969" s="2">
        <v>52</v>
      </c>
      <c r="U969" s="3">
        <f>ROUNDDOWN(PI()*(G969-0.185)/T969,2)</f>
        <v>0.13</v>
      </c>
      <c r="V969" s="3"/>
      <c r="W969" s="1">
        <v>280</v>
      </c>
      <c r="X969" s="9">
        <v>2</v>
      </c>
      <c r="Y969" s="1">
        <v>6</v>
      </c>
      <c r="Z969" s="3">
        <f>X969*VLOOKUP(Y969,[1]Datos!$A$2:$D$14,2)</f>
        <v>5.68</v>
      </c>
      <c r="AA969" s="8">
        <v>0.06</v>
      </c>
      <c r="AB969" s="7">
        <f>IF(D969=0,0.9,0.5)*0.9*0.53*SQRT(W969)*G969*MAX(0.72*G969,0.9*((G969/2)+((G969-0.11)/PI())))*10</f>
        <v>180.55532030650846</v>
      </c>
      <c r="AC969" s="7">
        <f>0.9*Z969*4220*MAX(0.72*G969,0.9*((G969/2)+((G969-0.11)/PI())))/AA969/1000</f>
        <v>650.66122730355755</v>
      </c>
      <c r="AD969" s="6" t="str">
        <f>+IF(AC969&gt;K969-AB969,"Cumple","No Cumple")</f>
        <v>Cumple</v>
      </c>
      <c r="AE969" s="6"/>
      <c r="AG969" s="7">
        <f>ROUNDUP(MAX(0.45,3*G969,),0)</f>
        <v>8</v>
      </c>
      <c r="AH969" s="3">
        <f>PI()*(G969-0.15)^2/4</f>
        <v>4.3373613573624086</v>
      </c>
      <c r="AI969" s="7">
        <f>G969-0.15-VLOOKUP(Y969,[1]Datos!$A$2:$D$14,3)/100</f>
        <v>2.3309000000000002</v>
      </c>
      <c r="AJ969" s="7">
        <f>SQRT((PI()*AI969)^2+AA969^2)</f>
        <v>7.3229841218120741</v>
      </c>
      <c r="AK969" s="1">
        <v>0.12</v>
      </c>
      <c r="AL969" s="16">
        <f>MAX(0.45*(H969/AH969-1),AK969)*(W969/4220)</f>
        <v>7.9620853080568724E-3</v>
      </c>
      <c r="AM969" s="7">
        <f>AG969*(AJ969/AA969)</f>
        <v>976.39788290827664</v>
      </c>
      <c r="AN969" s="17">
        <f>AM969*Z969/X969/10000</f>
        <v>0.27729699874595054</v>
      </c>
      <c r="AO969" s="17">
        <f>AH969*AG969</f>
        <v>34.698890858899269</v>
      </c>
      <c r="AP969" s="16">
        <f>AN969/AO969</f>
        <v>7.9915234142082618E-3</v>
      </c>
      <c r="AQ969" s="6" t="str">
        <f>+IF(AP969&gt;AL969,"Cumple","No Cumple")</f>
        <v>Cumple</v>
      </c>
    </row>
    <row r="970" spans="1:43" ht="15" customHeight="1" x14ac:dyDescent="0.3">
      <c r="A970" s="13"/>
      <c r="B970" s="1">
        <v>5</v>
      </c>
      <c r="C970" s="1">
        <v>552</v>
      </c>
      <c r="D970" s="1">
        <v>1</v>
      </c>
      <c r="E970" s="5">
        <v>1</v>
      </c>
      <c r="F970" s="3">
        <f>F969+E970</f>
        <v>5</v>
      </c>
      <c r="G970" s="5">
        <v>2.5</v>
      </c>
      <c r="H970" s="3">
        <f>PI()*(G970^2)/4</f>
        <v>4.908738521234052</v>
      </c>
      <c r="I970" s="4">
        <v>8.5065000000000002E-2</v>
      </c>
      <c r="K970" s="3">
        <v>213.04408143051052</v>
      </c>
      <c r="L970" s="3">
        <v>1387.4911300000001</v>
      </c>
      <c r="M970" s="3">
        <v>2673.7157099999999</v>
      </c>
      <c r="N970" s="12">
        <f>I970/H970</f>
        <v>1.7329299499663459E-2</v>
      </c>
      <c r="O970" s="11">
        <f>I970*10000</f>
        <v>850.65</v>
      </c>
      <c r="P970" s="1">
        <v>10</v>
      </c>
      <c r="Q970" s="1">
        <v>2</v>
      </c>
      <c r="R970" s="3">
        <f>Q970*VLOOKUP(P970,[1]Datos!$A$2:$D$14,2)</f>
        <v>16.38</v>
      </c>
      <c r="S970" s="10">
        <f>ROUNDUP(O970/R970,0)</f>
        <v>52</v>
      </c>
      <c r="T970" s="2">
        <v>52</v>
      </c>
      <c r="U970" s="3">
        <f>ROUNDDOWN(PI()*(G970-0.185)/T970,2)</f>
        <v>0.13</v>
      </c>
      <c r="V970" s="3"/>
      <c r="W970" s="1">
        <v>280</v>
      </c>
      <c r="X970" s="9">
        <v>2</v>
      </c>
      <c r="Y970" s="1">
        <v>6</v>
      </c>
      <c r="Z970" s="3">
        <f>X970*VLOOKUP(Y970,[1]Datos!$A$2:$D$14,2)</f>
        <v>5.68</v>
      </c>
      <c r="AA970" s="8">
        <v>0.06</v>
      </c>
      <c r="AB970" s="7">
        <f>IF(D970=0,0.9,0.5)*0.9*0.53*SQRT(W970)*G970*MAX(0.72*G970,0.9*((G970/2)+((G970-0.11)/PI())))*10</f>
        <v>180.55532030650846</v>
      </c>
      <c r="AC970" s="7">
        <f>0.9*Z970*4220*MAX(0.72*G970,0.9*((G970/2)+((G970-0.11)/PI())))/AA970/1000</f>
        <v>650.66122730355755</v>
      </c>
      <c r="AD970" s="6" t="str">
        <f>+IF(AC970&gt;K970-AB970,"Cumple","No Cumple")</f>
        <v>Cumple</v>
      </c>
      <c r="AE970" s="6"/>
      <c r="AG970" s="7">
        <f>ROUNDUP(MAX(0.45,3*G970,),0)</f>
        <v>8</v>
      </c>
      <c r="AH970" s="3">
        <f>PI()*(G970-0.15)^2/4</f>
        <v>4.3373613573624086</v>
      </c>
      <c r="AI970" s="7">
        <f>G970-0.15-VLOOKUP(Y970,[1]Datos!$A$2:$D$14,3)/100</f>
        <v>2.3309000000000002</v>
      </c>
      <c r="AJ970" s="7">
        <f>SQRT((PI()*AI970)^2+AA970^2)</f>
        <v>7.3229841218120741</v>
      </c>
      <c r="AK970" s="1">
        <v>0.12</v>
      </c>
      <c r="AL970" s="16">
        <f>MAX(0.45*(H970/AH970-1),AK970)*(W970/4220)</f>
        <v>7.9620853080568724E-3</v>
      </c>
      <c r="AM970" s="7">
        <f>AG970*(AJ970/AA970)</f>
        <v>976.39788290827664</v>
      </c>
      <c r="AN970" s="17">
        <f>AM970*Z970/X970/10000</f>
        <v>0.27729699874595054</v>
      </c>
      <c r="AO970" s="17">
        <f>AH970*AG970</f>
        <v>34.698890858899269</v>
      </c>
      <c r="AP970" s="16">
        <f>AN970/AO970</f>
        <v>7.9915234142082618E-3</v>
      </c>
      <c r="AQ970" s="6" t="str">
        <f>+IF(AP970&gt;AL970,"Cumple","No Cumple")</f>
        <v>Cumple</v>
      </c>
    </row>
    <row r="971" spans="1:43" ht="15" customHeight="1" x14ac:dyDescent="0.3">
      <c r="A971" s="13"/>
      <c r="B971" s="1">
        <v>6</v>
      </c>
      <c r="C971" s="1">
        <v>553</v>
      </c>
      <c r="D971" s="1">
        <v>1</v>
      </c>
      <c r="E971" s="5">
        <v>1</v>
      </c>
      <c r="F971" s="3">
        <f>F970+E971</f>
        <v>6</v>
      </c>
      <c r="G971" s="5">
        <v>2.5</v>
      </c>
      <c r="H971" s="3">
        <f>PI()*(G971^2)/4</f>
        <v>4.908738521234052</v>
      </c>
      <c r="I971" s="4">
        <v>8.4250000000000005E-2</v>
      </c>
      <c r="K971" s="3">
        <v>190.89281716966198</v>
      </c>
      <c r="L971" s="3">
        <v>1306.20776</v>
      </c>
      <c r="M971" s="3">
        <v>2644.1864399999999</v>
      </c>
      <c r="N971" s="12">
        <f>I971/H971</f>
        <v>1.7163269063029993E-2</v>
      </c>
      <c r="O971" s="11">
        <f>I971*10000</f>
        <v>842.5</v>
      </c>
      <c r="P971" s="1">
        <v>10</v>
      </c>
      <c r="Q971" s="15">
        <v>2</v>
      </c>
      <c r="R971" s="3">
        <f>Q971*VLOOKUP(P971,[1]Datos!$A$2:$D$14,2)</f>
        <v>16.38</v>
      </c>
      <c r="S971" s="10">
        <f>ROUNDUP(O971/R971,0)</f>
        <v>52</v>
      </c>
      <c r="T971" s="14">
        <v>52</v>
      </c>
      <c r="U971" s="3">
        <f>ROUNDDOWN(PI()*(G971-0.185)/T971,2)</f>
        <v>0.13</v>
      </c>
      <c r="V971" s="3"/>
      <c r="W971" s="1">
        <v>280</v>
      </c>
      <c r="X971" s="9">
        <v>2</v>
      </c>
      <c r="Y971" s="1">
        <v>6</v>
      </c>
      <c r="Z971" s="3">
        <f>X971*VLOOKUP(Y971,[1]Datos!$A$2:$D$14,2)</f>
        <v>5.68</v>
      </c>
      <c r="AA971" s="8">
        <v>0.06</v>
      </c>
      <c r="AB971" s="7">
        <f>IF(D971=0,0.9,0.5)*0.9*0.53*SQRT(W971)*G971*MAX(0.72*G971,0.9*((G971/2)+((G971-0.11)/PI())))*10</f>
        <v>180.55532030650846</v>
      </c>
      <c r="AC971" s="7">
        <f>0.9*Z971*4220*MAX(0.72*G971,0.9*((G971/2)+((G971-0.11)/PI())))/AA971/1000</f>
        <v>650.66122730355755</v>
      </c>
      <c r="AD971" s="6" t="str">
        <f>+IF(AC971&gt;K971-AB971,"Cumple","No Cumple")</f>
        <v>Cumple</v>
      </c>
      <c r="AE971" s="6"/>
      <c r="AG971" s="7">
        <f>ROUNDUP(MAX(0.45,3*G971,),0)</f>
        <v>8</v>
      </c>
      <c r="AH971" s="3">
        <f>PI()*(G971-0.15)^2/4</f>
        <v>4.3373613573624086</v>
      </c>
      <c r="AI971" s="7">
        <f>G971-0.15-VLOOKUP(Y971,[1]Datos!$A$2:$D$14,3)/100</f>
        <v>2.3309000000000002</v>
      </c>
      <c r="AJ971" s="7">
        <f>SQRT((PI()*AI971)^2+AA971^2)</f>
        <v>7.3229841218120741</v>
      </c>
      <c r="AK971" s="1">
        <v>0.12</v>
      </c>
      <c r="AL971" s="16">
        <f>MAX(0.45*(H971/AH971-1),AK971)*(W971/4220)</f>
        <v>7.9620853080568724E-3</v>
      </c>
      <c r="AM971" s="7">
        <f>AG971*(AJ971/AA971)</f>
        <v>976.39788290827664</v>
      </c>
      <c r="AN971" s="17">
        <f>AM971*Z971/X971/10000</f>
        <v>0.27729699874595054</v>
      </c>
      <c r="AO971" s="17">
        <f>AH971*AG971</f>
        <v>34.698890858899269</v>
      </c>
      <c r="AP971" s="16">
        <f>AN971/AO971</f>
        <v>7.9915234142082618E-3</v>
      </c>
      <c r="AQ971" s="6" t="str">
        <f>+IF(AP971&gt;AL971,"Cumple","No Cumple")</f>
        <v>Cumple</v>
      </c>
    </row>
    <row r="972" spans="1:43" ht="15" customHeight="1" x14ac:dyDescent="0.3">
      <c r="A972" s="13"/>
      <c r="B972" s="1">
        <v>7</v>
      </c>
      <c r="C972" s="1">
        <v>554</v>
      </c>
      <c r="D972" s="1">
        <v>1</v>
      </c>
      <c r="E972" s="5">
        <v>1</v>
      </c>
      <c r="F972" s="3">
        <f>F971+E972</f>
        <v>7</v>
      </c>
      <c r="G972" s="5">
        <v>2.5</v>
      </c>
      <c r="H972" s="3">
        <f>PI()*(G972^2)/4</f>
        <v>4.908738521234052</v>
      </c>
      <c r="I972" s="4">
        <v>8.2083000000000003E-2</v>
      </c>
      <c r="K972" s="3">
        <v>180.62680260794633</v>
      </c>
      <c r="L972" s="3">
        <v>1215.3462300000001</v>
      </c>
      <c r="M972" s="3">
        <v>2554.45676</v>
      </c>
      <c r="N972" s="12">
        <f>I972/H972</f>
        <v>1.6721811448079417E-2</v>
      </c>
      <c r="O972" s="11">
        <f>I972*10000</f>
        <v>820.83</v>
      </c>
      <c r="P972" s="1">
        <v>10</v>
      </c>
      <c r="Q972" s="15">
        <v>2</v>
      </c>
      <c r="R972" s="3">
        <f>Q972*VLOOKUP(P972,[1]Datos!$A$2:$D$14,2)</f>
        <v>16.38</v>
      </c>
      <c r="S972" s="10">
        <f>ROUNDUP(O972/R972,0)</f>
        <v>51</v>
      </c>
      <c r="T972" s="14">
        <v>52</v>
      </c>
      <c r="U972" s="3">
        <f>ROUNDDOWN(PI()*(G972-0.185)/T972,2)</f>
        <v>0.13</v>
      </c>
      <c r="V972" s="3"/>
      <c r="W972" s="1">
        <v>280</v>
      </c>
      <c r="X972" s="9">
        <v>2</v>
      </c>
      <c r="Y972" s="1">
        <v>6</v>
      </c>
      <c r="Z972" s="3">
        <f>X972*VLOOKUP(Y972,[1]Datos!$A$2:$D$14,2)</f>
        <v>5.68</v>
      </c>
      <c r="AA972" s="8">
        <v>0.06</v>
      </c>
      <c r="AB972" s="7">
        <f>IF(D972=0,0.9,0.5)*0.9*0.53*SQRT(W972)*G972*MAX(0.72*G972,0.9*((G972/2)+((G972-0.11)/PI())))*10</f>
        <v>180.55532030650846</v>
      </c>
      <c r="AC972" s="7">
        <f>0.9*Z972*4220*MAX(0.72*G972,0.9*((G972/2)+((G972-0.11)/PI())))/AA972/1000</f>
        <v>650.66122730355755</v>
      </c>
      <c r="AD972" s="6" t="str">
        <f>+IF(AC972&gt;K972-AB972,"Cumple","No Cumple")</f>
        <v>Cumple</v>
      </c>
      <c r="AE972" s="6"/>
      <c r="AG972" s="7">
        <f>ROUNDUP(MAX(0.45,3*G972,),0)</f>
        <v>8</v>
      </c>
      <c r="AH972" s="3">
        <f>PI()*(G972-0.15)^2/4</f>
        <v>4.3373613573624086</v>
      </c>
      <c r="AI972" s="7">
        <f>G972-0.15-VLOOKUP(Y972,[1]Datos!$A$2:$D$14,3)/100</f>
        <v>2.3309000000000002</v>
      </c>
      <c r="AJ972" s="7">
        <f>SQRT((PI()*AI972)^2+AA972^2)</f>
        <v>7.3229841218120741</v>
      </c>
      <c r="AK972" s="1">
        <v>0.12</v>
      </c>
      <c r="AL972" s="16">
        <f>MAX(0.45*(H972/AH972-1),AK972)*(W972/4220)</f>
        <v>7.9620853080568724E-3</v>
      </c>
      <c r="AM972" s="7">
        <f>AG972*(AJ972/AA972)</f>
        <v>976.39788290827664</v>
      </c>
      <c r="AN972" s="17">
        <f>AM972*Z972/X972/10000</f>
        <v>0.27729699874595054</v>
      </c>
      <c r="AO972" s="17">
        <f>AH972*AG972</f>
        <v>34.698890858899269</v>
      </c>
      <c r="AP972" s="16">
        <f>AN972/AO972</f>
        <v>7.9915234142082618E-3</v>
      </c>
      <c r="AQ972" s="6" t="str">
        <f>+IF(AP972&gt;AL972,"Cumple","No Cumple")</f>
        <v>Cumple</v>
      </c>
    </row>
    <row r="973" spans="1:43" ht="15" customHeight="1" x14ac:dyDescent="0.3">
      <c r="A973" s="13"/>
      <c r="B973" s="1">
        <v>8</v>
      </c>
      <c r="C973" s="1">
        <v>555</v>
      </c>
      <c r="D973" s="1">
        <v>1</v>
      </c>
      <c r="E973" s="5">
        <v>1</v>
      </c>
      <c r="F973" s="3">
        <f>F972+E973</f>
        <v>8</v>
      </c>
      <c r="G973" s="5">
        <v>2.5</v>
      </c>
      <c r="H973" s="3">
        <f>PI()*(G973^2)/4</f>
        <v>4.908738521234052</v>
      </c>
      <c r="I973" s="4">
        <v>7.8357999999999997E-2</v>
      </c>
      <c r="K973" s="3">
        <v>209.69109479100442</v>
      </c>
      <c r="L973" s="3">
        <v>1112.93038</v>
      </c>
      <c r="M973" s="3">
        <v>2411.6305900000002</v>
      </c>
      <c r="N973" s="12">
        <f>I973/H973</f>
        <v>1.596296067941726E-2</v>
      </c>
      <c r="O973" s="11">
        <f>I973*10000</f>
        <v>783.57999999999993</v>
      </c>
      <c r="P973" s="1">
        <v>10</v>
      </c>
      <c r="Q973" s="15">
        <v>2</v>
      </c>
      <c r="R973" s="3">
        <f>Q973*VLOOKUP(P973,[1]Datos!$A$2:$D$14,2)</f>
        <v>16.38</v>
      </c>
      <c r="S973" s="10">
        <f>ROUNDUP(O973/R973,0)</f>
        <v>48</v>
      </c>
      <c r="T973" s="14">
        <v>52</v>
      </c>
      <c r="U973" s="3">
        <f>ROUNDDOWN(PI()*(G973-0.185)/T973,2)</f>
        <v>0.13</v>
      </c>
      <c r="V973" s="3"/>
      <c r="W973" s="1">
        <v>280</v>
      </c>
      <c r="X973" s="9">
        <v>2</v>
      </c>
      <c r="Y973" s="1">
        <v>6</v>
      </c>
      <c r="Z973" s="3">
        <f>X973*VLOOKUP(Y973,[1]Datos!$A$2:$D$14,2)</f>
        <v>5.68</v>
      </c>
      <c r="AA973" s="8">
        <v>0.06</v>
      </c>
      <c r="AB973" s="7">
        <f>IF(D973=0,0.9,0.5)*0.9*0.53*SQRT(W973)*G973*MAX(0.72*G973,0.9*((G973/2)+((G973-0.11)/PI())))*10</f>
        <v>180.55532030650846</v>
      </c>
      <c r="AC973" s="7">
        <f>0.9*Z973*4220*MAX(0.72*G973,0.9*((G973/2)+((G973-0.11)/PI())))/AA973/1000</f>
        <v>650.66122730355755</v>
      </c>
      <c r="AD973" s="6" t="str">
        <f>+IF(AC973&gt;K973-AB973,"Cumple","No Cumple")</f>
        <v>Cumple</v>
      </c>
      <c r="AE973" s="6"/>
      <c r="AG973" s="7">
        <f>ROUNDUP(MAX(0.45,3*G973,),0)</f>
        <v>8</v>
      </c>
      <c r="AH973" s="3">
        <f>PI()*(G973-0.15)^2/4</f>
        <v>4.3373613573624086</v>
      </c>
      <c r="AI973" s="7">
        <f>G973-0.15-VLOOKUP(Y973,[1]Datos!$A$2:$D$14,3)/100</f>
        <v>2.3309000000000002</v>
      </c>
      <c r="AJ973" s="7">
        <f>SQRT((PI()*AI973)^2+AA973^2)</f>
        <v>7.3229841218120741</v>
      </c>
      <c r="AK973" s="1">
        <v>0.12</v>
      </c>
      <c r="AL973" s="16">
        <f>MAX(0.45*(H973/AH973-1),AK973)*(W973/4220)</f>
        <v>7.9620853080568724E-3</v>
      </c>
      <c r="AM973" s="7">
        <f>AG973*(AJ973/AA973)</f>
        <v>976.39788290827664</v>
      </c>
      <c r="AN973" s="17">
        <f>AM973*Z973/X973/10000</f>
        <v>0.27729699874595054</v>
      </c>
      <c r="AO973" s="17">
        <f>AH973*AG973</f>
        <v>34.698890858899269</v>
      </c>
      <c r="AP973" s="16">
        <f>AN973/AO973</f>
        <v>7.9915234142082618E-3</v>
      </c>
      <c r="AQ973" s="6" t="str">
        <f>+IF(AP973&gt;AL973,"Cumple","No Cumple")</f>
        <v>Cumple</v>
      </c>
    </row>
    <row r="974" spans="1:43" ht="15" customHeight="1" x14ac:dyDescent="0.3">
      <c r="A974" s="13"/>
      <c r="B974" s="1">
        <v>9</v>
      </c>
      <c r="C974" s="1">
        <v>556</v>
      </c>
      <c r="D974" s="1">
        <v>1</v>
      </c>
      <c r="E974" s="5">
        <v>1</v>
      </c>
      <c r="F974" s="3">
        <f>F973+E974</f>
        <v>9</v>
      </c>
      <c r="G974" s="5">
        <v>2.5</v>
      </c>
      <c r="H974" s="3">
        <f>PI()*(G974^2)/4</f>
        <v>4.908738521234052</v>
      </c>
      <c r="I974" s="4">
        <v>7.2733000000000006E-2</v>
      </c>
      <c r="K974" s="3">
        <v>239.80457003234946</v>
      </c>
      <c r="L974" s="3">
        <v>1000.41786</v>
      </c>
      <c r="M974" s="3">
        <v>2225.76613</v>
      </c>
      <c r="N974" s="12">
        <f>I974/H974</f>
        <v>1.4817045089155614E-2</v>
      </c>
      <c r="O974" s="11">
        <f>I974*10000</f>
        <v>727.33</v>
      </c>
      <c r="P974" s="1">
        <v>10</v>
      </c>
      <c r="Q974" s="1">
        <v>1</v>
      </c>
      <c r="R974" s="3">
        <f>Q974*VLOOKUP(P974,[1]Datos!$A$2:$D$14,2)</f>
        <v>8.19</v>
      </c>
      <c r="S974" s="10">
        <f>ROUNDUP(O974/R974,0)</f>
        <v>89</v>
      </c>
      <c r="T974" s="2">
        <v>89</v>
      </c>
      <c r="U974" s="3">
        <f>ROUNDDOWN(PI()*(G974-0.185)/T974,2)</f>
        <v>0.08</v>
      </c>
      <c r="V974" s="3"/>
      <c r="W974" s="1">
        <v>280</v>
      </c>
      <c r="X974" s="9">
        <v>2</v>
      </c>
      <c r="Y974" s="1">
        <v>4</v>
      </c>
      <c r="Z974" s="3">
        <f>X974*VLOOKUP(Y974,[1]Datos!$A$2:$D$14,2)</f>
        <v>2.58</v>
      </c>
      <c r="AA974" s="8">
        <v>0.15</v>
      </c>
      <c r="AB974" s="7">
        <f>IF(D974=0,0.9,0.5)*0.9*0.53*SQRT(W974)*G974*MAX(0.72*G974,0.9*((G974/2)+((G974-0.11)/PI())))*10</f>
        <v>180.55532030650846</v>
      </c>
      <c r="AC974" s="7">
        <f>0.9*Z974*4220*MAX(0.72*G974,0.9*((G974/2)+((G974-0.11)/PI())))/AA974/1000</f>
        <v>118.21873003120976</v>
      </c>
      <c r="AD974" s="6" t="str">
        <f>+IF(AC974&gt;K974-AB974,"Cumple","No Cumple")</f>
        <v>Cumple</v>
      </c>
      <c r="AE974" s="6"/>
      <c r="AH974" s="3"/>
    </row>
    <row r="975" spans="1:43" ht="15" customHeight="1" x14ac:dyDescent="0.3">
      <c r="A975" s="13"/>
      <c r="B975" s="1">
        <v>10</v>
      </c>
      <c r="C975" s="1">
        <v>557</v>
      </c>
      <c r="D975" s="1">
        <v>1</v>
      </c>
      <c r="E975" s="5">
        <v>1</v>
      </c>
      <c r="F975" s="3">
        <f>F974+E975</f>
        <v>10</v>
      </c>
      <c r="G975" s="5">
        <v>2.5</v>
      </c>
      <c r="H975" s="3">
        <f>PI()*(G975^2)/4</f>
        <v>4.908738521234052</v>
      </c>
      <c r="I975" s="4">
        <v>6.4808000000000004E-2</v>
      </c>
      <c r="K975" s="3">
        <v>258.74185348930314</v>
      </c>
      <c r="L975" s="3">
        <v>881.25202999999999</v>
      </c>
      <c r="M975" s="3">
        <v>2008.51241</v>
      </c>
      <c r="N975" s="12">
        <f>I975/H975</f>
        <v>1.3202577346431429E-2</v>
      </c>
      <c r="O975" s="11">
        <f>I975*10000</f>
        <v>648.08000000000004</v>
      </c>
      <c r="P975" s="1">
        <v>10</v>
      </c>
      <c r="Q975" s="1">
        <v>1</v>
      </c>
      <c r="R975" s="3">
        <f>Q975*VLOOKUP(P975,[1]Datos!$A$2:$D$14,2)</f>
        <v>8.19</v>
      </c>
      <c r="S975" s="10">
        <f>ROUNDUP(O975/R975,0)</f>
        <v>80</v>
      </c>
      <c r="T975" s="2">
        <v>89</v>
      </c>
      <c r="U975" s="3">
        <f>ROUNDDOWN(PI()*(G975-0.185)/T975,2)</f>
        <v>0.08</v>
      </c>
      <c r="V975" s="3"/>
      <c r="W975" s="1">
        <v>280</v>
      </c>
      <c r="X975" s="9">
        <v>2</v>
      </c>
      <c r="Y975" s="1">
        <v>4</v>
      </c>
      <c r="Z975" s="3">
        <f>X975*VLOOKUP(Y975,[1]Datos!$A$2:$D$14,2)</f>
        <v>2.58</v>
      </c>
      <c r="AA975" s="8">
        <v>0.15</v>
      </c>
      <c r="AB975" s="7">
        <f>IF(D975=0,0.9,0.5)*0.9*0.53*SQRT(W975)*G975*MAX(0.72*G975,0.9*((G975/2)+((G975-0.11)/PI())))*10</f>
        <v>180.55532030650846</v>
      </c>
      <c r="AC975" s="7">
        <f>0.9*Z975*4220*MAX(0.72*G975,0.9*((G975/2)+((G975-0.11)/PI())))/AA975/1000</f>
        <v>118.21873003120976</v>
      </c>
      <c r="AD975" s="6" t="str">
        <f>+IF(AC975&gt;K975-AB975,"Cumple","No Cumple")</f>
        <v>Cumple</v>
      </c>
      <c r="AE975" s="6"/>
      <c r="AH975" s="3"/>
    </row>
    <row r="976" spans="1:43" ht="15" customHeight="1" x14ac:dyDescent="0.3">
      <c r="A976" s="13"/>
      <c r="B976" s="1">
        <v>11</v>
      </c>
      <c r="C976" s="1">
        <v>558</v>
      </c>
      <c r="D976" s="1">
        <v>1</v>
      </c>
      <c r="E976" s="5">
        <v>1</v>
      </c>
      <c r="F976" s="3">
        <f>F975+E976</f>
        <v>11</v>
      </c>
      <c r="G976" s="5">
        <v>2.5</v>
      </c>
      <c r="H976" s="3">
        <f>PI()*(G976^2)/4</f>
        <v>4.908738521234052</v>
      </c>
      <c r="I976" s="4">
        <v>5.3866999999999998E-2</v>
      </c>
      <c r="K976" s="3">
        <v>266.60445615679419</v>
      </c>
      <c r="L976" s="3">
        <v>759.63315</v>
      </c>
      <c r="M976" s="3">
        <v>1788.3685399999999</v>
      </c>
      <c r="N976" s="12">
        <f>I976/H976</f>
        <v>1.0973695128999841E-2</v>
      </c>
      <c r="O976" s="11">
        <f>I976*10000</f>
        <v>538.66999999999996</v>
      </c>
      <c r="P976" s="1">
        <v>10</v>
      </c>
      <c r="Q976" s="1">
        <v>1</v>
      </c>
      <c r="R976" s="3">
        <f>Q976*VLOOKUP(P976,[1]Datos!$A$2:$D$14,2)</f>
        <v>8.19</v>
      </c>
      <c r="S976" s="10">
        <f>ROUNDUP(O976/R976,0)</f>
        <v>66</v>
      </c>
      <c r="T976" s="2">
        <v>89</v>
      </c>
      <c r="U976" s="3">
        <f>ROUNDDOWN(PI()*(G976-0.185)/T976,2)</f>
        <v>0.08</v>
      </c>
      <c r="V976" s="3"/>
      <c r="W976" s="1">
        <v>280</v>
      </c>
      <c r="X976" s="9">
        <v>2</v>
      </c>
      <c r="Y976" s="1">
        <v>4</v>
      </c>
      <c r="Z976" s="3">
        <f>X976*VLOOKUP(Y976,[1]Datos!$A$2:$D$14,2)</f>
        <v>2.58</v>
      </c>
      <c r="AA976" s="8">
        <v>0.15</v>
      </c>
      <c r="AB976" s="7">
        <f>IF(D976=0,0.9,0.5)*0.9*0.53*SQRT(W976)*G976*MAX(0.72*G976,0.9*((G976/2)+((G976-0.11)/PI())))*10</f>
        <v>180.55532030650846</v>
      </c>
      <c r="AC976" s="7">
        <f>0.9*Z976*4220*MAX(0.72*G976,0.9*((G976/2)+((G976-0.11)/PI())))/AA976/1000</f>
        <v>118.21873003120976</v>
      </c>
      <c r="AD976" s="6" t="str">
        <f>+IF(AC976&gt;K976-AB976,"Cumple","No Cumple")</f>
        <v>Cumple</v>
      </c>
      <c r="AE976" s="6"/>
      <c r="AH976" s="3"/>
    </row>
    <row r="977" spans="1:43" ht="15" customHeight="1" x14ac:dyDescent="0.3">
      <c r="A977" s="13"/>
      <c r="B977" s="1">
        <v>12</v>
      </c>
      <c r="C977" s="1">
        <v>559</v>
      </c>
      <c r="D977" s="1">
        <v>1</v>
      </c>
      <c r="E977" s="5">
        <v>1</v>
      </c>
      <c r="F977" s="3">
        <f>F976+E977</f>
        <v>12</v>
      </c>
      <c r="G977" s="5">
        <v>2.5</v>
      </c>
      <c r="H977" s="3">
        <f>PI()*(G977^2)/4</f>
        <v>4.908738521234052</v>
      </c>
      <c r="I977" s="4">
        <v>4.9086999999999999E-2</v>
      </c>
      <c r="K977" s="3">
        <v>264.11127479259568</v>
      </c>
      <c r="L977" s="3">
        <v>661.85352999999998</v>
      </c>
      <c r="M977" s="3">
        <v>1566.7760800000001</v>
      </c>
      <c r="N977" s="12">
        <f>I977/H977</f>
        <v>9.9999215251863893E-3</v>
      </c>
      <c r="O977" s="11">
        <f>I977*10000</f>
        <v>490.87</v>
      </c>
      <c r="P977" s="1">
        <v>10</v>
      </c>
      <c r="Q977" s="15">
        <v>1</v>
      </c>
      <c r="R977" s="3">
        <f>Q977*VLOOKUP(P977,[1]Datos!$A$2:$D$14,2)</f>
        <v>8.19</v>
      </c>
      <c r="S977" s="10">
        <f>ROUNDUP(O977/R977,0)</f>
        <v>60</v>
      </c>
      <c r="T977" s="14">
        <v>89</v>
      </c>
      <c r="U977" s="3">
        <f>ROUNDDOWN(PI()*(G977-0.185)/T977,2)</f>
        <v>0.08</v>
      </c>
      <c r="V977" s="3"/>
      <c r="W977" s="1">
        <v>280</v>
      </c>
      <c r="X977" s="9">
        <v>2</v>
      </c>
      <c r="Y977" s="1">
        <v>4</v>
      </c>
      <c r="Z977" s="3">
        <f>X977*VLOOKUP(Y977,[1]Datos!$A$2:$D$14,2)</f>
        <v>2.58</v>
      </c>
      <c r="AA977" s="8">
        <v>0.15</v>
      </c>
      <c r="AB977" s="7">
        <f>IF(D977=0,0.9,0.5)*0.9*0.53*SQRT(W977)*G977*MAX(0.72*G977,0.9*((G977/2)+((G977-0.11)/PI())))*10</f>
        <v>180.55532030650846</v>
      </c>
      <c r="AC977" s="7">
        <f>0.9*Z977*4220*MAX(0.72*G977,0.9*((G977/2)+((G977-0.11)/PI())))/AA977/1000</f>
        <v>118.21873003120976</v>
      </c>
      <c r="AD977" s="6" t="str">
        <f>+IF(AC977&gt;K977-AB977,"Cumple","No Cumple")</f>
        <v>Cumple</v>
      </c>
      <c r="AE977" s="6"/>
      <c r="AH977" s="3"/>
    </row>
    <row r="978" spans="1:43" ht="15" customHeight="1" x14ac:dyDescent="0.3">
      <c r="A978" s="13"/>
      <c r="B978" s="1">
        <v>13</v>
      </c>
      <c r="C978" s="1">
        <v>560</v>
      </c>
      <c r="D978" s="1">
        <v>1</v>
      </c>
      <c r="E978" s="5">
        <v>1</v>
      </c>
      <c r="F978" s="3">
        <f>F977+E978</f>
        <v>13</v>
      </c>
      <c r="G978" s="5">
        <v>2.5</v>
      </c>
      <c r="H978" s="3">
        <f>PI()*(G978^2)/4</f>
        <v>4.908738521234052</v>
      </c>
      <c r="I978" s="4">
        <v>4.9086999999999999E-2</v>
      </c>
      <c r="K978" s="3">
        <v>253.21118805740002</v>
      </c>
      <c r="L978" s="3">
        <v>573.69267000000002</v>
      </c>
      <c r="M978" s="3">
        <v>1340.84512</v>
      </c>
      <c r="N978" s="12">
        <f>I978/H978</f>
        <v>9.9999215251863893E-3</v>
      </c>
      <c r="O978" s="11">
        <f>I978*10000</f>
        <v>490.87</v>
      </c>
      <c r="P978" s="1">
        <v>10</v>
      </c>
      <c r="Q978" s="15">
        <v>1</v>
      </c>
      <c r="R978" s="3">
        <f>Q978*VLOOKUP(P978,[1]Datos!$A$2:$D$14,2)</f>
        <v>8.19</v>
      </c>
      <c r="S978" s="10">
        <f>ROUNDUP(O978/R978,0)</f>
        <v>60</v>
      </c>
      <c r="T978" s="14">
        <v>89</v>
      </c>
      <c r="U978" s="3">
        <f>ROUNDDOWN(PI()*(G978-0.185)/T978,2)</f>
        <v>0.08</v>
      </c>
      <c r="V978" s="3"/>
      <c r="W978" s="1">
        <v>280</v>
      </c>
      <c r="X978" s="9">
        <v>2</v>
      </c>
      <c r="Y978" s="1">
        <v>4</v>
      </c>
      <c r="Z978" s="3">
        <f>X978*VLOOKUP(Y978,[1]Datos!$A$2:$D$14,2)</f>
        <v>2.58</v>
      </c>
      <c r="AA978" s="8">
        <v>0.15</v>
      </c>
      <c r="AB978" s="7">
        <f>IF(D978=0,0.9,0.5)*0.9*0.53*SQRT(W978)*G978*MAX(0.72*G978,0.9*((G978/2)+((G978-0.11)/PI())))*10</f>
        <v>180.55532030650846</v>
      </c>
      <c r="AC978" s="7">
        <f>0.9*Z978*4220*MAX(0.72*G978,0.9*((G978/2)+((G978-0.11)/PI())))/AA978/1000</f>
        <v>118.21873003120976</v>
      </c>
      <c r="AD978" s="6" t="str">
        <f>+IF(AC978&gt;K978-AB978,"Cumple","No Cumple")</f>
        <v>Cumple</v>
      </c>
      <c r="AE978" s="6"/>
      <c r="AH978" s="3"/>
    </row>
    <row r="979" spans="1:43" ht="15" customHeight="1" x14ac:dyDescent="0.3">
      <c r="A979" s="13"/>
      <c r="B979" s="1">
        <v>14</v>
      </c>
      <c r="C979" s="1">
        <v>561</v>
      </c>
      <c r="D979" s="1">
        <v>1</v>
      </c>
      <c r="E979" s="5">
        <v>1</v>
      </c>
      <c r="F979" s="3">
        <f>F978+E979</f>
        <v>14</v>
      </c>
      <c r="G979" s="5">
        <v>2.5</v>
      </c>
      <c r="H979" s="3">
        <f>PI()*(G979^2)/4</f>
        <v>4.908738521234052</v>
      </c>
      <c r="I979" s="4">
        <v>4.9086999999999999E-2</v>
      </c>
      <c r="K979" s="3">
        <v>236.07942769233409</v>
      </c>
      <c r="L979" s="3">
        <v>484.64461999999997</v>
      </c>
      <c r="M979" s="3">
        <v>1119.49666</v>
      </c>
      <c r="N979" s="12">
        <f>I979/H979</f>
        <v>9.9999215251863893E-3</v>
      </c>
      <c r="O979" s="11">
        <f>I979*10000</f>
        <v>490.87</v>
      </c>
      <c r="P979" s="1">
        <v>10</v>
      </c>
      <c r="Q979" s="15">
        <v>1</v>
      </c>
      <c r="R979" s="3">
        <f>Q979*VLOOKUP(P979,[1]Datos!$A$2:$D$14,2)</f>
        <v>8.19</v>
      </c>
      <c r="S979" s="10">
        <f>ROUNDUP(O979/R979,0)</f>
        <v>60</v>
      </c>
      <c r="T979" s="14">
        <v>89</v>
      </c>
      <c r="U979" s="3">
        <f>ROUNDDOWN(PI()*(G979-0.185)/T979,2)</f>
        <v>0.08</v>
      </c>
      <c r="V979" s="3"/>
      <c r="W979" s="1">
        <v>280</v>
      </c>
      <c r="X979" s="9">
        <v>2</v>
      </c>
      <c r="Y979" s="1">
        <v>4</v>
      </c>
      <c r="Z979" s="3">
        <f>X979*VLOOKUP(Y979,[1]Datos!$A$2:$D$14,2)</f>
        <v>2.58</v>
      </c>
      <c r="AA979" s="8">
        <v>0.3</v>
      </c>
      <c r="AB979" s="7">
        <f>IF(D979=0,0.9,0.5)*0.9*0.53*SQRT(W979)*G979*MAX(0.72*G979,0.9*((G979/2)+((G979-0.11)/PI())))*10</f>
        <v>180.55532030650846</v>
      </c>
      <c r="AC979" s="7">
        <f>0.9*Z979*4220*MAX(0.72*G979,0.9*((G979/2)+((G979-0.11)/PI())))/AA979/1000</f>
        <v>59.10936501560488</v>
      </c>
      <c r="AD979" s="6" t="str">
        <f>+IF(AC979&gt;K979-AB979,"Cumple","No Cumple")</f>
        <v>Cumple</v>
      </c>
      <c r="AE979" s="6"/>
      <c r="AH979" s="3"/>
    </row>
    <row r="980" spans="1:43" ht="15" customHeight="1" x14ac:dyDescent="0.3">
      <c r="A980" s="13"/>
      <c r="B980" s="1">
        <v>15</v>
      </c>
      <c r="C980" s="1">
        <v>562</v>
      </c>
      <c r="D980" s="1">
        <v>1</v>
      </c>
      <c r="E980" s="5">
        <v>1</v>
      </c>
      <c r="F980" s="3">
        <f>F979+E980</f>
        <v>15</v>
      </c>
      <c r="G980" s="5">
        <v>2.5</v>
      </c>
      <c r="H980" s="3">
        <f>PI()*(G980^2)/4</f>
        <v>4.908738521234052</v>
      </c>
      <c r="I980" s="4">
        <v>4.9086999999999999E-2</v>
      </c>
      <c r="K980" s="3">
        <v>213.45740073021597</v>
      </c>
      <c r="L980" s="3">
        <v>398.30489</v>
      </c>
      <c r="M980" s="3">
        <v>910.05772999999999</v>
      </c>
      <c r="N980" s="12">
        <f>I980/H980</f>
        <v>9.9999215251863893E-3</v>
      </c>
      <c r="O980" s="11">
        <f>I980*10000</f>
        <v>490.87</v>
      </c>
      <c r="P980" s="1">
        <v>10</v>
      </c>
      <c r="Q980" s="1">
        <v>1</v>
      </c>
      <c r="R980" s="3">
        <f>Q980*VLOOKUP(P980,[1]Datos!$A$2:$D$14,2)</f>
        <v>8.19</v>
      </c>
      <c r="S980" s="10">
        <f>ROUNDUP(O980/R980,0)</f>
        <v>60</v>
      </c>
      <c r="T980" s="2">
        <v>60</v>
      </c>
      <c r="U980" s="3">
        <f>ROUNDDOWN(PI()*(G980-0.185)/T980,2)</f>
        <v>0.12</v>
      </c>
      <c r="V980" s="3"/>
      <c r="W980" s="1">
        <v>280</v>
      </c>
      <c r="X980" s="9">
        <v>2</v>
      </c>
      <c r="Y980" s="1">
        <v>4</v>
      </c>
      <c r="Z980" s="3">
        <f>X980*VLOOKUP(Y980,[1]Datos!$A$2:$D$14,2)</f>
        <v>2.58</v>
      </c>
      <c r="AA980" s="8">
        <v>0.3</v>
      </c>
      <c r="AB980" s="7">
        <f>IF(D980=0,0.9,0.5)*0.9*0.53*SQRT(W980)*G980*MAX(0.72*G980,0.9*((G980/2)+((G980-0.11)/PI())))*10</f>
        <v>180.55532030650846</v>
      </c>
      <c r="AC980" s="7">
        <f>0.9*Z980*4220*MAX(0.72*G980,0.9*((G980/2)+((G980-0.11)/PI())))/AA980/1000</f>
        <v>59.10936501560488</v>
      </c>
      <c r="AD980" s="6" t="str">
        <f>+IF(AC980&gt;K980-AB980,"Cumple","No Cumple")</f>
        <v>Cumple</v>
      </c>
      <c r="AE980" s="6"/>
      <c r="AH980" s="3"/>
    </row>
    <row r="981" spans="1:43" ht="15" customHeight="1" x14ac:dyDescent="0.3">
      <c r="A981" s="13"/>
      <c r="B981" s="1">
        <v>16</v>
      </c>
      <c r="C981" s="1">
        <v>563</v>
      </c>
      <c r="D981" s="1">
        <v>1</v>
      </c>
      <c r="E981" s="5">
        <v>1</v>
      </c>
      <c r="F981" s="3">
        <f>F980+E981</f>
        <v>16</v>
      </c>
      <c r="G981" s="5">
        <v>2.5</v>
      </c>
      <c r="H981" s="3">
        <f>PI()*(G981^2)/4</f>
        <v>4.908738521234052</v>
      </c>
      <c r="I981" s="4">
        <v>4.9086999999999999E-2</v>
      </c>
      <c r="K981" s="3">
        <v>187.8456617394184</v>
      </c>
      <c r="L981" s="3">
        <v>319.41791000000001</v>
      </c>
      <c r="M981" s="3">
        <v>717.69416999999999</v>
      </c>
      <c r="N981" s="12">
        <f>I981/H981</f>
        <v>9.9999215251863893E-3</v>
      </c>
      <c r="O981" s="11">
        <f>I981*10000</f>
        <v>490.87</v>
      </c>
      <c r="P981" s="1">
        <v>10</v>
      </c>
      <c r="Q981" s="1">
        <v>1</v>
      </c>
      <c r="R981" s="3">
        <f>Q981*VLOOKUP(P981,[1]Datos!$A$2:$D$14,2)</f>
        <v>8.19</v>
      </c>
      <c r="S981" s="10">
        <f>ROUNDUP(O981/R981,0)</f>
        <v>60</v>
      </c>
      <c r="T981" s="2">
        <v>60</v>
      </c>
      <c r="U981" s="3">
        <f>ROUNDDOWN(PI()*(G981-0.185)/T981,2)</f>
        <v>0.12</v>
      </c>
      <c r="V981" s="3"/>
      <c r="W981" s="1">
        <v>280</v>
      </c>
      <c r="X981" s="9">
        <v>2</v>
      </c>
      <c r="Y981" s="1">
        <v>4</v>
      </c>
      <c r="Z981" s="3">
        <f>X981*VLOOKUP(Y981,[1]Datos!$A$2:$D$14,2)</f>
        <v>2.58</v>
      </c>
      <c r="AA981" s="8">
        <v>0.3</v>
      </c>
      <c r="AB981" s="7">
        <f>IF(D981=0,0.9,0.5)*0.9*0.53*SQRT(W981)*G981*MAX(0.72*G981,0.9*((G981/2)+((G981-0.11)/PI())))*10</f>
        <v>180.55532030650846</v>
      </c>
      <c r="AC981" s="7">
        <f>0.9*Z981*4220*MAX(0.72*G981,0.9*((G981/2)+((G981-0.11)/PI())))/AA981/1000</f>
        <v>59.10936501560488</v>
      </c>
      <c r="AD981" s="6" t="str">
        <f>+IF(AC981&gt;K981-AB981,"Cumple","No Cumple")</f>
        <v>Cumple</v>
      </c>
      <c r="AE981" s="6"/>
      <c r="AH981" s="3"/>
    </row>
    <row r="982" spans="1:43" ht="15" customHeight="1" x14ac:dyDescent="0.3">
      <c r="A982" s="13"/>
      <c r="B982" s="1">
        <v>17</v>
      </c>
      <c r="C982" s="1">
        <v>564</v>
      </c>
      <c r="D982" s="1">
        <v>1</v>
      </c>
      <c r="E982" s="5">
        <v>1</v>
      </c>
      <c r="F982" s="3">
        <f>F981+E982</f>
        <v>17</v>
      </c>
      <c r="G982" s="5">
        <v>2.5</v>
      </c>
      <c r="H982" s="3">
        <f>PI()*(G982^2)/4</f>
        <v>4.908738521234052</v>
      </c>
      <c r="I982" s="4">
        <v>4.9086999999999999E-2</v>
      </c>
      <c r="K982" s="3">
        <v>160.52003878949193</v>
      </c>
      <c r="L982" s="3">
        <v>260.01121999999998</v>
      </c>
      <c r="M982" s="3">
        <v>546.34536000000003</v>
      </c>
      <c r="N982" s="12">
        <f>I982/H982</f>
        <v>9.9999215251863893E-3</v>
      </c>
      <c r="O982" s="11">
        <f>I982*10000</f>
        <v>490.87</v>
      </c>
      <c r="P982" s="1">
        <v>10</v>
      </c>
      <c r="Q982" s="1">
        <v>1</v>
      </c>
      <c r="R982" s="3">
        <f>Q982*VLOOKUP(P982,[1]Datos!$A$2:$D$14,2)</f>
        <v>8.19</v>
      </c>
      <c r="S982" s="10">
        <f>ROUNDUP(O982/R982,0)</f>
        <v>60</v>
      </c>
      <c r="T982" s="2">
        <v>60</v>
      </c>
      <c r="U982" s="3">
        <f>ROUNDDOWN(PI()*(G982-0.185)/T982,2)</f>
        <v>0.12</v>
      </c>
      <c r="V982" s="3"/>
      <c r="W982" s="1">
        <v>280</v>
      </c>
      <c r="X982" s="9">
        <v>2</v>
      </c>
      <c r="Y982" s="1">
        <v>4</v>
      </c>
      <c r="Z982" s="3">
        <f>X982*VLOOKUP(Y982,[1]Datos!$A$2:$D$14,2)</f>
        <v>2.58</v>
      </c>
      <c r="AA982" s="8">
        <v>0.3</v>
      </c>
      <c r="AB982" s="7">
        <f>IF(D982=0,0.9,0.5)*0.9*0.53*SQRT(W982)*G982*MAX(0.72*G982,0.9*((G982/2)+((G982-0.11)/PI())))*10</f>
        <v>180.55532030650846</v>
      </c>
      <c r="AC982" s="7">
        <f>0.9*Z982*4220*MAX(0.72*G982,0.9*((G982/2)+((G982-0.11)/PI())))/AA982/1000</f>
        <v>59.10936501560488</v>
      </c>
      <c r="AD982" s="6" t="str">
        <f>+IF(AC982&gt;K982-AB982,"Cumple","No Cumple")</f>
        <v>Cumple</v>
      </c>
      <c r="AE982" s="6"/>
      <c r="AH982" s="3"/>
    </row>
    <row r="983" spans="1:43" ht="15" customHeight="1" x14ac:dyDescent="0.3">
      <c r="A983" s="13"/>
      <c r="B983" s="1">
        <v>18</v>
      </c>
      <c r="C983" s="1">
        <v>565</v>
      </c>
      <c r="D983" s="1">
        <v>1</v>
      </c>
      <c r="E983" s="5">
        <v>1</v>
      </c>
      <c r="F983" s="3">
        <f>F982+E983</f>
        <v>18</v>
      </c>
      <c r="G983" s="5">
        <v>2.5</v>
      </c>
      <c r="H983" s="3">
        <f>PI()*(G983^2)/4</f>
        <v>4.908738521234052</v>
      </c>
      <c r="I983" s="4">
        <v>4.9086999999999999E-2</v>
      </c>
      <c r="K983" s="3">
        <v>132.62987796831453</v>
      </c>
      <c r="L983" s="3">
        <v>203.09867</v>
      </c>
      <c r="M983" s="3">
        <v>398.45884000000001</v>
      </c>
      <c r="N983" s="12">
        <f>I983/H983</f>
        <v>9.9999215251863893E-3</v>
      </c>
      <c r="O983" s="11">
        <f>I983*10000</f>
        <v>490.87</v>
      </c>
      <c r="P983" s="1">
        <v>10</v>
      </c>
      <c r="Q983" s="1">
        <v>1</v>
      </c>
      <c r="R983" s="3">
        <f>Q983*VLOOKUP(P983,[1]Datos!$A$2:$D$14,2)</f>
        <v>8.19</v>
      </c>
      <c r="S983" s="10">
        <f>ROUNDUP(O983/R983,0)</f>
        <v>60</v>
      </c>
      <c r="T983" s="2">
        <v>60</v>
      </c>
      <c r="U983" s="3">
        <f>ROUNDDOWN(PI()*(G983-0.185)/T983,2)</f>
        <v>0.12</v>
      </c>
      <c r="V983" s="3"/>
      <c r="W983" s="1">
        <v>280</v>
      </c>
      <c r="X983" s="9">
        <v>2</v>
      </c>
      <c r="Y983" s="1">
        <v>4</v>
      </c>
      <c r="Z983" s="3">
        <f>X983*VLOOKUP(Y983,[1]Datos!$A$2:$D$14,2)</f>
        <v>2.58</v>
      </c>
      <c r="AA983" s="8">
        <v>0.3</v>
      </c>
      <c r="AB983" s="7">
        <f>IF(D983=0,0.9,0.5)*0.9*0.53*SQRT(W983)*G983*MAX(0.72*G983,0.9*((G983/2)+((G983-0.11)/PI())))*10</f>
        <v>180.55532030650846</v>
      </c>
      <c r="AC983" s="7">
        <f>0.9*Z983*4220*MAX(0.72*G983,0.9*((G983/2)+((G983-0.11)/PI())))/AA983/1000</f>
        <v>59.10936501560488</v>
      </c>
      <c r="AD983" s="6" t="str">
        <f>+IF(AC983&gt;K983-AB983,"Cumple","No Cumple")</f>
        <v>Cumple</v>
      </c>
      <c r="AE983" s="6"/>
      <c r="AH983" s="3"/>
    </row>
    <row r="984" spans="1:43" ht="15" customHeight="1" x14ac:dyDescent="0.3">
      <c r="A984" s="13"/>
      <c r="B984" s="1">
        <v>19</v>
      </c>
      <c r="C984" s="1">
        <v>566</v>
      </c>
      <c r="D984" s="1">
        <v>1</v>
      </c>
      <c r="E984" s="5">
        <v>1</v>
      </c>
      <c r="F984" s="3">
        <f>F983+E984</f>
        <v>19</v>
      </c>
      <c r="G984" s="5">
        <v>2.5</v>
      </c>
      <c r="H984" s="3">
        <f>PI()*(G984^2)/4</f>
        <v>4.908738521234052</v>
      </c>
      <c r="I984" s="4">
        <v>4.9086999999999999E-2</v>
      </c>
      <c r="K984" s="3">
        <v>105.27131923031078</v>
      </c>
      <c r="L984" s="3">
        <v>150.62306000000001</v>
      </c>
      <c r="M984" s="3">
        <v>275.18822</v>
      </c>
      <c r="N984" s="12">
        <f>I984/H984</f>
        <v>9.9999215251863893E-3</v>
      </c>
      <c r="O984" s="11">
        <f>I984*10000</f>
        <v>490.87</v>
      </c>
      <c r="P984" s="1">
        <v>10</v>
      </c>
      <c r="Q984" s="1">
        <v>1</v>
      </c>
      <c r="R984" s="3">
        <f>Q984*VLOOKUP(P984,[1]Datos!$A$2:$D$14,2)</f>
        <v>8.19</v>
      </c>
      <c r="S984" s="10">
        <f>ROUNDUP(O984/R984,0)</f>
        <v>60</v>
      </c>
      <c r="T984" s="2">
        <v>60</v>
      </c>
      <c r="U984" s="3">
        <f>ROUNDDOWN(PI()*(G984-0.185)/T984,2)</f>
        <v>0.12</v>
      </c>
      <c r="V984" s="3"/>
      <c r="W984" s="1">
        <v>280</v>
      </c>
      <c r="X984" s="9">
        <v>2</v>
      </c>
      <c r="Y984" s="1">
        <v>4</v>
      </c>
      <c r="Z984" s="3">
        <f>X984*VLOOKUP(Y984,[1]Datos!$A$2:$D$14,2)</f>
        <v>2.58</v>
      </c>
      <c r="AA984" s="8">
        <v>0.3</v>
      </c>
      <c r="AB984" s="7">
        <f>IF(D984=0,0.9,0.5)*0.9*0.53*SQRT(W984)*G984*MAX(0.72*G984,0.9*((G984/2)+((G984-0.11)/PI())))*10</f>
        <v>180.55532030650846</v>
      </c>
      <c r="AC984" s="7">
        <f>0.9*Z984*4220*MAX(0.72*G984,0.9*((G984/2)+((G984-0.11)/PI())))/AA984/1000</f>
        <v>59.10936501560488</v>
      </c>
      <c r="AD984" s="6" t="str">
        <f>+IF(AC984&gt;K984-AB984,"Cumple","No Cumple")</f>
        <v>Cumple</v>
      </c>
      <c r="AE984" s="6"/>
      <c r="AH984" s="3"/>
    </row>
    <row r="985" spans="1:43" ht="15" customHeight="1" x14ac:dyDescent="0.3">
      <c r="A985" s="13"/>
      <c r="B985" s="1">
        <v>20</v>
      </c>
      <c r="C985" s="1">
        <v>567</v>
      </c>
      <c r="D985" s="1">
        <v>1</v>
      </c>
      <c r="E985" s="5">
        <v>1</v>
      </c>
      <c r="F985" s="3">
        <f>F984+E985</f>
        <v>20</v>
      </c>
      <c r="G985" s="5">
        <v>2.5</v>
      </c>
      <c r="H985" s="3">
        <f>PI()*(G985^2)/4</f>
        <v>4.908738521234052</v>
      </c>
      <c r="I985" s="4">
        <v>4.9086999999999999E-2</v>
      </c>
      <c r="K985" s="3">
        <v>79.349819807230816</v>
      </c>
      <c r="L985" s="3">
        <v>104.18584</v>
      </c>
      <c r="M985" s="3">
        <v>176.57210000000001</v>
      </c>
      <c r="N985" s="12">
        <f>I985/H985</f>
        <v>9.9999215251863893E-3</v>
      </c>
      <c r="O985" s="11">
        <f>I985*10000</f>
        <v>490.87</v>
      </c>
      <c r="P985" s="1">
        <v>10</v>
      </c>
      <c r="Q985" s="1">
        <v>1</v>
      </c>
      <c r="R985" s="3">
        <f>Q985*VLOOKUP(P985,[1]Datos!$A$2:$D$14,2)</f>
        <v>8.19</v>
      </c>
      <c r="S985" s="10">
        <f>ROUNDUP(O985/R985,0)</f>
        <v>60</v>
      </c>
      <c r="T985" s="2">
        <v>60</v>
      </c>
      <c r="U985" s="3">
        <f>ROUNDDOWN(PI()*(G985-0.185)/T985,2)</f>
        <v>0.12</v>
      </c>
      <c r="V985" s="3"/>
      <c r="W985" s="1">
        <v>280</v>
      </c>
      <c r="X985" s="9">
        <v>2</v>
      </c>
      <c r="Y985" s="1">
        <v>4</v>
      </c>
      <c r="Z985" s="3">
        <f>X985*VLOOKUP(Y985,[1]Datos!$A$2:$D$14,2)</f>
        <v>2.58</v>
      </c>
      <c r="AA985" s="8">
        <v>0.3</v>
      </c>
      <c r="AB985" s="7">
        <f>IF(D985=0,0.9,0.5)*0.9*0.53*SQRT(W985)*G985*MAX(0.72*G985,0.9*((G985/2)+((G985-0.11)/PI())))*10</f>
        <v>180.55532030650846</v>
      </c>
      <c r="AC985" s="7">
        <f>0.9*Z985*4220*MAX(0.72*G985,0.9*((G985/2)+((G985-0.11)/PI())))/AA985/1000</f>
        <v>59.10936501560488</v>
      </c>
      <c r="AD985" s="6" t="str">
        <f>+IF(AC985&gt;K985-AB985,"Cumple","No Cumple")</f>
        <v>Cumple</v>
      </c>
      <c r="AE985" s="6"/>
      <c r="AH985" s="3"/>
    </row>
    <row r="986" spans="1:43" ht="15" customHeight="1" x14ac:dyDescent="0.3">
      <c r="A986" s="13"/>
      <c r="B986" s="1">
        <v>21</v>
      </c>
      <c r="C986" s="1">
        <v>689</v>
      </c>
      <c r="D986" s="1">
        <v>1</v>
      </c>
      <c r="E986" s="5">
        <v>1</v>
      </c>
      <c r="F986" s="3">
        <f>F985+E986</f>
        <v>21</v>
      </c>
      <c r="G986" s="5">
        <v>2.5</v>
      </c>
      <c r="H986" s="3">
        <f>PI()*(G986^2)/4</f>
        <v>4.908738521234052</v>
      </c>
      <c r="I986" s="4">
        <v>4.9086999999999999E-2</v>
      </c>
      <c r="K986" s="3">
        <v>55.562240410552199</v>
      </c>
      <c r="L986" s="3">
        <v>65.038830000000004</v>
      </c>
      <c r="M986" s="3">
        <v>101.72024999999999</v>
      </c>
      <c r="N986" s="12">
        <f>I986/H986</f>
        <v>9.9999215251863893E-3</v>
      </c>
      <c r="O986" s="11">
        <f>I986*10000</f>
        <v>490.87</v>
      </c>
      <c r="P986" s="1">
        <v>10</v>
      </c>
      <c r="Q986" s="1">
        <v>1</v>
      </c>
      <c r="R986" s="3">
        <f>Q986*VLOOKUP(P986,[1]Datos!$A$2:$D$14,2)</f>
        <v>8.19</v>
      </c>
      <c r="S986" s="10">
        <f>ROUNDUP(O986/R986,0)</f>
        <v>60</v>
      </c>
      <c r="T986" s="2">
        <v>60</v>
      </c>
      <c r="U986" s="3">
        <f>ROUNDDOWN(PI()*(G986-0.185)/T986,2)</f>
        <v>0.12</v>
      </c>
      <c r="V986" s="3"/>
      <c r="W986" s="1">
        <v>280</v>
      </c>
      <c r="X986" s="9">
        <v>2</v>
      </c>
      <c r="Y986" s="1">
        <v>4</v>
      </c>
      <c r="Z986" s="3">
        <f>X986*VLOOKUP(Y986,[1]Datos!$A$2:$D$14,2)</f>
        <v>2.58</v>
      </c>
      <c r="AA986" s="8">
        <v>0.3</v>
      </c>
      <c r="AB986" s="7">
        <f>IF(D986=0,0.9,0.5)*0.9*0.53*SQRT(W986)*G986*MAX(0.72*G986,0.9*((G986/2)+((G986-0.11)/PI())))*10</f>
        <v>180.55532030650846</v>
      </c>
      <c r="AC986" s="7">
        <f>0.9*Z986*4220*MAX(0.72*G986,0.9*((G986/2)+((G986-0.11)/PI())))/AA986/1000</f>
        <v>59.10936501560488</v>
      </c>
      <c r="AD986" s="6" t="str">
        <f>+IF(AC986&gt;K986-AB986,"Cumple","No Cumple")</f>
        <v>Cumple</v>
      </c>
      <c r="AE986" s="6"/>
      <c r="AH986" s="3"/>
    </row>
    <row r="987" spans="1:43" ht="15" customHeight="1" x14ac:dyDescent="0.3">
      <c r="A987" s="13"/>
      <c r="B987" s="1">
        <v>22</v>
      </c>
      <c r="C987" s="1">
        <v>691</v>
      </c>
      <c r="D987" s="1">
        <v>1</v>
      </c>
      <c r="E987" s="5">
        <v>1</v>
      </c>
      <c r="F987" s="3">
        <f>F986+E987</f>
        <v>22</v>
      </c>
      <c r="G987" s="5">
        <v>2.5</v>
      </c>
      <c r="H987" s="3">
        <f>PI()*(G987^2)/4</f>
        <v>4.908738521234052</v>
      </c>
      <c r="I987" s="4">
        <v>4.9086999999999999E-2</v>
      </c>
      <c r="K987" s="3">
        <v>34.469441781525852</v>
      </c>
      <c r="L987" s="3">
        <v>34.176549999999999</v>
      </c>
      <c r="M987" s="3">
        <v>49.213619999999999</v>
      </c>
      <c r="N987" s="12">
        <f>I987/H987</f>
        <v>9.9999215251863893E-3</v>
      </c>
      <c r="O987" s="11">
        <f>I987*10000</f>
        <v>490.87</v>
      </c>
      <c r="P987" s="1">
        <v>10</v>
      </c>
      <c r="Q987" s="1">
        <v>1</v>
      </c>
      <c r="R987" s="3">
        <f>Q987*VLOOKUP(P987,[1]Datos!$A$2:$D$14,2)</f>
        <v>8.19</v>
      </c>
      <c r="S987" s="10">
        <f>ROUNDUP(O987/R987,0)</f>
        <v>60</v>
      </c>
      <c r="T987" s="2">
        <v>60</v>
      </c>
      <c r="U987" s="3">
        <f>ROUNDDOWN(PI()*(G987-0.185)/T987,2)</f>
        <v>0.12</v>
      </c>
      <c r="V987" s="3"/>
      <c r="W987" s="1">
        <v>280</v>
      </c>
      <c r="X987" s="9">
        <v>2</v>
      </c>
      <c r="Y987" s="1">
        <v>4</v>
      </c>
      <c r="Z987" s="3">
        <f>X987*VLOOKUP(Y987,[1]Datos!$A$2:$D$14,2)</f>
        <v>2.58</v>
      </c>
      <c r="AA987" s="8">
        <v>0.3</v>
      </c>
      <c r="AB987" s="7">
        <f>IF(D987=0,0.9,0.5)*0.9*0.53*SQRT(W987)*G987*MAX(0.72*G987,0.9*((G987/2)+((G987-0.11)/PI())))*10</f>
        <v>180.55532030650846</v>
      </c>
      <c r="AC987" s="7">
        <f>0.9*Z987*4220*MAX(0.72*G987,0.9*((G987/2)+((G987-0.11)/PI())))/AA987/1000</f>
        <v>59.10936501560488</v>
      </c>
      <c r="AD987" s="6" t="str">
        <f>+IF(AC987&gt;K987-AB987,"Cumple","No Cumple")</f>
        <v>Cumple</v>
      </c>
      <c r="AE987" s="6"/>
      <c r="AH987" s="3"/>
    </row>
    <row r="988" spans="1:43" ht="15" customHeight="1" x14ac:dyDescent="0.3">
      <c r="A988" s="13"/>
      <c r="B988" s="1">
        <v>23</v>
      </c>
      <c r="C988" s="1">
        <v>693</v>
      </c>
      <c r="D988" s="1">
        <v>1</v>
      </c>
      <c r="E988" s="5">
        <v>1</v>
      </c>
      <c r="F988" s="3">
        <f>F987+E988</f>
        <v>23</v>
      </c>
      <c r="G988" s="5">
        <v>2.5</v>
      </c>
      <c r="H988" s="3">
        <f>PI()*(G988^2)/4</f>
        <v>4.908738521234052</v>
      </c>
      <c r="I988" s="4">
        <v>4.9086999999999999E-2</v>
      </c>
      <c r="K988" s="3">
        <v>16.959944483989325</v>
      </c>
      <c r="L988" s="3">
        <v>12.39236</v>
      </c>
      <c r="M988" s="3">
        <v>16.379159999999999</v>
      </c>
      <c r="N988" s="12">
        <f>I988/H988</f>
        <v>9.9999215251863893E-3</v>
      </c>
      <c r="O988" s="11">
        <f>I988*10000</f>
        <v>490.87</v>
      </c>
      <c r="P988" s="1">
        <v>10</v>
      </c>
      <c r="Q988" s="1">
        <v>1</v>
      </c>
      <c r="R988" s="3">
        <f>Q988*VLOOKUP(P988,[1]Datos!$A$2:$D$14,2)</f>
        <v>8.19</v>
      </c>
      <c r="S988" s="10">
        <f>ROUNDUP(O988/R988,0)</f>
        <v>60</v>
      </c>
      <c r="T988" s="2">
        <v>60</v>
      </c>
      <c r="U988" s="3">
        <f>ROUNDDOWN(PI()*(G988-0.185)/T988,2)</f>
        <v>0.12</v>
      </c>
      <c r="V988" s="3"/>
      <c r="W988" s="1">
        <v>280</v>
      </c>
      <c r="X988" s="9">
        <v>2</v>
      </c>
      <c r="Y988" s="1">
        <v>4</v>
      </c>
      <c r="Z988" s="3">
        <f>X988*VLOOKUP(Y988,[1]Datos!$A$2:$D$14,2)</f>
        <v>2.58</v>
      </c>
      <c r="AA988" s="8">
        <v>0.3</v>
      </c>
      <c r="AB988" s="7">
        <f>IF(D988=0,0.9,0.5)*0.9*0.53*SQRT(W988)*G988*MAX(0.72*G988,0.9*((G988/2)+((G988-0.11)/PI())))*10</f>
        <v>180.55532030650846</v>
      </c>
      <c r="AC988" s="7">
        <f>0.9*Z988*4220*MAX(0.72*G988,0.9*((G988/2)+((G988-0.11)/PI())))/AA988/1000</f>
        <v>59.10936501560488</v>
      </c>
      <c r="AD988" s="6" t="str">
        <f>+IF(AC988&gt;K988-AB988,"Cumple","No Cumple")</f>
        <v>Cumple</v>
      </c>
      <c r="AE988" s="6"/>
      <c r="AH988" s="3"/>
    </row>
    <row r="989" spans="1:43" ht="15" customHeight="1" x14ac:dyDescent="0.3">
      <c r="A989" s="13" t="s">
        <v>0</v>
      </c>
      <c r="B989" s="1">
        <v>1</v>
      </c>
      <c r="C989" s="1">
        <v>480</v>
      </c>
      <c r="D989" s="1">
        <v>1</v>
      </c>
      <c r="E989" s="5">
        <v>1</v>
      </c>
      <c r="F989" s="3">
        <f>E989</f>
        <v>1</v>
      </c>
      <c r="G989" s="5">
        <v>2.5</v>
      </c>
      <c r="H989" s="3">
        <f>PI()*(G989^2)/4</f>
        <v>4.908738521234052</v>
      </c>
      <c r="I989" s="4">
        <v>8.1740999999999994E-2</v>
      </c>
      <c r="K989" s="3">
        <v>333.48142412905105</v>
      </c>
      <c r="L989" s="3">
        <v>1949.3815500000001</v>
      </c>
      <c r="M989" s="3">
        <v>2496.32996</v>
      </c>
      <c r="N989" s="12">
        <f>I989/H989</f>
        <v>1.6652139780191508E-2</v>
      </c>
      <c r="O989" s="11">
        <f>I989*10000</f>
        <v>817.41</v>
      </c>
      <c r="P989" s="1">
        <v>10</v>
      </c>
      <c r="Q989" s="1">
        <v>2</v>
      </c>
      <c r="R989" s="3">
        <f>Q989*VLOOKUP(P989,[1]Datos!$A$2:$D$14,2)</f>
        <v>16.38</v>
      </c>
      <c r="S989" s="10">
        <f>ROUNDUP(O989/R989,0)</f>
        <v>50</v>
      </c>
      <c r="T989" s="2">
        <v>52</v>
      </c>
      <c r="U989" s="3">
        <f>ROUNDDOWN(PI()*(G989-0.185)/T989,2)</f>
        <v>0.13</v>
      </c>
      <c r="V989" s="3"/>
      <c r="W989" s="1">
        <v>280</v>
      </c>
      <c r="X989" s="9">
        <v>2</v>
      </c>
      <c r="Y989" s="1">
        <v>6</v>
      </c>
      <c r="Z989" s="3">
        <f>X989*VLOOKUP(Y989,[1]Datos!$A$2:$D$14,2)</f>
        <v>5.68</v>
      </c>
      <c r="AA989" s="8">
        <v>0.06</v>
      </c>
      <c r="AB989" s="7">
        <f>IF(D989=0,0.9,0.5)*0.9*0.53*SQRT(W989)*G989*MAX(0.72*G989,0.9*((G989/2)+((G989-0.11)/PI())))*10</f>
        <v>180.55532030650846</v>
      </c>
      <c r="AC989" s="7">
        <f>0.9*Z989*4220*MAX(0.72*G989,0.9*((G989/2)+((G989-0.11)/PI())))/AA989/1000</f>
        <v>650.66122730355755</v>
      </c>
      <c r="AD989" s="6" t="str">
        <f>+IF(AC989&gt;K989-AB989,"Cumple","No Cumple")</f>
        <v>Cumple</v>
      </c>
      <c r="AE989" s="6"/>
      <c r="AG989" s="7">
        <f>ROUNDUP(MAX(0.45,3*G989,),0)</f>
        <v>8</v>
      </c>
      <c r="AH989" s="3">
        <f>PI()*(G989-0.15)^2/4</f>
        <v>4.3373613573624086</v>
      </c>
      <c r="AI989" s="7">
        <f>G989-0.15-VLOOKUP(Y989,[1]Datos!$A$2:$D$14,3)/100</f>
        <v>2.3309000000000002</v>
      </c>
      <c r="AJ989" s="7">
        <f>SQRT((PI()*AI989)^2+AA989^2)</f>
        <v>7.3229841218120741</v>
      </c>
      <c r="AK989" s="1">
        <v>0.12</v>
      </c>
      <c r="AL989" s="16">
        <f>MAX(0.45*(H989/AH989-1),AK989)*(W989/4220)</f>
        <v>7.9620853080568724E-3</v>
      </c>
      <c r="AM989" s="7">
        <f>AG989*(AJ989/AA989)</f>
        <v>976.39788290827664</v>
      </c>
      <c r="AN989" s="17">
        <f>AM989*Z989/X989/10000</f>
        <v>0.27729699874595054</v>
      </c>
      <c r="AO989" s="17">
        <f>AH989*AG989</f>
        <v>34.698890858899269</v>
      </c>
      <c r="AP989" s="16">
        <f>AN989/AO989</f>
        <v>7.9915234142082618E-3</v>
      </c>
      <c r="AQ989" s="6" t="str">
        <f>+IF(AP989&gt;AL989,"Cumple","No Cumple")</f>
        <v>Cumple</v>
      </c>
    </row>
    <row r="990" spans="1:43" ht="15" customHeight="1" x14ac:dyDescent="0.3">
      <c r="A990" s="13"/>
      <c r="B990" s="1">
        <v>2</v>
      </c>
      <c r="C990" s="1">
        <v>481</v>
      </c>
      <c r="D990" s="1">
        <v>1</v>
      </c>
      <c r="E990" s="5">
        <v>1</v>
      </c>
      <c r="F990" s="3">
        <f>F989+E990</f>
        <v>2</v>
      </c>
      <c r="G990" s="5">
        <v>2.5</v>
      </c>
      <c r="H990" s="3">
        <f>PI()*(G990^2)/4</f>
        <v>4.908738521234052</v>
      </c>
      <c r="I990" s="4">
        <v>8.2003999999999994E-2</v>
      </c>
      <c r="K990" s="3">
        <v>317.70002145017241</v>
      </c>
      <c r="L990" s="3">
        <v>1810.57341</v>
      </c>
      <c r="M990" s="3">
        <v>2580.4757399999999</v>
      </c>
      <c r="N990" s="12">
        <f>I990/H990</f>
        <v>1.6705717700233963E-2</v>
      </c>
      <c r="O990" s="11">
        <f>I990*10000</f>
        <v>820.04</v>
      </c>
      <c r="P990" s="1">
        <v>10</v>
      </c>
      <c r="Q990" s="1">
        <v>2</v>
      </c>
      <c r="R990" s="3">
        <f>Q990*VLOOKUP(P990,[1]Datos!$A$2:$D$14,2)</f>
        <v>16.38</v>
      </c>
      <c r="S990" s="10">
        <f>ROUNDUP(O990/R990,0)</f>
        <v>51</v>
      </c>
      <c r="T990" s="2">
        <v>52</v>
      </c>
      <c r="U990" s="3">
        <f>ROUNDDOWN(PI()*(G990-0.185)/T990,2)</f>
        <v>0.13</v>
      </c>
      <c r="V990" s="3"/>
      <c r="W990" s="1">
        <v>280</v>
      </c>
      <c r="X990" s="9">
        <v>2</v>
      </c>
      <c r="Y990" s="1">
        <v>6</v>
      </c>
      <c r="Z990" s="3">
        <f>X990*VLOOKUP(Y990,[1]Datos!$A$2:$D$14,2)</f>
        <v>5.68</v>
      </c>
      <c r="AA990" s="8">
        <v>0.06</v>
      </c>
      <c r="AB990" s="7">
        <f>IF(D990=0,0.9,0.5)*0.9*0.53*SQRT(W990)*G990*MAX(0.72*G990,0.9*((G990/2)+((G990-0.11)/PI())))*10</f>
        <v>180.55532030650846</v>
      </c>
      <c r="AC990" s="7">
        <f>0.9*Z990*4220*MAX(0.72*G990,0.9*((G990/2)+((G990-0.11)/PI())))/AA990/1000</f>
        <v>650.66122730355755</v>
      </c>
      <c r="AD990" s="6" t="str">
        <f>+IF(AC990&gt;K990-AB990,"Cumple","No Cumple")</f>
        <v>Cumple</v>
      </c>
      <c r="AE990" s="6"/>
      <c r="AG990" s="7">
        <f>ROUNDUP(MAX(0.45,3*G990,),0)</f>
        <v>8</v>
      </c>
      <c r="AH990" s="3">
        <f>PI()*(G990-0.15)^2/4</f>
        <v>4.3373613573624086</v>
      </c>
      <c r="AI990" s="7">
        <f>G990-0.15-VLOOKUP(Y990,[1]Datos!$A$2:$D$14,3)/100</f>
        <v>2.3309000000000002</v>
      </c>
      <c r="AJ990" s="7">
        <f>SQRT((PI()*AI990)^2+AA990^2)</f>
        <v>7.3229841218120741</v>
      </c>
      <c r="AK990" s="1">
        <v>0.12</v>
      </c>
      <c r="AL990" s="16">
        <f>MAX(0.45*(H990/AH990-1),AK990)*(W990/4220)</f>
        <v>7.9620853080568724E-3</v>
      </c>
      <c r="AM990" s="7">
        <f>AG990*(AJ990/AA990)</f>
        <v>976.39788290827664</v>
      </c>
      <c r="AN990" s="17">
        <f>AM990*Z990/X990/10000</f>
        <v>0.27729699874595054</v>
      </c>
      <c r="AO990" s="17">
        <f>AH990*AG990</f>
        <v>34.698890858899269</v>
      </c>
      <c r="AP990" s="16">
        <f>AN990/AO990</f>
        <v>7.9915234142082618E-3</v>
      </c>
      <c r="AQ990" s="6" t="str">
        <f>+IF(AP990&gt;AL990,"Cumple","No Cumple")</f>
        <v>Cumple</v>
      </c>
    </row>
    <row r="991" spans="1:43" x14ac:dyDescent="0.3">
      <c r="A991" s="13"/>
      <c r="B991" s="1">
        <v>3</v>
      </c>
      <c r="C991" s="1">
        <v>530</v>
      </c>
      <c r="D991" s="1">
        <v>1</v>
      </c>
      <c r="E991" s="5">
        <v>1</v>
      </c>
      <c r="F991" s="3">
        <f>F990+E991</f>
        <v>3</v>
      </c>
      <c r="G991" s="5">
        <v>2.5</v>
      </c>
      <c r="H991" s="3">
        <f>PI()*(G991^2)/4</f>
        <v>4.908738521234052</v>
      </c>
      <c r="I991" s="4">
        <v>8.2088999999999995E-2</v>
      </c>
      <c r="K991" s="3">
        <v>289.83130592406684</v>
      </c>
      <c r="L991" s="3">
        <v>1671.48919</v>
      </c>
      <c r="M991" s="3">
        <v>2629.7784799999999</v>
      </c>
      <c r="N991" s="12">
        <f>I991/H991</f>
        <v>1.6723033758042363E-2</v>
      </c>
      <c r="O991" s="11">
        <f>I991*10000</f>
        <v>820.89</v>
      </c>
      <c r="P991" s="1">
        <v>10</v>
      </c>
      <c r="Q991" s="1">
        <v>2</v>
      </c>
      <c r="R991" s="3">
        <f>Q991*VLOOKUP(P991,[1]Datos!$A$2:$D$14,2)</f>
        <v>16.38</v>
      </c>
      <c r="S991" s="10">
        <f>ROUNDUP(O991/R991,0)</f>
        <v>51</v>
      </c>
      <c r="T991" s="2">
        <v>52</v>
      </c>
      <c r="U991" s="3">
        <f>ROUNDDOWN(PI()*(G991-0.185)/T991,2)</f>
        <v>0.13</v>
      </c>
      <c r="V991" s="3"/>
      <c r="W991" s="1">
        <v>280</v>
      </c>
      <c r="X991" s="9">
        <v>2</v>
      </c>
      <c r="Y991" s="1">
        <v>6</v>
      </c>
      <c r="Z991" s="3">
        <f>X991*VLOOKUP(Y991,[1]Datos!$A$2:$D$14,2)</f>
        <v>5.68</v>
      </c>
      <c r="AA991" s="8">
        <v>0.06</v>
      </c>
      <c r="AB991" s="7">
        <f>IF(D991=0,0.9,0.5)*0.9*0.53*SQRT(W991)*G991*MAX(0.72*G991,0.9*((G991/2)+((G991-0.11)/PI())))*10</f>
        <v>180.55532030650846</v>
      </c>
      <c r="AC991" s="7">
        <f>0.9*Z991*4220*MAX(0.72*G991,0.9*((G991/2)+((G991-0.11)/PI())))/AA991/1000</f>
        <v>650.66122730355755</v>
      </c>
      <c r="AD991" s="6" t="str">
        <f>+IF(AC991&gt;K991-AB991,"Cumple","No Cumple")</f>
        <v>Cumple</v>
      </c>
      <c r="AE991" s="6"/>
      <c r="AG991" s="7">
        <f>ROUNDUP(MAX(0.45,3*G991,),0)</f>
        <v>8</v>
      </c>
      <c r="AH991" s="3">
        <f>PI()*(G991-0.15)^2/4</f>
        <v>4.3373613573624086</v>
      </c>
      <c r="AI991" s="7">
        <f>G991-0.15-VLOOKUP(Y991,[1]Datos!$A$2:$D$14,3)/100</f>
        <v>2.3309000000000002</v>
      </c>
      <c r="AJ991" s="7">
        <f>SQRT((PI()*AI991)^2+AA991^2)</f>
        <v>7.3229841218120741</v>
      </c>
      <c r="AK991" s="1">
        <v>0.12</v>
      </c>
      <c r="AL991" s="16">
        <f>MAX(0.45*(H991/AH991-1),AK991)*(W991/4220)</f>
        <v>7.9620853080568724E-3</v>
      </c>
      <c r="AM991" s="7">
        <f>AG991*(AJ991/AA991)</f>
        <v>976.39788290827664</v>
      </c>
      <c r="AN991" s="17">
        <f>AM991*Z991/X991/10000</f>
        <v>0.27729699874595054</v>
      </c>
      <c r="AO991" s="17">
        <f>AH991*AG991</f>
        <v>34.698890858899269</v>
      </c>
      <c r="AP991" s="16">
        <f>AN991/AO991</f>
        <v>7.9915234142082618E-3</v>
      </c>
      <c r="AQ991" s="6" t="str">
        <f>+IF(AP991&gt;AL991,"Cumple","No Cumple")</f>
        <v>Cumple</v>
      </c>
    </row>
    <row r="992" spans="1:43" x14ac:dyDescent="0.3">
      <c r="A992" s="13"/>
      <c r="B992" s="1">
        <v>4</v>
      </c>
      <c r="C992" s="1">
        <v>531</v>
      </c>
      <c r="D992" s="1">
        <v>1</v>
      </c>
      <c r="E992" s="5">
        <v>1</v>
      </c>
      <c r="F992" s="3">
        <f>F991+E992</f>
        <v>4</v>
      </c>
      <c r="G992" s="5">
        <v>2.5</v>
      </c>
      <c r="H992" s="3">
        <f>PI()*(G992^2)/4</f>
        <v>4.908738521234052</v>
      </c>
      <c r="I992" s="4">
        <v>8.2089999999999996E-2</v>
      </c>
      <c r="K992" s="3">
        <v>257.20746157236573</v>
      </c>
      <c r="L992" s="3">
        <v>1537.4455800000001</v>
      </c>
      <c r="M992" s="3">
        <v>2630.9969999999998</v>
      </c>
      <c r="N992" s="12">
        <f>I992/H992</f>
        <v>1.6723237476369519E-2</v>
      </c>
      <c r="O992" s="11">
        <f>I992*10000</f>
        <v>820.9</v>
      </c>
      <c r="P992" s="1">
        <v>10</v>
      </c>
      <c r="Q992" s="1">
        <v>2</v>
      </c>
      <c r="R992" s="3">
        <f>Q992*VLOOKUP(P992,[1]Datos!$A$2:$D$14,2)</f>
        <v>16.38</v>
      </c>
      <c r="S992" s="10">
        <f>ROUNDUP(O992/R992,0)</f>
        <v>51</v>
      </c>
      <c r="T992" s="2">
        <v>52</v>
      </c>
      <c r="U992" s="3">
        <f>ROUNDDOWN(PI()*(G992-0.185)/T992,2)</f>
        <v>0.13</v>
      </c>
      <c r="V992" s="3"/>
      <c r="W992" s="1">
        <v>280</v>
      </c>
      <c r="X992" s="9">
        <v>2</v>
      </c>
      <c r="Y992" s="1">
        <v>6</v>
      </c>
      <c r="Z992" s="3">
        <f>X992*VLOOKUP(Y992,[1]Datos!$A$2:$D$14,2)</f>
        <v>5.68</v>
      </c>
      <c r="AA992" s="8">
        <v>0.06</v>
      </c>
      <c r="AB992" s="7">
        <f>IF(D992=0,0.9,0.5)*0.9*0.53*SQRT(W992)*G992*MAX(0.72*G992,0.9*((G992/2)+((G992-0.11)/PI())))*10</f>
        <v>180.55532030650846</v>
      </c>
      <c r="AC992" s="7">
        <f>0.9*Z992*4220*MAX(0.72*G992,0.9*((G992/2)+((G992-0.11)/PI())))/AA992/1000</f>
        <v>650.66122730355755</v>
      </c>
      <c r="AD992" s="6" t="str">
        <f>+IF(AC992&gt;K992-AB992,"Cumple","No Cumple")</f>
        <v>Cumple</v>
      </c>
      <c r="AE992" s="6"/>
      <c r="AG992" s="7">
        <f>ROUNDUP(MAX(0.45,3*G992,),0)</f>
        <v>8</v>
      </c>
      <c r="AH992" s="3">
        <f>PI()*(G992-0.15)^2/4</f>
        <v>4.3373613573624086</v>
      </c>
      <c r="AI992" s="7">
        <f>G992-0.15-VLOOKUP(Y992,[1]Datos!$A$2:$D$14,3)/100</f>
        <v>2.3309000000000002</v>
      </c>
      <c r="AJ992" s="7">
        <f>SQRT((PI()*AI992)^2+AA992^2)</f>
        <v>7.3229841218120741</v>
      </c>
      <c r="AK992" s="1">
        <v>0.12</v>
      </c>
      <c r="AL992" s="16">
        <f>MAX(0.45*(H992/AH992-1),AK992)*(W992/4220)</f>
        <v>7.9620853080568724E-3</v>
      </c>
      <c r="AM992" s="7">
        <f>AG992*(AJ992/AA992)</f>
        <v>976.39788290827664</v>
      </c>
      <c r="AN992" s="17">
        <f>AM992*Z992/X992/10000</f>
        <v>0.27729699874595054</v>
      </c>
      <c r="AO992" s="17">
        <f>AH992*AG992</f>
        <v>34.698890858899269</v>
      </c>
      <c r="AP992" s="16">
        <f>AN992/AO992</f>
        <v>7.9915234142082618E-3</v>
      </c>
      <c r="AQ992" s="6" t="str">
        <f>+IF(AP992&gt;AL992,"Cumple","No Cumple")</f>
        <v>Cumple</v>
      </c>
    </row>
    <row r="993" spans="1:43" x14ac:dyDescent="0.3">
      <c r="A993" s="13"/>
      <c r="B993" s="1">
        <v>5</v>
      </c>
      <c r="C993" s="1">
        <v>532</v>
      </c>
      <c r="D993" s="1">
        <v>1</v>
      </c>
      <c r="E993" s="5">
        <v>1</v>
      </c>
      <c r="F993" s="3">
        <f>F992+E993</f>
        <v>5</v>
      </c>
      <c r="G993" s="5">
        <v>2.5</v>
      </c>
      <c r="H993" s="3">
        <f>PI()*(G993^2)/4</f>
        <v>4.908738521234052</v>
      </c>
      <c r="I993" s="4">
        <v>8.1701999999999997E-2</v>
      </c>
      <c r="K993" s="3">
        <v>226.86613073627805</v>
      </c>
      <c r="L993" s="3">
        <v>1420.5058100000001</v>
      </c>
      <c r="M993" s="3">
        <v>2630.9969999999998</v>
      </c>
      <c r="N993" s="12">
        <f>I993/H993</f>
        <v>1.6644194765432361E-2</v>
      </c>
      <c r="O993" s="11">
        <f>I993*10000</f>
        <v>817.02</v>
      </c>
      <c r="P993" s="1">
        <v>10</v>
      </c>
      <c r="Q993" s="1">
        <v>2</v>
      </c>
      <c r="R993" s="3">
        <f>Q993*VLOOKUP(P993,[1]Datos!$A$2:$D$14,2)</f>
        <v>16.38</v>
      </c>
      <c r="S993" s="10">
        <f>ROUNDUP(O993/R993,0)</f>
        <v>50</v>
      </c>
      <c r="T993" s="2">
        <v>52</v>
      </c>
      <c r="U993" s="3">
        <f>ROUNDDOWN(PI()*(G993-0.185)/T993,2)</f>
        <v>0.13</v>
      </c>
      <c r="V993" s="3"/>
      <c r="W993" s="1">
        <v>280</v>
      </c>
      <c r="X993" s="9">
        <v>2</v>
      </c>
      <c r="Y993" s="1">
        <v>6</v>
      </c>
      <c r="Z993" s="3">
        <f>X993*VLOOKUP(Y993,[1]Datos!$A$2:$D$14,2)</f>
        <v>5.68</v>
      </c>
      <c r="AA993" s="8">
        <v>0.06</v>
      </c>
      <c r="AB993" s="7">
        <f>IF(D993=0,0.9,0.5)*0.9*0.53*SQRT(W993)*G993*MAX(0.72*G993,0.9*((G993/2)+((G993-0.11)/PI())))*10</f>
        <v>180.55532030650846</v>
      </c>
      <c r="AC993" s="7">
        <f>0.9*Z993*4220*MAX(0.72*G993,0.9*((G993/2)+((G993-0.11)/PI())))/AA993/1000</f>
        <v>650.66122730355755</v>
      </c>
      <c r="AD993" s="6" t="str">
        <f>+IF(AC993&gt;K993-AB993,"Cumple","No Cumple")</f>
        <v>Cumple</v>
      </c>
      <c r="AE993" s="6"/>
      <c r="AG993" s="7">
        <f>ROUNDUP(MAX(0.45,3*G993,),0)</f>
        <v>8</v>
      </c>
      <c r="AH993" s="3">
        <f>PI()*(G993-0.15)^2/4</f>
        <v>4.3373613573624086</v>
      </c>
      <c r="AI993" s="7">
        <f>G993-0.15-VLOOKUP(Y993,[1]Datos!$A$2:$D$14,3)/100</f>
        <v>2.3309000000000002</v>
      </c>
      <c r="AJ993" s="7">
        <f>SQRT((PI()*AI993)^2+AA993^2)</f>
        <v>7.3229841218120741</v>
      </c>
      <c r="AK993" s="1">
        <v>0.12</v>
      </c>
      <c r="AL993" s="16">
        <f>MAX(0.45*(H993/AH993-1),AK993)*(W993/4220)</f>
        <v>7.9620853080568724E-3</v>
      </c>
      <c r="AM993" s="7">
        <f>AG993*(AJ993/AA993)</f>
        <v>976.39788290827664</v>
      </c>
      <c r="AN993" s="17">
        <f>AM993*Z993/X993/10000</f>
        <v>0.27729699874595054</v>
      </c>
      <c r="AO993" s="17">
        <f>AH993*AG993</f>
        <v>34.698890858899269</v>
      </c>
      <c r="AP993" s="16">
        <f>AN993/AO993</f>
        <v>7.9915234142082618E-3</v>
      </c>
      <c r="AQ993" s="6" t="str">
        <f>+IF(AP993&gt;AL993,"Cumple","No Cumple")</f>
        <v>Cumple</v>
      </c>
    </row>
    <row r="994" spans="1:43" x14ac:dyDescent="0.3">
      <c r="A994" s="13"/>
      <c r="B994" s="1">
        <v>6</v>
      </c>
      <c r="C994" s="1">
        <v>533</v>
      </c>
      <c r="D994" s="1">
        <v>1</v>
      </c>
      <c r="E994" s="5">
        <v>1</v>
      </c>
      <c r="F994" s="3">
        <f>F993+E994</f>
        <v>6</v>
      </c>
      <c r="G994" s="5">
        <v>2.5</v>
      </c>
      <c r="H994" s="3">
        <f>PI()*(G994^2)/4</f>
        <v>4.908738521234052</v>
      </c>
      <c r="I994" s="4">
        <v>8.0258999999999997E-2</v>
      </c>
      <c r="K994" s="3">
        <v>201.60746672454869</v>
      </c>
      <c r="L994" s="3">
        <v>1313.79802</v>
      </c>
      <c r="M994" s="3">
        <v>2578.3363300000001</v>
      </c>
      <c r="N994" s="12">
        <f>I994/H994</f>
        <v>1.6350229219343908E-2</v>
      </c>
      <c r="O994" s="11">
        <f>I994*10000</f>
        <v>802.58999999999992</v>
      </c>
      <c r="P994" s="1">
        <v>10</v>
      </c>
      <c r="Q994" s="15">
        <v>2</v>
      </c>
      <c r="R994" s="3">
        <f>Q994*VLOOKUP(P994,[1]Datos!$A$2:$D$14,2)</f>
        <v>16.38</v>
      </c>
      <c r="S994" s="10">
        <f>ROUNDUP(O994/R994,0)</f>
        <v>49</v>
      </c>
      <c r="T994" s="14">
        <v>52</v>
      </c>
      <c r="U994" s="3">
        <f>ROUNDDOWN(PI()*(G994-0.185)/T994,2)</f>
        <v>0.13</v>
      </c>
      <c r="V994" s="3"/>
      <c r="W994" s="1">
        <v>280</v>
      </c>
      <c r="X994" s="9">
        <v>2</v>
      </c>
      <c r="Y994" s="1">
        <v>6</v>
      </c>
      <c r="Z994" s="3">
        <f>X994*VLOOKUP(Y994,[1]Datos!$A$2:$D$14,2)</f>
        <v>5.68</v>
      </c>
      <c r="AA994" s="8">
        <v>0.06</v>
      </c>
      <c r="AB994" s="7">
        <f>IF(D994=0,0.9,0.5)*0.9*0.53*SQRT(W994)*G994*MAX(0.72*G994,0.9*((G994/2)+((G994-0.11)/PI())))*10</f>
        <v>180.55532030650846</v>
      </c>
      <c r="AC994" s="7">
        <f>0.9*Z994*4220*MAX(0.72*G994,0.9*((G994/2)+((G994-0.11)/PI())))/AA994/1000</f>
        <v>650.66122730355755</v>
      </c>
      <c r="AD994" s="6" t="str">
        <f>+IF(AC994&gt;K994-AB994,"Cumple","No Cumple")</f>
        <v>Cumple</v>
      </c>
      <c r="AE994" s="6"/>
      <c r="AG994" s="7">
        <f>ROUNDUP(MAX(0.45,3*G994,),0)</f>
        <v>8</v>
      </c>
      <c r="AH994" s="3">
        <f>PI()*(G994-0.15)^2/4</f>
        <v>4.3373613573624086</v>
      </c>
      <c r="AI994" s="7">
        <f>G994-0.15-VLOOKUP(Y994,[1]Datos!$A$2:$D$14,3)/100</f>
        <v>2.3309000000000002</v>
      </c>
      <c r="AJ994" s="7">
        <f>SQRT((PI()*AI994)^2+AA994^2)</f>
        <v>7.3229841218120741</v>
      </c>
      <c r="AK994" s="1">
        <v>0.12</v>
      </c>
      <c r="AL994" s="16">
        <f>MAX(0.45*(H994/AH994-1),AK994)*(W994/4220)</f>
        <v>7.9620853080568724E-3</v>
      </c>
      <c r="AM994" s="7">
        <f>AG994*(AJ994/AA994)</f>
        <v>976.39788290827664</v>
      </c>
      <c r="AN994" s="17">
        <f>AM994*Z994/X994/10000</f>
        <v>0.27729699874595054</v>
      </c>
      <c r="AO994" s="17">
        <f>AH994*AG994</f>
        <v>34.698890858899269</v>
      </c>
      <c r="AP994" s="16">
        <f>AN994/AO994</f>
        <v>7.9915234142082618E-3</v>
      </c>
      <c r="AQ994" s="6" t="str">
        <f>+IF(AP994&gt;AL994,"Cumple","No Cumple")</f>
        <v>Cumple</v>
      </c>
    </row>
    <row r="995" spans="1:43" x14ac:dyDescent="0.3">
      <c r="A995" s="13"/>
      <c r="B995" s="1">
        <v>7</v>
      </c>
      <c r="C995" s="1">
        <v>534</v>
      </c>
      <c r="D995" s="1">
        <v>1</v>
      </c>
      <c r="E995" s="5">
        <v>1</v>
      </c>
      <c r="F995" s="3">
        <f>F994+E995</f>
        <v>7</v>
      </c>
      <c r="G995" s="5">
        <v>2.5</v>
      </c>
      <c r="H995" s="3">
        <f>PI()*(G995^2)/4</f>
        <v>4.908738521234052</v>
      </c>
      <c r="I995" s="4">
        <v>7.7285000000000006E-2</v>
      </c>
      <c r="K995" s="3">
        <v>220.8961911300419</v>
      </c>
      <c r="L995" s="3">
        <v>1201.95892</v>
      </c>
      <c r="M995" s="3">
        <v>2472.6108800000002</v>
      </c>
      <c r="N995" s="12">
        <f>I995/H995</f>
        <v>1.574437091437713E-2</v>
      </c>
      <c r="O995" s="11">
        <f>I995*10000</f>
        <v>772.85</v>
      </c>
      <c r="P995" s="1">
        <v>10</v>
      </c>
      <c r="Q995" s="15">
        <v>2</v>
      </c>
      <c r="R995" s="3">
        <f>Q995*VLOOKUP(P995,[1]Datos!$A$2:$D$14,2)</f>
        <v>16.38</v>
      </c>
      <c r="S995" s="10">
        <f>ROUNDUP(O995/R995,0)</f>
        <v>48</v>
      </c>
      <c r="T995" s="14">
        <v>52</v>
      </c>
      <c r="U995" s="3">
        <f>ROUNDDOWN(PI()*(G995-0.185)/T995,2)</f>
        <v>0.13</v>
      </c>
      <c r="V995" s="3"/>
      <c r="W995" s="1">
        <v>280</v>
      </c>
      <c r="X995" s="9">
        <v>2</v>
      </c>
      <c r="Y995" s="1">
        <v>6</v>
      </c>
      <c r="Z995" s="3">
        <f>X995*VLOOKUP(Y995,[1]Datos!$A$2:$D$14,2)</f>
        <v>5.68</v>
      </c>
      <c r="AA995" s="8">
        <v>0.06</v>
      </c>
      <c r="AB995" s="7">
        <f>IF(D995=0,0.9,0.5)*0.9*0.53*SQRT(W995)*G995*MAX(0.72*G995,0.9*((G995/2)+((G995-0.11)/PI())))*10</f>
        <v>180.55532030650846</v>
      </c>
      <c r="AC995" s="7">
        <f>0.9*Z995*4220*MAX(0.72*G995,0.9*((G995/2)+((G995-0.11)/PI())))/AA995/1000</f>
        <v>650.66122730355755</v>
      </c>
      <c r="AD995" s="6" t="str">
        <f>+IF(AC995&gt;K995-AB995,"Cumple","No Cumple")</f>
        <v>Cumple</v>
      </c>
      <c r="AE995" s="6"/>
      <c r="AG995" s="7">
        <f>ROUNDUP(MAX(0.45,3*G995,),0)</f>
        <v>8</v>
      </c>
      <c r="AH995" s="3">
        <f>PI()*(G995-0.15)^2/4</f>
        <v>4.3373613573624086</v>
      </c>
      <c r="AI995" s="7">
        <f>G995-0.15-VLOOKUP(Y995,[1]Datos!$A$2:$D$14,3)/100</f>
        <v>2.3309000000000002</v>
      </c>
      <c r="AJ995" s="7">
        <f>SQRT((PI()*AI995)^2+AA995^2)</f>
        <v>7.3229841218120741</v>
      </c>
      <c r="AK995" s="1">
        <v>0.12</v>
      </c>
      <c r="AL995" s="16">
        <f>MAX(0.45*(H995/AH995-1),AK995)*(W995/4220)</f>
        <v>7.9620853080568724E-3</v>
      </c>
      <c r="AM995" s="7">
        <f>AG995*(AJ995/AA995)</f>
        <v>976.39788290827664</v>
      </c>
      <c r="AN995" s="17">
        <f>AM995*Z995/X995/10000</f>
        <v>0.27729699874595054</v>
      </c>
      <c r="AO995" s="17">
        <f>AH995*AG995</f>
        <v>34.698890858899269</v>
      </c>
      <c r="AP995" s="16">
        <f>AN995/AO995</f>
        <v>7.9915234142082618E-3</v>
      </c>
      <c r="AQ995" s="6" t="str">
        <f>+IF(AP995&gt;AL995,"Cumple","No Cumple")</f>
        <v>Cumple</v>
      </c>
    </row>
    <row r="996" spans="1:43" x14ac:dyDescent="0.3">
      <c r="A996" s="13"/>
      <c r="B996" s="1">
        <v>8</v>
      </c>
      <c r="C996" s="1">
        <v>535</v>
      </c>
      <c r="D996" s="1">
        <v>1</v>
      </c>
      <c r="E996" s="5">
        <v>1</v>
      </c>
      <c r="F996" s="3">
        <f>F995+E996</f>
        <v>8</v>
      </c>
      <c r="G996" s="5">
        <v>2.5</v>
      </c>
      <c r="H996" s="3">
        <f>PI()*(G996^2)/4</f>
        <v>4.908738521234052</v>
      </c>
      <c r="I996" s="4">
        <v>7.2399000000000005E-2</v>
      </c>
      <c r="K996" s="3">
        <v>240.28820638441664</v>
      </c>
      <c r="L996" s="3">
        <v>1081.50001</v>
      </c>
      <c r="M996" s="3">
        <v>2320.3314999999998</v>
      </c>
      <c r="N996" s="12">
        <f>I996/H996</f>
        <v>1.4749003167884968E-2</v>
      </c>
      <c r="O996" s="11">
        <f>I996*10000</f>
        <v>723.99</v>
      </c>
      <c r="P996" s="1">
        <v>10</v>
      </c>
      <c r="Q996" s="15">
        <v>2</v>
      </c>
      <c r="R996" s="3">
        <f>Q996*VLOOKUP(P996,[1]Datos!$A$2:$D$14,2)</f>
        <v>16.38</v>
      </c>
      <c r="S996" s="10">
        <f>ROUNDUP(O996/R996,0)</f>
        <v>45</v>
      </c>
      <c r="T996" s="14">
        <v>52</v>
      </c>
      <c r="U996" s="3">
        <f>ROUNDDOWN(PI()*(G996-0.185)/T996,2)</f>
        <v>0.13</v>
      </c>
      <c r="V996" s="3"/>
      <c r="W996" s="1">
        <v>280</v>
      </c>
      <c r="X996" s="9">
        <v>2</v>
      </c>
      <c r="Y996" s="1">
        <v>6</v>
      </c>
      <c r="Z996" s="3">
        <f>X996*VLOOKUP(Y996,[1]Datos!$A$2:$D$14,2)</f>
        <v>5.68</v>
      </c>
      <c r="AA996" s="8">
        <v>0.06</v>
      </c>
      <c r="AB996" s="7">
        <f>IF(D996=0,0.9,0.5)*0.9*0.53*SQRT(W996)*G996*MAX(0.72*G996,0.9*((G996/2)+((G996-0.11)/PI())))*10</f>
        <v>180.55532030650846</v>
      </c>
      <c r="AC996" s="7">
        <f>0.9*Z996*4220*MAX(0.72*G996,0.9*((G996/2)+((G996-0.11)/PI())))/AA996/1000</f>
        <v>650.66122730355755</v>
      </c>
      <c r="AD996" s="6" t="str">
        <f>+IF(AC996&gt;K996-AB996,"Cumple","No Cumple")</f>
        <v>Cumple</v>
      </c>
      <c r="AE996" s="6"/>
      <c r="AG996" s="7">
        <f>ROUNDUP(MAX(0.45,3*G996,),0)</f>
        <v>8</v>
      </c>
      <c r="AH996" s="3">
        <f>PI()*(G996-0.15)^2/4</f>
        <v>4.3373613573624086</v>
      </c>
      <c r="AI996" s="7">
        <f>G996-0.15-VLOOKUP(Y996,[1]Datos!$A$2:$D$14,3)/100</f>
        <v>2.3309000000000002</v>
      </c>
      <c r="AJ996" s="7">
        <f>SQRT((PI()*AI996)^2+AA996^2)</f>
        <v>7.3229841218120741</v>
      </c>
      <c r="AK996" s="1">
        <v>0.12</v>
      </c>
      <c r="AL996" s="16">
        <f>MAX(0.45*(H996/AH996-1),AK996)*(W996/4220)</f>
        <v>7.9620853080568724E-3</v>
      </c>
      <c r="AM996" s="7">
        <f>AG996*(AJ996/AA996)</f>
        <v>976.39788290827664</v>
      </c>
      <c r="AN996" s="17">
        <f>AM996*Z996/X996/10000</f>
        <v>0.27729699874595054</v>
      </c>
      <c r="AO996" s="17">
        <f>AH996*AG996</f>
        <v>34.698890858899269</v>
      </c>
      <c r="AP996" s="16">
        <f>AN996/AO996</f>
        <v>7.9915234142082618E-3</v>
      </c>
      <c r="AQ996" s="6" t="str">
        <f>+IF(AP996&gt;AL996,"Cumple","No Cumple")</f>
        <v>Cumple</v>
      </c>
    </row>
    <row r="997" spans="1:43" x14ac:dyDescent="0.3">
      <c r="A997" s="13"/>
      <c r="B997" s="1">
        <v>9</v>
      </c>
      <c r="C997" s="1">
        <v>536</v>
      </c>
      <c r="D997" s="1">
        <v>1</v>
      </c>
      <c r="E997" s="5">
        <v>1</v>
      </c>
      <c r="F997" s="3">
        <f>F996+E997</f>
        <v>9</v>
      </c>
      <c r="G997" s="5">
        <v>2.5</v>
      </c>
      <c r="H997" s="3">
        <f>PI()*(G997^2)/4</f>
        <v>4.908738521234052</v>
      </c>
      <c r="I997" s="4">
        <v>6.5032000000000006E-2</v>
      </c>
      <c r="K997" s="3">
        <v>255.66349010357345</v>
      </c>
      <c r="L997" s="3">
        <v>954.64188000000001</v>
      </c>
      <c r="M997" s="3">
        <v>2129.9891200000002</v>
      </c>
      <c r="N997" s="12">
        <f>I997/H997</f>
        <v>1.3248210251714737E-2</v>
      </c>
      <c r="O997" s="11">
        <f>I997*10000</f>
        <v>650.32000000000005</v>
      </c>
      <c r="P997" s="1">
        <v>10</v>
      </c>
      <c r="Q997" s="1">
        <v>1</v>
      </c>
      <c r="R997" s="3">
        <f>Q997*VLOOKUP(P997,[1]Datos!$A$2:$D$14,2)</f>
        <v>8.19</v>
      </c>
      <c r="S997" s="10">
        <f>ROUNDUP(O997/R997,0)</f>
        <v>80</v>
      </c>
      <c r="T997" s="2">
        <v>89</v>
      </c>
      <c r="U997" s="3">
        <f>ROUNDDOWN(PI()*(G997-0.185)/T997,2)</f>
        <v>0.08</v>
      </c>
      <c r="V997" s="3"/>
      <c r="W997" s="1">
        <v>280</v>
      </c>
      <c r="X997" s="9">
        <v>2</v>
      </c>
      <c r="Y997" s="1">
        <v>4</v>
      </c>
      <c r="Z997" s="3">
        <f>X997*VLOOKUP(Y997,[1]Datos!$A$2:$D$14,2)</f>
        <v>2.58</v>
      </c>
      <c r="AA997" s="8">
        <v>0.15</v>
      </c>
      <c r="AB997" s="7">
        <f>IF(D997=0,0.9,0.5)*0.9*0.53*SQRT(W997)*G997*MAX(0.72*G997,0.9*((G997/2)+((G997-0.11)/PI())))*10</f>
        <v>180.55532030650846</v>
      </c>
      <c r="AC997" s="7">
        <f>0.9*Z997*4220*MAX(0.72*G997,0.9*((G997/2)+((G997-0.11)/PI())))/AA997/1000</f>
        <v>118.21873003120976</v>
      </c>
      <c r="AD997" s="6" t="str">
        <f>+IF(AC997&gt;K997-AB997,"Cumple","No Cumple")</f>
        <v>Cumple</v>
      </c>
      <c r="AE997" s="6"/>
      <c r="AH997" s="3"/>
    </row>
    <row r="998" spans="1:43" x14ac:dyDescent="0.3">
      <c r="A998" s="13"/>
      <c r="B998" s="1">
        <v>10</v>
      </c>
      <c r="C998" s="1">
        <v>537</v>
      </c>
      <c r="D998" s="1">
        <v>1</v>
      </c>
      <c r="E998" s="5">
        <v>1</v>
      </c>
      <c r="F998" s="3">
        <f>F997+E998</f>
        <v>10</v>
      </c>
      <c r="G998" s="5">
        <v>2.5</v>
      </c>
      <c r="H998" s="3">
        <f>PI()*(G998^2)/4</f>
        <v>4.908738521234052</v>
      </c>
      <c r="I998" s="4">
        <v>5.4228999999999999E-2</v>
      </c>
      <c r="K998" s="3">
        <v>265.15139040414255</v>
      </c>
      <c r="L998" s="3">
        <v>825.27553999999998</v>
      </c>
      <c r="M998" s="3">
        <v>1923.2645500000001</v>
      </c>
      <c r="N998" s="12">
        <f>I998/H998</f>
        <v>1.1047441163430902E-2</v>
      </c>
      <c r="O998" s="11">
        <f>I998*10000</f>
        <v>542.29</v>
      </c>
      <c r="P998" s="1">
        <v>10</v>
      </c>
      <c r="Q998" s="1">
        <v>1</v>
      </c>
      <c r="R998" s="3">
        <f>Q998*VLOOKUP(P998,[1]Datos!$A$2:$D$14,2)</f>
        <v>8.19</v>
      </c>
      <c r="S998" s="10">
        <f>ROUNDUP(O998/R998,0)</f>
        <v>67</v>
      </c>
      <c r="T998" s="2">
        <v>89</v>
      </c>
      <c r="U998" s="3">
        <f>ROUNDDOWN(PI()*(G998-0.185)/T998,2)</f>
        <v>0.08</v>
      </c>
      <c r="V998" s="3"/>
      <c r="W998" s="1">
        <v>280</v>
      </c>
      <c r="X998" s="9">
        <v>2</v>
      </c>
      <c r="Y998" s="1">
        <v>4</v>
      </c>
      <c r="Z998" s="3">
        <f>X998*VLOOKUP(Y998,[1]Datos!$A$2:$D$14,2)</f>
        <v>2.58</v>
      </c>
      <c r="AA998" s="8">
        <v>0.15</v>
      </c>
      <c r="AB998" s="7">
        <f>IF(D998=0,0.9,0.5)*0.9*0.53*SQRT(W998)*G998*MAX(0.72*G998,0.9*((G998/2)+((G998-0.11)/PI())))*10</f>
        <v>180.55532030650846</v>
      </c>
      <c r="AC998" s="7">
        <f>0.9*Z998*4220*MAX(0.72*G998,0.9*((G998/2)+((G998-0.11)/PI())))/AA998/1000</f>
        <v>118.21873003120976</v>
      </c>
      <c r="AD998" s="6" t="str">
        <f>+IF(AC998&gt;K998-AB998,"Cumple","No Cumple")</f>
        <v>Cumple</v>
      </c>
      <c r="AE998" s="6"/>
      <c r="AH998" s="3"/>
    </row>
    <row r="999" spans="1:43" x14ac:dyDescent="0.3">
      <c r="A999" s="13"/>
      <c r="B999" s="1">
        <v>11</v>
      </c>
      <c r="C999" s="1">
        <v>538</v>
      </c>
      <c r="D999" s="1">
        <v>1</v>
      </c>
      <c r="E999" s="5">
        <v>1</v>
      </c>
      <c r="F999" s="3">
        <f>F998+E999</f>
        <v>11</v>
      </c>
      <c r="G999" s="5">
        <v>2.5</v>
      </c>
      <c r="H999" s="3">
        <f>PI()*(G999^2)/4</f>
        <v>4.908738521234052</v>
      </c>
      <c r="I999" s="4">
        <v>4.9086999999999999E-2</v>
      </c>
      <c r="K999" s="3">
        <v>267.69847452090568</v>
      </c>
      <c r="L999" s="3">
        <v>710.38576</v>
      </c>
      <c r="M999" s="3">
        <v>1700.4264800000001</v>
      </c>
      <c r="N999" s="12">
        <f>I999/H999</f>
        <v>9.9999215251863893E-3</v>
      </c>
      <c r="O999" s="11">
        <f>I999*10000</f>
        <v>490.87</v>
      </c>
      <c r="P999" s="1">
        <v>10</v>
      </c>
      <c r="Q999" s="1">
        <v>1</v>
      </c>
      <c r="R999" s="3">
        <f>Q999*VLOOKUP(P999,[1]Datos!$A$2:$D$14,2)</f>
        <v>8.19</v>
      </c>
      <c r="S999" s="10">
        <f>ROUNDUP(O999/R999,0)</f>
        <v>60</v>
      </c>
      <c r="T999" s="2">
        <v>89</v>
      </c>
      <c r="U999" s="3">
        <f>ROUNDDOWN(PI()*(G999-0.185)/T999,2)</f>
        <v>0.08</v>
      </c>
      <c r="V999" s="3"/>
      <c r="W999" s="1">
        <v>280</v>
      </c>
      <c r="X999" s="9">
        <v>2</v>
      </c>
      <c r="Y999" s="1">
        <v>4</v>
      </c>
      <c r="Z999" s="3">
        <f>X999*VLOOKUP(Y999,[1]Datos!$A$2:$D$14,2)</f>
        <v>2.58</v>
      </c>
      <c r="AA999" s="8">
        <v>0.15</v>
      </c>
      <c r="AB999" s="7">
        <f>IF(D999=0,0.9,0.5)*0.9*0.53*SQRT(W999)*G999*MAX(0.72*G999,0.9*((G999/2)+((G999-0.11)/PI())))*10</f>
        <v>180.55532030650846</v>
      </c>
      <c r="AC999" s="7">
        <f>0.9*Z999*4220*MAX(0.72*G999,0.9*((G999/2)+((G999-0.11)/PI())))/AA999/1000</f>
        <v>118.21873003120976</v>
      </c>
      <c r="AD999" s="6" t="str">
        <f>+IF(AC999&gt;K999-AB999,"Cumple","No Cumple")</f>
        <v>Cumple</v>
      </c>
      <c r="AE999" s="6"/>
      <c r="AH999" s="3"/>
    </row>
    <row r="1000" spans="1:43" x14ac:dyDescent="0.3">
      <c r="A1000" s="13"/>
      <c r="B1000" s="1">
        <v>12</v>
      </c>
      <c r="C1000" s="1">
        <v>539</v>
      </c>
      <c r="D1000" s="1">
        <v>1</v>
      </c>
      <c r="E1000" s="5">
        <v>1</v>
      </c>
      <c r="F1000" s="3">
        <f>F999+E1000</f>
        <v>12</v>
      </c>
      <c r="G1000" s="5">
        <v>2.5</v>
      </c>
      <c r="H1000" s="3">
        <f>PI()*(G1000^2)/4</f>
        <v>4.908738521234052</v>
      </c>
      <c r="I1000" s="4">
        <v>4.9086999999999999E-2</v>
      </c>
      <c r="K1000" s="3">
        <v>261.78139359263105</v>
      </c>
      <c r="L1000" s="3">
        <v>624.89270999999997</v>
      </c>
      <c r="M1000" s="3">
        <v>1467.7926299999999</v>
      </c>
      <c r="N1000" s="12">
        <f>I1000/H1000</f>
        <v>9.9999215251863893E-3</v>
      </c>
      <c r="O1000" s="11">
        <f>I1000*10000</f>
        <v>490.87</v>
      </c>
      <c r="P1000" s="1">
        <v>10</v>
      </c>
      <c r="Q1000" s="15">
        <v>1</v>
      </c>
      <c r="R1000" s="3">
        <f>Q1000*VLOOKUP(P1000,[1]Datos!$A$2:$D$14,2)</f>
        <v>8.19</v>
      </c>
      <c r="S1000" s="10">
        <f>ROUNDUP(O1000/R1000,0)</f>
        <v>60</v>
      </c>
      <c r="T1000" s="14">
        <v>89</v>
      </c>
      <c r="U1000" s="3">
        <f>ROUNDDOWN(PI()*(G1000-0.185)/T1000,2)</f>
        <v>0.08</v>
      </c>
      <c r="V1000" s="3"/>
      <c r="W1000" s="1">
        <v>280</v>
      </c>
      <c r="X1000" s="9">
        <v>2</v>
      </c>
      <c r="Y1000" s="1">
        <v>4</v>
      </c>
      <c r="Z1000" s="3">
        <f>X1000*VLOOKUP(Y1000,[1]Datos!$A$2:$D$14,2)</f>
        <v>2.58</v>
      </c>
      <c r="AA1000" s="8">
        <v>0.15</v>
      </c>
      <c r="AB1000" s="7">
        <f>IF(D1000=0,0.9,0.5)*0.9*0.53*SQRT(W1000)*G1000*MAX(0.72*G1000,0.9*((G1000/2)+((G1000-0.11)/PI())))*10</f>
        <v>180.55532030650846</v>
      </c>
      <c r="AC1000" s="7">
        <f>0.9*Z1000*4220*MAX(0.72*G1000,0.9*((G1000/2)+((G1000-0.11)/PI())))/AA1000/1000</f>
        <v>118.21873003120976</v>
      </c>
      <c r="AD1000" s="6" t="str">
        <f>+IF(AC1000&gt;K1000-AB1000,"Cumple","No Cumple")</f>
        <v>Cumple</v>
      </c>
      <c r="AE1000" s="6"/>
      <c r="AH1000" s="3"/>
    </row>
    <row r="1001" spans="1:43" x14ac:dyDescent="0.3">
      <c r="A1001" s="13"/>
      <c r="B1001" s="1">
        <v>13</v>
      </c>
      <c r="C1001" s="1">
        <v>540</v>
      </c>
      <c r="D1001" s="1">
        <v>1</v>
      </c>
      <c r="E1001" s="5">
        <v>1</v>
      </c>
      <c r="F1001" s="3">
        <f>F1000+E1001</f>
        <v>13</v>
      </c>
      <c r="G1001" s="5">
        <v>2.5</v>
      </c>
      <c r="H1001" s="3">
        <f>PI()*(G1001^2)/4</f>
        <v>4.908738521234052</v>
      </c>
      <c r="I1001" s="4">
        <v>4.9086999999999999E-2</v>
      </c>
      <c r="K1001" s="3">
        <v>247.72841505588332</v>
      </c>
      <c r="L1001" s="3">
        <v>567.49399000000005</v>
      </c>
      <c r="M1001" s="3">
        <v>1235.5656300000001</v>
      </c>
      <c r="N1001" s="12">
        <f>I1001/H1001</f>
        <v>9.9999215251863893E-3</v>
      </c>
      <c r="O1001" s="11">
        <f>I1001*10000</f>
        <v>490.87</v>
      </c>
      <c r="P1001" s="1">
        <v>10</v>
      </c>
      <c r="Q1001" s="15">
        <v>1</v>
      </c>
      <c r="R1001" s="3">
        <f>Q1001*VLOOKUP(P1001,[1]Datos!$A$2:$D$14,2)</f>
        <v>8.19</v>
      </c>
      <c r="S1001" s="10">
        <f>ROUNDUP(O1001/R1001,0)</f>
        <v>60</v>
      </c>
      <c r="T1001" s="14">
        <v>89</v>
      </c>
      <c r="U1001" s="3">
        <f>ROUNDDOWN(PI()*(G1001-0.185)/T1001,2)</f>
        <v>0.08</v>
      </c>
      <c r="V1001" s="3"/>
      <c r="W1001" s="1">
        <v>280</v>
      </c>
      <c r="X1001" s="9">
        <v>2</v>
      </c>
      <c r="Y1001" s="1">
        <v>4</v>
      </c>
      <c r="Z1001" s="3">
        <f>X1001*VLOOKUP(Y1001,[1]Datos!$A$2:$D$14,2)</f>
        <v>2.58</v>
      </c>
      <c r="AA1001" s="8">
        <v>0.15</v>
      </c>
      <c r="AB1001" s="7">
        <f>IF(D1001=0,0.9,0.5)*0.9*0.53*SQRT(W1001)*G1001*MAX(0.72*G1001,0.9*((G1001/2)+((G1001-0.11)/PI())))*10</f>
        <v>180.55532030650846</v>
      </c>
      <c r="AC1001" s="7">
        <f>0.9*Z1001*4220*MAX(0.72*G1001,0.9*((G1001/2)+((G1001-0.11)/PI())))/AA1001/1000</f>
        <v>118.21873003120976</v>
      </c>
      <c r="AD1001" s="6" t="str">
        <f>+IF(AC1001&gt;K1001-AB1001,"Cumple","No Cumple")</f>
        <v>Cumple</v>
      </c>
      <c r="AE1001" s="6"/>
      <c r="AH1001" s="3"/>
    </row>
    <row r="1002" spans="1:43" x14ac:dyDescent="0.3">
      <c r="A1002" s="13"/>
      <c r="B1002" s="1">
        <v>14</v>
      </c>
      <c r="C1002" s="1">
        <v>541</v>
      </c>
      <c r="D1002" s="1">
        <v>1</v>
      </c>
      <c r="E1002" s="5">
        <v>1</v>
      </c>
      <c r="F1002" s="3">
        <f>F1001+E1002</f>
        <v>14</v>
      </c>
      <c r="G1002" s="5">
        <v>2.5</v>
      </c>
      <c r="H1002" s="3">
        <f>PI()*(G1002^2)/4</f>
        <v>4.908738521234052</v>
      </c>
      <c r="I1002" s="4">
        <v>4.9086999999999999E-2</v>
      </c>
      <c r="K1002" s="3">
        <v>227.04634852901734</v>
      </c>
      <c r="L1002" s="3">
        <v>506.30284999999998</v>
      </c>
      <c r="M1002" s="3">
        <v>1012.4866</v>
      </c>
      <c r="N1002" s="12">
        <f>I1002/H1002</f>
        <v>9.9999215251863893E-3</v>
      </c>
      <c r="O1002" s="11">
        <f>I1002*10000</f>
        <v>490.87</v>
      </c>
      <c r="P1002" s="1">
        <v>10</v>
      </c>
      <c r="Q1002" s="15">
        <v>1</v>
      </c>
      <c r="R1002" s="3">
        <f>Q1002*VLOOKUP(P1002,[1]Datos!$A$2:$D$14,2)</f>
        <v>8.19</v>
      </c>
      <c r="S1002" s="10">
        <f>ROUNDUP(O1002/R1002,0)</f>
        <v>60</v>
      </c>
      <c r="T1002" s="14">
        <v>89</v>
      </c>
      <c r="U1002" s="3">
        <f>ROUNDDOWN(PI()*(G1002-0.185)/T1002,2)</f>
        <v>0.08</v>
      </c>
      <c r="V1002" s="3"/>
      <c r="W1002" s="1">
        <v>280</v>
      </c>
      <c r="X1002" s="9">
        <v>2</v>
      </c>
      <c r="Y1002" s="1">
        <v>4</v>
      </c>
      <c r="Z1002" s="3">
        <f>X1002*VLOOKUP(Y1002,[1]Datos!$A$2:$D$14,2)</f>
        <v>2.58</v>
      </c>
      <c r="AA1002" s="8">
        <v>0.3</v>
      </c>
      <c r="AB1002" s="7">
        <f>IF(D1002=0,0.9,0.5)*0.9*0.53*SQRT(W1002)*G1002*MAX(0.72*G1002,0.9*((G1002/2)+((G1002-0.11)/PI())))*10</f>
        <v>180.55532030650846</v>
      </c>
      <c r="AC1002" s="7">
        <f>0.9*Z1002*4220*MAX(0.72*G1002,0.9*((G1002/2)+((G1002-0.11)/PI())))/AA1002/1000</f>
        <v>59.10936501560488</v>
      </c>
      <c r="AD1002" s="6" t="str">
        <f>+IF(AC1002&gt;K1002-AB1002,"Cumple","No Cumple")</f>
        <v>Cumple</v>
      </c>
      <c r="AE1002" s="6"/>
      <c r="AH1002" s="3"/>
    </row>
    <row r="1003" spans="1:43" x14ac:dyDescent="0.3">
      <c r="A1003" s="13"/>
      <c r="B1003" s="1">
        <v>15</v>
      </c>
      <c r="C1003" s="1">
        <v>542</v>
      </c>
      <c r="D1003" s="1">
        <v>1</v>
      </c>
      <c r="E1003" s="5">
        <v>1</v>
      </c>
      <c r="F1003" s="3">
        <f>F1002+E1003</f>
        <v>15</v>
      </c>
      <c r="G1003" s="5">
        <v>2.5</v>
      </c>
      <c r="H1003" s="3">
        <f>PI()*(G1003^2)/4</f>
        <v>4.908738521234052</v>
      </c>
      <c r="I1003" s="4">
        <v>4.9086999999999999E-2</v>
      </c>
      <c r="K1003" s="3">
        <v>201.57323325823793</v>
      </c>
      <c r="L1003" s="3">
        <v>438.25871000000001</v>
      </c>
      <c r="M1003" s="3">
        <v>805.55538000000001</v>
      </c>
      <c r="N1003" s="12">
        <f>I1003/H1003</f>
        <v>9.9999215251863893E-3</v>
      </c>
      <c r="O1003" s="11">
        <f>I1003*10000</f>
        <v>490.87</v>
      </c>
      <c r="P1003" s="1">
        <v>10</v>
      </c>
      <c r="Q1003" s="1">
        <v>1</v>
      </c>
      <c r="R1003" s="3">
        <f>Q1003*VLOOKUP(P1003,[1]Datos!$A$2:$D$14,2)</f>
        <v>8.19</v>
      </c>
      <c r="S1003" s="10">
        <f>ROUNDUP(O1003/R1003,0)</f>
        <v>60</v>
      </c>
      <c r="T1003" s="2">
        <v>60</v>
      </c>
      <c r="U1003" s="3">
        <f>ROUNDDOWN(PI()*(G1003-0.185)/T1003,2)</f>
        <v>0.12</v>
      </c>
      <c r="V1003" s="3"/>
      <c r="W1003" s="1">
        <v>280</v>
      </c>
      <c r="X1003" s="9">
        <v>2</v>
      </c>
      <c r="Y1003" s="1">
        <v>4</v>
      </c>
      <c r="Z1003" s="3">
        <f>X1003*VLOOKUP(Y1003,[1]Datos!$A$2:$D$14,2)</f>
        <v>2.58</v>
      </c>
      <c r="AA1003" s="8">
        <v>0.3</v>
      </c>
      <c r="AB1003" s="7">
        <f>IF(D1003=0,0.9,0.5)*0.9*0.53*SQRT(W1003)*G1003*MAX(0.72*G1003,0.9*((G1003/2)+((G1003-0.11)/PI())))*10</f>
        <v>180.55532030650846</v>
      </c>
      <c r="AC1003" s="7">
        <f>0.9*Z1003*4220*MAX(0.72*G1003,0.9*((G1003/2)+((G1003-0.11)/PI())))/AA1003/1000</f>
        <v>59.10936501560488</v>
      </c>
      <c r="AD1003" s="6" t="str">
        <f>+IF(AC1003&gt;K1003-AB1003,"Cumple","No Cumple")</f>
        <v>Cumple</v>
      </c>
      <c r="AE1003" s="6"/>
      <c r="AH1003" s="3"/>
    </row>
    <row r="1004" spans="1:43" x14ac:dyDescent="0.3">
      <c r="A1004" s="13"/>
      <c r="B1004" s="1">
        <v>16</v>
      </c>
      <c r="C1004" s="1">
        <v>543</v>
      </c>
      <c r="D1004" s="1">
        <v>1</v>
      </c>
      <c r="E1004" s="5">
        <v>1</v>
      </c>
      <c r="F1004" s="3">
        <f>F1003+E1004</f>
        <v>16</v>
      </c>
      <c r="G1004" s="5">
        <v>2.5</v>
      </c>
      <c r="H1004" s="3">
        <f>PI()*(G1004^2)/4</f>
        <v>4.908738521234052</v>
      </c>
      <c r="I1004" s="4">
        <v>4.9086999999999999E-2</v>
      </c>
      <c r="K1004" s="3">
        <v>173.17580663432753</v>
      </c>
      <c r="L1004" s="3">
        <v>367.46744000000001</v>
      </c>
      <c r="M1004" s="3">
        <v>619.92361000000005</v>
      </c>
      <c r="N1004" s="12">
        <f>I1004/H1004</f>
        <v>9.9999215251863893E-3</v>
      </c>
      <c r="O1004" s="11">
        <f>I1004*10000</f>
        <v>490.87</v>
      </c>
      <c r="P1004" s="1">
        <v>10</v>
      </c>
      <c r="Q1004" s="1">
        <v>1</v>
      </c>
      <c r="R1004" s="3">
        <f>Q1004*VLOOKUP(P1004,[1]Datos!$A$2:$D$14,2)</f>
        <v>8.19</v>
      </c>
      <c r="S1004" s="10">
        <f>ROUNDUP(O1004/R1004,0)</f>
        <v>60</v>
      </c>
      <c r="T1004" s="2">
        <v>60</v>
      </c>
      <c r="U1004" s="3">
        <f>ROUNDDOWN(PI()*(G1004-0.185)/T1004,2)</f>
        <v>0.12</v>
      </c>
      <c r="V1004" s="3"/>
      <c r="W1004" s="1">
        <v>280</v>
      </c>
      <c r="X1004" s="9">
        <v>2</v>
      </c>
      <c r="Y1004" s="1">
        <v>4</v>
      </c>
      <c r="Z1004" s="3">
        <f>X1004*VLOOKUP(Y1004,[1]Datos!$A$2:$D$14,2)</f>
        <v>2.58</v>
      </c>
      <c r="AA1004" s="8">
        <v>0.3</v>
      </c>
      <c r="AB1004" s="7">
        <f>IF(D1004=0,0.9,0.5)*0.9*0.53*SQRT(W1004)*G1004*MAX(0.72*G1004,0.9*((G1004/2)+((G1004-0.11)/PI())))*10</f>
        <v>180.55532030650846</v>
      </c>
      <c r="AC1004" s="7">
        <f>0.9*Z1004*4220*MAX(0.72*G1004,0.9*((G1004/2)+((G1004-0.11)/PI())))/AA1004/1000</f>
        <v>59.10936501560488</v>
      </c>
      <c r="AD1004" s="6" t="str">
        <f>+IF(AC1004&gt;K1004-AB1004,"Cumple","No Cumple")</f>
        <v>Cumple</v>
      </c>
      <c r="AE1004" s="6"/>
      <c r="AH1004" s="3"/>
    </row>
    <row r="1005" spans="1:43" x14ac:dyDescent="0.3">
      <c r="A1005" s="13"/>
      <c r="B1005" s="1">
        <v>17</v>
      </c>
      <c r="C1005" s="1">
        <v>544</v>
      </c>
      <c r="D1005" s="1">
        <v>1</v>
      </c>
      <c r="E1005" s="5">
        <v>1</v>
      </c>
      <c r="F1005" s="3">
        <f>F1004+E1005</f>
        <v>17</v>
      </c>
      <c r="G1005" s="5">
        <v>2.5</v>
      </c>
      <c r="H1005" s="3">
        <f>PI()*(G1005^2)/4</f>
        <v>4.908738521234052</v>
      </c>
      <c r="I1005" s="4">
        <v>4.9086999999999999E-2</v>
      </c>
      <c r="K1005" s="3">
        <v>144.56876521783676</v>
      </c>
      <c r="L1005" s="3">
        <v>297.43452000000002</v>
      </c>
      <c r="M1005" s="3">
        <v>458.92568</v>
      </c>
      <c r="N1005" s="12">
        <f>I1005/H1005</f>
        <v>9.9999215251863893E-3</v>
      </c>
      <c r="O1005" s="11">
        <f>I1005*10000</f>
        <v>490.87</v>
      </c>
      <c r="P1005" s="1">
        <v>10</v>
      </c>
      <c r="Q1005" s="1">
        <v>1</v>
      </c>
      <c r="R1005" s="3">
        <f>Q1005*VLOOKUP(P1005,[1]Datos!$A$2:$D$14,2)</f>
        <v>8.19</v>
      </c>
      <c r="S1005" s="10">
        <f>ROUNDUP(O1005/R1005,0)</f>
        <v>60</v>
      </c>
      <c r="T1005" s="2">
        <v>60</v>
      </c>
      <c r="U1005" s="3">
        <f>ROUNDDOWN(PI()*(G1005-0.185)/T1005,2)</f>
        <v>0.12</v>
      </c>
      <c r="V1005" s="3"/>
      <c r="W1005" s="1">
        <v>280</v>
      </c>
      <c r="X1005" s="9">
        <v>2</v>
      </c>
      <c r="Y1005" s="1">
        <v>4</v>
      </c>
      <c r="Z1005" s="3">
        <f>X1005*VLOOKUP(Y1005,[1]Datos!$A$2:$D$14,2)</f>
        <v>2.58</v>
      </c>
      <c r="AA1005" s="8">
        <v>0.3</v>
      </c>
      <c r="AB1005" s="7">
        <f>IF(D1005=0,0.9,0.5)*0.9*0.53*SQRT(W1005)*G1005*MAX(0.72*G1005,0.9*((G1005/2)+((G1005-0.11)/PI())))*10</f>
        <v>180.55532030650846</v>
      </c>
      <c r="AC1005" s="7">
        <f>0.9*Z1005*4220*MAX(0.72*G1005,0.9*((G1005/2)+((G1005-0.11)/PI())))/AA1005/1000</f>
        <v>59.10936501560488</v>
      </c>
      <c r="AD1005" s="6" t="str">
        <f>+IF(AC1005&gt;K1005-AB1005,"Cumple","No Cumple")</f>
        <v>Cumple</v>
      </c>
      <c r="AE1005" s="6"/>
      <c r="AH1005" s="3"/>
    </row>
    <row r="1006" spans="1:43" x14ac:dyDescent="0.3">
      <c r="A1006" s="13"/>
      <c r="B1006" s="1">
        <v>18</v>
      </c>
      <c r="C1006" s="1">
        <v>545</v>
      </c>
      <c r="D1006" s="1">
        <v>1</v>
      </c>
      <c r="E1006" s="5">
        <v>1</v>
      </c>
      <c r="F1006" s="3">
        <f>F1005+E1006</f>
        <v>18</v>
      </c>
      <c r="G1006" s="5">
        <v>2.5</v>
      </c>
      <c r="H1006" s="3">
        <f>PI()*(G1006^2)/4</f>
        <v>4.908738521234052</v>
      </c>
      <c r="I1006" s="4">
        <v>4.9086999999999999E-2</v>
      </c>
      <c r="K1006" s="3">
        <v>116.13883252870247</v>
      </c>
      <c r="L1006" s="3">
        <v>231.02544</v>
      </c>
      <c r="M1006" s="3">
        <v>324.21123999999998</v>
      </c>
      <c r="N1006" s="12">
        <f>I1006/H1006</f>
        <v>9.9999215251863893E-3</v>
      </c>
      <c r="O1006" s="11">
        <f>I1006*10000</f>
        <v>490.87</v>
      </c>
      <c r="P1006" s="1">
        <v>10</v>
      </c>
      <c r="Q1006" s="1">
        <v>1</v>
      </c>
      <c r="R1006" s="3">
        <f>Q1006*VLOOKUP(P1006,[1]Datos!$A$2:$D$14,2)</f>
        <v>8.19</v>
      </c>
      <c r="S1006" s="10">
        <f>ROUNDUP(O1006/R1006,0)</f>
        <v>60</v>
      </c>
      <c r="T1006" s="2">
        <v>60</v>
      </c>
      <c r="U1006" s="3">
        <f>ROUNDDOWN(PI()*(G1006-0.185)/T1006,2)</f>
        <v>0.12</v>
      </c>
      <c r="V1006" s="3"/>
      <c r="W1006" s="1">
        <v>280</v>
      </c>
      <c r="X1006" s="9">
        <v>2</v>
      </c>
      <c r="Y1006" s="1">
        <v>4</v>
      </c>
      <c r="Z1006" s="3">
        <f>X1006*VLOOKUP(Y1006,[1]Datos!$A$2:$D$14,2)</f>
        <v>2.58</v>
      </c>
      <c r="AA1006" s="8">
        <v>0.3</v>
      </c>
      <c r="AB1006" s="7">
        <f>IF(D1006=0,0.9,0.5)*0.9*0.53*SQRT(W1006)*G1006*MAX(0.72*G1006,0.9*((G1006/2)+((G1006-0.11)/PI())))*10</f>
        <v>180.55532030650846</v>
      </c>
      <c r="AC1006" s="7">
        <f>0.9*Z1006*4220*MAX(0.72*G1006,0.9*((G1006/2)+((G1006-0.11)/PI())))/AA1006/1000</f>
        <v>59.10936501560488</v>
      </c>
      <c r="AD1006" s="6" t="str">
        <f>+IF(AC1006&gt;K1006-AB1006,"Cumple","No Cumple")</f>
        <v>Cumple</v>
      </c>
      <c r="AE1006" s="6"/>
      <c r="AH1006" s="3"/>
    </row>
    <row r="1007" spans="1:43" x14ac:dyDescent="0.3">
      <c r="A1007" s="13"/>
      <c r="B1007" s="1">
        <v>19</v>
      </c>
      <c r="C1007" s="1">
        <v>546</v>
      </c>
      <c r="D1007" s="1">
        <v>1</v>
      </c>
      <c r="E1007" s="5">
        <v>1</v>
      </c>
      <c r="F1007" s="3">
        <f>F1006+E1007</f>
        <v>19</v>
      </c>
      <c r="G1007" s="5">
        <v>2.5</v>
      </c>
      <c r="H1007" s="3">
        <f>PI()*(G1007^2)/4</f>
        <v>4.908738521234052</v>
      </c>
      <c r="I1007" s="4">
        <v>4.9086999999999999E-2</v>
      </c>
      <c r="K1007" s="3">
        <v>89.07751761409834</v>
      </c>
      <c r="L1007" s="3">
        <v>170.48175000000001</v>
      </c>
      <c r="M1007" s="3">
        <v>215.94380000000001</v>
      </c>
      <c r="N1007" s="12">
        <f>I1007/H1007</f>
        <v>9.9999215251863893E-3</v>
      </c>
      <c r="O1007" s="11">
        <f>I1007*10000</f>
        <v>490.87</v>
      </c>
      <c r="P1007" s="1">
        <v>10</v>
      </c>
      <c r="Q1007" s="1">
        <v>1</v>
      </c>
      <c r="R1007" s="3">
        <f>Q1007*VLOOKUP(P1007,[1]Datos!$A$2:$D$14,2)</f>
        <v>8.19</v>
      </c>
      <c r="S1007" s="10">
        <f>ROUNDUP(O1007/R1007,0)</f>
        <v>60</v>
      </c>
      <c r="T1007" s="2">
        <v>60</v>
      </c>
      <c r="U1007" s="3">
        <f>ROUNDDOWN(PI()*(G1007-0.185)/T1007,2)</f>
        <v>0.12</v>
      </c>
      <c r="V1007" s="3"/>
      <c r="W1007" s="1">
        <v>280</v>
      </c>
      <c r="X1007" s="9">
        <v>2</v>
      </c>
      <c r="Y1007" s="1">
        <v>4</v>
      </c>
      <c r="Z1007" s="3">
        <f>X1007*VLOOKUP(Y1007,[1]Datos!$A$2:$D$14,2)</f>
        <v>2.58</v>
      </c>
      <c r="AA1007" s="8">
        <v>0.3</v>
      </c>
      <c r="AB1007" s="7">
        <f>IF(D1007=0,0.9,0.5)*0.9*0.53*SQRT(W1007)*G1007*MAX(0.72*G1007,0.9*((G1007/2)+((G1007-0.11)/PI())))*10</f>
        <v>180.55532030650846</v>
      </c>
      <c r="AC1007" s="7">
        <f>0.9*Z1007*4220*MAX(0.72*G1007,0.9*((G1007/2)+((G1007-0.11)/PI())))/AA1007/1000</f>
        <v>59.10936501560488</v>
      </c>
      <c r="AD1007" s="6" t="str">
        <f>+IF(AC1007&gt;K1007-AB1007,"Cumple","No Cumple")</f>
        <v>Cumple</v>
      </c>
      <c r="AE1007" s="6"/>
      <c r="AH1007" s="3"/>
    </row>
    <row r="1008" spans="1:43" x14ac:dyDescent="0.3">
      <c r="A1008" s="13"/>
      <c r="B1008" s="1">
        <v>20</v>
      </c>
      <c r="C1008" s="1">
        <v>547</v>
      </c>
      <c r="D1008" s="1">
        <v>1</v>
      </c>
      <c r="E1008" s="5">
        <v>1</v>
      </c>
      <c r="F1008" s="3">
        <f>F1007+E1008</f>
        <v>20</v>
      </c>
      <c r="G1008" s="5">
        <v>2.5</v>
      </c>
      <c r="H1008" s="3">
        <f>PI()*(G1008^2)/4</f>
        <v>4.908738521234052</v>
      </c>
      <c r="I1008" s="4">
        <v>4.9086999999999999E-2</v>
      </c>
      <c r="K1008" s="3">
        <v>64.493370474956563</v>
      </c>
      <c r="L1008" s="3">
        <v>117.47427</v>
      </c>
      <c r="M1008" s="3">
        <v>133.03220999999999</v>
      </c>
      <c r="N1008" s="12">
        <f>I1008/H1008</f>
        <v>9.9999215251863893E-3</v>
      </c>
      <c r="O1008" s="11">
        <f>I1008*10000</f>
        <v>490.87</v>
      </c>
      <c r="P1008" s="1">
        <v>10</v>
      </c>
      <c r="Q1008" s="1">
        <v>1</v>
      </c>
      <c r="R1008" s="3">
        <f>Q1008*VLOOKUP(P1008,[1]Datos!$A$2:$D$14,2)</f>
        <v>8.19</v>
      </c>
      <c r="S1008" s="10">
        <f>ROUNDUP(O1008/R1008,0)</f>
        <v>60</v>
      </c>
      <c r="T1008" s="2">
        <v>60</v>
      </c>
      <c r="U1008" s="3">
        <f>ROUNDDOWN(PI()*(G1008-0.185)/T1008,2)</f>
        <v>0.12</v>
      </c>
      <c r="V1008" s="3"/>
      <c r="W1008" s="1">
        <v>280</v>
      </c>
      <c r="X1008" s="9">
        <v>2</v>
      </c>
      <c r="Y1008" s="1">
        <v>4</v>
      </c>
      <c r="Z1008" s="3">
        <f>X1008*VLOOKUP(Y1008,[1]Datos!$A$2:$D$14,2)</f>
        <v>2.58</v>
      </c>
      <c r="AA1008" s="8">
        <v>0.3</v>
      </c>
      <c r="AB1008" s="7">
        <f>IF(D1008=0,0.9,0.5)*0.9*0.53*SQRT(W1008)*G1008*MAX(0.72*G1008,0.9*((G1008/2)+((G1008-0.11)/PI())))*10</f>
        <v>180.55532030650846</v>
      </c>
      <c r="AC1008" s="7">
        <f>0.9*Z1008*4220*MAX(0.72*G1008,0.9*((G1008/2)+((G1008-0.11)/PI())))/AA1008/1000</f>
        <v>59.10936501560488</v>
      </c>
      <c r="AD1008" s="6" t="str">
        <f>+IF(AC1008&gt;K1008-AB1008,"Cumple","No Cumple")</f>
        <v>Cumple</v>
      </c>
      <c r="AE1008" s="6"/>
      <c r="AH1008" s="3"/>
    </row>
    <row r="1009" spans="1:34" x14ac:dyDescent="0.3">
      <c r="A1009" s="13"/>
      <c r="B1009" s="1">
        <v>21</v>
      </c>
      <c r="C1009" s="1">
        <v>688</v>
      </c>
      <c r="D1009" s="1">
        <v>1</v>
      </c>
      <c r="E1009" s="5">
        <v>1</v>
      </c>
      <c r="F1009" s="3">
        <f>F1008+E1009</f>
        <v>21</v>
      </c>
      <c r="G1009" s="5">
        <v>2.5</v>
      </c>
      <c r="H1009" s="3">
        <f>PI()*(G1009^2)/4</f>
        <v>4.908738521234052</v>
      </c>
      <c r="I1009" s="4">
        <v>4.9086999999999999E-2</v>
      </c>
      <c r="K1009" s="3">
        <v>45.412475893965528</v>
      </c>
      <c r="L1009" s="3">
        <v>73.180070000000001</v>
      </c>
      <c r="M1009" s="3">
        <v>73.739570000000001</v>
      </c>
      <c r="N1009" s="12">
        <f>I1009/H1009</f>
        <v>9.9999215251863893E-3</v>
      </c>
      <c r="O1009" s="11">
        <f>I1009*10000</f>
        <v>490.87</v>
      </c>
      <c r="P1009" s="1">
        <v>10</v>
      </c>
      <c r="Q1009" s="1">
        <v>1</v>
      </c>
      <c r="R1009" s="3">
        <f>Q1009*VLOOKUP(P1009,[1]Datos!$A$2:$D$14,2)</f>
        <v>8.19</v>
      </c>
      <c r="S1009" s="10">
        <f>ROUNDUP(O1009/R1009,0)</f>
        <v>60</v>
      </c>
      <c r="T1009" s="2">
        <v>60</v>
      </c>
      <c r="U1009" s="3">
        <f>ROUNDDOWN(PI()*(G1009-0.185)/T1009,2)</f>
        <v>0.12</v>
      </c>
      <c r="V1009" s="3"/>
      <c r="W1009" s="1">
        <v>280</v>
      </c>
      <c r="X1009" s="9">
        <v>2</v>
      </c>
      <c r="Y1009" s="1">
        <v>4</v>
      </c>
      <c r="Z1009" s="3">
        <f>X1009*VLOOKUP(Y1009,[1]Datos!$A$2:$D$14,2)</f>
        <v>2.58</v>
      </c>
      <c r="AA1009" s="8">
        <v>0.3</v>
      </c>
      <c r="AB1009" s="7">
        <f>IF(D1009=0,0.9,0.5)*0.9*0.53*SQRT(W1009)*G1009*MAX(0.72*G1009,0.9*((G1009/2)+((G1009-0.11)/PI())))*10</f>
        <v>180.55532030650846</v>
      </c>
      <c r="AC1009" s="7">
        <f>0.9*Z1009*4220*MAX(0.72*G1009,0.9*((G1009/2)+((G1009-0.11)/PI())))/AA1009/1000</f>
        <v>59.10936501560488</v>
      </c>
      <c r="AD1009" s="6" t="str">
        <f>+IF(AC1009&gt;K1009-AB1009,"Cumple","No Cumple")</f>
        <v>Cumple</v>
      </c>
      <c r="AE1009" s="6"/>
      <c r="AH1009" s="3"/>
    </row>
    <row r="1010" spans="1:34" x14ac:dyDescent="0.3">
      <c r="A1010" s="13"/>
      <c r="B1010" s="1">
        <v>22</v>
      </c>
      <c r="C1010" s="1">
        <v>690</v>
      </c>
      <c r="D1010" s="1">
        <v>1</v>
      </c>
      <c r="E1010" s="5">
        <v>1</v>
      </c>
      <c r="F1010" s="3">
        <f>F1009+E1010</f>
        <v>22</v>
      </c>
      <c r="G1010" s="5">
        <v>2.5</v>
      </c>
      <c r="H1010" s="3">
        <f>PI()*(G1010^2)/4</f>
        <v>4.908738521234052</v>
      </c>
      <c r="I1010" s="4">
        <v>4.9086999999999999E-2</v>
      </c>
      <c r="K1010" s="3">
        <v>30.597236584371469</v>
      </c>
      <c r="L1010" s="3">
        <v>38.409140000000001</v>
      </c>
      <c r="M1010" s="3">
        <v>34.481270000000002</v>
      </c>
      <c r="N1010" s="12">
        <f>I1010/H1010</f>
        <v>9.9999215251863893E-3</v>
      </c>
      <c r="O1010" s="11">
        <f>I1010*10000</f>
        <v>490.87</v>
      </c>
      <c r="P1010" s="1">
        <v>10</v>
      </c>
      <c r="Q1010" s="1">
        <v>1</v>
      </c>
      <c r="R1010" s="3">
        <f>Q1010*VLOOKUP(P1010,[1]Datos!$A$2:$D$14,2)</f>
        <v>8.19</v>
      </c>
      <c r="S1010" s="10">
        <f>ROUNDUP(O1010/R1010,0)</f>
        <v>60</v>
      </c>
      <c r="T1010" s="2">
        <v>60</v>
      </c>
      <c r="U1010" s="3">
        <f>ROUNDDOWN(PI()*(G1010-0.185)/T1010,2)</f>
        <v>0.12</v>
      </c>
      <c r="V1010" s="3"/>
      <c r="W1010" s="1">
        <v>280</v>
      </c>
      <c r="X1010" s="9">
        <v>2</v>
      </c>
      <c r="Y1010" s="1">
        <v>4</v>
      </c>
      <c r="Z1010" s="3">
        <f>X1010*VLOOKUP(Y1010,[1]Datos!$A$2:$D$14,2)</f>
        <v>2.58</v>
      </c>
      <c r="AA1010" s="8">
        <v>0.3</v>
      </c>
      <c r="AB1010" s="7">
        <f>IF(D1010=0,0.9,0.5)*0.9*0.53*SQRT(W1010)*G1010*MAX(0.72*G1010,0.9*((G1010/2)+((G1010-0.11)/PI())))*10</f>
        <v>180.55532030650846</v>
      </c>
      <c r="AC1010" s="7">
        <f>0.9*Z1010*4220*MAX(0.72*G1010,0.9*((G1010/2)+((G1010-0.11)/PI())))/AA1010/1000</f>
        <v>59.10936501560488</v>
      </c>
      <c r="AD1010" s="6" t="str">
        <f>+IF(AC1010&gt;K1010-AB1010,"Cumple","No Cumple")</f>
        <v>Cumple</v>
      </c>
      <c r="AE1010" s="6"/>
      <c r="AH1010" s="3"/>
    </row>
    <row r="1011" spans="1:34" x14ac:dyDescent="0.3">
      <c r="A1011" s="13"/>
      <c r="B1011" s="1">
        <v>23</v>
      </c>
      <c r="C1011" s="1">
        <v>692</v>
      </c>
      <c r="D1011" s="1">
        <v>1</v>
      </c>
      <c r="E1011" s="5">
        <v>1</v>
      </c>
      <c r="F1011" s="3">
        <f>F1010+E1011</f>
        <v>23</v>
      </c>
      <c r="G1011" s="5">
        <v>2.5</v>
      </c>
      <c r="H1011" s="3">
        <f>PI()*(G1011^2)/4</f>
        <v>4.908738521234052</v>
      </c>
      <c r="I1011" s="4">
        <v>4.9086999999999999E-2</v>
      </c>
      <c r="K1011" s="3">
        <v>16.413416485607133</v>
      </c>
      <c r="L1011" s="3">
        <v>13.83586</v>
      </c>
      <c r="M1011" s="3">
        <v>11.447279999999999</v>
      </c>
      <c r="N1011" s="12">
        <f>I1011/H1011</f>
        <v>9.9999215251863893E-3</v>
      </c>
      <c r="O1011" s="11">
        <f>I1011*10000</f>
        <v>490.87</v>
      </c>
      <c r="P1011" s="1">
        <v>10</v>
      </c>
      <c r="Q1011" s="1">
        <v>1</v>
      </c>
      <c r="R1011" s="3">
        <f>Q1011*VLOOKUP(P1011,[1]Datos!$A$2:$D$14,2)</f>
        <v>8.19</v>
      </c>
      <c r="S1011" s="10">
        <f>ROUNDUP(O1011/R1011,0)</f>
        <v>60</v>
      </c>
      <c r="T1011" s="2">
        <v>60</v>
      </c>
      <c r="U1011" s="3">
        <f>ROUNDDOWN(PI()*(G1011-0.185)/T1011,2)</f>
        <v>0.12</v>
      </c>
      <c r="V1011" s="3"/>
      <c r="W1011" s="1">
        <v>280</v>
      </c>
      <c r="X1011" s="9">
        <v>2</v>
      </c>
      <c r="Y1011" s="1">
        <v>4</v>
      </c>
      <c r="Z1011" s="3">
        <f>X1011*VLOOKUP(Y1011,[1]Datos!$A$2:$D$14,2)</f>
        <v>2.58</v>
      </c>
      <c r="AA1011" s="8">
        <v>0.3</v>
      </c>
      <c r="AB1011" s="7">
        <f>IF(D1011=0,0.9,0.5)*0.9*0.53*SQRT(W1011)*G1011*MAX(0.72*G1011,0.9*((G1011/2)+((G1011-0.11)/PI())))*10</f>
        <v>180.55532030650846</v>
      </c>
      <c r="AC1011" s="7">
        <f>0.9*Z1011*4220*MAX(0.72*G1011,0.9*((G1011/2)+((G1011-0.11)/PI())))/AA1011/1000</f>
        <v>59.10936501560488</v>
      </c>
      <c r="AD1011" s="6" t="str">
        <f>+IF(AC1011&gt;K1011-AB1011,"Cumple","No Cumple")</f>
        <v>Cumple</v>
      </c>
      <c r="AE1011" s="6"/>
      <c r="AH1011" s="3"/>
    </row>
  </sheetData>
  <mergeCells count="25">
    <mergeCell ref="AF1:AQ2"/>
    <mergeCell ref="A496:A535"/>
    <mergeCell ref="A536:A554"/>
    <mergeCell ref="B2:C2"/>
    <mergeCell ref="B1:C1"/>
    <mergeCell ref="E1:H2"/>
    <mergeCell ref="A4:A20"/>
    <mergeCell ref="A21:A37"/>
    <mergeCell ref="N1:V2"/>
    <mergeCell ref="A555:A573"/>
    <mergeCell ref="A574:A621"/>
    <mergeCell ref="A622:A669"/>
    <mergeCell ref="A670:A710"/>
    <mergeCell ref="A711:A751"/>
    <mergeCell ref="W1:AD2"/>
    <mergeCell ref="A989:A1011"/>
    <mergeCell ref="A812:A833"/>
    <mergeCell ref="A834:A855"/>
    <mergeCell ref="A856:A885"/>
    <mergeCell ref="A886:A915"/>
    <mergeCell ref="A752:A781"/>
    <mergeCell ref="A782:A811"/>
    <mergeCell ref="A916:A940"/>
    <mergeCell ref="A941:A965"/>
    <mergeCell ref="A966:A988"/>
  </mergeCells>
  <conditionalFormatting sqref="AQ31:AQ495 AD38:AE1011 AD4:AE9 AD12:AE20">
    <cfRule type="containsText" dxfId="667" priority="281" operator="containsText" text="No Cumple">
      <formula>NOT(ISERROR(SEARCH("No Cumple",AD4)))</formula>
    </cfRule>
    <cfRule type="containsText" dxfId="666" priority="282" operator="containsText" text="Cumple">
      <formula>NOT(ISERROR(SEARCH("Cumple",AD4)))</formula>
    </cfRule>
  </conditionalFormatting>
  <conditionalFormatting sqref="AQ9:AQ20 AQ500:AQ503">
    <cfRule type="containsText" dxfId="665" priority="279" operator="containsText" text="No Cumple">
      <formula>NOT(ISERROR(SEARCH("No Cumple",AQ9)))</formula>
    </cfRule>
    <cfRule type="containsText" dxfId="664" priority="280" operator="containsText" text="Cumple">
      <formula>NOT(ISERROR(SEARCH("Cumple",AQ9)))</formula>
    </cfRule>
  </conditionalFormatting>
  <conditionalFormatting sqref="AQ504">
    <cfRule type="containsText" dxfId="663" priority="277" operator="containsText" text="No Cumple">
      <formula>NOT(ISERROR(SEARCH("No Cumple",AQ504)))</formula>
    </cfRule>
    <cfRule type="containsText" dxfId="662" priority="278" operator="containsText" text="Cumple">
      <formula>NOT(ISERROR(SEARCH("Cumple",AQ504)))</formula>
    </cfRule>
  </conditionalFormatting>
  <conditionalFormatting sqref="AQ510">
    <cfRule type="containsText" dxfId="661" priority="275" operator="containsText" text="No Cumple">
      <formula>NOT(ISERROR(SEARCH("No Cumple",AQ510)))</formula>
    </cfRule>
    <cfRule type="containsText" dxfId="660" priority="276" operator="containsText" text="Cumple">
      <formula>NOT(ISERROR(SEARCH("Cumple",AQ510)))</formula>
    </cfRule>
  </conditionalFormatting>
  <conditionalFormatting sqref="AQ496:AQ498">
    <cfRule type="containsText" dxfId="659" priority="273" operator="containsText" text="No Cumple">
      <formula>NOT(ISERROR(SEARCH("No Cumple",AQ496)))</formula>
    </cfRule>
    <cfRule type="containsText" dxfId="658" priority="274" operator="containsText" text="Cumple">
      <formula>NOT(ISERROR(SEARCH("Cumple",AQ496)))</formula>
    </cfRule>
  </conditionalFormatting>
  <conditionalFormatting sqref="AQ499">
    <cfRule type="containsText" dxfId="657" priority="271" operator="containsText" text="No Cumple">
      <formula>NOT(ISERROR(SEARCH("No Cumple",AQ499)))</formula>
    </cfRule>
    <cfRule type="containsText" dxfId="656" priority="272" operator="containsText" text="Cumple">
      <formula>NOT(ISERROR(SEARCH("Cumple",AQ499)))</formula>
    </cfRule>
  </conditionalFormatting>
  <conditionalFormatting sqref="AQ514:AQ516">
    <cfRule type="containsText" dxfId="655" priority="269" operator="containsText" text="No Cumple">
      <formula>NOT(ISERROR(SEARCH("No Cumple",AQ514)))</formula>
    </cfRule>
    <cfRule type="containsText" dxfId="654" priority="270" operator="containsText" text="Cumple">
      <formula>NOT(ISERROR(SEARCH("Cumple",AQ514)))</formula>
    </cfRule>
  </conditionalFormatting>
  <conditionalFormatting sqref="AQ517">
    <cfRule type="containsText" dxfId="653" priority="267" operator="containsText" text="No Cumple">
      <formula>NOT(ISERROR(SEARCH("No Cumple",AQ517)))</formula>
    </cfRule>
    <cfRule type="containsText" dxfId="652" priority="268" operator="containsText" text="Cumple">
      <formula>NOT(ISERROR(SEARCH("Cumple",AQ517)))</formula>
    </cfRule>
  </conditionalFormatting>
  <conditionalFormatting sqref="AQ574:AQ576">
    <cfRule type="containsText" dxfId="651" priority="265" operator="containsText" text="No Cumple">
      <formula>NOT(ISERROR(SEARCH("No Cumple",AQ574)))</formula>
    </cfRule>
    <cfRule type="containsText" dxfId="650" priority="266" operator="containsText" text="Cumple">
      <formula>NOT(ISERROR(SEARCH("Cumple",AQ574)))</formula>
    </cfRule>
  </conditionalFormatting>
  <conditionalFormatting sqref="AQ577">
    <cfRule type="containsText" dxfId="649" priority="263" operator="containsText" text="No Cumple">
      <formula>NOT(ISERROR(SEARCH("No Cumple",AQ577)))</formula>
    </cfRule>
    <cfRule type="containsText" dxfId="648" priority="264" operator="containsText" text="Cumple">
      <formula>NOT(ISERROR(SEARCH("Cumple",AQ577)))</formula>
    </cfRule>
  </conditionalFormatting>
  <conditionalFormatting sqref="AQ595:AQ597">
    <cfRule type="containsText" dxfId="647" priority="261" operator="containsText" text="No Cumple">
      <formula>NOT(ISERROR(SEARCH("No Cumple",AQ595)))</formula>
    </cfRule>
    <cfRule type="containsText" dxfId="646" priority="262" operator="containsText" text="Cumple">
      <formula>NOT(ISERROR(SEARCH("Cumple",AQ595)))</formula>
    </cfRule>
  </conditionalFormatting>
  <conditionalFormatting sqref="AQ598">
    <cfRule type="containsText" dxfId="645" priority="259" operator="containsText" text="No Cumple">
      <formula>NOT(ISERROR(SEARCH("No Cumple",AQ598)))</formula>
    </cfRule>
    <cfRule type="containsText" dxfId="644" priority="260" operator="containsText" text="Cumple">
      <formula>NOT(ISERROR(SEARCH("Cumple",AQ598)))</formula>
    </cfRule>
  </conditionalFormatting>
  <conditionalFormatting sqref="AQ621:AQ623">
    <cfRule type="containsText" dxfId="643" priority="257" operator="containsText" text="No Cumple">
      <formula>NOT(ISERROR(SEARCH("No Cumple",AQ621)))</formula>
    </cfRule>
    <cfRule type="containsText" dxfId="642" priority="258" operator="containsText" text="Cumple">
      <formula>NOT(ISERROR(SEARCH("Cumple",AQ621)))</formula>
    </cfRule>
  </conditionalFormatting>
  <conditionalFormatting sqref="AQ624">
    <cfRule type="containsText" dxfId="641" priority="255" operator="containsText" text="No Cumple">
      <formula>NOT(ISERROR(SEARCH("No Cumple",AQ624)))</formula>
    </cfRule>
    <cfRule type="containsText" dxfId="640" priority="256" operator="containsText" text="Cumple">
      <formula>NOT(ISERROR(SEARCH("Cumple",AQ624)))</formula>
    </cfRule>
  </conditionalFormatting>
  <conditionalFormatting sqref="AQ625">
    <cfRule type="containsText" dxfId="639" priority="253" operator="containsText" text="No Cumple">
      <formula>NOT(ISERROR(SEARCH("No Cumple",AQ625)))</formula>
    </cfRule>
    <cfRule type="containsText" dxfId="638" priority="254" operator="containsText" text="Cumple">
      <formula>NOT(ISERROR(SEARCH("Cumple",AQ625)))</formula>
    </cfRule>
  </conditionalFormatting>
  <conditionalFormatting sqref="AQ638:AQ639">
    <cfRule type="containsText" dxfId="637" priority="251" operator="containsText" text="No Cumple">
      <formula>NOT(ISERROR(SEARCH("No Cumple",AQ638)))</formula>
    </cfRule>
    <cfRule type="containsText" dxfId="636" priority="252" operator="containsText" text="Cumple">
      <formula>NOT(ISERROR(SEARCH("Cumple",AQ638)))</formula>
    </cfRule>
  </conditionalFormatting>
  <conditionalFormatting sqref="AQ640">
    <cfRule type="containsText" dxfId="635" priority="249" operator="containsText" text="No Cumple">
      <formula>NOT(ISERROR(SEARCH("No Cumple",AQ640)))</formula>
    </cfRule>
    <cfRule type="containsText" dxfId="634" priority="250" operator="containsText" text="Cumple">
      <formula>NOT(ISERROR(SEARCH("Cumple",AQ640)))</formula>
    </cfRule>
  </conditionalFormatting>
  <conditionalFormatting sqref="AQ641">
    <cfRule type="containsText" dxfId="633" priority="247" operator="containsText" text="No Cumple">
      <formula>NOT(ISERROR(SEARCH("No Cumple",AQ641)))</formula>
    </cfRule>
    <cfRule type="containsText" dxfId="632" priority="248" operator="containsText" text="Cumple">
      <formula>NOT(ISERROR(SEARCH("Cumple",AQ641)))</formula>
    </cfRule>
  </conditionalFormatting>
  <conditionalFormatting sqref="AQ670:AQ671">
    <cfRule type="containsText" dxfId="631" priority="245" operator="containsText" text="No Cumple">
      <formula>NOT(ISERROR(SEARCH("No Cumple",AQ670)))</formula>
    </cfRule>
    <cfRule type="containsText" dxfId="630" priority="246" operator="containsText" text="Cumple">
      <formula>NOT(ISERROR(SEARCH("Cumple",AQ670)))</formula>
    </cfRule>
  </conditionalFormatting>
  <conditionalFormatting sqref="AQ672">
    <cfRule type="containsText" dxfId="629" priority="243" operator="containsText" text="No Cumple">
      <formula>NOT(ISERROR(SEARCH("No Cumple",AQ672)))</formula>
    </cfRule>
    <cfRule type="containsText" dxfId="628" priority="244" operator="containsText" text="Cumple">
      <formula>NOT(ISERROR(SEARCH("Cumple",AQ672)))</formula>
    </cfRule>
  </conditionalFormatting>
  <conditionalFormatting sqref="AQ673">
    <cfRule type="containsText" dxfId="627" priority="241" operator="containsText" text="No Cumple">
      <formula>NOT(ISERROR(SEARCH("No Cumple",AQ673)))</formula>
    </cfRule>
    <cfRule type="containsText" dxfId="626" priority="242" operator="containsText" text="Cumple">
      <formula>NOT(ISERROR(SEARCH("Cumple",AQ673)))</formula>
    </cfRule>
  </conditionalFormatting>
  <conditionalFormatting sqref="AQ688:AQ689">
    <cfRule type="containsText" dxfId="625" priority="239" operator="containsText" text="No Cumple">
      <formula>NOT(ISERROR(SEARCH("No Cumple",AQ688)))</formula>
    </cfRule>
    <cfRule type="containsText" dxfId="624" priority="240" operator="containsText" text="Cumple">
      <formula>NOT(ISERROR(SEARCH("Cumple",AQ688)))</formula>
    </cfRule>
  </conditionalFormatting>
  <conditionalFormatting sqref="AQ690">
    <cfRule type="containsText" dxfId="623" priority="237" operator="containsText" text="No Cumple">
      <formula>NOT(ISERROR(SEARCH("No Cumple",AQ690)))</formula>
    </cfRule>
    <cfRule type="containsText" dxfId="622" priority="238" operator="containsText" text="Cumple">
      <formula>NOT(ISERROR(SEARCH("Cumple",AQ690)))</formula>
    </cfRule>
  </conditionalFormatting>
  <conditionalFormatting sqref="AQ691">
    <cfRule type="containsText" dxfId="621" priority="235" operator="containsText" text="No Cumple">
      <formula>NOT(ISERROR(SEARCH("No Cumple",AQ691)))</formula>
    </cfRule>
    <cfRule type="containsText" dxfId="620" priority="236" operator="containsText" text="Cumple">
      <formula>NOT(ISERROR(SEARCH("Cumple",AQ691)))</formula>
    </cfRule>
  </conditionalFormatting>
  <conditionalFormatting sqref="AQ711:AQ712">
    <cfRule type="containsText" dxfId="619" priority="233" operator="containsText" text="No Cumple">
      <formula>NOT(ISERROR(SEARCH("No Cumple",AQ711)))</formula>
    </cfRule>
    <cfRule type="containsText" dxfId="618" priority="234" operator="containsText" text="Cumple">
      <formula>NOT(ISERROR(SEARCH("Cumple",AQ711)))</formula>
    </cfRule>
  </conditionalFormatting>
  <conditionalFormatting sqref="AQ713">
    <cfRule type="containsText" dxfId="617" priority="231" operator="containsText" text="No Cumple">
      <formula>NOT(ISERROR(SEARCH("No Cumple",AQ713)))</formula>
    </cfRule>
    <cfRule type="containsText" dxfId="616" priority="232" operator="containsText" text="Cumple">
      <formula>NOT(ISERROR(SEARCH("Cumple",AQ713)))</formula>
    </cfRule>
  </conditionalFormatting>
  <conditionalFormatting sqref="AQ714">
    <cfRule type="containsText" dxfId="615" priority="229" operator="containsText" text="No Cumple">
      <formula>NOT(ISERROR(SEARCH("No Cumple",AQ714)))</formula>
    </cfRule>
    <cfRule type="containsText" dxfId="614" priority="230" operator="containsText" text="Cumple">
      <formula>NOT(ISERROR(SEARCH("Cumple",AQ714)))</formula>
    </cfRule>
  </conditionalFormatting>
  <conditionalFormatting sqref="AQ728:AQ729">
    <cfRule type="containsText" dxfId="613" priority="227" operator="containsText" text="No Cumple">
      <formula>NOT(ISERROR(SEARCH("No Cumple",AQ728)))</formula>
    </cfRule>
    <cfRule type="containsText" dxfId="612" priority="228" operator="containsText" text="Cumple">
      <formula>NOT(ISERROR(SEARCH("Cumple",AQ728)))</formula>
    </cfRule>
  </conditionalFormatting>
  <conditionalFormatting sqref="AQ730">
    <cfRule type="containsText" dxfId="611" priority="225" operator="containsText" text="No Cumple">
      <formula>NOT(ISERROR(SEARCH("No Cumple",AQ730)))</formula>
    </cfRule>
    <cfRule type="containsText" dxfId="610" priority="226" operator="containsText" text="Cumple">
      <formula>NOT(ISERROR(SEARCH("Cumple",AQ730)))</formula>
    </cfRule>
  </conditionalFormatting>
  <conditionalFormatting sqref="AQ731">
    <cfRule type="containsText" dxfId="609" priority="223" operator="containsText" text="No Cumple">
      <formula>NOT(ISERROR(SEARCH("No Cumple",AQ731)))</formula>
    </cfRule>
    <cfRule type="containsText" dxfId="608" priority="224" operator="containsText" text="Cumple">
      <formula>NOT(ISERROR(SEARCH("Cumple",AQ731)))</formula>
    </cfRule>
  </conditionalFormatting>
  <conditionalFormatting sqref="AQ752:AQ753">
    <cfRule type="containsText" dxfId="607" priority="221" operator="containsText" text="No Cumple">
      <formula>NOT(ISERROR(SEARCH("No Cumple",AQ752)))</formula>
    </cfRule>
    <cfRule type="containsText" dxfId="606" priority="222" operator="containsText" text="Cumple">
      <formula>NOT(ISERROR(SEARCH("Cumple",AQ752)))</formula>
    </cfRule>
  </conditionalFormatting>
  <conditionalFormatting sqref="AQ762:AQ763">
    <cfRule type="containsText" dxfId="605" priority="219" operator="containsText" text="No Cumple">
      <formula>NOT(ISERROR(SEARCH("No Cumple",AQ762)))</formula>
    </cfRule>
    <cfRule type="containsText" dxfId="604" priority="220" operator="containsText" text="Cumple">
      <formula>NOT(ISERROR(SEARCH("Cumple",AQ762)))</formula>
    </cfRule>
  </conditionalFormatting>
  <conditionalFormatting sqref="AQ782:AQ783">
    <cfRule type="containsText" dxfId="603" priority="217" operator="containsText" text="No Cumple">
      <formula>NOT(ISERROR(SEARCH("No Cumple",AQ782)))</formula>
    </cfRule>
    <cfRule type="containsText" dxfId="602" priority="218" operator="containsText" text="Cumple">
      <formula>NOT(ISERROR(SEARCH("Cumple",AQ782)))</formula>
    </cfRule>
  </conditionalFormatting>
  <conditionalFormatting sqref="AQ792:AQ793">
    <cfRule type="containsText" dxfId="601" priority="215" operator="containsText" text="No Cumple">
      <formula>NOT(ISERROR(SEARCH("No Cumple",AQ792)))</formula>
    </cfRule>
    <cfRule type="containsText" dxfId="600" priority="216" operator="containsText" text="Cumple">
      <formula>NOT(ISERROR(SEARCH("Cumple",AQ792)))</formula>
    </cfRule>
  </conditionalFormatting>
  <conditionalFormatting sqref="AQ518:AQ523">
    <cfRule type="containsText" dxfId="599" priority="213" operator="containsText" text="No Cumple">
      <formula>NOT(ISERROR(SEARCH("No Cumple",AQ518)))</formula>
    </cfRule>
    <cfRule type="containsText" dxfId="598" priority="214" operator="containsText" text="Cumple">
      <formula>NOT(ISERROR(SEARCH("Cumple",AQ518)))</formula>
    </cfRule>
  </conditionalFormatting>
  <conditionalFormatting sqref="AQ524">
    <cfRule type="containsText" dxfId="597" priority="211" operator="containsText" text="No Cumple">
      <formula>NOT(ISERROR(SEARCH("No Cumple",AQ524)))</formula>
    </cfRule>
    <cfRule type="containsText" dxfId="596" priority="212" operator="containsText" text="Cumple">
      <formula>NOT(ISERROR(SEARCH("Cumple",AQ524)))</formula>
    </cfRule>
  </conditionalFormatting>
  <conditionalFormatting sqref="AQ536:AQ541">
    <cfRule type="containsText" dxfId="595" priority="209" operator="containsText" text="No Cumple">
      <formula>NOT(ISERROR(SEARCH("No Cumple",AQ536)))</formula>
    </cfRule>
    <cfRule type="containsText" dxfId="594" priority="210" operator="containsText" text="Cumple">
      <formula>NOT(ISERROR(SEARCH("Cumple",AQ536)))</formula>
    </cfRule>
  </conditionalFormatting>
  <conditionalFormatting sqref="AQ555:AQ560">
    <cfRule type="containsText" dxfId="593" priority="207" operator="containsText" text="No Cumple">
      <formula>NOT(ISERROR(SEARCH("No Cumple",AQ555)))</formula>
    </cfRule>
    <cfRule type="containsText" dxfId="592" priority="208" operator="containsText" text="Cumple">
      <formula>NOT(ISERROR(SEARCH("Cumple",AQ555)))</formula>
    </cfRule>
  </conditionalFormatting>
  <conditionalFormatting sqref="AQ599:AQ604">
    <cfRule type="containsText" dxfId="591" priority="205" operator="containsText" text="No Cumple">
      <formula>NOT(ISERROR(SEARCH("No Cumple",AQ599)))</formula>
    </cfRule>
    <cfRule type="containsText" dxfId="590" priority="206" operator="containsText" text="Cumple">
      <formula>NOT(ISERROR(SEARCH("Cumple",AQ599)))</formula>
    </cfRule>
  </conditionalFormatting>
  <conditionalFormatting sqref="AQ605:AQ606">
    <cfRule type="containsText" dxfId="589" priority="203" operator="containsText" text="No Cumple">
      <formula>NOT(ISERROR(SEARCH("No Cumple",AQ605)))</formula>
    </cfRule>
    <cfRule type="containsText" dxfId="588" priority="204" operator="containsText" text="Cumple">
      <formula>NOT(ISERROR(SEARCH("Cumple",AQ605)))</formula>
    </cfRule>
  </conditionalFormatting>
  <conditionalFormatting sqref="AQ642:AQ647">
    <cfRule type="containsText" dxfId="587" priority="201" operator="containsText" text="No Cumple">
      <formula>NOT(ISERROR(SEARCH("No Cumple",AQ642)))</formula>
    </cfRule>
    <cfRule type="containsText" dxfId="586" priority="202" operator="containsText" text="Cumple">
      <formula>NOT(ISERROR(SEARCH("Cumple",AQ642)))</formula>
    </cfRule>
  </conditionalFormatting>
  <conditionalFormatting sqref="AQ648:AQ649">
    <cfRule type="containsText" dxfId="585" priority="199" operator="containsText" text="No Cumple">
      <formula>NOT(ISERROR(SEARCH("No Cumple",AQ648)))</formula>
    </cfRule>
    <cfRule type="containsText" dxfId="584" priority="200" operator="containsText" text="Cumple">
      <formula>NOT(ISERROR(SEARCH("Cumple",AQ648)))</formula>
    </cfRule>
  </conditionalFormatting>
  <conditionalFormatting sqref="AQ674:AQ679">
    <cfRule type="containsText" dxfId="583" priority="197" operator="containsText" text="No Cumple">
      <formula>NOT(ISERROR(SEARCH("No Cumple",AQ674)))</formula>
    </cfRule>
    <cfRule type="containsText" dxfId="582" priority="198" operator="containsText" text="Cumple">
      <formula>NOT(ISERROR(SEARCH("Cumple",AQ674)))</formula>
    </cfRule>
  </conditionalFormatting>
  <conditionalFormatting sqref="AQ692:AQ697">
    <cfRule type="containsText" dxfId="581" priority="195" operator="containsText" text="No Cumple">
      <formula>NOT(ISERROR(SEARCH("No Cumple",AQ692)))</formula>
    </cfRule>
    <cfRule type="containsText" dxfId="580" priority="196" operator="containsText" text="Cumple">
      <formula>NOT(ISERROR(SEARCH("Cumple",AQ692)))</formula>
    </cfRule>
  </conditionalFormatting>
  <conditionalFormatting sqref="AQ698">
    <cfRule type="containsText" dxfId="579" priority="193" operator="containsText" text="No Cumple">
      <formula>NOT(ISERROR(SEARCH("No Cumple",AQ698)))</formula>
    </cfRule>
    <cfRule type="containsText" dxfId="578" priority="194" operator="containsText" text="Cumple">
      <formula>NOT(ISERROR(SEARCH("Cumple",AQ698)))</formula>
    </cfRule>
  </conditionalFormatting>
  <conditionalFormatting sqref="AQ732:AQ737">
    <cfRule type="containsText" dxfId="577" priority="191" operator="containsText" text="No Cumple">
      <formula>NOT(ISERROR(SEARCH("No Cumple",AQ732)))</formula>
    </cfRule>
    <cfRule type="containsText" dxfId="576" priority="192" operator="containsText" text="Cumple">
      <formula>NOT(ISERROR(SEARCH("Cumple",AQ732)))</formula>
    </cfRule>
  </conditionalFormatting>
  <conditionalFormatting sqref="AQ738">
    <cfRule type="containsText" dxfId="575" priority="189" operator="containsText" text="No Cumple">
      <formula>NOT(ISERROR(SEARCH("No Cumple",AQ738)))</formula>
    </cfRule>
    <cfRule type="containsText" dxfId="574" priority="190" operator="containsText" text="Cumple">
      <formula>NOT(ISERROR(SEARCH("Cumple",AQ738)))</formula>
    </cfRule>
  </conditionalFormatting>
  <conditionalFormatting sqref="AQ764">
    <cfRule type="containsText" dxfId="573" priority="187" operator="containsText" text="No Cumple">
      <formula>NOT(ISERROR(SEARCH("No Cumple",AQ764)))</formula>
    </cfRule>
    <cfRule type="containsText" dxfId="572" priority="188" operator="containsText" text="Cumple">
      <formula>NOT(ISERROR(SEARCH("Cumple",AQ764)))</formula>
    </cfRule>
  </conditionalFormatting>
  <conditionalFormatting sqref="AQ765">
    <cfRule type="containsText" dxfId="571" priority="185" operator="containsText" text="No Cumple">
      <formula>NOT(ISERROR(SEARCH("No Cumple",AQ765)))</formula>
    </cfRule>
    <cfRule type="containsText" dxfId="570" priority="186" operator="containsText" text="Cumple">
      <formula>NOT(ISERROR(SEARCH("Cumple",AQ765)))</formula>
    </cfRule>
  </conditionalFormatting>
  <conditionalFormatting sqref="AQ766">
    <cfRule type="containsText" dxfId="569" priority="183" operator="containsText" text="No Cumple">
      <formula>NOT(ISERROR(SEARCH("No Cumple",AQ766)))</formula>
    </cfRule>
    <cfRule type="containsText" dxfId="568" priority="184" operator="containsText" text="Cumple">
      <formula>NOT(ISERROR(SEARCH("Cumple",AQ766)))</formula>
    </cfRule>
  </conditionalFormatting>
  <conditionalFormatting sqref="AQ767">
    <cfRule type="containsText" dxfId="567" priority="181" operator="containsText" text="No Cumple">
      <formula>NOT(ISERROR(SEARCH("No Cumple",AQ767)))</formula>
    </cfRule>
    <cfRule type="containsText" dxfId="566" priority="182" operator="containsText" text="Cumple">
      <formula>NOT(ISERROR(SEARCH("Cumple",AQ767)))</formula>
    </cfRule>
  </conditionalFormatting>
  <conditionalFormatting sqref="AQ768">
    <cfRule type="containsText" dxfId="565" priority="179" operator="containsText" text="No Cumple">
      <formula>NOT(ISERROR(SEARCH("No Cumple",AQ768)))</formula>
    </cfRule>
    <cfRule type="containsText" dxfId="564" priority="180" operator="containsText" text="Cumple">
      <formula>NOT(ISERROR(SEARCH("Cumple",AQ768)))</formula>
    </cfRule>
  </conditionalFormatting>
  <conditionalFormatting sqref="AQ769">
    <cfRule type="containsText" dxfId="563" priority="177" operator="containsText" text="No Cumple">
      <formula>NOT(ISERROR(SEARCH("No Cumple",AQ769)))</formula>
    </cfRule>
    <cfRule type="containsText" dxfId="562" priority="178" operator="containsText" text="Cumple">
      <formula>NOT(ISERROR(SEARCH("Cumple",AQ769)))</formula>
    </cfRule>
  </conditionalFormatting>
  <conditionalFormatting sqref="AQ794">
    <cfRule type="containsText" dxfId="561" priority="175" operator="containsText" text="No Cumple">
      <formula>NOT(ISERROR(SEARCH("No Cumple",AQ794)))</formula>
    </cfRule>
    <cfRule type="containsText" dxfId="560" priority="176" operator="containsText" text="Cumple">
      <formula>NOT(ISERROR(SEARCH("Cumple",AQ794)))</formula>
    </cfRule>
  </conditionalFormatting>
  <conditionalFormatting sqref="AQ795">
    <cfRule type="containsText" dxfId="559" priority="173" operator="containsText" text="No Cumple">
      <formula>NOT(ISERROR(SEARCH("No Cumple",AQ795)))</formula>
    </cfRule>
    <cfRule type="containsText" dxfId="558" priority="174" operator="containsText" text="Cumple">
      <formula>NOT(ISERROR(SEARCH("Cumple",AQ795)))</formula>
    </cfRule>
  </conditionalFormatting>
  <conditionalFormatting sqref="AQ796">
    <cfRule type="containsText" dxfId="557" priority="171" operator="containsText" text="No Cumple">
      <formula>NOT(ISERROR(SEARCH("No Cumple",AQ796)))</formula>
    </cfRule>
    <cfRule type="containsText" dxfId="556" priority="172" operator="containsText" text="Cumple">
      <formula>NOT(ISERROR(SEARCH("Cumple",AQ796)))</formula>
    </cfRule>
  </conditionalFormatting>
  <conditionalFormatting sqref="AQ797">
    <cfRule type="containsText" dxfId="555" priority="169" operator="containsText" text="No Cumple">
      <formula>NOT(ISERROR(SEARCH("No Cumple",AQ797)))</formula>
    </cfRule>
    <cfRule type="containsText" dxfId="554" priority="170" operator="containsText" text="Cumple">
      <formula>NOT(ISERROR(SEARCH("Cumple",AQ797)))</formula>
    </cfRule>
  </conditionalFormatting>
  <conditionalFormatting sqref="AQ798">
    <cfRule type="containsText" dxfId="553" priority="167" operator="containsText" text="No Cumple">
      <formula>NOT(ISERROR(SEARCH("No Cumple",AQ798)))</formula>
    </cfRule>
    <cfRule type="containsText" dxfId="552" priority="168" operator="containsText" text="Cumple">
      <formula>NOT(ISERROR(SEARCH("Cumple",AQ798)))</formula>
    </cfRule>
  </conditionalFormatting>
  <conditionalFormatting sqref="AQ799">
    <cfRule type="containsText" dxfId="551" priority="165" operator="containsText" text="No Cumple">
      <formula>NOT(ISERROR(SEARCH("No Cumple",AQ799)))</formula>
    </cfRule>
    <cfRule type="containsText" dxfId="550" priority="166" operator="containsText" text="Cumple">
      <formula>NOT(ISERROR(SEARCH("Cumple",AQ799)))</formula>
    </cfRule>
  </conditionalFormatting>
  <conditionalFormatting sqref="AQ812">
    <cfRule type="containsText" dxfId="549" priority="163" operator="containsText" text="No Cumple">
      <formula>NOT(ISERROR(SEARCH("No Cumple",AQ812)))</formula>
    </cfRule>
    <cfRule type="containsText" dxfId="548" priority="164" operator="containsText" text="Cumple">
      <formula>NOT(ISERROR(SEARCH("Cumple",AQ812)))</formula>
    </cfRule>
  </conditionalFormatting>
  <conditionalFormatting sqref="AQ813">
    <cfRule type="containsText" dxfId="547" priority="161" operator="containsText" text="No Cumple">
      <formula>NOT(ISERROR(SEARCH("No Cumple",AQ813)))</formula>
    </cfRule>
    <cfRule type="containsText" dxfId="546" priority="162" operator="containsText" text="Cumple">
      <formula>NOT(ISERROR(SEARCH("Cumple",AQ813)))</formula>
    </cfRule>
  </conditionalFormatting>
  <conditionalFormatting sqref="AQ814">
    <cfRule type="containsText" dxfId="545" priority="159" operator="containsText" text="No Cumple">
      <formula>NOT(ISERROR(SEARCH("No Cumple",AQ814)))</formula>
    </cfRule>
    <cfRule type="containsText" dxfId="544" priority="160" operator="containsText" text="Cumple">
      <formula>NOT(ISERROR(SEARCH("Cumple",AQ814)))</formula>
    </cfRule>
  </conditionalFormatting>
  <conditionalFormatting sqref="AQ815">
    <cfRule type="containsText" dxfId="543" priority="157" operator="containsText" text="No Cumple">
      <formula>NOT(ISERROR(SEARCH("No Cumple",AQ815)))</formula>
    </cfRule>
    <cfRule type="containsText" dxfId="542" priority="158" operator="containsText" text="Cumple">
      <formula>NOT(ISERROR(SEARCH("Cumple",AQ815)))</formula>
    </cfRule>
  </conditionalFormatting>
  <conditionalFormatting sqref="AQ816">
    <cfRule type="containsText" dxfId="541" priority="155" operator="containsText" text="No Cumple">
      <formula>NOT(ISERROR(SEARCH("No Cumple",AQ816)))</formula>
    </cfRule>
    <cfRule type="containsText" dxfId="540" priority="156" operator="containsText" text="Cumple">
      <formula>NOT(ISERROR(SEARCH("Cumple",AQ816)))</formula>
    </cfRule>
  </conditionalFormatting>
  <conditionalFormatting sqref="AQ817">
    <cfRule type="containsText" dxfId="539" priority="153" operator="containsText" text="No Cumple">
      <formula>NOT(ISERROR(SEARCH("No Cumple",AQ817)))</formula>
    </cfRule>
    <cfRule type="containsText" dxfId="538" priority="154" operator="containsText" text="Cumple">
      <formula>NOT(ISERROR(SEARCH("Cumple",AQ817)))</formula>
    </cfRule>
  </conditionalFormatting>
  <conditionalFormatting sqref="AQ818">
    <cfRule type="containsText" dxfId="537" priority="151" operator="containsText" text="No Cumple">
      <formula>NOT(ISERROR(SEARCH("No Cumple",AQ818)))</formula>
    </cfRule>
    <cfRule type="containsText" dxfId="536" priority="152" operator="containsText" text="Cumple">
      <formula>NOT(ISERROR(SEARCH("Cumple",AQ818)))</formula>
    </cfRule>
  </conditionalFormatting>
  <conditionalFormatting sqref="AQ819">
    <cfRule type="containsText" dxfId="535" priority="149" operator="containsText" text="No Cumple">
      <formula>NOT(ISERROR(SEARCH("No Cumple",AQ819)))</formula>
    </cfRule>
    <cfRule type="containsText" dxfId="534" priority="150" operator="containsText" text="Cumple">
      <formula>NOT(ISERROR(SEARCH("Cumple",AQ819)))</formula>
    </cfRule>
  </conditionalFormatting>
  <conditionalFormatting sqref="AQ834">
    <cfRule type="containsText" dxfId="533" priority="147" operator="containsText" text="No Cumple">
      <formula>NOT(ISERROR(SEARCH("No Cumple",AQ834)))</formula>
    </cfRule>
    <cfRule type="containsText" dxfId="532" priority="148" operator="containsText" text="Cumple">
      <formula>NOT(ISERROR(SEARCH("Cumple",AQ834)))</formula>
    </cfRule>
  </conditionalFormatting>
  <conditionalFormatting sqref="AQ835">
    <cfRule type="containsText" dxfId="531" priority="145" operator="containsText" text="No Cumple">
      <formula>NOT(ISERROR(SEARCH("No Cumple",AQ835)))</formula>
    </cfRule>
    <cfRule type="containsText" dxfId="530" priority="146" operator="containsText" text="Cumple">
      <formula>NOT(ISERROR(SEARCH("Cumple",AQ835)))</formula>
    </cfRule>
  </conditionalFormatting>
  <conditionalFormatting sqref="AQ836">
    <cfRule type="containsText" dxfId="529" priority="143" operator="containsText" text="No Cumple">
      <formula>NOT(ISERROR(SEARCH("No Cumple",AQ836)))</formula>
    </cfRule>
    <cfRule type="containsText" dxfId="528" priority="144" operator="containsText" text="Cumple">
      <formula>NOT(ISERROR(SEARCH("Cumple",AQ836)))</formula>
    </cfRule>
  </conditionalFormatting>
  <conditionalFormatting sqref="AQ837">
    <cfRule type="containsText" dxfId="527" priority="141" operator="containsText" text="No Cumple">
      <formula>NOT(ISERROR(SEARCH("No Cumple",AQ837)))</formula>
    </cfRule>
    <cfRule type="containsText" dxfId="526" priority="142" operator="containsText" text="Cumple">
      <formula>NOT(ISERROR(SEARCH("Cumple",AQ837)))</formula>
    </cfRule>
  </conditionalFormatting>
  <conditionalFormatting sqref="AQ838">
    <cfRule type="containsText" dxfId="525" priority="139" operator="containsText" text="No Cumple">
      <formula>NOT(ISERROR(SEARCH("No Cumple",AQ838)))</formula>
    </cfRule>
    <cfRule type="containsText" dxfId="524" priority="140" operator="containsText" text="Cumple">
      <formula>NOT(ISERROR(SEARCH("Cumple",AQ838)))</formula>
    </cfRule>
  </conditionalFormatting>
  <conditionalFormatting sqref="AQ839">
    <cfRule type="containsText" dxfId="523" priority="137" operator="containsText" text="No Cumple">
      <formula>NOT(ISERROR(SEARCH("No Cumple",AQ839)))</formula>
    </cfRule>
    <cfRule type="containsText" dxfId="522" priority="138" operator="containsText" text="Cumple">
      <formula>NOT(ISERROR(SEARCH("Cumple",AQ839)))</formula>
    </cfRule>
  </conditionalFormatting>
  <conditionalFormatting sqref="AQ840">
    <cfRule type="containsText" dxfId="521" priority="135" operator="containsText" text="No Cumple">
      <formula>NOT(ISERROR(SEARCH("No Cumple",AQ840)))</formula>
    </cfRule>
    <cfRule type="containsText" dxfId="520" priority="136" operator="containsText" text="Cumple">
      <formula>NOT(ISERROR(SEARCH("Cumple",AQ840)))</formula>
    </cfRule>
  </conditionalFormatting>
  <conditionalFormatting sqref="AQ841">
    <cfRule type="containsText" dxfId="519" priority="133" operator="containsText" text="No Cumple">
      <formula>NOT(ISERROR(SEARCH("No Cumple",AQ841)))</formula>
    </cfRule>
    <cfRule type="containsText" dxfId="518" priority="134" operator="containsText" text="Cumple">
      <formula>NOT(ISERROR(SEARCH("Cumple",AQ841)))</formula>
    </cfRule>
  </conditionalFormatting>
  <conditionalFormatting sqref="AQ856">
    <cfRule type="containsText" dxfId="517" priority="131" operator="containsText" text="No Cumple">
      <formula>NOT(ISERROR(SEARCH("No Cumple",AQ856)))</formula>
    </cfRule>
    <cfRule type="containsText" dxfId="516" priority="132" operator="containsText" text="Cumple">
      <formula>NOT(ISERROR(SEARCH("Cumple",AQ856)))</formula>
    </cfRule>
  </conditionalFormatting>
  <conditionalFormatting sqref="AQ857">
    <cfRule type="containsText" dxfId="515" priority="129" operator="containsText" text="No Cumple">
      <formula>NOT(ISERROR(SEARCH("No Cumple",AQ857)))</formula>
    </cfRule>
    <cfRule type="containsText" dxfId="514" priority="130" operator="containsText" text="Cumple">
      <formula>NOT(ISERROR(SEARCH("Cumple",AQ857)))</formula>
    </cfRule>
  </conditionalFormatting>
  <conditionalFormatting sqref="AQ858">
    <cfRule type="containsText" dxfId="513" priority="127" operator="containsText" text="No Cumple">
      <formula>NOT(ISERROR(SEARCH("No Cumple",AQ858)))</formula>
    </cfRule>
    <cfRule type="containsText" dxfId="512" priority="128" operator="containsText" text="Cumple">
      <formula>NOT(ISERROR(SEARCH("Cumple",AQ858)))</formula>
    </cfRule>
  </conditionalFormatting>
  <conditionalFormatting sqref="AQ859">
    <cfRule type="containsText" dxfId="511" priority="125" operator="containsText" text="No Cumple">
      <formula>NOT(ISERROR(SEARCH("No Cumple",AQ859)))</formula>
    </cfRule>
    <cfRule type="containsText" dxfId="510" priority="126" operator="containsText" text="Cumple">
      <formula>NOT(ISERROR(SEARCH("Cumple",AQ859)))</formula>
    </cfRule>
  </conditionalFormatting>
  <conditionalFormatting sqref="AQ860">
    <cfRule type="containsText" dxfId="509" priority="123" operator="containsText" text="No Cumple">
      <formula>NOT(ISERROR(SEARCH("No Cumple",AQ860)))</formula>
    </cfRule>
    <cfRule type="containsText" dxfId="508" priority="124" operator="containsText" text="Cumple">
      <formula>NOT(ISERROR(SEARCH("Cumple",AQ860)))</formula>
    </cfRule>
  </conditionalFormatting>
  <conditionalFormatting sqref="AQ861">
    <cfRule type="containsText" dxfId="507" priority="121" operator="containsText" text="No Cumple">
      <formula>NOT(ISERROR(SEARCH("No Cumple",AQ861)))</formula>
    </cfRule>
    <cfRule type="containsText" dxfId="506" priority="122" operator="containsText" text="Cumple">
      <formula>NOT(ISERROR(SEARCH("Cumple",AQ861)))</formula>
    </cfRule>
  </conditionalFormatting>
  <conditionalFormatting sqref="AQ862">
    <cfRule type="containsText" dxfId="505" priority="119" operator="containsText" text="No Cumple">
      <formula>NOT(ISERROR(SEARCH("No Cumple",AQ862)))</formula>
    </cfRule>
    <cfRule type="containsText" dxfId="504" priority="120" operator="containsText" text="Cumple">
      <formula>NOT(ISERROR(SEARCH("Cumple",AQ862)))</formula>
    </cfRule>
  </conditionalFormatting>
  <conditionalFormatting sqref="AQ863">
    <cfRule type="containsText" dxfId="503" priority="117" operator="containsText" text="No Cumple">
      <formula>NOT(ISERROR(SEARCH("No Cumple",AQ863)))</formula>
    </cfRule>
    <cfRule type="containsText" dxfId="502" priority="118" operator="containsText" text="Cumple">
      <formula>NOT(ISERROR(SEARCH("Cumple",AQ863)))</formula>
    </cfRule>
  </conditionalFormatting>
  <conditionalFormatting sqref="AQ864">
    <cfRule type="containsText" dxfId="501" priority="115" operator="containsText" text="No Cumple">
      <formula>NOT(ISERROR(SEARCH("No Cumple",AQ864)))</formula>
    </cfRule>
    <cfRule type="containsText" dxfId="500" priority="116" operator="containsText" text="Cumple">
      <formula>NOT(ISERROR(SEARCH("Cumple",AQ864)))</formula>
    </cfRule>
  </conditionalFormatting>
  <conditionalFormatting sqref="AQ886">
    <cfRule type="containsText" dxfId="499" priority="113" operator="containsText" text="No Cumple">
      <formula>NOT(ISERROR(SEARCH("No Cumple",AQ886)))</formula>
    </cfRule>
    <cfRule type="containsText" dxfId="498" priority="114" operator="containsText" text="Cumple">
      <formula>NOT(ISERROR(SEARCH("Cumple",AQ886)))</formula>
    </cfRule>
  </conditionalFormatting>
  <conditionalFormatting sqref="AQ887">
    <cfRule type="containsText" dxfId="497" priority="111" operator="containsText" text="No Cumple">
      <formula>NOT(ISERROR(SEARCH("No Cumple",AQ887)))</formula>
    </cfRule>
    <cfRule type="containsText" dxfId="496" priority="112" operator="containsText" text="Cumple">
      <formula>NOT(ISERROR(SEARCH("Cumple",AQ887)))</formula>
    </cfRule>
  </conditionalFormatting>
  <conditionalFormatting sqref="AQ888">
    <cfRule type="containsText" dxfId="495" priority="109" operator="containsText" text="No Cumple">
      <formula>NOT(ISERROR(SEARCH("No Cumple",AQ888)))</formula>
    </cfRule>
    <cfRule type="containsText" dxfId="494" priority="110" operator="containsText" text="Cumple">
      <formula>NOT(ISERROR(SEARCH("Cumple",AQ888)))</formula>
    </cfRule>
  </conditionalFormatting>
  <conditionalFormatting sqref="AQ889">
    <cfRule type="containsText" dxfId="493" priority="107" operator="containsText" text="No Cumple">
      <formula>NOT(ISERROR(SEARCH("No Cumple",AQ889)))</formula>
    </cfRule>
    <cfRule type="containsText" dxfId="492" priority="108" operator="containsText" text="Cumple">
      <formula>NOT(ISERROR(SEARCH("Cumple",AQ889)))</formula>
    </cfRule>
  </conditionalFormatting>
  <conditionalFormatting sqref="AQ890">
    <cfRule type="containsText" dxfId="491" priority="105" operator="containsText" text="No Cumple">
      <formula>NOT(ISERROR(SEARCH("No Cumple",AQ890)))</formula>
    </cfRule>
    <cfRule type="containsText" dxfId="490" priority="106" operator="containsText" text="Cumple">
      <formula>NOT(ISERROR(SEARCH("Cumple",AQ890)))</formula>
    </cfRule>
  </conditionalFormatting>
  <conditionalFormatting sqref="AQ891">
    <cfRule type="containsText" dxfId="489" priority="103" operator="containsText" text="No Cumple">
      <formula>NOT(ISERROR(SEARCH("No Cumple",AQ891)))</formula>
    </cfRule>
    <cfRule type="containsText" dxfId="488" priority="104" operator="containsText" text="Cumple">
      <formula>NOT(ISERROR(SEARCH("Cumple",AQ891)))</formula>
    </cfRule>
  </conditionalFormatting>
  <conditionalFormatting sqref="AQ892">
    <cfRule type="containsText" dxfId="487" priority="101" operator="containsText" text="No Cumple">
      <formula>NOT(ISERROR(SEARCH("No Cumple",AQ892)))</formula>
    </cfRule>
    <cfRule type="containsText" dxfId="486" priority="102" operator="containsText" text="Cumple">
      <formula>NOT(ISERROR(SEARCH("Cumple",AQ892)))</formula>
    </cfRule>
  </conditionalFormatting>
  <conditionalFormatting sqref="AQ893">
    <cfRule type="containsText" dxfId="485" priority="99" operator="containsText" text="No Cumple">
      <formula>NOT(ISERROR(SEARCH("No Cumple",AQ893)))</formula>
    </cfRule>
    <cfRule type="containsText" dxfId="484" priority="100" operator="containsText" text="Cumple">
      <formula>NOT(ISERROR(SEARCH("Cumple",AQ893)))</formula>
    </cfRule>
  </conditionalFormatting>
  <conditionalFormatting sqref="AQ894">
    <cfRule type="containsText" dxfId="483" priority="97" operator="containsText" text="No Cumple">
      <formula>NOT(ISERROR(SEARCH("No Cumple",AQ894)))</formula>
    </cfRule>
    <cfRule type="containsText" dxfId="482" priority="98" operator="containsText" text="Cumple">
      <formula>NOT(ISERROR(SEARCH("Cumple",AQ894)))</formula>
    </cfRule>
  </conditionalFormatting>
  <conditionalFormatting sqref="AQ916">
    <cfRule type="containsText" dxfId="481" priority="95" operator="containsText" text="No Cumple">
      <formula>NOT(ISERROR(SEARCH("No Cumple",AQ916)))</formula>
    </cfRule>
    <cfRule type="containsText" dxfId="480" priority="96" operator="containsText" text="Cumple">
      <formula>NOT(ISERROR(SEARCH("Cumple",AQ916)))</formula>
    </cfRule>
  </conditionalFormatting>
  <conditionalFormatting sqref="AQ917">
    <cfRule type="containsText" dxfId="479" priority="93" operator="containsText" text="No Cumple">
      <formula>NOT(ISERROR(SEARCH("No Cumple",AQ917)))</formula>
    </cfRule>
    <cfRule type="containsText" dxfId="478" priority="94" operator="containsText" text="Cumple">
      <formula>NOT(ISERROR(SEARCH("Cumple",AQ917)))</formula>
    </cfRule>
  </conditionalFormatting>
  <conditionalFormatting sqref="AQ918">
    <cfRule type="containsText" dxfId="477" priority="91" operator="containsText" text="No Cumple">
      <formula>NOT(ISERROR(SEARCH("No Cumple",AQ918)))</formula>
    </cfRule>
    <cfRule type="containsText" dxfId="476" priority="92" operator="containsText" text="Cumple">
      <formula>NOT(ISERROR(SEARCH("Cumple",AQ918)))</formula>
    </cfRule>
  </conditionalFormatting>
  <conditionalFormatting sqref="AQ919">
    <cfRule type="containsText" dxfId="475" priority="89" operator="containsText" text="No Cumple">
      <formula>NOT(ISERROR(SEARCH("No Cumple",AQ919)))</formula>
    </cfRule>
    <cfRule type="containsText" dxfId="474" priority="90" operator="containsText" text="Cumple">
      <formula>NOT(ISERROR(SEARCH("Cumple",AQ919)))</formula>
    </cfRule>
  </conditionalFormatting>
  <conditionalFormatting sqref="AQ920">
    <cfRule type="containsText" dxfId="473" priority="87" operator="containsText" text="No Cumple">
      <formula>NOT(ISERROR(SEARCH("No Cumple",AQ920)))</formula>
    </cfRule>
    <cfRule type="containsText" dxfId="472" priority="88" operator="containsText" text="Cumple">
      <formula>NOT(ISERROR(SEARCH("Cumple",AQ920)))</formula>
    </cfRule>
  </conditionalFormatting>
  <conditionalFormatting sqref="AQ921">
    <cfRule type="containsText" dxfId="471" priority="85" operator="containsText" text="No Cumple">
      <formula>NOT(ISERROR(SEARCH("No Cumple",AQ921)))</formula>
    </cfRule>
    <cfRule type="containsText" dxfId="470" priority="86" operator="containsText" text="Cumple">
      <formula>NOT(ISERROR(SEARCH("Cumple",AQ921)))</formula>
    </cfRule>
  </conditionalFormatting>
  <conditionalFormatting sqref="AQ922">
    <cfRule type="containsText" dxfId="469" priority="83" operator="containsText" text="No Cumple">
      <formula>NOT(ISERROR(SEARCH("No Cumple",AQ922)))</formula>
    </cfRule>
    <cfRule type="containsText" dxfId="468" priority="84" operator="containsText" text="Cumple">
      <formula>NOT(ISERROR(SEARCH("Cumple",AQ922)))</formula>
    </cfRule>
  </conditionalFormatting>
  <conditionalFormatting sqref="AQ923">
    <cfRule type="containsText" dxfId="467" priority="81" operator="containsText" text="No Cumple">
      <formula>NOT(ISERROR(SEARCH("No Cumple",AQ923)))</formula>
    </cfRule>
    <cfRule type="containsText" dxfId="466" priority="82" operator="containsText" text="Cumple">
      <formula>NOT(ISERROR(SEARCH("Cumple",AQ923)))</formula>
    </cfRule>
  </conditionalFormatting>
  <conditionalFormatting sqref="AQ924">
    <cfRule type="containsText" dxfId="465" priority="79" operator="containsText" text="No Cumple">
      <formula>NOT(ISERROR(SEARCH("No Cumple",AQ924)))</formula>
    </cfRule>
    <cfRule type="containsText" dxfId="464" priority="80" operator="containsText" text="Cumple">
      <formula>NOT(ISERROR(SEARCH("Cumple",AQ924)))</formula>
    </cfRule>
  </conditionalFormatting>
  <conditionalFormatting sqref="AQ941">
    <cfRule type="containsText" dxfId="463" priority="77" operator="containsText" text="No Cumple">
      <formula>NOT(ISERROR(SEARCH("No Cumple",AQ941)))</formula>
    </cfRule>
    <cfRule type="containsText" dxfId="462" priority="78" operator="containsText" text="Cumple">
      <formula>NOT(ISERROR(SEARCH("Cumple",AQ941)))</formula>
    </cfRule>
  </conditionalFormatting>
  <conditionalFormatting sqref="AQ942">
    <cfRule type="containsText" dxfId="461" priority="75" operator="containsText" text="No Cumple">
      <formula>NOT(ISERROR(SEARCH("No Cumple",AQ942)))</formula>
    </cfRule>
    <cfRule type="containsText" dxfId="460" priority="76" operator="containsText" text="Cumple">
      <formula>NOT(ISERROR(SEARCH("Cumple",AQ942)))</formula>
    </cfRule>
  </conditionalFormatting>
  <conditionalFormatting sqref="AQ943">
    <cfRule type="containsText" dxfId="459" priority="73" operator="containsText" text="No Cumple">
      <formula>NOT(ISERROR(SEARCH("No Cumple",AQ943)))</formula>
    </cfRule>
    <cfRule type="containsText" dxfId="458" priority="74" operator="containsText" text="Cumple">
      <formula>NOT(ISERROR(SEARCH("Cumple",AQ943)))</formula>
    </cfRule>
  </conditionalFormatting>
  <conditionalFormatting sqref="AQ944">
    <cfRule type="containsText" dxfId="457" priority="71" operator="containsText" text="No Cumple">
      <formula>NOT(ISERROR(SEARCH("No Cumple",AQ944)))</formula>
    </cfRule>
    <cfRule type="containsText" dxfId="456" priority="72" operator="containsText" text="Cumple">
      <formula>NOT(ISERROR(SEARCH("Cumple",AQ944)))</formula>
    </cfRule>
  </conditionalFormatting>
  <conditionalFormatting sqref="AQ945">
    <cfRule type="containsText" dxfId="455" priority="69" operator="containsText" text="No Cumple">
      <formula>NOT(ISERROR(SEARCH("No Cumple",AQ945)))</formula>
    </cfRule>
    <cfRule type="containsText" dxfId="454" priority="70" operator="containsText" text="Cumple">
      <formula>NOT(ISERROR(SEARCH("Cumple",AQ945)))</formula>
    </cfRule>
  </conditionalFormatting>
  <conditionalFormatting sqref="AQ946">
    <cfRule type="containsText" dxfId="453" priority="67" operator="containsText" text="No Cumple">
      <formula>NOT(ISERROR(SEARCH("No Cumple",AQ946)))</formula>
    </cfRule>
    <cfRule type="containsText" dxfId="452" priority="68" operator="containsText" text="Cumple">
      <formula>NOT(ISERROR(SEARCH("Cumple",AQ946)))</formula>
    </cfRule>
  </conditionalFormatting>
  <conditionalFormatting sqref="AQ947">
    <cfRule type="containsText" dxfId="451" priority="65" operator="containsText" text="No Cumple">
      <formula>NOT(ISERROR(SEARCH("No Cumple",AQ947)))</formula>
    </cfRule>
    <cfRule type="containsText" dxfId="450" priority="66" operator="containsText" text="Cumple">
      <formula>NOT(ISERROR(SEARCH("Cumple",AQ947)))</formula>
    </cfRule>
  </conditionalFormatting>
  <conditionalFormatting sqref="AQ948">
    <cfRule type="containsText" dxfId="449" priority="63" operator="containsText" text="No Cumple">
      <formula>NOT(ISERROR(SEARCH("No Cumple",AQ948)))</formula>
    </cfRule>
    <cfRule type="containsText" dxfId="448" priority="64" operator="containsText" text="Cumple">
      <formula>NOT(ISERROR(SEARCH("Cumple",AQ948)))</formula>
    </cfRule>
  </conditionalFormatting>
  <conditionalFormatting sqref="AQ949">
    <cfRule type="containsText" dxfId="447" priority="61" operator="containsText" text="No Cumple">
      <formula>NOT(ISERROR(SEARCH("No Cumple",AQ949)))</formula>
    </cfRule>
    <cfRule type="containsText" dxfId="446" priority="62" operator="containsText" text="Cumple">
      <formula>NOT(ISERROR(SEARCH("Cumple",AQ949)))</formula>
    </cfRule>
  </conditionalFormatting>
  <conditionalFormatting sqref="AQ966">
    <cfRule type="containsText" dxfId="445" priority="59" operator="containsText" text="No Cumple">
      <formula>NOT(ISERROR(SEARCH("No Cumple",AQ966)))</formula>
    </cfRule>
    <cfRule type="containsText" dxfId="444" priority="60" operator="containsText" text="Cumple">
      <formula>NOT(ISERROR(SEARCH("Cumple",AQ966)))</formula>
    </cfRule>
  </conditionalFormatting>
  <conditionalFormatting sqref="AQ967">
    <cfRule type="containsText" dxfId="443" priority="57" operator="containsText" text="No Cumple">
      <formula>NOT(ISERROR(SEARCH("No Cumple",AQ967)))</formula>
    </cfRule>
    <cfRule type="containsText" dxfId="442" priority="58" operator="containsText" text="Cumple">
      <formula>NOT(ISERROR(SEARCH("Cumple",AQ967)))</formula>
    </cfRule>
  </conditionalFormatting>
  <conditionalFormatting sqref="AQ968">
    <cfRule type="containsText" dxfId="441" priority="55" operator="containsText" text="No Cumple">
      <formula>NOT(ISERROR(SEARCH("No Cumple",AQ968)))</formula>
    </cfRule>
    <cfRule type="containsText" dxfId="440" priority="56" operator="containsText" text="Cumple">
      <formula>NOT(ISERROR(SEARCH("Cumple",AQ968)))</formula>
    </cfRule>
  </conditionalFormatting>
  <conditionalFormatting sqref="AQ969">
    <cfRule type="containsText" dxfId="439" priority="53" operator="containsText" text="No Cumple">
      <formula>NOT(ISERROR(SEARCH("No Cumple",AQ969)))</formula>
    </cfRule>
    <cfRule type="containsText" dxfId="438" priority="54" operator="containsText" text="Cumple">
      <formula>NOT(ISERROR(SEARCH("Cumple",AQ969)))</formula>
    </cfRule>
  </conditionalFormatting>
  <conditionalFormatting sqref="AQ970">
    <cfRule type="containsText" dxfId="437" priority="51" operator="containsText" text="No Cumple">
      <formula>NOT(ISERROR(SEARCH("No Cumple",AQ970)))</formula>
    </cfRule>
    <cfRule type="containsText" dxfId="436" priority="52" operator="containsText" text="Cumple">
      <formula>NOT(ISERROR(SEARCH("Cumple",AQ970)))</formula>
    </cfRule>
  </conditionalFormatting>
  <conditionalFormatting sqref="AQ971">
    <cfRule type="containsText" dxfId="435" priority="49" operator="containsText" text="No Cumple">
      <formula>NOT(ISERROR(SEARCH("No Cumple",AQ971)))</formula>
    </cfRule>
    <cfRule type="containsText" dxfId="434" priority="50" operator="containsText" text="Cumple">
      <formula>NOT(ISERROR(SEARCH("Cumple",AQ971)))</formula>
    </cfRule>
  </conditionalFormatting>
  <conditionalFormatting sqref="AQ972">
    <cfRule type="containsText" dxfId="433" priority="47" operator="containsText" text="No Cumple">
      <formula>NOT(ISERROR(SEARCH("No Cumple",AQ972)))</formula>
    </cfRule>
    <cfRule type="containsText" dxfId="432" priority="48" operator="containsText" text="Cumple">
      <formula>NOT(ISERROR(SEARCH("Cumple",AQ972)))</formula>
    </cfRule>
  </conditionalFormatting>
  <conditionalFormatting sqref="AQ973">
    <cfRule type="containsText" dxfId="431" priority="45" operator="containsText" text="No Cumple">
      <formula>NOT(ISERROR(SEARCH("No Cumple",AQ973)))</formula>
    </cfRule>
    <cfRule type="containsText" dxfId="430" priority="46" operator="containsText" text="Cumple">
      <formula>NOT(ISERROR(SEARCH("Cumple",AQ973)))</formula>
    </cfRule>
  </conditionalFormatting>
  <conditionalFormatting sqref="AQ989">
    <cfRule type="containsText" dxfId="429" priority="43" operator="containsText" text="No Cumple">
      <formula>NOT(ISERROR(SEARCH("No Cumple",AQ989)))</formula>
    </cfRule>
    <cfRule type="containsText" dxfId="428" priority="44" operator="containsText" text="Cumple">
      <formula>NOT(ISERROR(SEARCH("Cumple",AQ989)))</formula>
    </cfRule>
  </conditionalFormatting>
  <conditionalFormatting sqref="AQ990">
    <cfRule type="containsText" dxfId="427" priority="41" operator="containsText" text="No Cumple">
      <formula>NOT(ISERROR(SEARCH("No Cumple",AQ990)))</formula>
    </cfRule>
    <cfRule type="containsText" dxfId="426" priority="42" operator="containsText" text="Cumple">
      <formula>NOT(ISERROR(SEARCH("Cumple",AQ990)))</formula>
    </cfRule>
  </conditionalFormatting>
  <conditionalFormatting sqref="AQ991">
    <cfRule type="containsText" dxfId="425" priority="39" operator="containsText" text="No Cumple">
      <formula>NOT(ISERROR(SEARCH("No Cumple",AQ991)))</formula>
    </cfRule>
    <cfRule type="containsText" dxfId="424" priority="40" operator="containsText" text="Cumple">
      <formula>NOT(ISERROR(SEARCH("Cumple",AQ991)))</formula>
    </cfRule>
  </conditionalFormatting>
  <conditionalFormatting sqref="AQ992">
    <cfRule type="containsText" dxfId="423" priority="37" operator="containsText" text="No Cumple">
      <formula>NOT(ISERROR(SEARCH("No Cumple",AQ992)))</formula>
    </cfRule>
    <cfRule type="containsText" dxfId="422" priority="38" operator="containsText" text="Cumple">
      <formula>NOT(ISERROR(SEARCH("Cumple",AQ992)))</formula>
    </cfRule>
  </conditionalFormatting>
  <conditionalFormatting sqref="AQ993">
    <cfRule type="containsText" dxfId="421" priority="35" operator="containsText" text="No Cumple">
      <formula>NOT(ISERROR(SEARCH("No Cumple",AQ993)))</formula>
    </cfRule>
    <cfRule type="containsText" dxfId="420" priority="36" operator="containsText" text="Cumple">
      <formula>NOT(ISERROR(SEARCH("Cumple",AQ993)))</formula>
    </cfRule>
  </conditionalFormatting>
  <conditionalFormatting sqref="AQ994">
    <cfRule type="containsText" dxfId="419" priority="33" operator="containsText" text="No Cumple">
      <formula>NOT(ISERROR(SEARCH("No Cumple",AQ994)))</formula>
    </cfRule>
    <cfRule type="containsText" dxfId="418" priority="34" operator="containsText" text="Cumple">
      <formula>NOT(ISERROR(SEARCH("Cumple",AQ994)))</formula>
    </cfRule>
  </conditionalFormatting>
  <conditionalFormatting sqref="AQ995">
    <cfRule type="containsText" dxfId="417" priority="31" operator="containsText" text="No Cumple">
      <formula>NOT(ISERROR(SEARCH("No Cumple",AQ995)))</formula>
    </cfRule>
    <cfRule type="containsText" dxfId="416" priority="32" operator="containsText" text="Cumple">
      <formula>NOT(ISERROR(SEARCH("Cumple",AQ995)))</formula>
    </cfRule>
  </conditionalFormatting>
  <conditionalFormatting sqref="AQ996">
    <cfRule type="containsText" dxfId="415" priority="29" operator="containsText" text="No Cumple">
      <formula>NOT(ISERROR(SEARCH("No Cumple",AQ996)))</formula>
    </cfRule>
    <cfRule type="containsText" dxfId="414" priority="30" operator="containsText" text="Cumple">
      <formula>NOT(ISERROR(SEARCH("Cumple",AQ996)))</formula>
    </cfRule>
  </conditionalFormatting>
  <conditionalFormatting sqref="AQ4">
    <cfRule type="containsText" dxfId="413" priority="27" operator="containsText" text="No Cumple">
      <formula>NOT(ISERROR(SEARCH("No Cumple",AQ4)))</formula>
    </cfRule>
    <cfRule type="containsText" dxfId="412" priority="28" operator="containsText" text="Cumple">
      <formula>NOT(ISERROR(SEARCH("Cumple",AQ4)))</formula>
    </cfRule>
  </conditionalFormatting>
  <conditionalFormatting sqref="AQ5">
    <cfRule type="containsText" dxfId="411" priority="25" operator="containsText" text="No Cumple">
      <formula>NOT(ISERROR(SEARCH("No Cumple",AQ5)))</formula>
    </cfRule>
    <cfRule type="containsText" dxfId="410" priority="26" operator="containsText" text="Cumple">
      <formula>NOT(ISERROR(SEARCH("Cumple",AQ5)))</formula>
    </cfRule>
  </conditionalFormatting>
  <conditionalFormatting sqref="AQ6">
    <cfRule type="containsText" dxfId="409" priority="23" operator="containsText" text="No Cumple">
      <formula>NOT(ISERROR(SEARCH("No Cumple",AQ6)))</formula>
    </cfRule>
    <cfRule type="containsText" dxfId="408" priority="24" operator="containsText" text="Cumple">
      <formula>NOT(ISERROR(SEARCH("Cumple",AQ6)))</formula>
    </cfRule>
  </conditionalFormatting>
  <conditionalFormatting sqref="AQ7">
    <cfRule type="containsText" dxfId="407" priority="21" operator="containsText" text="No Cumple">
      <formula>NOT(ISERROR(SEARCH("No Cumple",AQ7)))</formula>
    </cfRule>
    <cfRule type="containsText" dxfId="406" priority="22" operator="containsText" text="Cumple">
      <formula>NOT(ISERROR(SEARCH("Cumple",AQ7)))</formula>
    </cfRule>
  </conditionalFormatting>
  <conditionalFormatting sqref="AQ8">
    <cfRule type="containsText" dxfId="405" priority="19" operator="containsText" text="No Cumple">
      <formula>NOT(ISERROR(SEARCH("No Cumple",AQ8)))</formula>
    </cfRule>
    <cfRule type="containsText" dxfId="404" priority="20" operator="containsText" text="Cumple">
      <formula>NOT(ISERROR(SEARCH("Cumple",AQ8)))</formula>
    </cfRule>
  </conditionalFormatting>
  <conditionalFormatting sqref="AQ21 AQ24 AQ27 AQ30">
    <cfRule type="containsText" dxfId="403" priority="17" operator="containsText" text="No Cumple">
      <formula>NOT(ISERROR(SEARCH("No Cumple",AQ21)))</formula>
    </cfRule>
    <cfRule type="containsText" dxfId="402" priority="18" operator="containsText" text="Cumple">
      <formula>NOT(ISERROR(SEARCH("Cumple",AQ21)))</formula>
    </cfRule>
  </conditionalFormatting>
  <conditionalFormatting sqref="AQ22 AQ25 AQ28">
    <cfRule type="containsText" dxfId="401" priority="15" operator="containsText" text="No Cumple">
      <formula>NOT(ISERROR(SEARCH("No Cumple",AQ22)))</formula>
    </cfRule>
    <cfRule type="containsText" dxfId="400" priority="16" operator="containsText" text="Cumple">
      <formula>NOT(ISERROR(SEARCH("Cumple",AQ22)))</formula>
    </cfRule>
  </conditionalFormatting>
  <conditionalFormatting sqref="AQ23 AQ26 AQ29">
    <cfRule type="containsText" dxfId="399" priority="13" operator="containsText" text="No Cumple">
      <formula>NOT(ISERROR(SEARCH("No Cumple",AQ23)))</formula>
    </cfRule>
    <cfRule type="containsText" dxfId="398" priority="14" operator="containsText" text="Cumple">
      <formula>NOT(ISERROR(SEARCH("Cumple",AQ23)))</formula>
    </cfRule>
  </conditionalFormatting>
  <conditionalFormatting sqref="V4:V37">
    <cfRule type="containsText" dxfId="397" priority="11" operator="containsText" text="No Cumple">
      <formula>NOT(ISERROR(SEARCH("No Cumple",V4)))</formula>
    </cfRule>
    <cfRule type="containsText" dxfId="396" priority="12" operator="containsText" text="Cumple">
      <formula>NOT(ISERROR(SEARCH("Cumple",V4)))</formula>
    </cfRule>
  </conditionalFormatting>
  <conditionalFormatting sqref="AD29:AE29">
    <cfRule type="containsText" dxfId="395" priority="1" operator="containsText" text="No Cumple">
      <formula>NOT(ISERROR(SEARCH("No Cumple",AD29)))</formula>
    </cfRule>
    <cfRule type="containsText" dxfId="394" priority="2" operator="containsText" text="Cumple">
      <formula>NOT(ISERROR(SEARCH("Cumple",AD29)))</formula>
    </cfRule>
  </conditionalFormatting>
  <conditionalFormatting sqref="AD10:AE11">
    <cfRule type="containsText" dxfId="393" priority="9" operator="containsText" text="No Cumple">
      <formula>NOT(ISERROR(SEARCH("No Cumple",AD10)))</formula>
    </cfRule>
    <cfRule type="containsText" dxfId="392" priority="10" operator="containsText" text="Cumple">
      <formula>NOT(ISERROR(SEARCH("Cumple",AD10)))</formula>
    </cfRule>
  </conditionalFormatting>
  <conditionalFormatting sqref="AD21:AE26 AD29:AE37">
    <cfRule type="containsText" dxfId="391" priority="5" operator="containsText" text="No Cumple">
      <formula>NOT(ISERROR(SEARCH("No Cumple",AD21)))</formula>
    </cfRule>
    <cfRule type="containsText" dxfId="390" priority="6" operator="containsText" text="Cumple">
      <formula>NOT(ISERROR(SEARCH("Cumple",AD21)))</formula>
    </cfRule>
  </conditionalFormatting>
  <conditionalFormatting sqref="AD27:AE28">
    <cfRule type="containsText" dxfId="389" priority="3" operator="containsText" text="No Cumple">
      <formula>NOT(ISERROR(SEARCH("No Cumple",AD27)))</formula>
    </cfRule>
    <cfRule type="containsText" dxfId="388" priority="4" operator="containsText" text="Cumple">
      <formula>NOT(ISERROR(SEARCH("Cumple",AD27)))</formula>
    </cfRule>
  </conditionalFormatting>
  <conditionalFormatting sqref="AD12:AE12">
    <cfRule type="containsText" dxfId="387" priority="7" operator="containsText" text="No Cumple">
      <formula>NOT(ISERROR(SEARCH("No Cumple",AD12)))</formula>
    </cfRule>
    <cfRule type="containsText" dxfId="386" priority="8" operator="containsText" text="Cumple">
      <formula>NOT(ISERROR(SEARCH("Cumple",AD12)))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Datos1">
                <anchor moveWithCells="1" sizeWithCells="1">
                  <from>
                    <xdr:col>8</xdr:col>
                    <xdr:colOff>7620</xdr:colOff>
                    <xdr:row>0</xdr:row>
                    <xdr:rowOff>0</xdr:rowOff>
                  </from>
                  <to>
                    <xdr:col>13</xdr:col>
                    <xdr:colOff>0</xdr:colOff>
                    <xdr:row>1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03A31-B161-4600-A149-0E08570E3EC4}">
  <dimension ref="A1"/>
  <sheetViews>
    <sheetView workbookViewId="0">
      <selection activeCell="E4" sqref="E4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RefuerzoTalon_Empresa</vt:lpstr>
      <vt:lpstr>Refuerzo Viga Cabezal_Empresa</vt:lpstr>
      <vt:lpstr>RefuerzoPilotes_Empresa</vt:lpstr>
      <vt:lpstr>AceroTalon_CCP-14</vt:lpstr>
      <vt:lpstr>Acero Pantalla_CCP-14</vt:lpstr>
      <vt:lpstr>Refuerzo Viga Cabezal_CCP-14</vt:lpstr>
      <vt:lpstr>RefuerzoPilotes_CCP-14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bolaños hernandez</dc:creator>
  <cp:lastModifiedBy>maria jose bolaños hernandez</cp:lastModifiedBy>
  <dcterms:created xsi:type="dcterms:W3CDTF">2021-10-22T15:53:50Z</dcterms:created>
  <dcterms:modified xsi:type="dcterms:W3CDTF">2021-10-22T16:05:18Z</dcterms:modified>
</cp:coreProperties>
</file>