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DPZ\"/>
    </mc:Choice>
  </mc:AlternateContent>
  <xr:revisionPtr revIDLastSave="0" documentId="13_ncr:1_{A7126AEC-9211-445D-B407-D28F77111876}" xr6:coauthVersionLast="47" xr6:coauthVersionMax="47" xr10:uidLastSave="{00000000-0000-0000-0000-000000000000}"/>
  <bookViews>
    <workbookView xWindow="-120" yWindow="-120" windowWidth="20730" windowHeight="11160" firstSheet="11" activeTab="12" xr2:uid="{00000000-000D-0000-FFFF-FFFF00000000}"/>
  </bookViews>
  <sheets>
    <sheet name="inversiones" sheetId="7" r:id="rId1"/>
    <sheet name="Costos de producción" sheetId="10" r:id="rId2"/>
    <sheet name="Gastos de administración" sheetId="11" r:id="rId3"/>
    <sheet name="Gastos de venta" sheetId="12" r:id="rId4"/>
    <sheet name="Costos fijos" sheetId="21" r:id="rId5"/>
    <sheet name="Costos variables" sheetId="25" r:id="rId6"/>
    <sheet name="Amortizaciones" sheetId="24" r:id="rId7"/>
    <sheet name="Depreciación" sheetId="26" r:id="rId8"/>
    <sheet name="Punto de equilibrio" sheetId="27" r:id="rId9"/>
    <sheet name="Presupuesto costos de producció" sheetId="13" r:id="rId10"/>
    <sheet name="Presupuesto gastos administrati" sheetId="14" r:id="rId11"/>
    <sheet name="Presupuesto gastos de venta" sheetId="15" r:id="rId12"/>
    <sheet name="Presupuesto de ingresos" sheetId="17" r:id="rId13"/>
    <sheet name="Margen de contribución SGA" sheetId="22" r:id="rId14"/>
    <sheet name="Margen de contribución VEA" sheetId="28" r:id="rId15"/>
    <sheet name="Estado de resultados" sheetId="23" r:id="rId16"/>
    <sheet name="Flujo de efectivo" sheetId="18" r:id="rId17"/>
    <sheet name="Balance general" sheetId="29" r:id="rId18"/>
    <sheet name="Capital de trabajo" sheetId="31" r:id="rId19"/>
    <sheet name="Indicadores" sheetId="30" r:id="rId20"/>
    <sheet name="Análisis de sensibilidad" sheetId="33" r:id="rId21"/>
    <sheet name="ER AS" sheetId="34" r:id="rId22"/>
    <sheet name="FE AS" sheetId="35" r:id="rId23"/>
  </sheets>
  <definedNames>
    <definedName name="añosmc">'Margen de contribución SGA'!$B$2:$F$14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33" l="1"/>
  <c r="J8" i="34" s="1"/>
  <c r="D27" i="33"/>
  <c r="E27" i="33"/>
  <c r="F27" i="33"/>
  <c r="N13" i="33" s="1"/>
  <c r="B27" i="33"/>
  <c r="I8" i="34" s="1"/>
  <c r="M13" i="33"/>
  <c r="L13" i="33"/>
  <c r="N21" i="35"/>
  <c r="N20" i="35"/>
  <c r="M20" i="35"/>
  <c r="M21" i="35" s="1"/>
  <c r="L20" i="35"/>
  <c r="L21" i="35" s="1"/>
  <c r="K20" i="35"/>
  <c r="K21" i="35" s="1"/>
  <c r="J20" i="35"/>
  <c r="J19" i="35"/>
  <c r="J21" i="35" s="1"/>
  <c r="M16" i="35"/>
  <c r="N15" i="35"/>
  <c r="N16" i="35" s="1"/>
  <c r="M15" i="35"/>
  <c r="L15" i="35"/>
  <c r="L16" i="35" s="1"/>
  <c r="K15" i="35"/>
  <c r="K16" i="35" s="1"/>
  <c r="J15" i="35"/>
  <c r="J13" i="35"/>
  <c r="J12" i="35"/>
  <c r="J11" i="35"/>
  <c r="J16" i="35" s="1"/>
  <c r="N8" i="35"/>
  <c r="M8" i="35"/>
  <c r="L8" i="35"/>
  <c r="K8" i="35"/>
  <c r="J8" i="35"/>
  <c r="N6" i="35"/>
  <c r="M6" i="35"/>
  <c r="L6" i="35"/>
  <c r="K6" i="35"/>
  <c r="J6" i="35"/>
  <c r="M11" i="34"/>
  <c r="L11" i="34"/>
  <c r="K11" i="34"/>
  <c r="J11" i="34"/>
  <c r="I11" i="34"/>
  <c r="K8" i="34"/>
  <c r="L8" i="34"/>
  <c r="J3" i="34"/>
  <c r="K3" i="34"/>
  <c r="L3" i="34"/>
  <c r="L5" i="34" s="1"/>
  <c r="M3" i="34"/>
  <c r="M5" i="34" s="1"/>
  <c r="I3" i="34"/>
  <c r="I5" i="34" s="1"/>
  <c r="M7" i="34"/>
  <c r="L7" i="34"/>
  <c r="K7" i="34"/>
  <c r="J7" i="34"/>
  <c r="I7" i="34"/>
  <c r="K5" i="34"/>
  <c r="J5" i="34"/>
  <c r="C26" i="33"/>
  <c r="D26" i="33"/>
  <c r="E26" i="33"/>
  <c r="F26" i="33"/>
  <c r="B26" i="33"/>
  <c r="I18" i="33"/>
  <c r="I15" i="33"/>
  <c r="I16" i="33"/>
  <c r="I17" i="33"/>
  <c r="I14" i="33"/>
  <c r="G21" i="35"/>
  <c r="G20" i="35"/>
  <c r="F20" i="35"/>
  <c r="F21" i="35" s="1"/>
  <c r="E20" i="35"/>
  <c r="E21" i="35" s="1"/>
  <c r="D20" i="35"/>
  <c r="D21" i="35" s="1"/>
  <c r="C20" i="35"/>
  <c r="C19" i="35"/>
  <c r="C21" i="35" s="1"/>
  <c r="F16" i="35"/>
  <c r="G15" i="35"/>
  <c r="G16" i="35" s="1"/>
  <c r="F15" i="35"/>
  <c r="E15" i="35"/>
  <c r="E16" i="35" s="1"/>
  <c r="D15" i="35"/>
  <c r="D16" i="35" s="1"/>
  <c r="C15" i="35"/>
  <c r="C13" i="35"/>
  <c r="C12" i="35"/>
  <c r="C11" i="35"/>
  <c r="C16" i="35" s="1"/>
  <c r="G8" i="35"/>
  <c r="F8" i="35"/>
  <c r="E8" i="35"/>
  <c r="D8" i="35"/>
  <c r="C8" i="35"/>
  <c r="G6" i="35"/>
  <c r="F6" i="35"/>
  <c r="E6" i="35"/>
  <c r="D6" i="35"/>
  <c r="C6" i="35"/>
  <c r="F11" i="34"/>
  <c r="E11" i="34"/>
  <c r="D11" i="34"/>
  <c r="C11" i="34"/>
  <c r="B11" i="34"/>
  <c r="F8" i="34"/>
  <c r="E8" i="34"/>
  <c r="D8" i="34"/>
  <c r="C8" i="34"/>
  <c r="B8" i="34"/>
  <c r="F7" i="34"/>
  <c r="F9" i="34" s="1"/>
  <c r="E7" i="34"/>
  <c r="E9" i="34" s="1"/>
  <c r="D7" i="34"/>
  <c r="C7" i="34"/>
  <c r="C9" i="34" s="1"/>
  <c r="B7" i="34"/>
  <c r="B9" i="34" s="1"/>
  <c r="B22" i="33"/>
  <c r="I3" i="33" s="1"/>
  <c r="C22" i="33"/>
  <c r="D22" i="33"/>
  <c r="E22" i="33"/>
  <c r="F22" i="33"/>
  <c r="I4" i="33"/>
  <c r="I5" i="33"/>
  <c r="I6" i="33"/>
  <c r="I7" i="33"/>
  <c r="G19" i="33"/>
  <c r="F19" i="33"/>
  <c r="G18" i="33"/>
  <c r="F5" i="33" s="1"/>
  <c r="F18" i="33"/>
  <c r="G17" i="33"/>
  <c r="F17" i="33"/>
  <c r="G16" i="33"/>
  <c r="D5" i="33" s="1"/>
  <c r="F16" i="33"/>
  <c r="G15" i="33"/>
  <c r="F15" i="33"/>
  <c r="G5" i="33"/>
  <c r="E5" i="33"/>
  <c r="C5" i="33"/>
  <c r="G4" i="33"/>
  <c r="F4" i="33"/>
  <c r="E4" i="33"/>
  <c r="D4" i="33"/>
  <c r="C4" i="33"/>
  <c r="B3" i="31"/>
  <c r="C13" i="23"/>
  <c r="D13" i="23"/>
  <c r="E13" i="23"/>
  <c r="F13" i="23"/>
  <c r="B13" i="23"/>
  <c r="A3" i="31"/>
  <c r="F19" i="28"/>
  <c r="F21" i="28"/>
  <c r="F22" i="28"/>
  <c r="F24" i="28"/>
  <c r="F26" i="28"/>
  <c r="F28" i="28"/>
  <c r="E23" i="28"/>
  <c r="E24" i="28"/>
  <c r="E26" i="28"/>
  <c r="E28" i="28"/>
  <c r="E29" i="28"/>
  <c r="E18" i="28"/>
  <c r="E19" i="28"/>
  <c r="D22" i="28"/>
  <c r="D26" i="28"/>
  <c r="D27" i="28"/>
  <c r="D28" i="28"/>
  <c r="C22" i="28"/>
  <c r="C23" i="28"/>
  <c r="C24" i="28"/>
  <c r="C27" i="28"/>
  <c r="C29" i="28"/>
  <c r="B22" i="28"/>
  <c r="B25" i="28"/>
  <c r="B26" i="28"/>
  <c r="B28" i="28"/>
  <c r="G18" i="17"/>
  <c r="F19" i="17"/>
  <c r="F18" i="17"/>
  <c r="F17" i="17"/>
  <c r="C15" i="28"/>
  <c r="G16" i="17" s="1"/>
  <c r="D15" i="28"/>
  <c r="G17" i="17" s="1"/>
  <c r="E15" i="28"/>
  <c r="F15" i="28"/>
  <c r="G19" i="17" s="1"/>
  <c r="B15" i="28"/>
  <c r="G15" i="17" s="1"/>
  <c r="D9" i="34" l="1"/>
  <c r="L9" i="34"/>
  <c r="L10" i="34" s="1"/>
  <c r="L13" i="34" s="1"/>
  <c r="L14" i="34" s="1"/>
  <c r="I9" i="34"/>
  <c r="I10" i="34" s="1"/>
  <c r="I13" i="34" s="1"/>
  <c r="K13" i="33"/>
  <c r="J9" i="34"/>
  <c r="J10" i="34" s="1"/>
  <c r="J13" i="34" s="1"/>
  <c r="K9" i="34"/>
  <c r="K10" i="34" s="1"/>
  <c r="K13" i="34" s="1"/>
  <c r="M8" i="34"/>
  <c r="M9" i="34" s="1"/>
  <c r="J13" i="33"/>
  <c r="M10" i="34"/>
  <c r="M13" i="34" s="1"/>
  <c r="C6" i="33"/>
  <c r="J2" i="33" s="1"/>
  <c r="B3" i="34" s="1"/>
  <c r="B5" i="34" s="1"/>
  <c r="B10" i="34" s="1"/>
  <c r="B13" i="34" s="1"/>
  <c r="G6" i="33"/>
  <c r="N2" i="33" s="1"/>
  <c r="F3" i="34" s="1"/>
  <c r="F5" i="34" s="1"/>
  <c r="F10" i="34" s="1"/>
  <c r="F13" i="34" s="1"/>
  <c r="E6" i="33"/>
  <c r="L2" i="33" s="1"/>
  <c r="D3" i="34" s="1"/>
  <c r="D5" i="34" s="1"/>
  <c r="D10" i="34" s="1"/>
  <c r="D13" i="34" s="1"/>
  <c r="D6" i="33"/>
  <c r="K2" i="33" s="1"/>
  <c r="C3" i="34" s="1"/>
  <c r="C5" i="34" s="1"/>
  <c r="C10" i="34" s="1"/>
  <c r="C13" i="34" s="1"/>
  <c r="F6" i="33"/>
  <c r="M2" i="33" s="1"/>
  <c r="E3" i="34" s="1"/>
  <c r="E5" i="34" s="1"/>
  <c r="E10" i="34" s="1"/>
  <c r="E13" i="34" s="1"/>
  <c r="E14" i="34" s="1"/>
  <c r="C7" i="30"/>
  <c r="C6" i="30" s="1"/>
  <c r="L15" i="34" l="1"/>
  <c r="M7" i="35"/>
  <c r="M14" i="34"/>
  <c r="I14" i="34"/>
  <c r="K14" i="34"/>
  <c r="J14" i="34"/>
  <c r="E15" i="34"/>
  <c r="F7" i="35"/>
  <c r="F14" i="34"/>
  <c r="D14" i="34"/>
  <c r="E7" i="35" s="1"/>
  <c r="C14" i="34"/>
  <c r="B14" i="34"/>
  <c r="C5" i="17"/>
  <c r="J15" i="34" l="1"/>
  <c r="K7" i="35"/>
  <c r="M15" i="34"/>
  <c r="N7" i="35"/>
  <c r="K15" i="34"/>
  <c r="L7" i="35"/>
  <c r="L16" i="34"/>
  <c r="M5" i="35"/>
  <c r="I15" i="34"/>
  <c r="J7" i="35"/>
  <c r="B15" i="34"/>
  <c r="C7" i="35"/>
  <c r="F15" i="34"/>
  <c r="G7" i="35"/>
  <c r="C15" i="34"/>
  <c r="D7" i="35"/>
  <c r="D15" i="34"/>
  <c r="E16" i="34"/>
  <c r="F5" i="35"/>
  <c r="C40" i="7"/>
  <c r="C32" i="7"/>
  <c r="C25" i="7"/>
  <c r="C19" i="7"/>
  <c r="C59" i="7" s="1"/>
  <c r="C15" i="7"/>
  <c r="C11" i="7"/>
  <c r="C6" i="7"/>
  <c r="C56" i="7"/>
  <c r="D12" i="10" s="1"/>
  <c r="C57" i="7"/>
  <c r="D13" i="10" s="1"/>
  <c r="C58" i="7"/>
  <c r="D14" i="10" s="1"/>
  <c r="C55" i="7"/>
  <c r="D11" i="10" s="1"/>
  <c r="C54" i="7"/>
  <c r="D12" i="12" s="1"/>
  <c r="C53" i="7"/>
  <c r="D11" i="12" s="1"/>
  <c r="C52" i="7"/>
  <c r="D10" i="12" s="1"/>
  <c r="C49" i="7"/>
  <c r="C50" i="7"/>
  <c r="C51" i="7"/>
  <c r="D13" i="12" s="1"/>
  <c r="C48" i="7"/>
  <c r="C47" i="7"/>
  <c r="C6" i="24" s="1"/>
  <c r="C46" i="7"/>
  <c r="C45" i="7"/>
  <c r="C3" i="24" s="1"/>
  <c r="C44" i="7"/>
  <c r="C5" i="24" s="1"/>
  <c r="C43" i="7"/>
  <c r="C2" i="24" s="1"/>
  <c r="B59" i="7"/>
  <c r="C24" i="10" s="1"/>
  <c r="B56" i="7"/>
  <c r="C12" i="10" s="1"/>
  <c r="B57" i="7"/>
  <c r="C13" i="10" s="1"/>
  <c r="B58" i="7"/>
  <c r="C14" i="10" s="1"/>
  <c r="B55" i="7"/>
  <c r="C11" i="10" s="1"/>
  <c r="B54" i="7"/>
  <c r="C12" i="12" s="1"/>
  <c r="B53" i="7"/>
  <c r="C11" i="12" s="1"/>
  <c r="B52" i="7"/>
  <c r="C10" i="12" s="1"/>
  <c r="B49" i="7"/>
  <c r="B50" i="7"/>
  <c r="B51" i="7"/>
  <c r="C13" i="12" s="1"/>
  <c r="B48" i="7"/>
  <c r="B47" i="7"/>
  <c r="B6" i="24" s="1"/>
  <c r="B46" i="7"/>
  <c r="B4" i="24" s="1"/>
  <c r="B45" i="7"/>
  <c r="B3" i="24" s="1"/>
  <c r="B44" i="7"/>
  <c r="B5" i="24" s="1"/>
  <c r="B43" i="7"/>
  <c r="B2" i="24" s="1"/>
  <c r="C4" i="12"/>
  <c r="B5" i="12"/>
  <c r="B4" i="12"/>
  <c r="D15" i="11"/>
  <c r="J4" i="7"/>
  <c r="E5" i="11" s="1"/>
  <c r="C5" i="11"/>
  <c r="B5" i="11"/>
  <c r="B4" i="11"/>
  <c r="D24" i="10"/>
  <c r="C6" i="10"/>
  <c r="C5" i="10"/>
  <c r="B6" i="10"/>
  <c r="B5" i="10"/>
  <c r="B4" i="10"/>
  <c r="I4" i="7"/>
  <c r="I5" i="7"/>
  <c r="J5" i="7" s="1"/>
  <c r="E4" i="12" s="1"/>
  <c r="I8" i="7"/>
  <c r="J8" i="7" s="1"/>
  <c r="E5" i="10" s="1"/>
  <c r="I9" i="7"/>
  <c r="H6" i="7"/>
  <c r="I6" i="7" s="1"/>
  <c r="H3" i="7"/>
  <c r="I3" i="7" s="1"/>
  <c r="J3" i="7" s="1"/>
  <c r="K3" i="7" s="1"/>
  <c r="H7" i="7"/>
  <c r="I7" i="7" s="1"/>
  <c r="J7" i="7" s="1"/>
  <c r="E4" i="10" s="1"/>
  <c r="M16" i="34" l="1"/>
  <c r="N5" i="35"/>
  <c r="K16" i="34"/>
  <c r="L5" i="35"/>
  <c r="J16" i="34"/>
  <c r="K5" i="35"/>
  <c r="I16" i="34"/>
  <c r="J5" i="35"/>
  <c r="J9" i="35" s="1"/>
  <c r="J23" i="35" s="1"/>
  <c r="D16" i="34"/>
  <c r="E5" i="35"/>
  <c r="F16" i="34"/>
  <c r="G5" i="35"/>
  <c r="C16" i="34"/>
  <c r="D5" i="35"/>
  <c r="B16" i="34"/>
  <c r="C5" i="35"/>
  <c r="C9" i="35" s="1"/>
  <c r="C23" i="35" s="1"/>
  <c r="D5" i="24"/>
  <c r="D6" i="24"/>
  <c r="D3" i="24"/>
  <c r="D46" i="7"/>
  <c r="D50" i="7"/>
  <c r="D54" i="7"/>
  <c r="C4" i="24"/>
  <c r="D4" i="24" s="1"/>
  <c r="D59" i="7"/>
  <c r="C15" i="11"/>
  <c r="D51" i="7"/>
  <c r="D43" i="7"/>
  <c r="D47" i="7"/>
  <c r="B16" i="26" s="1"/>
  <c r="D49" i="7"/>
  <c r="D55" i="7"/>
  <c r="D44" i="7"/>
  <c r="D48" i="7"/>
  <c r="D52" i="7"/>
  <c r="D58" i="7"/>
  <c r="D45" i="7"/>
  <c r="B4" i="26" s="1"/>
  <c r="D53" i="7"/>
  <c r="D57" i="7"/>
  <c r="D56" i="7"/>
  <c r="E12" i="12"/>
  <c r="E10" i="12"/>
  <c r="E13" i="12"/>
  <c r="F13" i="12" s="1"/>
  <c r="B8" i="21" s="1"/>
  <c r="E11" i="12"/>
  <c r="C4" i="10"/>
  <c r="D4" i="10" s="1"/>
  <c r="E4" i="11"/>
  <c r="C5" i="12"/>
  <c r="C4" i="11"/>
  <c r="D5" i="10"/>
  <c r="D6" i="10"/>
  <c r="J6" i="7"/>
  <c r="K8" i="7"/>
  <c r="K4" i="7"/>
  <c r="F5" i="11" s="1"/>
  <c r="K5" i="7"/>
  <c r="K7" i="7"/>
  <c r="J9" i="7"/>
  <c r="K4" i="35" l="1"/>
  <c r="K9" i="35" s="1"/>
  <c r="K23" i="35" s="1"/>
  <c r="I21" i="33"/>
  <c r="D4" i="35"/>
  <c r="D9" i="35" s="1"/>
  <c r="D23" i="35" s="1"/>
  <c r="I10" i="33"/>
  <c r="B60" i="7"/>
  <c r="B62" i="7"/>
  <c r="D8" i="29"/>
  <c r="E8" i="29"/>
  <c r="C8" i="29"/>
  <c r="G8" i="29"/>
  <c r="F8" i="29"/>
  <c r="B8" i="29"/>
  <c r="E14" i="12"/>
  <c r="B10" i="26"/>
  <c r="K6" i="7"/>
  <c r="E5" i="12"/>
  <c r="K9" i="7"/>
  <c r="E6" i="10"/>
  <c r="E24" i="10"/>
  <c r="F24" i="10" s="1"/>
  <c r="E15" i="11"/>
  <c r="F15" i="11" s="1"/>
  <c r="G5" i="17"/>
  <c r="F5" i="17"/>
  <c r="E5" i="17"/>
  <c r="D5" i="17"/>
  <c r="H56" i="28"/>
  <c r="H57" i="28"/>
  <c r="H58" i="28"/>
  <c r="H59" i="28"/>
  <c r="H60" i="28"/>
  <c r="H61" i="28"/>
  <c r="H62" i="28"/>
  <c r="H63" i="28"/>
  <c r="H64" i="28"/>
  <c r="H65" i="28"/>
  <c r="H66" i="28"/>
  <c r="H55" i="28"/>
  <c r="H43" i="28"/>
  <c r="H44" i="28"/>
  <c r="H45" i="28"/>
  <c r="H46" i="28"/>
  <c r="H47" i="28"/>
  <c r="H48" i="28"/>
  <c r="H49" i="28"/>
  <c r="H50" i="28"/>
  <c r="H51" i="28"/>
  <c r="H52" i="28"/>
  <c r="H53" i="28"/>
  <c r="H42" i="28"/>
  <c r="H30" i="28"/>
  <c r="H31" i="28"/>
  <c r="H32" i="28"/>
  <c r="H33" i="28"/>
  <c r="H34" i="28"/>
  <c r="H35" i="28"/>
  <c r="H36" i="28"/>
  <c r="H37" i="28"/>
  <c r="H38" i="28"/>
  <c r="H39" i="28"/>
  <c r="H40" i="28"/>
  <c r="H29" i="28"/>
  <c r="H17" i="28"/>
  <c r="H18" i="28"/>
  <c r="H19" i="28"/>
  <c r="H20" i="28"/>
  <c r="H21" i="28"/>
  <c r="H22" i="28"/>
  <c r="H23" i="28"/>
  <c r="H24" i="28"/>
  <c r="H25" i="28"/>
  <c r="H26" i="28"/>
  <c r="H27" i="28"/>
  <c r="H16" i="28"/>
  <c r="H4" i="28"/>
  <c r="H5" i="28"/>
  <c r="H6" i="28"/>
  <c r="H7" i="28"/>
  <c r="H8" i="28"/>
  <c r="H9" i="28"/>
  <c r="H10" i="28"/>
  <c r="H11" i="28"/>
  <c r="H12" i="28"/>
  <c r="H13" i="28"/>
  <c r="H14" i="28"/>
  <c r="H3" i="28"/>
  <c r="L4" i="35" l="1"/>
  <c r="L9" i="35" s="1"/>
  <c r="L23" i="35" s="1"/>
  <c r="J21" i="33"/>
  <c r="E4" i="35"/>
  <c r="E9" i="35" s="1"/>
  <c r="E23" i="35" s="1"/>
  <c r="J10" i="33"/>
  <c r="E14" i="18"/>
  <c r="E15" i="18" s="1"/>
  <c r="D19" i="18"/>
  <c r="D20" i="18" s="1"/>
  <c r="B4" i="30"/>
  <c r="F14" i="18"/>
  <c r="F15" i="18" s="1"/>
  <c r="E19" i="18"/>
  <c r="E20" i="18" s="1"/>
  <c r="C14" i="18"/>
  <c r="G14" i="18"/>
  <c r="G15" i="18" s="1"/>
  <c r="F19" i="18"/>
  <c r="F20" i="18" s="1"/>
  <c r="D14" i="18"/>
  <c r="D15" i="18" s="1"/>
  <c r="G19" i="18"/>
  <c r="G20" i="18" s="1"/>
  <c r="C19" i="18"/>
  <c r="D2" i="24"/>
  <c r="E6" i="24"/>
  <c r="C12" i="18" s="1"/>
  <c r="E5" i="24"/>
  <c r="E4" i="24"/>
  <c r="E3" i="24"/>
  <c r="C11" i="18" s="1"/>
  <c r="B5" i="25"/>
  <c r="M4" i="35" l="1"/>
  <c r="M9" i="35" s="1"/>
  <c r="M23" i="35" s="1"/>
  <c r="K21" i="33"/>
  <c r="F4" i="35"/>
  <c r="F9" i="35" s="1"/>
  <c r="F23" i="35" s="1"/>
  <c r="K10" i="33"/>
  <c r="C10" i="29"/>
  <c r="C17" i="29"/>
  <c r="E6" i="29"/>
  <c r="D6" i="29"/>
  <c r="F6" i="29"/>
  <c r="C6" i="29"/>
  <c r="G6" i="29"/>
  <c r="B6" i="29"/>
  <c r="G17" i="29"/>
  <c r="G10" i="29"/>
  <c r="F4" i="29"/>
  <c r="C4" i="29"/>
  <c r="G4" i="29"/>
  <c r="E4" i="29"/>
  <c r="D4" i="29"/>
  <c r="B4" i="29"/>
  <c r="F10" i="29"/>
  <c r="F17" i="29"/>
  <c r="D10" i="29"/>
  <c r="D17" i="29"/>
  <c r="E10" i="29"/>
  <c r="E17" i="29"/>
  <c r="D13" i="24"/>
  <c r="D12" i="24"/>
  <c r="E2" i="24"/>
  <c r="N4" i="35" l="1"/>
  <c r="N9" i="35" s="1"/>
  <c r="N23" i="35" s="1"/>
  <c r="M21" i="33" s="1"/>
  <c r="L21" i="33"/>
  <c r="G4" i="35"/>
  <c r="G9" i="35" s="1"/>
  <c r="G23" i="35" s="1"/>
  <c r="M10" i="33" s="1"/>
  <c r="L10" i="33"/>
  <c r="E8" i="24"/>
  <c r="B10" i="24" s="1"/>
  <c r="C10" i="18"/>
  <c r="C15" i="18" s="1"/>
  <c r="D11" i="24"/>
  <c r="E13" i="24" s="1"/>
  <c r="B13" i="24"/>
  <c r="F17" i="24"/>
  <c r="G3" i="22"/>
  <c r="H4" i="22" s="1"/>
  <c r="J14" i="33" l="1"/>
  <c r="J3" i="33"/>
  <c r="O3" i="33"/>
  <c r="B3" i="30"/>
  <c r="C18" i="18"/>
  <c r="C20" i="18" s="1"/>
  <c r="B18" i="24"/>
  <c r="D18" i="24" s="1"/>
  <c r="H30" i="22"/>
  <c r="H58" i="22"/>
  <c r="H62" i="22"/>
  <c r="H66" i="22"/>
  <c r="H45" i="22"/>
  <c r="H49" i="22"/>
  <c r="H53" i="22"/>
  <c r="H56" i="22"/>
  <c r="H64" i="22"/>
  <c r="H43" i="22"/>
  <c r="H51" i="22"/>
  <c r="H57" i="22"/>
  <c r="H61" i="22"/>
  <c r="H59" i="22"/>
  <c r="H63" i="22"/>
  <c r="H55" i="22"/>
  <c r="H46" i="22"/>
  <c r="H50" i="22"/>
  <c r="H42" i="22"/>
  <c r="H60" i="22"/>
  <c r="H47" i="22"/>
  <c r="H65" i="22"/>
  <c r="H44" i="22"/>
  <c r="H48" i="22"/>
  <c r="H52" i="22"/>
  <c r="B6" i="21"/>
  <c r="C23" i="24"/>
  <c r="C27" i="24"/>
  <c r="C31" i="24"/>
  <c r="C35" i="24"/>
  <c r="C39" i="24"/>
  <c r="C43" i="24"/>
  <c r="C47" i="24"/>
  <c r="C51" i="24"/>
  <c r="C55" i="24"/>
  <c r="C59" i="24"/>
  <c r="C63" i="24"/>
  <c r="C67" i="24"/>
  <c r="C71" i="24"/>
  <c r="C75" i="24"/>
  <c r="C26" i="24"/>
  <c r="C30" i="24"/>
  <c r="C34" i="24"/>
  <c r="C42" i="24"/>
  <c r="C46" i="24"/>
  <c r="C54" i="24"/>
  <c r="C62" i="24"/>
  <c r="C70" i="24"/>
  <c r="C18" i="24"/>
  <c r="C20" i="24"/>
  <c r="C24" i="24"/>
  <c r="C28" i="24"/>
  <c r="C32" i="24"/>
  <c r="C36" i="24"/>
  <c r="C40" i="24"/>
  <c r="C44" i="24"/>
  <c r="C48" i="24"/>
  <c r="C52" i="24"/>
  <c r="C56" i="24"/>
  <c r="C60" i="24"/>
  <c r="C64" i="24"/>
  <c r="C68" i="24"/>
  <c r="C72" i="24"/>
  <c r="C76" i="24"/>
  <c r="C22" i="24"/>
  <c r="C38" i="24"/>
  <c r="C50" i="24"/>
  <c r="C58" i="24"/>
  <c r="C66" i="24"/>
  <c r="C74" i="24"/>
  <c r="C19" i="24"/>
  <c r="C21" i="24"/>
  <c r="C25" i="24"/>
  <c r="C29" i="24"/>
  <c r="C33" i="24"/>
  <c r="C37" i="24"/>
  <c r="C41" i="24"/>
  <c r="C45" i="24"/>
  <c r="C49" i="24"/>
  <c r="C53" i="24"/>
  <c r="C57" i="24"/>
  <c r="C61" i="24"/>
  <c r="C65" i="24"/>
  <c r="C69" i="24"/>
  <c r="C73" i="24"/>
  <c r="C77" i="24"/>
  <c r="H3" i="22"/>
  <c r="H11" i="22"/>
  <c r="H7" i="22"/>
  <c r="H16" i="22"/>
  <c r="H24" i="22"/>
  <c r="H20" i="22"/>
  <c r="H29" i="22"/>
  <c r="H37" i="22"/>
  <c r="H33" i="22"/>
  <c r="H14" i="22"/>
  <c r="H10" i="22"/>
  <c r="H6" i="22"/>
  <c r="H27" i="22"/>
  <c r="H23" i="22"/>
  <c r="H19" i="22"/>
  <c r="H40" i="22"/>
  <c r="H36" i="22"/>
  <c r="H32" i="22"/>
  <c r="H13" i="22"/>
  <c r="H9" i="22"/>
  <c r="H5" i="22"/>
  <c r="H26" i="22"/>
  <c r="H22" i="22"/>
  <c r="H18" i="22"/>
  <c r="H39" i="22"/>
  <c r="H35" i="22"/>
  <c r="H31" i="22"/>
  <c r="H12" i="22"/>
  <c r="H8" i="22"/>
  <c r="H25" i="22"/>
  <c r="H21" i="22"/>
  <c r="H17" i="22"/>
  <c r="H38" i="22"/>
  <c r="H34" i="22"/>
  <c r="B5" i="30" l="1"/>
  <c r="E18" i="24"/>
  <c r="K27" i="22"/>
  <c r="K28" i="22" s="1"/>
  <c r="K29" i="22" s="1"/>
  <c r="F16" i="17" s="1"/>
  <c r="K66" i="22"/>
  <c r="K67" i="22" s="1"/>
  <c r="K68" i="22" s="1"/>
  <c r="K14" i="22"/>
  <c r="K15" i="22" s="1"/>
  <c r="K16" i="22" s="1"/>
  <c r="K53" i="22"/>
  <c r="K54" i="22" s="1"/>
  <c r="K55" i="22" s="1"/>
  <c r="K40" i="22"/>
  <c r="K41" i="22" s="1"/>
  <c r="K42" i="22" s="1"/>
  <c r="C4" i="30" l="1"/>
  <c r="A16" i="30"/>
  <c r="F18" i="24"/>
  <c r="B19" i="24" s="1"/>
  <c r="D19" i="24" s="1"/>
  <c r="C3" i="30"/>
  <c r="F15" i="17"/>
  <c r="C4" i="17" s="1"/>
  <c r="E19" i="24"/>
  <c r="L4" i="7"/>
  <c r="L5" i="7"/>
  <c r="L6" i="7"/>
  <c r="L7" i="7"/>
  <c r="L8" i="7"/>
  <c r="L9" i="7"/>
  <c r="L3" i="7"/>
  <c r="E4" i="17"/>
  <c r="C9" i="30" l="1"/>
  <c r="F19" i="24"/>
  <c r="B20" i="24" s="1"/>
  <c r="D20" i="24" s="1"/>
  <c r="E20" i="24" s="1"/>
  <c r="L10" i="7"/>
  <c r="E6" i="17"/>
  <c r="D2" i="23" s="1"/>
  <c r="D4" i="23" s="1"/>
  <c r="F4" i="17"/>
  <c r="F6" i="17" s="1"/>
  <c r="E2" i="23" s="1"/>
  <c r="E4" i="23" s="1"/>
  <c r="C6" i="17"/>
  <c r="B2" i="23" l="1"/>
  <c r="B4" i="23" s="1"/>
  <c r="F20" i="24"/>
  <c r="B21" i="24" s="1"/>
  <c r="D21" i="24" s="1"/>
  <c r="E21" i="24" s="1"/>
  <c r="E2" i="27"/>
  <c r="D2" i="27"/>
  <c r="B2" i="27"/>
  <c r="G4" i="17"/>
  <c r="D4" i="17"/>
  <c r="F11" i="12"/>
  <c r="F12" i="12"/>
  <c r="D5" i="12"/>
  <c r="D4" i="12"/>
  <c r="E14" i="11"/>
  <c r="F14" i="11" s="1"/>
  <c r="E13" i="11"/>
  <c r="F13" i="11" s="1"/>
  <c r="E12" i="11"/>
  <c r="F12" i="11" s="1"/>
  <c r="E11" i="11"/>
  <c r="F11" i="11" s="1"/>
  <c r="E10" i="11"/>
  <c r="D5" i="11"/>
  <c r="G5" i="11" s="1"/>
  <c r="D4" i="11"/>
  <c r="E23" i="10"/>
  <c r="F23" i="10" s="1"/>
  <c r="E22" i="10"/>
  <c r="F22" i="10" s="1"/>
  <c r="E21" i="10"/>
  <c r="F21" i="10" s="1"/>
  <c r="E20" i="10"/>
  <c r="F20" i="10" s="1"/>
  <c r="E19" i="10"/>
  <c r="E12" i="10"/>
  <c r="F12" i="10" s="1"/>
  <c r="E13" i="10"/>
  <c r="F13" i="10" s="1"/>
  <c r="E14" i="10"/>
  <c r="E11" i="10"/>
  <c r="F11" i="10" s="1"/>
  <c r="F5" i="10"/>
  <c r="F4" i="10"/>
  <c r="E16" i="11" l="1"/>
  <c r="E25" i="10"/>
  <c r="F21" i="24"/>
  <c r="B22" i="24" s="1"/>
  <c r="D22" i="24" s="1"/>
  <c r="E22" i="24" s="1"/>
  <c r="G5" i="10"/>
  <c r="B2" i="25"/>
  <c r="F10" i="12"/>
  <c r="F14" i="12" s="1"/>
  <c r="G14" i="12" s="1"/>
  <c r="B7" i="25" s="1"/>
  <c r="F19" i="10"/>
  <c r="F25" i="10" s="1"/>
  <c r="F10" i="11"/>
  <c r="B5" i="21"/>
  <c r="G6" i="17"/>
  <c r="F2" i="23" s="1"/>
  <c r="F4" i="23" s="1"/>
  <c r="G4" i="10"/>
  <c r="B2" i="21"/>
  <c r="D7" i="10"/>
  <c r="D6" i="17"/>
  <c r="C2" i="23" s="1"/>
  <c r="C4" i="23" s="1"/>
  <c r="F4" i="12"/>
  <c r="D6" i="12"/>
  <c r="F5" i="12"/>
  <c r="F4" i="11"/>
  <c r="D6" i="11"/>
  <c r="E15" i="10"/>
  <c r="B4" i="25" s="1"/>
  <c r="F14" i="10"/>
  <c r="F15" i="10" s="1"/>
  <c r="C4" i="13" s="1"/>
  <c r="F6" i="10"/>
  <c r="C3" i="13" l="1"/>
  <c r="D3" i="13" s="1"/>
  <c r="E3" i="13" s="1"/>
  <c r="F16" i="11"/>
  <c r="C4" i="14" s="1"/>
  <c r="D4" i="14" s="1"/>
  <c r="E4" i="14" s="1"/>
  <c r="F4" i="14" s="1"/>
  <c r="G4" i="14" s="1"/>
  <c r="F22" i="24"/>
  <c r="B23" i="24" s="1"/>
  <c r="D23" i="24" s="1"/>
  <c r="E23" i="24" s="1"/>
  <c r="F2" i="27"/>
  <c r="C2" i="27"/>
  <c r="B3" i="25"/>
  <c r="F23" i="24"/>
  <c r="B24" i="24" s="1"/>
  <c r="D24" i="24" s="1"/>
  <c r="E24" i="24" s="1"/>
  <c r="B4" i="21"/>
  <c r="F6" i="11"/>
  <c r="I51" i="28"/>
  <c r="J51" i="28" s="1"/>
  <c r="I21" i="28"/>
  <c r="I8" i="28"/>
  <c r="J8" i="28" s="1"/>
  <c r="I66" i="22"/>
  <c r="I25" i="22"/>
  <c r="I65" i="28"/>
  <c r="I44" i="28"/>
  <c r="J44" i="28" s="1"/>
  <c r="I48" i="28"/>
  <c r="I52" i="28"/>
  <c r="J52" i="28" s="1"/>
  <c r="I31" i="28"/>
  <c r="J31" i="28" s="1"/>
  <c r="I35" i="28"/>
  <c r="J35" i="28" s="1"/>
  <c r="I39" i="28"/>
  <c r="I18" i="28"/>
  <c r="J18" i="28" s="1"/>
  <c r="I22" i="28"/>
  <c r="I26" i="28"/>
  <c r="J26" i="28" s="1"/>
  <c r="I5" i="28"/>
  <c r="J5" i="28" s="1"/>
  <c r="I9" i="28"/>
  <c r="J9" i="28" s="1"/>
  <c r="I13" i="28"/>
  <c r="I17" i="22"/>
  <c r="I21" i="22"/>
  <c r="I26" i="22"/>
  <c r="I6" i="22"/>
  <c r="I14" i="22"/>
  <c r="I45" i="28"/>
  <c r="I49" i="28"/>
  <c r="J49" i="28" s="1"/>
  <c r="I53" i="28"/>
  <c r="I32" i="28"/>
  <c r="J32" i="28" s="1"/>
  <c r="I36" i="28"/>
  <c r="J36" i="28" s="1"/>
  <c r="I40" i="28"/>
  <c r="J40" i="28" s="1"/>
  <c r="I19" i="28"/>
  <c r="I23" i="28"/>
  <c r="J23" i="28" s="1"/>
  <c r="I27" i="28"/>
  <c r="I10" i="28"/>
  <c r="I14" i="28"/>
  <c r="J14" i="28" s="1"/>
  <c r="I18" i="22"/>
  <c r="I16" i="22"/>
  <c r="C17" i="22" s="1"/>
  <c r="I3" i="22"/>
  <c r="B17" i="22" s="1"/>
  <c r="I66" i="28"/>
  <c r="I6" i="28"/>
  <c r="I23" i="22"/>
  <c r="I56" i="28"/>
  <c r="I55" i="28"/>
  <c r="I46" i="28"/>
  <c r="J46" i="28" s="1"/>
  <c r="I50" i="28"/>
  <c r="I42" i="28"/>
  <c r="I33" i="28"/>
  <c r="I37" i="28"/>
  <c r="I29" i="28"/>
  <c r="J29" i="28" s="1"/>
  <c r="I20" i="28"/>
  <c r="I24" i="28"/>
  <c r="J24" i="28" s="1"/>
  <c r="I16" i="28"/>
  <c r="J16" i="28" s="1"/>
  <c r="I7" i="28"/>
  <c r="I11" i="28"/>
  <c r="I3" i="28"/>
  <c r="J3" i="28" s="1"/>
  <c r="I19" i="22"/>
  <c r="I24" i="22"/>
  <c r="I4" i="22"/>
  <c r="I8" i="22"/>
  <c r="I12" i="22"/>
  <c r="I57" i="28"/>
  <c r="J57" i="28" s="1"/>
  <c r="I43" i="28"/>
  <c r="I47" i="28"/>
  <c r="I30" i="28"/>
  <c r="I34" i="28"/>
  <c r="J34" i="28" s="1"/>
  <c r="I38" i="28"/>
  <c r="I17" i="28"/>
  <c r="J17" i="28" s="1"/>
  <c r="I25" i="28"/>
  <c r="I4" i="28"/>
  <c r="J4" i="28" s="1"/>
  <c r="I12" i="28"/>
  <c r="J12" i="28" s="1"/>
  <c r="I20" i="22"/>
  <c r="I5" i="22"/>
  <c r="I13" i="22"/>
  <c r="D4" i="13"/>
  <c r="E4" i="13" s="1"/>
  <c r="F4" i="13" s="1"/>
  <c r="G4" i="13" s="1"/>
  <c r="F7" i="10"/>
  <c r="C23" i="26"/>
  <c r="C25" i="26" s="1"/>
  <c r="C9" i="26"/>
  <c r="D23" i="26"/>
  <c r="D25" i="26" s="1"/>
  <c r="C15" i="26"/>
  <c r="G4" i="12"/>
  <c r="B6" i="25"/>
  <c r="G6" i="10"/>
  <c r="G7" i="10" s="1"/>
  <c r="I10" i="22"/>
  <c r="G5" i="12"/>
  <c r="C3" i="15" s="1"/>
  <c r="B7" i="21"/>
  <c r="C4" i="15"/>
  <c r="D4" i="15" s="1"/>
  <c r="E4" i="15" s="1"/>
  <c r="F4" i="15" s="1"/>
  <c r="G4" i="15" s="1"/>
  <c r="F6" i="12"/>
  <c r="G4" i="11"/>
  <c r="C3" i="14" s="1"/>
  <c r="J38" i="28" l="1"/>
  <c r="J43" i="28"/>
  <c r="J55" i="28"/>
  <c r="F18" i="28"/>
  <c r="J66" i="28"/>
  <c r="J19" i="28"/>
  <c r="C21" i="28"/>
  <c r="J13" i="28"/>
  <c r="J22" i="28"/>
  <c r="J21" i="28"/>
  <c r="J11" i="28"/>
  <c r="J20" i="28"/>
  <c r="J42" i="28"/>
  <c r="J56" i="28"/>
  <c r="J10" i="28"/>
  <c r="J47" i="28"/>
  <c r="J37" i="28"/>
  <c r="J6" i="28"/>
  <c r="B21" i="28"/>
  <c r="J33" i="28"/>
  <c r="J53" i="28"/>
  <c r="J65" i="28"/>
  <c r="J25" i="28"/>
  <c r="J30" i="28"/>
  <c r="D19" i="28"/>
  <c r="J7" i="28"/>
  <c r="J50" i="28"/>
  <c r="J27" i="28"/>
  <c r="J45" i="28"/>
  <c r="E21" i="28"/>
  <c r="J39" i="28"/>
  <c r="J48" i="28"/>
  <c r="J10" i="22"/>
  <c r="B24" i="22"/>
  <c r="J20" i="22"/>
  <c r="C21" i="22"/>
  <c r="J12" i="22"/>
  <c r="B26" i="22"/>
  <c r="J19" i="22"/>
  <c r="C20" i="22"/>
  <c r="J18" i="22"/>
  <c r="C19" i="22"/>
  <c r="J14" i="22"/>
  <c r="B28" i="22"/>
  <c r="J17" i="22"/>
  <c r="C18" i="22"/>
  <c r="J6" i="22"/>
  <c r="B20" i="22"/>
  <c r="J5" i="22"/>
  <c r="B19" i="22"/>
  <c r="J24" i="22"/>
  <c r="C25" i="22"/>
  <c r="J23" i="22"/>
  <c r="C24" i="22"/>
  <c r="J8" i="22"/>
  <c r="B22" i="22"/>
  <c r="J13" i="22"/>
  <c r="B27" i="22"/>
  <c r="J4" i="22"/>
  <c r="B18" i="22"/>
  <c r="J26" i="22"/>
  <c r="C27" i="22"/>
  <c r="J25" i="22"/>
  <c r="C26" i="22"/>
  <c r="J21" i="22"/>
  <c r="C22" i="22"/>
  <c r="J66" i="22"/>
  <c r="F28" i="22"/>
  <c r="I11" i="22"/>
  <c r="I9" i="22"/>
  <c r="I7" i="22"/>
  <c r="F24" i="24"/>
  <c r="B25" i="24" s="1"/>
  <c r="D25" i="24" s="1"/>
  <c r="E25" i="24" s="1"/>
  <c r="G6" i="12"/>
  <c r="B16" i="12" s="1"/>
  <c r="I61" i="22"/>
  <c r="I62" i="22"/>
  <c r="I59" i="22"/>
  <c r="I60" i="22"/>
  <c r="I61" i="28"/>
  <c r="I57" i="22"/>
  <c r="I55" i="22"/>
  <c r="I46" i="22"/>
  <c r="I50" i="22"/>
  <c r="I42" i="22"/>
  <c r="I33" i="22"/>
  <c r="I37" i="22"/>
  <c r="I29" i="22"/>
  <c r="I48" i="22"/>
  <c r="I39" i="22"/>
  <c r="I40" i="22"/>
  <c r="I58" i="28"/>
  <c r="I62" i="28"/>
  <c r="I64" i="22"/>
  <c r="I43" i="22"/>
  <c r="I47" i="22"/>
  <c r="I51" i="22"/>
  <c r="I30" i="22"/>
  <c r="I34" i="22"/>
  <c r="I38" i="22"/>
  <c r="I44" i="22"/>
  <c r="I22" i="22"/>
  <c r="I35" i="22"/>
  <c r="I59" i="28"/>
  <c r="I63" i="28"/>
  <c r="I65" i="22"/>
  <c r="I52" i="22"/>
  <c r="I31" i="22"/>
  <c r="I32" i="22"/>
  <c r="I60" i="28"/>
  <c r="I64" i="28"/>
  <c r="I56" i="22"/>
  <c r="I45" i="22"/>
  <c r="I49" i="22"/>
  <c r="I53" i="22"/>
  <c r="I27" i="22"/>
  <c r="I36" i="22"/>
  <c r="I63" i="22"/>
  <c r="I58" i="22"/>
  <c r="G6" i="11"/>
  <c r="B19" i="11" s="1"/>
  <c r="J16" i="22"/>
  <c r="B8" i="25"/>
  <c r="D12" i="26"/>
  <c r="D10" i="26"/>
  <c r="C5" i="29" s="1"/>
  <c r="D11" i="26"/>
  <c r="D14" i="26"/>
  <c r="D13" i="26"/>
  <c r="B23" i="26"/>
  <c r="B25" i="26" s="1"/>
  <c r="C3" i="26"/>
  <c r="D17" i="26"/>
  <c r="D18" i="26"/>
  <c r="D19" i="26"/>
  <c r="D20" i="26"/>
  <c r="D16" i="26"/>
  <c r="C9" i="29" s="1"/>
  <c r="C5" i="15"/>
  <c r="D3" i="15"/>
  <c r="E25" i="26" l="1"/>
  <c r="D6" i="23" s="1"/>
  <c r="F5" i="18"/>
  <c r="C5" i="18"/>
  <c r="G5" i="18"/>
  <c r="D5" i="18"/>
  <c r="E5" i="18"/>
  <c r="E6" i="23"/>
  <c r="B6" i="23"/>
  <c r="D5" i="29"/>
  <c r="G5" i="29"/>
  <c r="E5" i="29"/>
  <c r="F5" i="29"/>
  <c r="J64" i="28"/>
  <c r="J62" i="28"/>
  <c r="J63" i="28"/>
  <c r="J59" i="28"/>
  <c r="J60" i="28"/>
  <c r="J58" i="28"/>
  <c r="J61" i="28"/>
  <c r="J58" i="22"/>
  <c r="F20" i="22"/>
  <c r="J31" i="22"/>
  <c r="D19" i="22"/>
  <c r="J48" i="22"/>
  <c r="E23" i="22"/>
  <c r="J62" i="22"/>
  <c r="F24" i="22"/>
  <c r="J63" i="22"/>
  <c r="F25" i="22"/>
  <c r="J49" i="22"/>
  <c r="E24" i="22"/>
  <c r="J52" i="22"/>
  <c r="E27" i="22"/>
  <c r="J35" i="22"/>
  <c r="D23" i="22"/>
  <c r="J38" i="22"/>
  <c r="D26" i="22"/>
  <c r="J47" i="22"/>
  <c r="E22" i="22"/>
  <c r="J29" i="22"/>
  <c r="D17" i="22"/>
  <c r="J50" i="22"/>
  <c r="E25" i="22"/>
  <c r="J61" i="22"/>
  <c r="F23" i="22"/>
  <c r="J7" i="22"/>
  <c r="B21" i="22"/>
  <c r="J32" i="22"/>
  <c r="D20" i="22"/>
  <c r="J34" i="22"/>
  <c r="D22" i="22"/>
  <c r="J37" i="22"/>
  <c r="D25" i="22"/>
  <c r="J46" i="22"/>
  <c r="E21" i="22"/>
  <c r="J60" i="22"/>
  <c r="F22" i="22"/>
  <c r="J9" i="22"/>
  <c r="B23" i="22"/>
  <c r="J53" i="22"/>
  <c r="E28" i="22"/>
  <c r="J51" i="22"/>
  <c r="E26" i="22"/>
  <c r="J42" i="22"/>
  <c r="E17" i="22"/>
  <c r="J57" i="22"/>
  <c r="F19" i="22"/>
  <c r="J36" i="22"/>
  <c r="D24" i="22"/>
  <c r="J45" i="22"/>
  <c r="E20" i="22"/>
  <c r="J65" i="22"/>
  <c r="F27" i="22"/>
  <c r="J22" i="22"/>
  <c r="C23" i="22"/>
  <c r="J43" i="22"/>
  <c r="E18" i="22"/>
  <c r="J40" i="22"/>
  <c r="D28" i="22"/>
  <c r="J27" i="22"/>
  <c r="C28" i="22"/>
  <c r="J56" i="22"/>
  <c r="F18" i="22"/>
  <c r="J44" i="22"/>
  <c r="E19" i="22"/>
  <c r="J30" i="22"/>
  <c r="D18" i="22"/>
  <c r="J64" i="22"/>
  <c r="F26" i="22"/>
  <c r="J39" i="22"/>
  <c r="D27" i="22"/>
  <c r="J33" i="22"/>
  <c r="D21" i="22"/>
  <c r="J55" i="22"/>
  <c r="F17" i="22"/>
  <c r="J59" i="22"/>
  <c r="F21" i="22"/>
  <c r="J11" i="22"/>
  <c r="B25" i="22"/>
  <c r="L14" i="22"/>
  <c r="F25" i="24"/>
  <c r="L66" i="22"/>
  <c r="L53" i="22"/>
  <c r="L40" i="22"/>
  <c r="L27" i="22"/>
  <c r="E16" i="26"/>
  <c r="E17" i="26" s="1"/>
  <c r="E18" i="26" s="1"/>
  <c r="E19" i="26" s="1"/>
  <c r="E20" i="26" s="1"/>
  <c r="E10" i="26"/>
  <c r="E11" i="26" s="1"/>
  <c r="E12" i="26" s="1"/>
  <c r="E13" i="26" s="1"/>
  <c r="E14" i="26" s="1"/>
  <c r="D8" i="26"/>
  <c r="D7" i="26"/>
  <c r="D5" i="26"/>
  <c r="D4" i="26"/>
  <c r="C7" i="29" s="1"/>
  <c r="D6" i="26"/>
  <c r="C16" i="26"/>
  <c r="C17" i="26" s="1"/>
  <c r="C18" i="26" s="1"/>
  <c r="C19" i="26" s="1"/>
  <c r="C20" i="26" s="1"/>
  <c r="C10" i="26"/>
  <c r="C11" i="26" s="1"/>
  <c r="C12" i="26" s="1"/>
  <c r="C13" i="26" s="1"/>
  <c r="C14" i="26" s="1"/>
  <c r="D5" i="15"/>
  <c r="E3" i="15"/>
  <c r="F3" i="13"/>
  <c r="G3" i="13" s="1"/>
  <c r="D3" i="14"/>
  <c r="E3" i="14" s="1"/>
  <c r="C5" i="14"/>
  <c r="C6" i="23" l="1"/>
  <c r="F6" i="23"/>
  <c r="F9" i="29"/>
  <c r="E9" i="29"/>
  <c r="G9" i="29"/>
  <c r="D9" i="29"/>
  <c r="C4" i="26"/>
  <c r="C5" i="26" s="1"/>
  <c r="C6" i="26" s="1"/>
  <c r="C7" i="26" s="1"/>
  <c r="C8" i="26" s="1"/>
  <c r="B26" i="24"/>
  <c r="D26" i="24" s="1"/>
  <c r="E26" i="24" s="1"/>
  <c r="E4" i="26"/>
  <c r="E5" i="26" s="1"/>
  <c r="E6" i="26" s="1"/>
  <c r="E7" i="26" s="1"/>
  <c r="E8" i="26" s="1"/>
  <c r="F3" i="15"/>
  <c r="G3" i="15" s="1"/>
  <c r="E5" i="15"/>
  <c r="D5" i="14"/>
  <c r="G7" i="29" l="1"/>
  <c r="F7" i="29"/>
  <c r="D7" i="29"/>
  <c r="E7" i="29"/>
  <c r="F26" i="24"/>
  <c r="B27" i="24" s="1"/>
  <c r="D27" i="24" s="1"/>
  <c r="E27" i="24" s="1"/>
  <c r="G5" i="15"/>
  <c r="F5" i="15"/>
  <c r="F3" i="14"/>
  <c r="G3" i="14" s="1"/>
  <c r="E5" i="14"/>
  <c r="F27" i="24" l="1"/>
  <c r="B28" i="24" s="1"/>
  <c r="D28" i="24" s="1"/>
  <c r="E28" i="24" s="1"/>
  <c r="G5" i="14"/>
  <c r="F5" i="14"/>
  <c r="F28" i="24" l="1"/>
  <c r="B29" i="24" l="1"/>
  <c r="D29" i="24" l="1"/>
  <c r="E29" i="24" s="1"/>
  <c r="C7" i="18" s="1"/>
  <c r="C14" i="29" l="1"/>
  <c r="A82" i="24"/>
  <c r="B10" i="23" s="1"/>
  <c r="F29" i="24"/>
  <c r="B30" i="24" l="1"/>
  <c r="D30" i="24" s="1"/>
  <c r="E30" i="24" s="1"/>
  <c r="F30" i="24" l="1"/>
  <c r="B31" i="24" s="1"/>
  <c r="D31" i="24" s="1"/>
  <c r="E31" i="24" s="1"/>
  <c r="J3" i="22"/>
  <c r="F31" i="24" l="1"/>
  <c r="B32" i="24" s="1"/>
  <c r="D32" i="24" s="1"/>
  <c r="E32" i="24" s="1"/>
  <c r="F32" i="24" l="1"/>
  <c r="B33" i="24" s="1"/>
  <c r="D33" i="24" s="1"/>
  <c r="E33" i="24" s="1"/>
  <c r="F33" i="24" l="1"/>
  <c r="B34" i="24" s="1"/>
  <c r="D34" i="24" s="1"/>
  <c r="E34" i="24" s="1"/>
  <c r="F34" i="24" l="1"/>
  <c r="B35" i="24" s="1"/>
  <c r="D35" i="24" s="1"/>
  <c r="E35" i="24" s="1"/>
  <c r="F35" i="24" l="1"/>
  <c r="B36" i="24" s="1"/>
  <c r="D36" i="24" s="1"/>
  <c r="E36" i="24" s="1"/>
  <c r="F36" i="24" l="1"/>
  <c r="B37" i="24" s="1"/>
  <c r="D37" i="24" s="1"/>
  <c r="E37" i="24" s="1"/>
  <c r="F37" i="24" s="1"/>
  <c r="B38" i="24" s="1"/>
  <c r="D38" i="24" s="1"/>
  <c r="E38" i="24" s="1"/>
  <c r="F38" i="24" l="1"/>
  <c r="B39" i="24" s="1"/>
  <c r="D39" i="24" s="1"/>
  <c r="E39" i="24" s="1"/>
  <c r="F39" i="24" l="1"/>
  <c r="B40" i="24" s="1"/>
  <c r="D40" i="24" s="1"/>
  <c r="E40" i="24" s="1"/>
  <c r="F40" i="24" l="1"/>
  <c r="B41" i="24" s="1"/>
  <c r="D41" i="24" l="1"/>
  <c r="E41" i="24" s="1"/>
  <c r="D7" i="18" l="1"/>
  <c r="D14" i="29" s="1"/>
  <c r="A83" i="24"/>
  <c r="C10" i="23" s="1"/>
  <c r="F41" i="24"/>
  <c r="B42" i="24" l="1"/>
  <c r="D42" i="24" s="1"/>
  <c r="E42" i="24" s="1"/>
  <c r="F42" i="24" l="1"/>
  <c r="B43" i="24" s="1"/>
  <c r="D43" i="24" s="1"/>
  <c r="E43" i="24" s="1"/>
  <c r="F43" i="24" s="1"/>
  <c r="B44" i="24" s="1"/>
  <c r="D44" i="24" s="1"/>
  <c r="E44" i="24" s="1"/>
  <c r="F44" i="24" s="1"/>
  <c r="B45" i="24" s="1"/>
  <c r="D45" i="24" s="1"/>
  <c r="E45" i="24" s="1"/>
  <c r="F45" i="24" s="1"/>
  <c r="B46" i="24" l="1"/>
  <c r="D46" i="24" s="1"/>
  <c r="E46" i="24" s="1"/>
  <c r="F46" i="24" s="1"/>
  <c r="B47" i="24" s="1"/>
  <c r="D47" i="24" s="1"/>
  <c r="E47" i="24" s="1"/>
  <c r="F47" i="24" l="1"/>
  <c r="B48" i="24" s="1"/>
  <c r="D48" i="24" s="1"/>
  <c r="E48" i="24" s="1"/>
  <c r="F48" i="24" l="1"/>
  <c r="B49" i="24" s="1"/>
  <c r="D49" i="24" s="1"/>
  <c r="E49" i="24" s="1"/>
  <c r="F49" i="24" l="1"/>
  <c r="B50" i="24" s="1"/>
  <c r="D50" i="24" s="1"/>
  <c r="E50" i="24" s="1"/>
  <c r="F50" i="24" l="1"/>
  <c r="B51" i="24" s="1"/>
  <c r="D51" i="24" s="1"/>
  <c r="E51" i="24" s="1"/>
  <c r="F51" i="24" l="1"/>
  <c r="B52" i="24" s="1"/>
  <c r="D52" i="24" s="1"/>
  <c r="E52" i="24" s="1"/>
  <c r="F52" i="24" l="1"/>
  <c r="B53" i="24" l="1"/>
  <c r="D53" i="24" l="1"/>
  <c r="E53" i="24" s="1"/>
  <c r="E7" i="18" l="1"/>
  <c r="E14" i="29" s="1"/>
  <c r="A84" i="24"/>
  <c r="D10" i="23" s="1"/>
  <c r="F53" i="24"/>
  <c r="B54" i="24" l="1"/>
  <c r="D54" i="24" s="1"/>
  <c r="E54" i="24" s="1"/>
  <c r="F54" i="24" l="1"/>
  <c r="B55" i="24" s="1"/>
  <c r="D55" i="24" s="1"/>
  <c r="E55" i="24" s="1"/>
  <c r="F55" i="24" s="1"/>
  <c r="B56" i="24" s="1"/>
  <c r="D56" i="24" s="1"/>
  <c r="E56" i="24" s="1"/>
  <c r="F56" i="24" s="1"/>
  <c r="B57" i="24" s="1"/>
  <c r="D57" i="24" s="1"/>
  <c r="E57" i="24" s="1"/>
  <c r="F57" i="24" l="1"/>
  <c r="B58" i="24" s="1"/>
  <c r="D58" i="24" s="1"/>
  <c r="E58" i="24" s="1"/>
  <c r="F58" i="24" l="1"/>
  <c r="B59" i="24" s="1"/>
  <c r="D59" i="24" s="1"/>
  <c r="E59" i="24" s="1"/>
  <c r="F59" i="24" l="1"/>
  <c r="B60" i="24" s="1"/>
  <c r="D60" i="24" s="1"/>
  <c r="E60" i="24" s="1"/>
  <c r="F60" i="24" l="1"/>
  <c r="B61" i="24" s="1"/>
  <c r="D61" i="24" s="1"/>
  <c r="E61" i="24" s="1"/>
  <c r="F61" i="24" s="1"/>
  <c r="B62" i="24" s="1"/>
  <c r="D62" i="24" s="1"/>
  <c r="E62" i="24" s="1"/>
  <c r="F62" i="24" l="1"/>
  <c r="B63" i="24" s="1"/>
  <c r="D63" i="24" s="1"/>
  <c r="E63" i="24" s="1"/>
  <c r="F63" i="24" l="1"/>
  <c r="B64" i="24" s="1"/>
  <c r="D64" i="24" s="1"/>
  <c r="E64" i="24" s="1"/>
  <c r="F64" i="24" l="1"/>
  <c r="B65" i="24" l="1"/>
  <c r="D65" i="24" l="1"/>
  <c r="E65" i="24" s="1"/>
  <c r="F7" i="18" l="1"/>
  <c r="F14" i="29" s="1"/>
  <c r="A85" i="24"/>
  <c r="E10" i="23" s="1"/>
  <c r="F65" i="24"/>
  <c r="B66" i="24" s="1"/>
  <c r="D66" i="24" s="1"/>
  <c r="E66" i="24" s="1"/>
  <c r="F66" i="24" l="1"/>
  <c r="B67" i="24" s="1"/>
  <c r="D67" i="24" s="1"/>
  <c r="E67" i="24" s="1"/>
  <c r="F67" i="24" l="1"/>
  <c r="B68" i="24" s="1"/>
  <c r="D68" i="24" s="1"/>
  <c r="E68" i="24" s="1"/>
  <c r="F68" i="24" s="1"/>
  <c r="B69" i="24" s="1"/>
  <c r="D69" i="24" s="1"/>
  <c r="E69" i="24" l="1"/>
  <c r="F69" i="24" s="1"/>
  <c r="B70" i="24" s="1"/>
  <c r="D70" i="24" s="1"/>
  <c r="E70" i="24" s="1"/>
  <c r="F70" i="24" s="1"/>
  <c r="B71" i="24" s="1"/>
  <c r="D71" i="24" s="1"/>
  <c r="E71" i="24" s="1"/>
  <c r="C5" i="13"/>
  <c r="B3" i="21"/>
  <c r="F71" i="24" l="1"/>
  <c r="B72" i="24" s="1"/>
  <c r="D72" i="24" s="1"/>
  <c r="E72" i="24" s="1"/>
  <c r="B28" i="10"/>
  <c r="C6" i="13"/>
  <c r="B10" i="21"/>
  <c r="D5" i="13"/>
  <c r="D6" i="13" s="1"/>
  <c r="B7" i="23" l="1"/>
  <c r="B8" i="23" s="1"/>
  <c r="B9" i="23" s="1"/>
  <c r="B12" i="23" s="1"/>
  <c r="B3" i="27"/>
  <c r="C7" i="23"/>
  <c r="C8" i="23" s="1"/>
  <c r="C9" i="23" s="1"/>
  <c r="C3" i="27"/>
  <c r="F72" i="24"/>
  <c r="B73" i="24" s="1"/>
  <c r="D73" i="24" s="1"/>
  <c r="E73" i="24" s="1"/>
  <c r="E5" i="13"/>
  <c r="E6" i="13" s="1"/>
  <c r="C12" i="23" l="1"/>
  <c r="D7" i="23"/>
  <c r="D8" i="23" s="1"/>
  <c r="D9" i="23" s="1"/>
  <c r="D12" i="23" s="1"/>
  <c r="E6" i="18" s="1"/>
  <c r="D3" i="27"/>
  <c r="C6" i="18"/>
  <c r="C3" i="31" s="1"/>
  <c r="F73" i="24"/>
  <c r="B74" i="24" s="1"/>
  <c r="D74" i="24" s="1"/>
  <c r="E74" i="24" s="1"/>
  <c r="F5" i="13"/>
  <c r="F6" i="13" s="1"/>
  <c r="C13" i="29" l="1"/>
  <c r="E13" i="29"/>
  <c r="D6" i="18"/>
  <c r="B14" i="23"/>
  <c r="E7" i="23"/>
  <c r="E8" i="23" s="1"/>
  <c r="E9" i="23" s="1"/>
  <c r="E3" i="27"/>
  <c r="D14" i="23"/>
  <c r="C26" i="30" s="1"/>
  <c r="F74" i="24"/>
  <c r="B75" i="24" s="1"/>
  <c r="D75" i="24" s="1"/>
  <c r="E75" i="24" s="1"/>
  <c r="G5" i="13"/>
  <c r="A26" i="30" l="1"/>
  <c r="B22" i="30"/>
  <c r="E4" i="18"/>
  <c r="D22" i="30"/>
  <c r="C18" i="29"/>
  <c r="C4" i="18"/>
  <c r="C8" i="18" s="1"/>
  <c r="C22" i="18" s="1"/>
  <c r="D13" i="29"/>
  <c r="E12" i="23"/>
  <c r="F6" i="18" s="1"/>
  <c r="C14" i="23"/>
  <c r="B15" i="23"/>
  <c r="D15" i="23"/>
  <c r="F75" i="24"/>
  <c r="B76" i="24" s="1"/>
  <c r="D76" i="24" s="1"/>
  <c r="E76" i="24" s="1"/>
  <c r="C15" i="29"/>
  <c r="C19" i="29" s="1"/>
  <c r="G6" i="13"/>
  <c r="F7" i="23" s="1"/>
  <c r="C22" i="30" l="1"/>
  <c r="B26" i="30"/>
  <c r="D4" i="18"/>
  <c r="D18" i="29"/>
  <c r="E18" i="29" s="1"/>
  <c r="B20" i="30" s="1"/>
  <c r="D3" i="18"/>
  <c r="B16" i="30"/>
  <c r="F13" i="29"/>
  <c r="E14" i="23"/>
  <c r="D26" i="30" s="1"/>
  <c r="C15" i="23"/>
  <c r="F8" i="23"/>
  <c r="F9" i="23" s="1"/>
  <c r="F3" i="27"/>
  <c r="F76" i="24"/>
  <c r="F4" i="18" l="1"/>
  <c r="E22" i="30"/>
  <c r="D8" i="18"/>
  <c r="D22" i="18" s="1"/>
  <c r="E3" i="18" s="1"/>
  <c r="E8" i="18" s="1"/>
  <c r="E22" i="18" s="1"/>
  <c r="E15" i="23"/>
  <c r="F18" i="29"/>
  <c r="C20" i="30" s="1"/>
  <c r="B77" i="24"/>
  <c r="D77" i="24" s="1"/>
  <c r="C16" i="30" l="1"/>
  <c r="F3" i="18"/>
  <c r="F8" i="18" s="1"/>
  <c r="F22" i="18" s="1"/>
  <c r="D16" i="30"/>
  <c r="E77" i="24"/>
  <c r="A86" i="24"/>
  <c r="F10" i="23" s="1"/>
  <c r="G7" i="18" l="1"/>
  <c r="G14" i="29" s="1"/>
  <c r="G3" i="18"/>
  <c r="E16" i="30"/>
  <c r="C3" i="29"/>
  <c r="C11" i="29" s="1"/>
  <c r="F12" i="23"/>
  <c r="F77" i="24"/>
  <c r="F15" i="29"/>
  <c r="E15" i="29" l="1"/>
  <c r="D15" i="29"/>
  <c r="G6" i="18" l="1"/>
  <c r="F19" i="29"/>
  <c r="G13" i="29" l="1"/>
  <c r="G15" i="29" s="1"/>
  <c r="F14" i="23"/>
  <c r="D19" i="29"/>
  <c r="E19" i="29"/>
  <c r="F22" i="30" l="1"/>
  <c r="E26" i="30"/>
  <c r="G18" i="29"/>
  <c r="D20" i="30" s="1"/>
  <c r="G4" i="18"/>
  <c r="G8" i="18" s="1"/>
  <c r="G22" i="18" s="1"/>
  <c r="F16" i="30" s="1"/>
  <c r="B12" i="30" s="1"/>
  <c r="D3" i="29"/>
  <c r="D11" i="29" s="1"/>
  <c r="F15" i="23"/>
  <c r="G19" i="29" l="1"/>
  <c r="E3" i="29"/>
  <c r="E11" i="29" s="1"/>
  <c r="F3" i="29" l="1"/>
  <c r="F11" i="29" s="1"/>
  <c r="G3" i="29"/>
  <c r="G11" i="29" s="1"/>
  <c r="A12" i="30"/>
</calcChain>
</file>

<file path=xl/sharedStrings.xml><?xml version="1.0" encoding="utf-8"?>
<sst xmlns="http://schemas.openxmlformats.org/spreadsheetml/2006/main" count="663" uniqueCount="226">
  <si>
    <t>Total</t>
  </si>
  <si>
    <t>Detalle</t>
  </si>
  <si>
    <t>Cantidad</t>
  </si>
  <si>
    <t>Valor unitario</t>
  </si>
  <si>
    <t>Valor total</t>
  </si>
  <si>
    <t>Computador con procesador al menos Intel cori i5, pues cumple los requerimientos para herramientas GIS.</t>
  </si>
  <si>
    <t>Software</t>
  </si>
  <si>
    <t>Stata</t>
  </si>
  <si>
    <t>Bienes muebles</t>
  </si>
  <si>
    <t>Silla de ecritorio</t>
  </si>
  <si>
    <t>Escritorio 76.5x151.5x116.5cm</t>
  </si>
  <si>
    <t>Computador con procesador al menos Intel cori i5</t>
  </si>
  <si>
    <t>Impresora multifuncional laser hp con tanque de tóner recargable</t>
  </si>
  <si>
    <t>Hojas</t>
  </si>
  <si>
    <t>Sobres de manila</t>
  </si>
  <si>
    <t>Grapas</t>
  </si>
  <si>
    <t>Legajadores</t>
  </si>
  <si>
    <t>Vehículo</t>
  </si>
  <si>
    <t>Automovil</t>
  </si>
  <si>
    <t>Edificaciones</t>
  </si>
  <si>
    <t>Oficina</t>
  </si>
  <si>
    <t>Coordinador</t>
  </si>
  <si>
    <t xml:space="preserve">Asistente técnico </t>
  </si>
  <si>
    <t>Cargo</t>
  </si>
  <si>
    <t>Salario</t>
  </si>
  <si>
    <t>Prestaciones sociales</t>
  </si>
  <si>
    <t>Salario total</t>
  </si>
  <si>
    <t>Salario anual</t>
  </si>
  <si>
    <t>Año</t>
  </si>
  <si>
    <t>Inversiones fijas</t>
  </si>
  <si>
    <t>Inversiones intangibles</t>
  </si>
  <si>
    <t>Salario unitario</t>
  </si>
  <si>
    <t>Mano de obra</t>
  </si>
  <si>
    <t>Gerente (supervisión) 45%</t>
  </si>
  <si>
    <t>Materia prima (gastos de papelería)</t>
  </si>
  <si>
    <t>Medida</t>
  </si>
  <si>
    <t>Paquete de unidades</t>
  </si>
  <si>
    <t xml:space="preserve">Detalle </t>
  </si>
  <si>
    <t>Valor Unitario</t>
  </si>
  <si>
    <t>Valor Total</t>
  </si>
  <si>
    <t>Valor total Anual</t>
  </si>
  <si>
    <t>Energia</t>
  </si>
  <si>
    <t>kw</t>
  </si>
  <si>
    <t>M2</t>
  </si>
  <si>
    <t>Promedio</t>
  </si>
  <si>
    <t>Implementos de aseo</t>
  </si>
  <si>
    <t>Transporte</t>
  </si>
  <si>
    <t>Arriendo</t>
  </si>
  <si>
    <t>Valor total anual</t>
  </si>
  <si>
    <t>Agua</t>
  </si>
  <si>
    <t>Telefono</t>
  </si>
  <si>
    <t>Costos indirectos de fabricación (80%)</t>
  </si>
  <si>
    <t>Personal administrativo</t>
  </si>
  <si>
    <t>Salario Unitario</t>
  </si>
  <si>
    <t>Salario más prestaciones</t>
  </si>
  <si>
    <t>Total anual</t>
  </si>
  <si>
    <t>Gerente (Administracion) 30%</t>
  </si>
  <si>
    <t xml:space="preserve">Contador </t>
  </si>
  <si>
    <t>TOTAL GASTOS DE ADMINISTRACIÓN</t>
  </si>
  <si>
    <t>TOTAL COSTOS DE PRODUCCIÓN</t>
  </si>
  <si>
    <t>Personal de ventas</t>
  </si>
  <si>
    <t>Asesor de ventas</t>
  </si>
  <si>
    <t>Gerente (mercadeo) 25%</t>
  </si>
  <si>
    <t>Otros gastos de ventas</t>
  </si>
  <si>
    <t>Tarjeta de presentación</t>
  </si>
  <si>
    <t>Redes sociales</t>
  </si>
  <si>
    <t>Unidad</t>
  </si>
  <si>
    <t>Días</t>
  </si>
  <si>
    <t>TOTAL GASTOS DE VENTA</t>
  </si>
  <si>
    <t>Telefono e internet</t>
  </si>
  <si>
    <t>m3</t>
  </si>
  <si>
    <t>Costos indirectos</t>
  </si>
  <si>
    <t xml:space="preserve">INFLACIÓN </t>
  </si>
  <si>
    <t>Personal Administrativo</t>
  </si>
  <si>
    <t>Otros gastos de administración</t>
  </si>
  <si>
    <t>Otros gastos administrativos (20%)</t>
  </si>
  <si>
    <t xml:space="preserve">Personal de ventas </t>
  </si>
  <si>
    <t>Otros gastos de venta</t>
  </si>
  <si>
    <t>SGA</t>
  </si>
  <si>
    <t>VEA</t>
  </si>
  <si>
    <t>Sistema de Gestión Ambiental</t>
  </si>
  <si>
    <t>Valoración Económica ambiental</t>
  </si>
  <si>
    <t>Precio de venta</t>
  </si>
  <si>
    <t xml:space="preserve">Año </t>
  </si>
  <si>
    <t>Capacidad empresas atendidas</t>
  </si>
  <si>
    <t>Ingresos</t>
  </si>
  <si>
    <t>Utilidad antes de impuestos</t>
  </si>
  <si>
    <t>Cuota</t>
  </si>
  <si>
    <t>Personal</t>
  </si>
  <si>
    <t>Inversiones tangibles e intangibles</t>
  </si>
  <si>
    <t>Ingresos mensuales</t>
  </si>
  <si>
    <t>Costos variables</t>
  </si>
  <si>
    <t>Margen de contribución mensual</t>
  </si>
  <si>
    <t>Año 1</t>
  </si>
  <si>
    <t>Año 2</t>
  </si>
  <si>
    <t>Año 3</t>
  </si>
  <si>
    <t>Año 4</t>
  </si>
  <si>
    <t>Año 5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</si>
  <si>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</si>
  <si>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</si>
  <si>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</si>
  <si>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</si>
  <si>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</si>
  <si>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</si>
  <si>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</si>
  <si>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</si>
  <si>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</si>
  <si>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</si>
  <si>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</si>
  <si>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</si>
  <si>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</si>
  <si>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Cuota mensual</t>
  </si>
  <si>
    <t>Impuestos</t>
  </si>
  <si>
    <t>Utilidad neta</t>
  </si>
  <si>
    <t>Utilidad operacional</t>
  </si>
  <si>
    <t>Costos indirectos de fabricación</t>
  </si>
  <si>
    <t>Gerente (administración) 30%</t>
  </si>
  <si>
    <t>Otros gastos administrativos</t>
  </si>
  <si>
    <t>Asitente técnico</t>
  </si>
  <si>
    <t>Gastos de papelería</t>
  </si>
  <si>
    <t>Contador</t>
  </si>
  <si>
    <t>Unidades</t>
  </si>
  <si>
    <t>Descripción</t>
  </si>
  <si>
    <t>Prestamo</t>
  </si>
  <si>
    <t>Interés mensual</t>
  </si>
  <si>
    <t>Periodo</t>
  </si>
  <si>
    <t>Cuota fija mensual</t>
  </si>
  <si>
    <t>Número de cuota</t>
  </si>
  <si>
    <t>Valor cuota</t>
  </si>
  <si>
    <t>Saldo inicial</t>
  </si>
  <si>
    <t>Interés</t>
  </si>
  <si>
    <t xml:space="preserve">Saldo final </t>
  </si>
  <si>
    <t>Abono a capital</t>
  </si>
  <si>
    <t>Depreciación</t>
  </si>
  <si>
    <t>Depreciación acumulada</t>
  </si>
  <si>
    <t>Valor contable</t>
  </si>
  <si>
    <t>Costo total</t>
  </si>
  <si>
    <t>Vida útil</t>
  </si>
  <si>
    <t>Activo</t>
  </si>
  <si>
    <t>Dominio web</t>
  </si>
  <si>
    <t>Amortizaciones</t>
  </si>
  <si>
    <t>Devoluciones en ventas</t>
  </si>
  <si>
    <t>Venta neta</t>
  </si>
  <si>
    <t>Margen neto</t>
  </si>
  <si>
    <t>Concepto</t>
  </si>
  <si>
    <t>Activos</t>
  </si>
  <si>
    <t>Caja</t>
  </si>
  <si>
    <t>Total activos</t>
  </si>
  <si>
    <t>Pasivos</t>
  </si>
  <si>
    <t>Cuentas por pagar (diferidos)</t>
  </si>
  <si>
    <t>Total pasivo</t>
  </si>
  <si>
    <t>Patrimonio</t>
  </si>
  <si>
    <t xml:space="preserve">Utilidades del periodo </t>
  </si>
  <si>
    <t>Total pasivo y patrimonio</t>
  </si>
  <si>
    <t>QGIS</t>
  </si>
  <si>
    <t>Qgis</t>
  </si>
  <si>
    <t>OPENLCA</t>
  </si>
  <si>
    <t>Costos</t>
  </si>
  <si>
    <t xml:space="preserve">Salario </t>
  </si>
  <si>
    <t>Portafolio</t>
  </si>
  <si>
    <t>Publicidad</t>
  </si>
  <si>
    <t xml:space="preserve">Útiles de oficina </t>
  </si>
  <si>
    <t>Muebles</t>
  </si>
  <si>
    <t>-</t>
  </si>
  <si>
    <t>Capital</t>
  </si>
  <si>
    <t>Otros activos</t>
  </si>
  <si>
    <t>Impuestos (31%)</t>
  </si>
  <si>
    <t xml:space="preserve">Utilidad del ejercicio </t>
  </si>
  <si>
    <t>Flujos de operación</t>
  </si>
  <si>
    <t>Abono a la deuda</t>
  </si>
  <si>
    <t>Flujo de inversiones</t>
  </si>
  <si>
    <t>Efectivo actividad de inversiones</t>
  </si>
  <si>
    <t>Efectivo de operaciones</t>
  </si>
  <si>
    <t>Flujo de financiación</t>
  </si>
  <si>
    <t>Otras inversiones de operación</t>
  </si>
  <si>
    <t>Caja disponible</t>
  </si>
  <si>
    <t>Capital propio</t>
  </si>
  <si>
    <t>Tabla de amortizaciones</t>
  </si>
  <si>
    <t>Columna1</t>
  </si>
  <si>
    <t>Interés anual</t>
  </si>
  <si>
    <t>Suma interés</t>
  </si>
  <si>
    <t>Margen de contribución (%)</t>
  </si>
  <si>
    <t>Servicio</t>
  </si>
  <si>
    <t>Valor</t>
  </si>
  <si>
    <t>Costos operacionales</t>
  </si>
  <si>
    <t>Ingresos por servicios</t>
  </si>
  <si>
    <t>Gastos</t>
  </si>
  <si>
    <t>Gastos depreciación</t>
  </si>
  <si>
    <t>Total gastos de operación</t>
  </si>
  <si>
    <t>Gastos operacionales</t>
  </si>
  <si>
    <t>Equipos de computo</t>
  </si>
  <si>
    <t>Computo</t>
  </si>
  <si>
    <t>Recursos financieros</t>
  </si>
  <si>
    <t xml:space="preserve">Prestamo </t>
  </si>
  <si>
    <t>%</t>
  </si>
  <si>
    <t>Total inversión</t>
  </si>
  <si>
    <t>Costo de oportunidad</t>
  </si>
  <si>
    <t>impuesto a la renta</t>
  </si>
  <si>
    <t>interés</t>
  </si>
  <si>
    <t>Tasa de descuento</t>
  </si>
  <si>
    <t>VNA</t>
  </si>
  <si>
    <t>Saldo</t>
  </si>
  <si>
    <t>TIR</t>
  </si>
  <si>
    <t>Flujo de efectivo</t>
  </si>
  <si>
    <t>Pago de impuesto anticipado</t>
  </si>
  <si>
    <t>Materia prima</t>
  </si>
  <si>
    <t xml:space="preserve">Intereses </t>
  </si>
  <si>
    <t>Efectivo actividades de financiación</t>
  </si>
  <si>
    <t>Crédito</t>
  </si>
  <si>
    <t>Automóvil</t>
  </si>
  <si>
    <t>ROE</t>
  </si>
  <si>
    <t>ROI</t>
  </si>
  <si>
    <t>Costos de operación</t>
  </si>
  <si>
    <t>Cuentas por pagar</t>
  </si>
  <si>
    <t>Capital de trabajo neto operativo</t>
  </si>
  <si>
    <t>VPN</t>
  </si>
  <si>
    <t>6,87% y 5,83%</t>
  </si>
  <si>
    <t>Si el precio de los servicios bajan un 6,87% y 5,83% y los costos permanencen igual</t>
  </si>
  <si>
    <t>Flujo de efctivo</t>
  </si>
  <si>
    <t>Si los costos suben 13,5% y los precios permanencen igual</t>
  </si>
  <si>
    <t>Costo</t>
  </si>
  <si>
    <t xml:space="preserve"> =+13,5%</t>
  </si>
  <si>
    <t>Estado de resultados cariando los ingresos</t>
  </si>
  <si>
    <t>Estados de resultados variando los costos</t>
  </si>
  <si>
    <t>Flujo de efectivo variando ingresos</t>
  </si>
  <si>
    <t>Flujo de efectivo variando costos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</si>
</sst>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\ #,##0;[Red]\-&quot;$&quot;\ #,##0"/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&quot;$&quot;\ #,##0.00_);[Red]\(&quot;$&quot;\ #,##0.00\)"/>
    <numFmt numFmtId="165" formatCode="&quot;$&quot;\ #,##0"/>
    <numFmt numFmtId="166" formatCode="0.0000"/>
    <numFmt numFmtId="167" formatCode="&quot;$&quot;\ #,##0.00"/>
    <numFmt numFmtId="168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6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6" fontId="0" fillId="0" borderId="1" xfId="0" applyNumberFormat="1" applyBorder="1"/>
    <xf numFmtId="165" fontId="0" fillId="0" borderId="1" xfId="0" applyNumberFormat="1" applyBorder="1"/>
    <xf numFmtId="0" fontId="0" fillId="2" borderId="0" xfId="0" applyFill="1"/>
    <xf numFmtId="0" fontId="0" fillId="2" borderId="1" xfId="0" applyFill="1" applyBorder="1"/>
    <xf numFmtId="10" fontId="0" fillId="2" borderId="0" xfId="0" applyNumberFormat="1" applyFill="1"/>
    <xf numFmtId="166" fontId="0" fillId="2" borderId="0" xfId="0" applyNumberFormat="1" applyFill="1"/>
    <xf numFmtId="42" fontId="0" fillId="0" borderId="1" xfId="1" applyNumberFormat="1" applyFont="1" applyBorder="1"/>
    <xf numFmtId="42" fontId="0" fillId="2" borderId="1" xfId="0" applyNumberFormat="1" applyFill="1" applyBorder="1"/>
    <xf numFmtId="42" fontId="0" fillId="0" borderId="1" xfId="0" applyNumberFormat="1" applyBorder="1"/>
    <xf numFmtId="0" fontId="0" fillId="0" borderId="6" xfId="0" applyBorder="1"/>
    <xf numFmtId="0" fontId="0" fillId="0" borderId="9" xfId="0" applyBorder="1"/>
    <xf numFmtId="0" fontId="0" fillId="0" borderId="0" xfId="0" applyBorder="1" applyAlignment="1">
      <alignment horizontal="center" vertical="center"/>
    </xf>
    <xf numFmtId="8" fontId="0" fillId="0" borderId="1" xfId="1" applyNumberFormat="1" applyFont="1" applyBorder="1"/>
    <xf numFmtId="8" fontId="0" fillId="2" borderId="1" xfId="1" applyNumberFormat="1" applyFont="1" applyFill="1" applyBorder="1"/>
    <xf numFmtId="8" fontId="0" fillId="0" borderId="0" xfId="0" applyNumberFormat="1"/>
    <xf numFmtId="0" fontId="0" fillId="0" borderId="1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0" fillId="0" borderId="0" xfId="0" applyNumberFormat="1"/>
    <xf numFmtId="0" fontId="0" fillId="0" borderId="0" xfId="0" applyAlignment="1">
      <alignment horizontal="center" vertical="center"/>
    </xf>
    <xf numFmtId="6" fontId="0" fillId="0" borderId="0" xfId="0" applyNumberFormat="1"/>
    <xf numFmtId="1" fontId="0" fillId="0" borderId="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7" fontId="0" fillId="0" borderId="1" xfId="0" applyNumberFormat="1" applyBorder="1"/>
    <xf numFmtId="0" fontId="0" fillId="3" borderId="1" xfId="0" applyFill="1" applyBorder="1"/>
    <xf numFmtId="0" fontId="0" fillId="4" borderId="1" xfId="0" applyFill="1" applyBorder="1"/>
    <xf numFmtId="167" fontId="0" fillId="2" borderId="0" xfId="0" applyNumberFormat="1" applyFill="1"/>
    <xf numFmtId="167" fontId="0" fillId="0" borderId="1" xfId="0" quotePrefix="1" applyNumberFormat="1" applyBorder="1"/>
    <xf numFmtId="0" fontId="0" fillId="0" borderId="1" xfId="0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5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0" xfId="0" applyFill="1"/>
    <xf numFmtId="6" fontId="0" fillId="5" borderId="1" xfId="0" applyNumberFormat="1" applyFill="1" applyBorder="1" applyAlignment="1">
      <alignment horizontal="center" vertical="center"/>
    </xf>
    <xf numFmtId="1" fontId="0" fillId="0" borderId="0" xfId="0" applyNumberFormat="1"/>
    <xf numFmtId="10" fontId="0" fillId="0" borderId="0" xfId="0" applyNumberFormat="1"/>
    <xf numFmtId="0" fontId="0" fillId="0" borderId="0" xfId="0" applyNumberFormat="1"/>
    <xf numFmtId="0" fontId="0" fillId="0" borderId="1" xfId="0" applyFill="1" applyBorder="1" applyAlignment="1">
      <alignment horizontal="center" vertical="center"/>
    </xf>
    <xf numFmtId="10" fontId="0" fillId="0" borderId="1" xfId="0" applyNumberFormat="1" applyBorder="1"/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6" fontId="4" fillId="0" borderId="1" xfId="0" applyNumberFormat="1" applyFont="1" applyBorder="1" applyAlignment="1">
      <alignment horizontal="center" vertical="center"/>
    </xf>
    <xf numFmtId="6" fontId="4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0" fontId="0" fillId="8" borderId="15" xfId="0" applyFont="1" applyFill="1" applyBorder="1"/>
    <xf numFmtId="0" fontId="6" fillId="7" borderId="17" xfId="0" applyFont="1" applyFill="1" applyBorder="1"/>
    <xf numFmtId="0" fontId="6" fillId="7" borderId="18" xfId="0" applyFont="1" applyFill="1" applyBorder="1"/>
    <xf numFmtId="0" fontId="0" fillId="0" borderId="17" xfId="0" applyFont="1" applyBorder="1"/>
    <xf numFmtId="0" fontId="0" fillId="0" borderId="19" xfId="0" applyFont="1" applyBorder="1"/>
    <xf numFmtId="0" fontId="6" fillId="7" borderId="21" xfId="0" applyFont="1" applyFill="1" applyBorder="1"/>
    <xf numFmtId="0" fontId="6" fillId="7" borderId="22" xfId="0" applyFont="1" applyFill="1" applyBorder="1"/>
    <xf numFmtId="0" fontId="0" fillId="8" borderId="21" xfId="0" applyFont="1" applyFill="1" applyBorder="1"/>
    <xf numFmtId="167" fontId="0" fillId="8" borderId="22" xfId="0" applyNumberFormat="1" applyFont="1" applyFill="1" applyBorder="1"/>
    <xf numFmtId="0" fontId="0" fillId="0" borderId="21" xfId="0" applyFont="1" applyBorder="1"/>
    <xf numFmtId="167" fontId="0" fillId="0" borderId="22" xfId="0" applyNumberFormat="1" applyFont="1" applyBorder="1"/>
    <xf numFmtId="0" fontId="0" fillId="0" borderId="22" xfId="0" applyFont="1" applyBorder="1"/>
    <xf numFmtId="167" fontId="0" fillId="8" borderId="16" xfId="0" applyNumberFormat="1" applyFont="1" applyFill="1" applyBorder="1"/>
    <xf numFmtId="167" fontId="0" fillId="0" borderId="18" xfId="0" applyNumberFormat="1" applyFont="1" applyBorder="1"/>
    <xf numFmtId="167" fontId="0" fillId="0" borderId="20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67" fontId="0" fillId="2" borderId="1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14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6" fontId="4" fillId="0" borderId="2" xfId="0" applyNumberFormat="1" applyFont="1" applyBorder="1" applyAlignment="1">
      <alignment horizontal="center" vertical="center"/>
    </xf>
    <xf numFmtId="6" fontId="0" fillId="0" borderId="2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 vertical="center" wrapText="1"/>
    </xf>
    <xf numFmtId="167" fontId="0" fillId="0" borderId="1" xfId="0" applyNumberFormat="1" applyFont="1" applyBorder="1" applyAlignment="1">
      <alignment horizontal="center" vertical="center" wrapText="1"/>
    </xf>
    <xf numFmtId="167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7" fontId="0" fillId="0" borderId="1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7" fontId="0" fillId="0" borderId="14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67" fontId="0" fillId="0" borderId="7" xfId="0" applyNumberFormat="1" applyFont="1" applyBorder="1" applyAlignment="1">
      <alignment horizontal="center" vertical="center"/>
    </xf>
    <xf numFmtId="165" fontId="0" fillId="0" borderId="7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6" fontId="0" fillId="2" borderId="0" xfId="0" applyNumberForma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6" fontId="0" fillId="0" borderId="0" xfId="0" applyNumberFormat="1" applyFill="1" applyBorder="1" applyAlignment="1">
      <alignment horizontal="center" vertical="center"/>
    </xf>
    <xf numFmtId="167" fontId="0" fillId="2" borderId="0" xfId="0" applyNumberFormat="1" applyFill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 wrapText="1"/>
    </xf>
    <xf numFmtId="167" fontId="1" fillId="0" borderId="1" xfId="1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1" fontId="0" fillId="2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7" fontId="4" fillId="0" borderId="0" xfId="0" applyNumberFormat="1" applyFont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167" fontId="0" fillId="0" borderId="2" xfId="0" applyNumberFormat="1" applyBorder="1" applyAlignment="1">
      <alignment horizontal="center" vertical="center"/>
    </xf>
    <xf numFmtId="6" fontId="4" fillId="0" borderId="0" xfId="0" applyNumberFormat="1" applyFont="1" applyBorder="1" applyAlignment="1">
      <alignment horizontal="center" vertical="center"/>
    </xf>
    <xf numFmtId="6" fontId="0" fillId="0" borderId="11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1" xfId="0" applyNumberForma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6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167" fontId="0" fillId="0" borderId="11" xfId="0" applyNumberForma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6" fontId="4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6" fontId="0" fillId="0" borderId="2" xfId="0" applyNumberFormat="1" applyFill="1" applyBorder="1" applyAlignment="1">
      <alignment horizontal="center" vertical="center"/>
    </xf>
    <xf numFmtId="6" fontId="0" fillId="0" borderId="6" xfId="0" applyNumberForma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0" fillId="0" borderId="0" xfId="0" applyNumberFormat="1" applyFont="1" applyFill="1" applyBorder="1" applyAlignment="1">
      <alignment horizontal="center" vertical="center"/>
    </xf>
    <xf numFmtId="167" fontId="0" fillId="0" borderId="0" xfId="0" applyNumberForma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6" fontId="4" fillId="0" borderId="0" xfId="0" applyNumberFormat="1" applyFont="1" applyBorder="1" applyAlignment="1">
      <alignment horizontal="center" vertical="center" wrapText="1"/>
    </xf>
    <xf numFmtId="164" fontId="0" fillId="0" borderId="1" xfId="0" applyNumberFormat="1" applyBorder="1"/>
    <xf numFmtId="0" fontId="0" fillId="9" borderId="1" xfId="0" applyFill="1" applyBorder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0" fillId="2" borderId="0" xfId="0" applyFill="1" applyBorder="1"/>
    <xf numFmtId="165" fontId="0" fillId="2" borderId="0" xfId="0" applyNumberFormat="1" applyFill="1" applyBorder="1"/>
    <xf numFmtId="168" fontId="0" fillId="0" borderId="1" xfId="0" applyNumberFormat="1" applyBorder="1"/>
    <xf numFmtId="8" fontId="0" fillId="2" borderId="1" xfId="0" applyNumberFormat="1" applyFill="1" applyBorder="1"/>
    <xf numFmtId="164" fontId="0" fillId="2" borderId="1" xfId="0" applyNumberFormat="1" applyFill="1" applyBorder="1"/>
    <xf numFmtId="8" fontId="0" fillId="0" borderId="0" xfId="0" applyNumberFormat="1" applyFill="1" applyBorder="1"/>
    <xf numFmtId="164" fontId="0" fillId="0" borderId="0" xfId="0" applyNumberFormat="1" applyFill="1" applyBorder="1"/>
    <xf numFmtId="0" fontId="0" fillId="0" borderId="7" xfId="0" applyBorder="1"/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5" fontId="0" fillId="0" borderId="6" xfId="0" applyNumberFormat="1" applyBorder="1"/>
    <xf numFmtId="165" fontId="0" fillId="0" borderId="4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7" fontId="0" fillId="0" borderId="0" xfId="0" applyNumberFormat="1" applyFill="1"/>
    <xf numFmtId="167" fontId="0" fillId="2" borderId="14" xfId="0" applyNumberFormat="1" applyFill="1" applyBorder="1" applyAlignment="1">
      <alignment horizontal="center" vertical="center"/>
    </xf>
    <xf numFmtId="167" fontId="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3" xfId="0" applyFill="1" applyBorder="1"/>
    <xf numFmtId="0" fontId="0" fillId="0" borderId="4" xfId="0" applyFill="1" applyBorder="1"/>
    <xf numFmtId="167" fontId="0" fillId="2" borderId="0" xfId="0" applyNumberFormat="1" applyFill="1" applyBorder="1"/>
    <xf numFmtId="0" fontId="0" fillId="0" borderId="24" xfId="0" applyFont="1" applyFill="1" applyBorder="1"/>
    <xf numFmtId="0" fontId="0" fillId="0" borderId="0" xfId="0" applyAlignment="1"/>
    <xf numFmtId="0" fontId="0" fillId="0" borderId="1" xfId="0" applyNumberForma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0" fontId="0" fillId="0" borderId="0" xfId="0" applyFill="1"/>
    <xf numFmtId="8" fontId="0" fillId="0" borderId="0" xfId="0" applyNumberFormat="1" applyFill="1"/>
    <xf numFmtId="10" fontId="0" fillId="0" borderId="0" xfId="2" applyNumberFormat="1" applyFont="1"/>
    <xf numFmtId="9" fontId="0" fillId="0" borderId="0" xfId="0" applyNumberFormat="1"/>
    <xf numFmtId="0" fontId="0" fillId="0" borderId="1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167" fontId="0" fillId="5" borderId="1" xfId="0" applyNumberFormat="1" applyFill="1" applyBorder="1" applyAlignment="1">
      <alignment horizontal="center" vertical="center"/>
    </xf>
    <xf numFmtId="167" fontId="0" fillId="0" borderId="1" xfId="0" applyNumberForma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167" fontId="0" fillId="12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67" fontId="0" fillId="11" borderId="1" xfId="0" applyNumberFormat="1" applyFill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9" fontId="0" fillId="0" borderId="1" xfId="0" applyNumberFormat="1" applyBorder="1"/>
    <xf numFmtId="42" fontId="0" fillId="0" borderId="1" xfId="0" applyNumberFormat="1" applyBorder="1" applyAlignment="1">
      <alignment horizontal="center" vertical="center"/>
    </xf>
    <xf numFmtId="4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42" fontId="0" fillId="0" borderId="0" xfId="0" applyNumberFormat="1"/>
    <xf numFmtId="0" fontId="0" fillId="9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5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6" fontId="0" fillId="0" borderId="14" xfId="0" applyNumberFormat="1" applyBorder="1" applyAlignment="1">
      <alignment horizontal="center" vertical="center"/>
    </xf>
    <xf numFmtId="6" fontId="0" fillId="0" borderId="13" xfId="0" applyNumberFormat="1" applyBorder="1" applyAlignment="1">
      <alignment horizontal="center" vertical="center"/>
    </xf>
    <xf numFmtId="6" fontId="0" fillId="0" borderId="1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167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</cellXfs>
  <cellStyles count="3">
    <cellStyle name="Millares [0]" xfId="1" builtinId="6"/>
    <cellStyle name="Normal" xfId="0" builtinId="0"/>
    <cellStyle name="Porcentaje" xfId="2" builtinId="5"/>
  </cellStyles>
  <dxfs count="22"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&quot;$&quot;\ #,##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&quot;$&quot;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5" formatCode="&quot;$&quot;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0" formatCode="&quot;$&quot;\ #,##0;[Red]\-&quot;$&quot;\ 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7" formatCode="&quot;$&quot;\ #,##0.00"/>
    </dxf>
    <dxf>
      <numFmt numFmtId="12" formatCode="&quot;$&quot;\ #,##0.00;[Red]\-&quot;$&quot;\ #,##0.00"/>
    </dxf>
    <dxf>
      <numFmt numFmtId="165" formatCode="&quot;$&quot;\ #,##0"/>
    </dxf>
    <dxf>
      <numFmt numFmtId="12" formatCode="&quot;$&quot;\ #,##0.00;[Red]\-&quot;$&quot;\ #,##0.00"/>
    </dxf>
    <dxf>
      <numFmt numFmtId="165" formatCode="&quot;$&quot;\ #,##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Punto de equilibrio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'Punto de equilibrio'!$A$2</c:f>
              <c:strCache>
                <c:ptCount val="1"/>
                <c:pt idx="0">
                  <c:v>Ingresos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'Punto de equilibrio'!$B$1:$F$1</c:f>
              <c:numCache>
                <c:formatCode>General</c:formatCode>
                <c:ptCount val="5"/>
                <c:pt idx="0">
                  <c:v>9</c:v>
                </c:pt>
                <c:pt idx="1">
                  <c:v>12</c:v>
                </c:pt>
                <c:pt idx="2">
                  <c:v>17</c:v>
                </c:pt>
                <c:pt idx="3">
                  <c:v>19</c:v>
                </c:pt>
                <c:pt idx="4">
                  <c:v>25</c:v>
                </c:pt>
              </c:numCache>
            </c:numRef>
          </c:cat>
          <c:val>
            <c:numRef>
              <c:f>'Punto de equilibrio'!$B$2:$F$2</c:f>
              <c:numCache>
                <c:formatCode>"$"\ #,##0.00</c:formatCode>
                <c:ptCount val="5"/>
                <c:pt idx="0">
                  <c:v>98074666.666666672</c:v>
                </c:pt>
                <c:pt idx="1">
                  <c:v>143701318.66666663</c:v>
                </c:pt>
                <c:pt idx="2">
                  <c:v>230872294.63733327</c:v>
                </c:pt>
                <c:pt idx="3">
                  <c:v>265146601.87159461</c:v>
                </c:pt>
                <c:pt idx="4">
                  <c:v>318373111.68573284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80-4BBB-9827-C943866C10C6}"/>
            </c:ext>
          </c:extLst>
        </c:ser>
        <c:ser>
          <c:idx val="1"/>
          <c:order val="1"/>
          <c:tx>
            <c:strRef>
              <c:f>'Punto de equilibrio'!$A$3</c:f>
              <c:strCache>
                <c:ptCount val="1"/>
                <c:pt idx="0">
                  <c:v>Costos operacionales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'Punto de equilibrio'!$B$1:$F$1</c:f>
              <c:numCache>
                <c:formatCode>General</c:formatCode>
                <c:ptCount val="5"/>
                <c:pt idx="0">
                  <c:v>9</c:v>
                </c:pt>
                <c:pt idx="1">
                  <c:v>12</c:v>
                </c:pt>
                <c:pt idx="2">
                  <c:v>17</c:v>
                </c:pt>
                <c:pt idx="3">
                  <c:v>19</c:v>
                </c:pt>
                <c:pt idx="4">
                  <c:v>25</c:v>
                </c:pt>
              </c:numCache>
            </c:numRef>
          </c:cat>
          <c:val>
            <c:numRef>
              <c:f>'Punto de equilibrio'!$B$3:$F$3</c:f>
              <c:numCache>
                <c:formatCode>"$"\ #,##0.00</c:formatCode>
                <c:ptCount val="5"/>
                <c:pt idx="0">
                  <c:v>128168404.88579094</c:v>
                </c:pt>
                <c:pt idx="1">
                  <c:v>123653945.68979093</c:v>
                </c:pt>
                <c:pt idx="2">
                  <c:v>160772073.48271495</c:v>
                </c:pt>
                <c:pt idx="3">
                  <c:v>165413767.23721954</c:v>
                </c:pt>
                <c:pt idx="4">
                  <c:v>214724632.9988167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80-4BBB-9827-C943866C1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155328"/>
        <c:axId val="73156864"/>
      </c:lineChart>
      <c:catAx>
        <c:axId val="7315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3156864"/>
        <c:crosses val="autoZero"/>
        <c:auto val="1"/>
        <c:lblAlgn val="ctr"/>
        <c:lblOffset val="100"/>
        <c:noMultiLvlLbl val="0"/>
      </c:catAx>
      <c:valAx>
        <c:axId val="7315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315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Utilidad neta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Indicadores!$A$25:$E$25</c:f>
              <c:strCache>
                <c:ptCount val="5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  <c:pt idx="3">
                  <c:v>Año 4</c:v>
                </c:pt>
                <c:pt idx="4">
                  <c:v>Año 5</c:v>
                </c:pt>
              </c:strCache>
            </c:strRef>
          </c:cat>
          <c:val>
            <c:numRef>
              <c:f>Indicadores!$A$26:$E$26</c:f>
              <c:numCache>
                <c:formatCode>"$"\ #,##0.00</c:formatCode>
                <c:ptCount val="5"/>
                <c:pt idx="0">
                  <c:v>-36964668.136551067</c:v>
                </c:pt>
                <c:pt idx="1">
                  <c:v>15658300.289777365</c:v>
                </c:pt>
                <c:pt idx="2">
                  <c:v>50785898.05479525</c:v>
                </c:pt>
                <c:pt idx="3">
                  <c:v>71890633.138674021</c:v>
                </c:pt>
                <c:pt idx="4">
                  <c:v>75325374.993491054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83-4507-92CC-1263020A6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4836527"/>
        <c:axId val="294836943"/>
      </c:barChart>
      <c:catAx>
        <c:axId val="294836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4836943"/>
        <c:crosses val="autoZero"/>
        <c:auto val="1"/>
        <c:lblAlgn val="ctr"/>
        <c:lblOffset val="100"/>
        <c:noMultiLvlLbl val="0"/>
      </c:catAx>
      <c:valAx>
        <c:axId val="294836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94836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4</xdr:row>
      <xdr:rowOff>14287</xdr:rowOff>
    </xdr:from>
    <xdr:to>
      <xdr:col>6</xdr:col>
      <xdr:colOff>895350</xdr:colOff>
      <xdr:row>18</xdr:row>
      <xdr:rowOff>90487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31EEC4D-C427-41EF-B40D-0A616DE472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27</xdr:row>
      <xdr:rowOff>71437</xdr:rowOff>
    </xdr:from>
    <xdr:to>
      <xdr:col>4</xdr:col>
      <xdr:colOff>285750</xdr:colOff>
      <xdr:row>41</xdr:row>
      <xdr:rowOff>147637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EF4DAC9-A780-4154-B484-A6C5F7DC4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6:F77" totalsRowShown="0">
  <autoFilter ref="A16:F77" xr:uid="{00000000-0009-0000-0100-000001000000}"/>
  <tableColumns count="6">
    <tableColumn id="1" xr3:uid="{00000000-0010-0000-0000-000001000000}" name="Número de cuota" dataDxfId="21"/>
    <tableColumn id="2" xr3:uid="{00000000-0010-0000-0000-000002000000}" name="Saldo inicial" dataDxfId="20">
      <calculatedColumnFormula>F16</calculatedColumnFormula>
    </tableColumn>
    <tableColumn id="3" xr3:uid="{00000000-0010-0000-0000-000003000000}" name="Valor cuota" dataDxfId="19">
      <calculatedColumnFormula>IF(A18&lt;=$B$12,$B$13,0)</calculatedColumnFormula>
    </tableColumn>
    <tableColumn id="4" xr3:uid="{00000000-0010-0000-0000-000004000000}" name="Interés" dataDxfId="18">
      <calculatedColumnFormula>B17*$B$11</calculatedColumnFormula>
    </tableColumn>
    <tableColumn id="5" xr3:uid="{00000000-0010-0000-0000-000005000000}" name="Abono a capital" dataDxfId="17">
      <calculatedColumnFormula>C17-D17</calculatedColumnFormula>
    </tableColumn>
    <tableColumn id="6" xr3:uid="{00000000-0010-0000-0000-000006000000}" name="Saldo final " dataDxfId="16">
      <calculatedColumnFormula>F16-E17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A1:E8" totalsRowShown="0" headerRowDxfId="15" headerRowBorderDxfId="14" tableBorderDxfId="13" totalsRowBorderDxfId="12">
  <autoFilter ref="A1:E8" xr:uid="{00000000-0009-0000-0100-000003000000}"/>
  <tableColumns count="5">
    <tableColumn id="1" xr3:uid="{00000000-0010-0000-0100-000001000000}" name="Descripción" dataDxfId="11"/>
    <tableColumn id="2" xr3:uid="{00000000-0010-0000-0100-000002000000}" name="Unidades" dataDxfId="10"/>
    <tableColumn id="3" xr3:uid="{00000000-0010-0000-0100-000003000000}" name="Valor unitario" dataDxfId="9"/>
    <tableColumn id="4" xr3:uid="{00000000-0010-0000-0100-000004000000}" name="Total" dataDxfId="8"/>
    <tableColumn id="5" xr3:uid="{00000000-0010-0000-0100-000005000000}" name="Columna1" dataDxfId="7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4" displayName="Tabla4" ref="A80:B86" totalsRowShown="0" headerRowDxfId="6" dataDxfId="4" headerRowBorderDxfId="5" tableBorderDxfId="3" totalsRowBorderDxfId="2">
  <autoFilter ref="A80:B86" xr:uid="{00000000-0009-0000-0100-000004000000}"/>
  <tableColumns count="2">
    <tableColumn id="1" xr3:uid="{00000000-0010-0000-0200-000001000000}" name="Suma interés" dataDxfId="1"/>
    <tableColumn id="2" xr3:uid="{00000000-0010-0000-0200-000002000000}" name="Año 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workbookViewId="0">
      <selection activeCell="D6" sqref="D6"/>
    </sheetView>
  </sheetViews>
  <sheetFormatPr baseColWidth="10" defaultRowHeight="15" x14ac:dyDescent="0.25"/>
  <cols>
    <col min="1" max="1" width="27.42578125" bestFit="1" customWidth="1"/>
    <col min="2" max="2" width="15.140625" bestFit="1" customWidth="1"/>
    <col min="3" max="3" width="20.7109375" customWidth="1"/>
    <col min="4" max="4" width="14.7109375" customWidth="1"/>
    <col min="5" max="5" width="13.140625" bestFit="1" customWidth="1"/>
    <col min="6" max="6" width="24.7109375" bestFit="1" customWidth="1"/>
    <col min="7" max="7" width="15.140625" bestFit="1" customWidth="1"/>
    <col min="8" max="8" width="13.140625" bestFit="1" customWidth="1"/>
    <col min="9" max="9" width="10.5703125" bestFit="1" customWidth="1"/>
    <col min="10" max="10" width="13.7109375" customWidth="1"/>
    <col min="11" max="11" width="13" customWidth="1"/>
    <col min="12" max="12" width="22.140625" bestFit="1" customWidth="1"/>
    <col min="15" max="15" width="13.28515625" bestFit="1" customWidth="1"/>
    <col min="16" max="16" width="11.5703125" bestFit="1" customWidth="1"/>
    <col min="17" max="17" width="15.5703125" bestFit="1" customWidth="1"/>
  </cols>
  <sheetData>
    <row r="1" spans="1:17" x14ac:dyDescent="0.25">
      <c r="A1" s="189" t="s">
        <v>29</v>
      </c>
      <c r="B1" s="189"/>
      <c r="C1" s="189"/>
      <c r="D1" s="107"/>
      <c r="E1" s="37"/>
      <c r="F1" s="180" t="s">
        <v>88</v>
      </c>
      <c r="G1" s="181"/>
      <c r="H1" s="181"/>
      <c r="I1" s="181"/>
      <c r="J1" s="181"/>
      <c r="K1" s="181"/>
      <c r="L1" s="182"/>
      <c r="M1" s="91"/>
      <c r="N1" s="91"/>
      <c r="O1" s="91"/>
      <c r="P1" s="91"/>
      <c r="Q1" s="91"/>
    </row>
    <row r="2" spans="1:17" ht="30" x14ac:dyDescent="0.25">
      <c r="A2" s="188" t="s">
        <v>8</v>
      </c>
      <c r="B2" s="188"/>
      <c r="C2" s="188"/>
      <c r="D2" s="91"/>
      <c r="E2" s="37"/>
      <c r="F2" s="21" t="s">
        <v>23</v>
      </c>
      <c r="G2" s="21" t="s">
        <v>2</v>
      </c>
      <c r="H2" s="21" t="s">
        <v>53</v>
      </c>
      <c r="I2" s="21" t="s">
        <v>26</v>
      </c>
      <c r="J2" s="21" t="s">
        <v>25</v>
      </c>
      <c r="K2" s="21" t="s">
        <v>54</v>
      </c>
      <c r="L2" s="21" t="s">
        <v>55</v>
      </c>
      <c r="M2" s="116"/>
      <c r="N2" s="116"/>
      <c r="O2" s="116"/>
      <c r="P2" s="37"/>
      <c r="Q2" s="37"/>
    </row>
    <row r="3" spans="1:17" ht="30" x14ac:dyDescent="0.25">
      <c r="A3" s="66" t="s">
        <v>1</v>
      </c>
      <c r="B3" s="66" t="s">
        <v>2</v>
      </c>
      <c r="C3" s="67" t="s">
        <v>3</v>
      </c>
      <c r="D3" s="100"/>
      <c r="E3" s="37"/>
      <c r="F3" s="2" t="s">
        <v>56</v>
      </c>
      <c r="G3" s="68">
        <v>1</v>
      </c>
      <c r="H3" s="49">
        <f>2500000*0.3</f>
        <v>750000</v>
      </c>
      <c r="I3" s="49">
        <f>H3*G3</f>
        <v>750000</v>
      </c>
      <c r="J3" s="49">
        <f>I3*0.56</f>
        <v>420000.00000000006</v>
      </c>
      <c r="K3" s="49">
        <f t="shared" ref="K3:K9" si="0">I3+J3</f>
        <v>1170000</v>
      </c>
      <c r="L3" s="50">
        <f>K3*12</f>
        <v>14040000</v>
      </c>
      <c r="M3" s="116"/>
      <c r="N3" s="116"/>
      <c r="O3" s="117"/>
      <c r="P3" s="118"/>
      <c r="Q3" s="118"/>
    </row>
    <row r="4" spans="1:17" x14ac:dyDescent="0.25">
      <c r="A4" s="66" t="s">
        <v>10</v>
      </c>
      <c r="B4" s="66">
        <v>3</v>
      </c>
      <c r="C4" s="74">
        <v>249900</v>
      </c>
      <c r="D4" s="108"/>
      <c r="E4" s="37"/>
      <c r="F4" s="2" t="s">
        <v>57</v>
      </c>
      <c r="G4" s="68">
        <v>1</v>
      </c>
      <c r="H4" s="49">
        <v>900000</v>
      </c>
      <c r="I4" s="49">
        <f t="shared" ref="I4:I9" si="1">H4*G4</f>
        <v>900000</v>
      </c>
      <c r="J4" s="49">
        <f>0</f>
        <v>0</v>
      </c>
      <c r="K4" s="49">
        <f t="shared" si="0"/>
        <v>900000</v>
      </c>
      <c r="L4" s="50">
        <f t="shared" ref="L4:L9" si="2">K4*12</f>
        <v>10800000</v>
      </c>
      <c r="M4" s="116"/>
      <c r="N4" s="116"/>
      <c r="O4" s="117"/>
      <c r="P4" s="118"/>
      <c r="Q4" s="118"/>
    </row>
    <row r="5" spans="1:17" x14ac:dyDescent="0.25">
      <c r="A5" s="66" t="s">
        <v>9</v>
      </c>
      <c r="B5" s="66">
        <v>3</v>
      </c>
      <c r="C5" s="74">
        <v>209900</v>
      </c>
      <c r="D5" s="108"/>
      <c r="E5" s="37"/>
      <c r="F5" s="2" t="s">
        <v>61</v>
      </c>
      <c r="G5" s="68">
        <v>1</v>
      </c>
      <c r="H5" s="49">
        <v>1200000</v>
      </c>
      <c r="I5" s="49">
        <f t="shared" si="1"/>
        <v>1200000</v>
      </c>
      <c r="J5" s="49">
        <f>I5*0.56</f>
        <v>672000.00000000012</v>
      </c>
      <c r="K5" s="49">
        <f t="shared" si="0"/>
        <v>1872000</v>
      </c>
      <c r="L5" s="50">
        <f t="shared" si="2"/>
        <v>22464000</v>
      </c>
      <c r="M5" s="116"/>
      <c r="N5" s="116"/>
      <c r="O5" s="117"/>
      <c r="P5" s="118"/>
      <c r="Q5" s="118"/>
    </row>
    <row r="6" spans="1:17" x14ac:dyDescent="0.25">
      <c r="A6" s="44" t="s">
        <v>0</v>
      </c>
      <c r="B6" s="66"/>
      <c r="C6" s="74">
        <f>+SUM(C4:C5)</f>
        <v>459800</v>
      </c>
      <c r="D6" s="108"/>
      <c r="E6" s="37"/>
      <c r="F6" s="2" t="s">
        <v>62</v>
      </c>
      <c r="G6" s="68">
        <v>1</v>
      </c>
      <c r="H6" s="49">
        <f>2500000*0.25</f>
        <v>625000</v>
      </c>
      <c r="I6" s="49">
        <f t="shared" si="1"/>
        <v>625000</v>
      </c>
      <c r="J6" s="49">
        <f>I6*0.56</f>
        <v>350000.00000000006</v>
      </c>
      <c r="K6" s="49">
        <f t="shared" si="0"/>
        <v>975000</v>
      </c>
      <c r="L6" s="50">
        <f t="shared" si="2"/>
        <v>11700000</v>
      </c>
      <c r="M6" s="116"/>
      <c r="N6" s="116"/>
      <c r="O6" s="117"/>
      <c r="P6" s="118"/>
      <c r="Q6" s="118"/>
    </row>
    <row r="7" spans="1:17" x14ac:dyDescent="0.25">
      <c r="A7" s="180" t="s">
        <v>190</v>
      </c>
      <c r="B7" s="181"/>
      <c r="C7" s="182"/>
      <c r="D7" s="109"/>
      <c r="E7" s="37"/>
      <c r="F7" s="44" t="s">
        <v>33</v>
      </c>
      <c r="G7" s="26">
        <v>1</v>
      </c>
      <c r="H7" s="48">
        <f>2500000*0.45</f>
        <v>1125000</v>
      </c>
      <c r="I7" s="49">
        <f t="shared" si="1"/>
        <v>1125000</v>
      </c>
      <c r="J7" s="49">
        <f>I7*0.56</f>
        <v>630000.00000000012</v>
      </c>
      <c r="K7" s="49">
        <f t="shared" si="0"/>
        <v>1755000</v>
      </c>
      <c r="L7" s="50">
        <f t="shared" si="2"/>
        <v>21060000</v>
      </c>
      <c r="M7" s="70"/>
      <c r="N7" s="70"/>
      <c r="O7" s="70"/>
      <c r="P7" s="70"/>
      <c r="Q7" s="70"/>
    </row>
    <row r="8" spans="1:17" x14ac:dyDescent="0.25">
      <c r="A8" s="66" t="s">
        <v>1</v>
      </c>
      <c r="B8" s="66" t="s">
        <v>2</v>
      </c>
      <c r="C8" s="67" t="s">
        <v>3</v>
      </c>
      <c r="D8" s="100"/>
      <c r="E8" s="37"/>
      <c r="F8" s="44" t="s">
        <v>21</v>
      </c>
      <c r="G8" s="26">
        <v>1</v>
      </c>
      <c r="H8" s="48">
        <v>1400000</v>
      </c>
      <c r="I8" s="49">
        <f t="shared" si="1"/>
        <v>1400000</v>
      </c>
      <c r="J8" s="49">
        <f>I8*0.56</f>
        <v>784000.00000000012</v>
      </c>
      <c r="K8" s="49">
        <f t="shared" si="0"/>
        <v>2184000</v>
      </c>
      <c r="L8" s="50">
        <f t="shared" si="2"/>
        <v>26208000</v>
      </c>
    </row>
    <row r="9" spans="1:17" ht="30" x14ac:dyDescent="0.25">
      <c r="A9" s="2" t="s">
        <v>11</v>
      </c>
      <c r="B9" s="66">
        <v>2</v>
      </c>
      <c r="C9" s="101">
        <v>1700000</v>
      </c>
      <c r="D9" s="105"/>
      <c r="E9" s="37"/>
      <c r="F9" s="44" t="s">
        <v>22</v>
      </c>
      <c r="G9" s="26">
        <v>1</v>
      </c>
      <c r="H9" s="48">
        <v>1300000</v>
      </c>
      <c r="I9" s="49">
        <f t="shared" si="1"/>
        <v>1300000</v>
      </c>
      <c r="J9" s="49">
        <f>I9*0.56</f>
        <v>728000.00000000012</v>
      </c>
      <c r="K9" s="49">
        <f t="shared" si="0"/>
        <v>2028000</v>
      </c>
      <c r="L9" s="50">
        <f t="shared" si="2"/>
        <v>24336000</v>
      </c>
    </row>
    <row r="10" spans="1:17" ht="45" x14ac:dyDescent="0.25">
      <c r="A10" s="2" t="s">
        <v>12</v>
      </c>
      <c r="B10" s="66">
        <v>1</v>
      </c>
      <c r="C10" s="74">
        <v>1729000</v>
      </c>
      <c r="D10" s="108"/>
      <c r="E10" s="37"/>
      <c r="F10" s="44" t="s">
        <v>0</v>
      </c>
      <c r="G10" s="183"/>
      <c r="H10" s="184"/>
      <c r="I10" s="184"/>
      <c r="J10" s="184"/>
      <c r="K10" s="185"/>
      <c r="L10" s="69">
        <f>SUM(L3:L9)</f>
        <v>130608000</v>
      </c>
    </row>
    <row r="11" spans="1:17" x14ac:dyDescent="0.25">
      <c r="A11" s="66" t="s">
        <v>0</v>
      </c>
      <c r="B11" s="66"/>
      <c r="C11" s="101">
        <f>+SUM(C9:C10)</f>
        <v>3429000</v>
      </c>
      <c r="D11" s="105"/>
      <c r="E11" s="37"/>
    </row>
    <row r="12" spans="1:17" x14ac:dyDescent="0.25">
      <c r="A12" s="180" t="s">
        <v>17</v>
      </c>
      <c r="B12" s="181"/>
      <c r="C12" s="182"/>
      <c r="D12" s="109"/>
      <c r="E12" s="37"/>
    </row>
    <row r="13" spans="1:17" x14ac:dyDescent="0.25">
      <c r="A13" s="66" t="s">
        <v>1</v>
      </c>
      <c r="B13" s="66" t="s">
        <v>2</v>
      </c>
      <c r="C13" s="67" t="s">
        <v>3</v>
      </c>
      <c r="D13" s="100"/>
      <c r="E13" s="37"/>
    </row>
    <row r="14" spans="1:17" x14ac:dyDescent="0.25">
      <c r="A14" s="44" t="s">
        <v>18</v>
      </c>
      <c r="B14" s="66">
        <v>1</v>
      </c>
      <c r="C14" s="74">
        <v>36000000</v>
      </c>
      <c r="D14" s="108"/>
      <c r="E14" s="37"/>
    </row>
    <row r="15" spans="1:17" x14ac:dyDescent="0.25">
      <c r="A15" s="44" t="s">
        <v>0</v>
      </c>
      <c r="B15" s="66"/>
      <c r="C15" s="74">
        <f>C14</f>
        <v>36000000</v>
      </c>
      <c r="D15" s="108"/>
      <c r="E15" s="37"/>
    </row>
    <row r="16" spans="1:17" x14ac:dyDescent="0.25">
      <c r="A16" s="180" t="s">
        <v>19</v>
      </c>
      <c r="B16" s="181"/>
      <c r="C16" s="182"/>
      <c r="D16" s="109"/>
      <c r="E16" s="37"/>
    </row>
    <row r="17" spans="1:12" x14ac:dyDescent="0.25">
      <c r="A17" s="66" t="s">
        <v>1</v>
      </c>
      <c r="B17" s="66" t="s">
        <v>2</v>
      </c>
      <c r="C17" s="67" t="s">
        <v>3</v>
      </c>
      <c r="D17" s="100"/>
      <c r="E17" s="37"/>
      <c r="F17" s="46"/>
      <c r="G17" s="46"/>
      <c r="H17" s="46"/>
      <c r="I17" s="46"/>
      <c r="J17" s="46"/>
      <c r="K17" s="46"/>
      <c r="L17" s="46"/>
    </row>
    <row r="18" spans="1:12" x14ac:dyDescent="0.25">
      <c r="A18" s="44" t="s">
        <v>20</v>
      </c>
      <c r="B18" s="66">
        <v>1</v>
      </c>
      <c r="C18" s="101">
        <v>1200000</v>
      </c>
      <c r="D18" s="108"/>
      <c r="E18" s="37"/>
      <c r="F18" s="37"/>
      <c r="G18" s="119"/>
      <c r="H18" s="102"/>
      <c r="I18" s="120"/>
      <c r="J18" s="120"/>
      <c r="K18" s="120"/>
      <c r="L18" s="99"/>
    </row>
    <row r="19" spans="1:12" x14ac:dyDescent="0.25">
      <c r="A19" s="44" t="s">
        <v>0</v>
      </c>
      <c r="B19" s="66"/>
      <c r="C19" s="101">
        <f>C18</f>
        <v>1200000</v>
      </c>
      <c r="D19" s="108"/>
      <c r="E19" s="37"/>
      <c r="F19" s="37"/>
      <c r="G19" s="119"/>
      <c r="H19" s="102"/>
      <c r="I19" s="120"/>
      <c r="J19" s="120"/>
      <c r="K19" s="120"/>
      <c r="L19" s="99"/>
    </row>
    <row r="20" spans="1:12" x14ac:dyDescent="0.25">
      <c r="A20" s="180" t="s">
        <v>160</v>
      </c>
      <c r="B20" s="181"/>
      <c r="C20" s="182"/>
      <c r="D20" s="109"/>
      <c r="E20" s="37"/>
      <c r="F20" s="37"/>
      <c r="G20" s="119"/>
      <c r="H20" s="102"/>
      <c r="I20" s="120"/>
      <c r="J20" s="120"/>
      <c r="K20" s="120"/>
      <c r="L20" s="99"/>
    </row>
    <row r="21" spans="1:12" x14ac:dyDescent="0.25">
      <c r="A21" s="66" t="s">
        <v>1</v>
      </c>
      <c r="B21" s="81" t="s">
        <v>2</v>
      </c>
      <c r="C21" s="81" t="s">
        <v>38</v>
      </c>
      <c r="D21" s="100"/>
      <c r="E21" s="37"/>
      <c r="F21" s="46"/>
      <c r="G21" s="46"/>
      <c r="H21" s="46"/>
      <c r="I21" s="46"/>
      <c r="J21" s="46"/>
      <c r="K21" s="46"/>
      <c r="L21" s="46"/>
    </row>
    <row r="22" spans="1:12" x14ac:dyDescent="0.25">
      <c r="A22" s="81" t="s">
        <v>64</v>
      </c>
      <c r="B22" s="81">
        <v>200</v>
      </c>
      <c r="C22" s="82">
        <v>250</v>
      </c>
      <c r="D22" s="110"/>
      <c r="E22" s="37"/>
      <c r="F22" s="16"/>
      <c r="G22" s="16"/>
      <c r="H22" s="16"/>
      <c r="I22" s="16"/>
      <c r="J22" s="16"/>
      <c r="K22" s="16"/>
      <c r="L22" s="46"/>
    </row>
    <row r="23" spans="1:12" ht="15" customHeight="1" x14ac:dyDescent="0.25">
      <c r="A23" s="81" t="s">
        <v>159</v>
      </c>
      <c r="B23" s="81">
        <v>1</v>
      </c>
      <c r="C23" s="82">
        <v>250000</v>
      </c>
      <c r="D23" s="110"/>
      <c r="E23" s="37"/>
      <c r="F23" s="16"/>
      <c r="G23" s="16"/>
      <c r="H23" s="16"/>
      <c r="I23" s="16"/>
      <c r="J23" s="16"/>
      <c r="K23" s="16"/>
      <c r="L23" s="46"/>
    </row>
    <row r="24" spans="1:12" ht="15" customHeight="1" x14ac:dyDescent="0.25">
      <c r="A24" s="81" t="s">
        <v>65</v>
      </c>
      <c r="B24" s="81">
        <v>1</v>
      </c>
      <c r="C24" s="82">
        <v>500000</v>
      </c>
      <c r="D24" s="110"/>
      <c r="E24" s="37"/>
      <c r="F24" s="16"/>
      <c r="G24" s="16"/>
      <c r="H24" s="16"/>
      <c r="I24" s="16"/>
      <c r="J24" s="16"/>
      <c r="K24" s="16"/>
      <c r="L24" s="46"/>
    </row>
    <row r="25" spans="1:12" ht="15" customHeight="1" x14ac:dyDescent="0.25">
      <c r="A25" s="81" t="s">
        <v>0</v>
      </c>
      <c r="B25" s="81"/>
      <c r="C25" s="82">
        <f>+SUM(C22:C24)</f>
        <v>750250</v>
      </c>
      <c r="D25" s="110"/>
      <c r="E25" s="37"/>
      <c r="F25" s="24"/>
      <c r="G25" s="24"/>
      <c r="H25" s="24"/>
      <c r="I25" s="24"/>
      <c r="J25" s="24"/>
      <c r="K25" s="24"/>
    </row>
    <row r="26" spans="1:12" ht="15" customHeight="1" x14ac:dyDescent="0.25">
      <c r="A26" s="180" t="s">
        <v>161</v>
      </c>
      <c r="B26" s="181"/>
      <c r="C26" s="182"/>
      <c r="D26" s="109"/>
      <c r="E26" s="91"/>
      <c r="F26" s="24"/>
      <c r="G26" s="24"/>
      <c r="H26" s="24"/>
      <c r="I26" s="24"/>
      <c r="J26" s="24"/>
      <c r="K26" s="24"/>
    </row>
    <row r="27" spans="1:12" ht="15" customHeight="1" x14ac:dyDescent="0.25">
      <c r="A27" s="47" t="s">
        <v>1</v>
      </c>
      <c r="B27" s="47" t="s">
        <v>2</v>
      </c>
      <c r="C27" s="72" t="s">
        <v>3</v>
      </c>
      <c r="D27" s="111"/>
      <c r="E27" s="37"/>
      <c r="F27" s="24"/>
      <c r="G27" s="24"/>
      <c r="H27" s="24"/>
      <c r="I27" s="24"/>
      <c r="J27" s="24"/>
      <c r="K27" s="24"/>
    </row>
    <row r="28" spans="1:12" x14ac:dyDescent="0.25">
      <c r="A28" s="47" t="s">
        <v>13</v>
      </c>
      <c r="B28" s="47">
        <v>2</v>
      </c>
      <c r="C28" s="73">
        <v>6000</v>
      </c>
      <c r="D28" s="112"/>
      <c r="E28" s="92"/>
      <c r="F28" s="24"/>
      <c r="G28" s="24"/>
      <c r="H28" s="24"/>
      <c r="I28" s="24"/>
      <c r="J28" s="24"/>
      <c r="K28" s="24"/>
      <c r="L28" s="24"/>
    </row>
    <row r="29" spans="1:12" x14ac:dyDescent="0.25">
      <c r="A29" s="47" t="s">
        <v>14</v>
      </c>
      <c r="B29" s="47">
        <v>8</v>
      </c>
      <c r="C29" s="73">
        <v>600</v>
      </c>
      <c r="D29" s="112"/>
      <c r="E29" s="92"/>
      <c r="F29" s="24"/>
      <c r="G29" s="24"/>
      <c r="H29" s="24"/>
      <c r="I29" s="24"/>
      <c r="J29" s="24"/>
      <c r="K29" s="24"/>
      <c r="L29" s="24"/>
    </row>
    <row r="30" spans="1:12" x14ac:dyDescent="0.25">
      <c r="A30" s="47" t="s">
        <v>15</v>
      </c>
      <c r="B30" s="47">
        <v>6</v>
      </c>
      <c r="C30" s="73">
        <v>3000</v>
      </c>
      <c r="D30" s="112"/>
      <c r="E30" s="92"/>
      <c r="F30" s="24"/>
      <c r="G30" s="24"/>
      <c r="H30" s="24"/>
      <c r="I30" s="24"/>
      <c r="J30" s="24"/>
      <c r="K30" s="24"/>
      <c r="L30" s="24"/>
    </row>
    <row r="31" spans="1:12" x14ac:dyDescent="0.25">
      <c r="A31" s="47" t="s">
        <v>16</v>
      </c>
      <c r="B31" s="47">
        <v>8</v>
      </c>
      <c r="C31" s="73">
        <v>200</v>
      </c>
      <c r="D31" s="112"/>
      <c r="E31" s="92"/>
      <c r="F31" s="24"/>
      <c r="G31" s="24"/>
      <c r="H31" s="24"/>
      <c r="I31" s="24"/>
      <c r="J31" s="24"/>
      <c r="K31" s="24"/>
      <c r="L31" s="24"/>
    </row>
    <row r="32" spans="1:12" x14ac:dyDescent="0.25">
      <c r="A32" s="44" t="s">
        <v>0</v>
      </c>
      <c r="B32" s="44"/>
      <c r="C32" s="114">
        <f>+SUM(C28:C31)</f>
        <v>9800</v>
      </c>
      <c r="D32" s="105"/>
      <c r="E32" s="92"/>
      <c r="F32" s="24"/>
      <c r="G32" s="24"/>
      <c r="H32" s="24"/>
      <c r="I32" s="24"/>
      <c r="J32" s="24"/>
      <c r="K32" s="24"/>
      <c r="L32" s="24"/>
    </row>
    <row r="33" spans="1:12" x14ac:dyDescent="0.25">
      <c r="A33" s="190" t="s">
        <v>30</v>
      </c>
      <c r="B33" s="191"/>
      <c r="C33" s="192"/>
      <c r="D33" s="113"/>
      <c r="E33" s="37"/>
      <c r="F33" s="24"/>
      <c r="G33" s="24"/>
      <c r="H33" s="24"/>
      <c r="I33" s="24"/>
      <c r="J33" s="24"/>
      <c r="K33" s="24"/>
      <c r="L33" s="24"/>
    </row>
    <row r="34" spans="1:12" x14ac:dyDescent="0.25">
      <c r="A34" s="193" t="s">
        <v>6</v>
      </c>
      <c r="B34" s="194"/>
      <c r="C34" s="195"/>
      <c r="D34" s="109"/>
      <c r="E34" s="37"/>
      <c r="F34" s="24"/>
      <c r="G34" s="24"/>
      <c r="H34" s="24"/>
      <c r="I34" s="24"/>
      <c r="J34" s="24"/>
      <c r="K34" s="24"/>
      <c r="L34" s="24"/>
    </row>
    <row r="35" spans="1:12" x14ac:dyDescent="0.25">
      <c r="A35" s="66" t="s">
        <v>1</v>
      </c>
      <c r="B35" s="66" t="s">
        <v>2</v>
      </c>
      <c r="C35" s="67" t="s">
        <v>3</v>
      </c>
      <c r="D35" s="100"/>
      <c r="E35" s="37"/>
      <c r="F35" s="24"/>
      <c r="G35" s="24"/>
      <c r="H35" s="24"/>
      <c r="I35" s="24"/>
      <c r="J35" s="24"/>
      <c r="K35" s="24"/>
      <c r="L35" s="24"/>
    </row>
    <row r="36" spans="1:12" x14ac:dyDescent="0.25">
      <c r="A36" s="2" t="s">
        <v>154</v>
      </c>
      <c r="B36" s="66">
        <v>1</v>
      </c>
      <c r="C36" s="74">
        <v>0</v>
      </c>
      <c r="D36" s="108"/>
      <c r="E36" s="37"/>
      <c r="F36" s="24"/>
      <c r="G36" s="24"/>
      <c r="H36" s="24"/>
      <c r="I36" s="24"/>
      <c r="J36" s="24"/>
      <c r="K36" s="24"/>
      <c r="L36" s="24"/>
    </row>
    <row r="37" spans="1:12" x14ac:dyDescent="0.25">
      <c r="A37" s="66" t="s">
        <v>7</v>
      </c>
      <c r="B37" s="66">
        <v>1</v>
      </c>
      <c r="C37" s="74">
        <v>180912</v>
      </c>
      <c r="D37" s="108"/>
      <c r="E37" s="37"/>
      <c r="F37" s="24"/>
      <c r="G37" s="24"/>
      <c r="H37" s="24"/>
      <c r="I37" s="24"/>
      <c r="J37" s="24"/>
      <c r="K37" s="24"/>
      <c r="L37" s="24"/>
    </row>
    <row r="38" spans="1:12" x14ac:dyDescent="0.25">
      <c r="A38" s="2" t="s">
        <v>156</v>
      </c>
      <c r="B38" s="66">
        <v>1</v>
      </c>
      <c r="C38" s="74">
        <v>0</v>
      </c>
      <c r="D38" s="105"/>
      <c r="E38" s="37"/>
      <c r="F38" s="24"/>
      <c r="G38" s="24"/>
      <c r="H38" s="24"/>
      <c r="I38" s="24"/>
      <c r="J38" s="24"/>
      <c r="K38" s="24"/>
      <c r="L38" s="24"/>
    </row>
    <row r="39" spans="1:12" x14ac:dyDescent="0.25">
      <c r="A39" s="2" t="s">
        <v>139</v>
      </c>
      <c r="B39" s="66">
        <v>1</v>
      </c>
      <c r="C39" s="74">
        <v>50000</v>
      </c>
      <c r="D39" s="104"/>
      <c r="E39" s="16"/>
      <c r="F39" s="24"/>
      <c r="G39" s="24"/>
      <c r="H39" s="24"/>
      <c r="I39" s="24"/>
      <c r="J39" s="24"/>
      <c r="K39" s="24"/>
      <c r="L39" s="24"/>
    </row>
    <row r="40" spans="1:12" x14ac:dyDescent="0.25">
      <c r="A40" s="106" t="s">
        <v>0</v>
      </c>
      <c r="B40" s="71"/>
      <c r="C40" s="115">
        <f>+SUM(C36:C39)</f>
        <v>230912</v>
      </c>
      <c r="D40" s="103"/>
      <c r="E40" s="16"/>
      <c r="F40" s="24"/>
      <c r="G40" s="24"/>
      <c r="H40" s="24"/>
      <c r="I40" s="24"/>
      <c r="J40" s="24"/>
      <c r="K40" s="24"/>
      <c r="L40" s="24"/>
    </row>
    <row r="41" spans="1:12" x14ac:dyDescent="0.25">
      <c r="A41" s="189" t="s">
        <v>89</v>
      </c>
      <c r="B41" s="189"/>
      <c r="C41" s="189"/>
      <c r="D41" s="189"/>
      <c r="E41" s="24"/>
      <c r="F41" s="24"/>
      <c r="G41" s="24"/>
      <c r="H41" s="24"/>
      <c r="I41" s="24"/>
      <c r="J41" s="24"/>
      <c r="K41" s="24"/>
      <c r="L41" s="24"/>
    </row>
    <row r="42" spans="1:12" x14ac:dyDescent="0.25">
      <c r="A42" s="20" t="s">
        <v>1</v>
      </c>
      <c r="B42" s="20" t="s">
        <v>2</v>
      </c>
      <c r="C42" s="20" t="s">
        <v>3</v>
      </c>
      <c r="D42" s="20" t="s">
        <v>4</v>
      </c>
      <c r="E42" s="24"/>
      <c r="F42" s="98"/>
      <c r="G42" s="98"/>
    </row>
    <row r="43" spans="1:12" ht="60" x14ac:dyDescent="0.25">
      <c r="A43" s="2" t="s">
        <v>5</v>
      </c>
      <c r="B43" s="66">
        <f>B9</f>
        <v>2</v>
      </c>
      <c r="C43" s="35">
        <f>C9</f>
        <v>1700000</v>
      </c>
      <c r="D43" s="4">
        <f>C43*B43</f>
        <v>3400000</v>
      </c>
      <c r="E43" s="24"/>
      <c r="F43" s="46"/>
      <c r="G43" s="46"/>
    </row>
    <row r="44" spans="1:12" ht="45" x14ac:dyDescent="0.25">
      <c r="A44" s="2" t="s">
        <v>12</v>
      </c>
      <c r="B44" s="66">
        <f>B10</f>
        <v>1</v>
      </c>
      <c r="C44" s="35">
        <f>C10</f>
        <v>1729000</v>
      </c>
      <c r="D44" s="4">
        <f t="shared" ref="D44:D58" si="3">C44*B44</f>
        <v>1729000</v>
      </c>
      <c r="E44" s="24"/>
    </row>
    <row r="45" spans="1:12" x14ac:dyDescent="0.25">
      <c r="A45" s="66" t="s">
        <v>10</v>
      </c>
      <c r="B45" s="66">
        <f>B4</f>
        <v>3</v>
      </c>
      <c r="C45" s="3">
        <f>C4</f>
        <v>249900</v>
      </c>
      <c r="D45" s="4">
        <f t="shared" si="3"/>
        <v>749700</v>
      </c>
      <c r="E45" s="24"/>
    </row>
    <row r="46" spans="1:12" x14ac:dyDescent="0.25">
      <c r="A46" s="66" t="s">
        <v>9</v>
      </c>
      <c r="B46" s="66">
        <f>B5</f>
        <v>3</v>
      </c>
      <c r="C46" s="3">
        <f>C5</f>
        <v>209900</v>
      </c>
      <c r="D46" s="4">
        <f t="shared" si="3"/>
        <v>629700</v>
      </c>
      <c r="E46" s="24"/>
    </row>
    <row r="47" spans="1:12" x14ac:dyDescent="0.25">
      <c r="A47" s="44" t="s">
        <v>18</v>
      </c>
      <c r="B47" s="66">
        <f>B14</f>
        <v>1</v>
      </c>
      <c r="C47" s="3">
        <f>C14</f>
        <v>36000000</v>
      </c>
      <c r="D47" s="4">
        <f t="shared" si="3"/>
        <v>36000000</v>
      </c>
      <c r="E47" s="98"/>
    </row>
    <row r="48" spans="1:12" x14ac:dyDescent="0.25">
      <c r="A48" s="2" t="s">
        <v>155</v>
      </c>
      <c r="B48" s="66">
        <f>B36</f>
        <v>1</v>
      </c>
      <c r="C48" s="3">
        <f>C36</f>
        <v>0</v>
      </c>
      <c r="D48" s="4">
        <f t="shared" si="3"/>
        <v>0</v>
      </c>
      <c r="E48" s="46"/>
    </row>
    <row r="49" spans="1:4" x14ac:dyDescent="0.25">
      <c r="A49" s="66" t="s">
        <v>7</v>
      </c>
      <c r="B49" s="66">
        <f t="shared" ref="B49:C51" si="4">B37</f>
        <v>1</v>
      </c>
      <c r="C49" s="3">
        <f t="shared" si="4"/>
        <v>180912</v>
      </c>
      <c r="D49" s="4">
        <f t="shared" si="3"/>
        <v>180912</v>
      </c>
    </row>
    <row r="50" spans="1:4" x14ac:dyDescent="0.25">
      <c r="A50" s="2" t="s">
        <v>156</v>
      </c>
      <c r="B50" s="66">
        <f t="shared" si="4"/>
        <v>1</v>
      </c>
      <c r="C50" s="3">
        <f t="shared" si="4"/>
        <v>0</v>
      </c>
      <c r="D50" s="4">
        <f t="shared" si="3"/>
        <v>0</v>
      </c>
    </row>
    <row r="51" spans="1:4" x14ac:dyDescent="0.25">
      <c r="A51" s="2" t="s">
        <v>139</v>
      </c>
      <c r="B51" s="66">
        <f t="shared" si="4"/>
        <v>1</v>
      </c>
      <c r="C51" s="3">
        <f t="shared" si="4"/>
        <v>50000</v>
      </c>
      <c r="D51" s="4">
        <f t="shared" si="3"/>
        <v>50000</v>
      </c>
    </row>
    <row r="52" spans="1:4" x14ac:dyDescent="0.25">
      <c r="A52" s="81" t="s">
        <v>64</v>
      </c>
      <c r="B52" s="81">
        <f t="shared" ref="B52:C54" si="5">B22</f>
        <v>200</v>
      </c>
      <c r="C52" s="3">
        <f t="shared" si="5"/>
        <v>250</v>
      </c>
      <c r="D52" s="4">
        <f t="shared" si="3"/>
        <v>50000</v>
      </c>
    </row>
    <row r="53" spans="1:4" x14ac:dyDescent="0.25">
      <c r="A53" s="81" t="s">
        <v>159</v>
      </c>
      <c r="B53" s="81">
        <f t="shared" si="5"/>
        <v>1</v>
      </c>
      <c r="C53" s="3">
        <f t="shared" si="5"/>
        <v>250000</v>
      </c>
      <c r="D53" s="4">
        <f t="shared" si="3"/>
        <v>250000</v>
      </c>
    </row>
    <row r="54" spans="1:4" ht="14.25" customHeight="1" x14ac:dyDescent="0.25">
      <c r="A54" s="81" t="s">
        <v>65</v>
      </c>
      <c r="B54" s="81">
        <f t="shared" si="5"/>
        <v>1</v>
      </c>
      <c r="C54" s="82">
        <f t="shared" si="5"/>
        <v>500000</v>
      </c>
      <c r="D54" s="4">
        <f t="shared" si="3"/>
        <v>500000</v>
      </c>
    </row>
    <row r="55" spans="1:4" ht="14.25" customHeight="1" x14ac:dyDescent="0.25">
      <c r="A55" s="47" t="s">
        <v>13</v>
      </c>
      <c r="B55" s="47">
        <f>B28</f>
        <v>2</v>
      </c>
      <c r="C55" s="48">
        <f>C28</f>
        <v>6000</v>
      </c>
      <c r="D55" s="4">
        <f t="shared" si="3"/>
        <v>12000</v>
      </c>
    </row>
    <row r="56" spans="1:4" ht="14.25" customHeight="1" x14ac:dyDescent="0.25">
      <c r="A56" s="47" t="s">
        <v>14</v>
      </c>
      <c r="B56" s="47">
        <f t="shared" ref="B56:C58" si="6">B29</f>
        <v>8</v>
      </c>
      <c r="C56" s="48">
        <f t="shared" si="6"/>
        <v>600</v>
      </c>
      <c r="D56" s="4">
        <f t="shared" si="3"/>
        <v>4800</v>
      </c>
    </row>
    <row r="57" spans="1:4" x14ac:dyDescent="0.25">
      <c r="A57" s="47" t="s">
        <v>15</v>
      </c>
      <c r="B57" s="47">
        <f t="shared" si="6"/>
        <v>6</v>
      </c>
      <c r="C57" s="48">
        <f t="shared" si="6"/>
        <v>3000</v>
      </c>
      <c r="D57" s="4">
        <f t="shared" si="3"/>
        <v>18000</v>
      </c>
    </row>
    <row r="58" spans="1:4" x14ac:dyDescent="0.25">
      <c r="A58" s="47" t="s">
        <v>16</v>
      </c>
      <c r="B58" s="47">
        <f t="shared" si="6"/>
        <v>8</v>
      </c>
      <c r="C58" s="48">
        <f t="shared" si="6"/>
        <v>200</v>
      </c>
      <c r="D58" s="4">
        <f t="shared" si="3"/>
        <v>1600</v>
      </c>
    </row>
    <row r="59" spans="1:4" x14ac:dyDescent="0.25">
      <c r="A59" s="44" t="s">
        <v>20</v>
      </c>
      <c r="B59" s="66">
        <f>B18</f>
        <v>1</v>
      </c>
      <c r="C59" s="35">
        <f>C19</f>
        <v>1200000</v>
      </c>
      <c r="D59" s="4">
        <f t="shared" ref="D59" si="7">C59*B59</f>
        <v>1200000</v>
      </c>
    </row>
    <row r="60" spans="1:4" x14ac:dyDescent="0.25">
      <c r="A60" s="75" t="s">
        <v>0</v>
      </c>
      <c r="B60" s="186">
        <f>+SUM(D43:D59)</f>
        <v>44775712</v>
      </c>
      <c r="C60" s="187"/>
      <c r="D60" s="187"/>
    </row>
    <row r="61" spans="1:4" x14ac:dyDescent="0.25">
      <c r="A61" s="98"/>
      <c r="B61" s="98"/>
      <c r="C61" s="98"/>
      <c r="D61" s="98"/>
    </row>
    <row r="62" spans="1:4" x14ac:dyDescent="0.25">
      <c r="A62" s="126" t="s">
        <v>176</v>
      </c>
      <c r="B62" s="127">
        <f>SUM(D52,D54:D58)*12+D51+D53+D49</f>
        <v>7517712</v>
      </c>
      <c r="C62" s="46"/>
      <c r="D62" s="46"/>
    </row>
  </sheetData>
  <mergeCells count="13">
    <mergeCell ref="F1:L1"/>
    <mergeCell ref="G10:K10"/>
    <mergeCell ref="B60:D60"/>
    <mergeCell ref="A2:C2"/>
    <mergeCell ref="A1:C1"/>
    <mergeCell ref="A33:C33"/>
    <mergeCell ref="A26:C26"/>
    <mergeCell ref="A41:D41"/>
    <mergeCell ref="A20:C20"/>
    <mergeCell ref="A16:C16"/>
    <mergeCell ref="A12:C12"/>
    <mergeCell ref="A7:C7"/>
    <mergeCell ref="A34:C3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G10"/>
  <sheetViews>
    <sheetView workbookViewId="0">
      <selection activeCell="B2" sqref="B2:G6"/>
    </sheetView>
  </sheetViews>
  <sheetFormatPr baseColWidth="10" defaultRowHeight="15" x14ac:dyDescent="0.25"/>
  <cols>
    <col min="2" max="2" width="15.85546875" customWidth="1"/>
    <col min="3" max="3" width="20.28515625" bestFit="1" customWidth="1"/>
    <col min="4" max="7" width="14.140625" bestFit="1" customWidth="1"/>
  </cols>
  <sheetData>
    <row r="2" spans="2:7" x14ac:dyDescent="0.25">
      <c r="B2" s="8" t="s">
        <v>1</v>
      </c>
      <c r="C2" s="8" t="s">
        <v>93</v>
      </c>
      <c r="D2" s="8" t="s">
        <v>94</v>
      </c>
      <c r="E2" s="8" t="s">
        <v>95</v>
      </c>
      <c r="F2" s="8" t="s">
        <v>96</v>
      </c>
      <c r="G2" s="8" t="s">
        <v>97</v>
      </c>
    </row>
    <row r="3" spans="2:7" x14ac:dyDescent="0.25">
      <c r="B3" s="1" t="s">
        <v>32</v>
      </c>
      <c r="C3" s="5">
        <f>SUM('Costos de producción'!G4:G5,('Costos de producción'!F6*6))</f>
        <v>59436000</v>
      </c>
      <c r="D3" s="11">
        <f>(+C3-('Costos de producción'!F6*4))*D10</f>
        <v>53017691.999999993</v>
      </c>
      <c r="E3" s="11">
        <f>+(D3+('Costos de producción'!F6*10)+('Costos de producción'!F5*4))*E10</f>
        <v>84576736.451999992</v>
      </c>
      <c r="F3" s="11">
        <f>+E3*F10</f>
        <v>87198615.282011986</v>
      </c>
      <c r="G3" s="11">
        <f>+(F3+('Costos de producción'!F6*6)+('Costos de producción'!F5*6))*G10</f>
        <v>116182145.58631837</v>
      </c>
    </row>
    <row r="4" spans="2:7" x14ac:dyDescent="0.25">
      <c r="B4" s="1" t="s">
        <v>205</v>
      </c>
      <c r="C4" s="5">
        <f>+'Costos de producción'!F15</f>
        <v>436800</v>
      </c>
      <c r="D4" s="11">
        <f>+C4*D10</f>
        <v>451214.39999999997</v>
      </c>
      <c r="E4" s="11">
        <f>+D4*E10</f>
        <v>465202.04639999993</v>
      </c>
      <c r="F4" s="11">
        <f>+E4*F10</f>
        <v>479623.30983839987</v>
      </c>
      <c r="G4" s="11">
        <f>+F4*G10</f>
        <v>495450.87906306703</v>
      </c>
    </row>
    <row r="5" spans="2:7" x14ac:dyDescent="0.25">
      <c r="B5" s="1" t="s">
        <v>71</v>
      </c>
      <c r="C5" s="5">
        <f>+'Costos de producción'!F25</f>
        <v>19692470.399999999</v>
      </c>
      <c r="D5" s="11">
        <f>+C5*D10</f>
        <v>20342321.923199996</v>
      </c>
      <c r="E5" s="11">
        <f>+D5*E10</f>
        <v>20972933.902819194</v>
      </c>
      <c r="F5" s="11">
        <f>+E5*F10</f>
        <v>21623094.853806589</v>
      </c>
      <c r="G5" s="11">
        <f>+F5*G10</f>
        <v>22336656.983982205</v>
      </c>
    </row>
    <row r="6" spans="2:7" x14ac:dyDescent="0.25">
      <c r="B6" s="8" t="s">
        <v>0</v>
      </c>
      <c r="C6" s="12">
        <f>SUM(C3:C5)</f>
        <v>79565270.400000006</v>
      </c>
      <c r="D6" s="12">
        <f>SUM(D3:D5)</f>
        <v>73811228.323199987</v>
      </c>
      <c r="E6" s="12">
        <f>SUM(E3:E5)</f>
        <v>106014872.40121919</v>
      </c>
      <c r="F6" s="12">
        <f>SUM(F3:F5)</f>
        <v>109301333.44565697</v>
      </c>
      <c r="G6" s="12">
        <f>SUM(G3:G5)</f>
        <v>139014253.44936365</v>
      </c>
    </row>
    <row r="7" spans="2:7" x14ac:dyDescent="0.25">
      <c r="C7" s="25"/>
    </row>
    <row r="8" spans="2:7" x14ac:dyDescent="0.25">
      <c r="C8" s="19"/>
      <c r="D8" s="25"/>
    </row>
    <row r="9" spans="2:7" x14ac:dyDescent="0.25">
      <c r="B9" s="7" t="s">
        <v>72</v>
      </c>
      <c r="C9" s="9">
        <v>3.5999999999999997E-2</v>
      </c>
      <c r="D9" s="9">
        <v>3.3000000000000002E-2</v>
      </c>
      <c r="E9" s="9">
        <v>3.1E-2</v>
      </c>
      <c r="F9" s="9">
        <v>3.1E-2</v>
      </c>
      <c r="G9" s="9">
        <v>3.3000000000000002E-2</v>
      </c>
    </row>
    <row r="10" spans="2:7" x14ac:dyDescent="0.25">
      <c r="B10" s="7"/>
      <c r="C10" s="10">
        <v>1.036</v>
      </c>
      <c r="D10" s="10">
        <v>1.0329999999999999</v>
      </c>
      <c r="E10" s="10">
        <v>1.0309999999999999</v>
      </c>
      <c r="F10" s="10">
        <v>1.0309999999999999</v>
      </c>
      <c r="G10" s="10">
        <v>1.0329999999999999</v>
      </c>
    </row>
  </sheetData>
  <phoneticPr fontId="5" type="noConversion"/>
  <pageMargins left="0.7" right="0.7" top="0.75" bottom="0.75" header="0.3" footer="0.3"/>
  <pageSetup orientation="portrait" r:id="rId1"/>
  <ignoredErrors>
    <ignoredError sqref="D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G9"/>
  <sheetViews>
    <sheetView workbookViewId="0">
      <selection activeCell="B3" sqref="B3:G5"/>
    </sheetView>
  </sheetViews>
  <sheetFormatPr baseColWidth="10" defaultRowHeight="15" x14ac:dyDescent="0.25"/>
  <cols>
    <col min="2" max="2" width="28.5703125" bestFit="1" customWidth="1"/>
    <col min="3" max="3" width="14.140625" bestFit="1" customWidth="1"/>
    <col min="4" max="7" width="13.140625" bestFit="1" customWidth="1"/>
  </cols>
  <sheetData>
    <row r="2" spans="2:7" x14ac:dyDescent="0.25">
      <c r="B2" s="8" t="s">
        <v>1</v>
      </c>
      <c r="C2" s="8">
        <v>1</v>
      </c>
      <c r="D2" s="8">
        <v>2</v>
      </c>
      <c r="E2" s="8">
        <v>3</v>
      </c>
      <c r="F2" s="8">
        <v>4</v>
      </c>
      <c r="G2" s="8">
        <v>5</v>
      </c>
    </row>
    <row r="3" spans="2:7" x14ac:dyDescent="0.25">
      <c r="B3" s="1" t="s">
        <v>73</v>
      </c>
      <c r="C3" s="29">
        <f>'Gastos de administración'!G4</f>
        <v>14040000</v>
      </c>
      <c r="D3" s="11">
        <f>+C3*D9</f>
        <v>14503319.999999998</v>
      </c>
      <c r="E3" s="11">
        <f>(+D3+('Gastos de administración'!F5*4))*E9</f>
        <v>18664522.919999998</v>
      </c>
      <c r="F3" s="11">
        <f t="shared" ref="F3" si="0">+E3*F9</f>
        <v>19243123.130519997</v>
      </c>
      <c r="G3" s="11">
        <f>+(F3+('Gastos de administración'!F5*7))*G9</f>
        <v>26386046.193827156</v>
      </c>
    </row>
    <row r="4" spans="2:7" x14ac:dyDescent="0.25">
      <c r="B4" s="1" t="s">
        <v>74</v>
      </c>
      <c r="C4" s="29">
        <f>'Gastos de administración'!F16</f>
        <v>4923117.5999999996</v>
      </c>
      <c r="D4" s="11">
        <f>+C4*D9</f>
        <v>5085580.4807999991</v>
      </c>
      <c r="E4" s="11">
        <f t="shared" ref="E4:G4" si="1">+D4*E9</f>
        <v>5243233.4757047985</v>
      </c>
      <c r="F4" s="11">
        <f t="shared" si="1"/>
        <v>5405773.7134516472</v>
      </c>
      <c r="G4" s="11">
        <f t="shared" si="1"/>
        <v>5584164.2459955513</v>
      </c>
    </row>
    <row r="5" spans="2:7" x14ac:dyDescent="0.25">
      <c r="B5" s="8" t="s">
        <v>0</v>
      </c>
      <c r="C5" s="12">
        <f>SUM(C3:C4)</f>
        <v>18963117.600000001</v>
      </c>
      <c r="D5" s="12">
        <f t="shared" ref="D5:G5" si="2">SUM(D3:D4)</f>
        <v>19588900.480799995</v>
      </c>
      <c r="E5" s="12">
        <f t="shared" si="2"/>
        <v>23907756.395704798</v>
      </c>
      <c r="F5" s="12">
        <f t="shared" si="2"/>
        <v>24648896.843971644</v>
      </c>
      <c r="G5" s="12">
        <f t="shared" si="2"/>
        <v>31970210.439822707</v>
      </c>
    </row>
    <row r="8" spans="2:7" x14ac:dyDescent="0.25">
      <c r="B8" s="7" t="s">
        <v>72</v>
      </c>
      <c r="C8" s="9">
        <v>3.5999999999999997E-2</v>
      </c>
      <c r="D8" s="9">
        <v>3.3000000000000002E-2</v>
      </c>
      <c r="E8" s="9">
        <v>3.1E-2</v>
      </c>
      <c r="F8" s="9">
        <v>3.1E-2</v>
      </c>
      <c r="G8" s="9">
        <v>3.3000000000000002E-2</v>
      </c>
    </row>
    <row r="9" spans="2:7" x14ac:dyDescent="0.25">
      <c r="B9" s="7"/>
      <c r="C9" s="10">
        <v>1.036</v>
      </c>
      <c r="D9" s="10">
        <v>1.0329999999999999</v>
      </c>
      <c r="E9" s="10">
        <v>1.0309999999999999</v>
      </c>
      <c r="F9" s="10">
        <v>1.0309999999999999</v>
      </c>
      <c r="G9" s="10">
        <v>1.0329999999999999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G9"/>
  <sheetViews>
    <sheetView workbookViewId="0">
      <selection activeCell="B3" sqref="B3:G5"/>
    </sheetView>
  </sheetViews>
  <sheetFormatPr baseColWidth="10" defaultRowHeight="15" x14ac:dyDescent="0.25"/>
  <cols>
    <col min="2" max="2" width="20.140625" bestFit="1" customWidth="1"/>
    <col min="3" max="7" width="13" bestFit="1" customWidth="1"/>
  </cols>
  <sheetData>
    <row r="2" spans="2:7" x14ac:dyDescent="0.25">
      <c r="B2" s="8" t="s">
        <v>1</v>
      </c>
      <c r="C2" s="8" t="s">
        <v>93</v>
      </c>
      <c r="D2" s="8" t="s">
        <v>94</v>
      </c>
      <c r="E2" s="8" t="s">
        <v>95</v>
      </c>
      <c r="F2" s="8" t="s">
        <v>96</v>
      </c>
      <c r="G2" s="8" t="s">
        <v>97</v>
      </c>
    </row>
    <row r="3" spans="2:7" x14ac:dyDescent="0.25">
      <c r="B3" s="1" t="s">
        <v>76</v>
      </c>
      <c r="C3" s="13">
        <f>'Gastos de venta'!G5</f>
        <v>11700000</v>
      </c>
      <c r="D3" s="11">
        <f>+C3*D9</f>
        <v>12086099.999999998</v>
      </c>
      <c r="E3" s="11">
        <f t="shared" ref="E3:F3" si="0">+D3*E9</f>
        <v>12460769.099999998</v>
      </c>
      <c r="F3" s="11">
        <f t="shared" si="0"/>
        <v>12847052.942099996</v>
      </c>
      <c r="G3" s="11">
        <f>(+F3+('Gastos de venta'!F4*6))*G9</f>
        <v>24873661.689189292</v>
      </c>
    </row>
    <row r="4" spans="2:7" x14ac:dyDescent="0.25">
      <c r="B4" s="1" t="s">
        <v>77</v>
      </c>
      <c r="C4" s="13">
        <f>'Gastos de venta'!F14</f>
        <v>6900000</v>
      </c>
      <c r="D4" s="11">
        <f>+C4*D9</f>
        <v>7127699.9999999991</v>
      </c>
      <c r="E4" s="11">
        <f t="shared" ref="E4:G4" si="1">+D4*E9</f>
        <v>7348658.6999999983</v>
      </c>
      <c r="F4" s="11">
        <f t="shared" si="1"/>
        <v>7576467.1196999978</v>
      </c>
      <c r="G4" s="11">
        <f t="shared" si="1"/>
        <v>7826490.5346500976</v>
      </c>
    </row>
    <row r="5" spans="2:7" x14ac:dyDescent="0.25">
      <c r="B5" s="8" t="s">
        <v>0</v>
      </c>
      <c r="C5" s="12">
        <f>SUM(C3:C4)</f>
        <v>18600000</v>
      </c>
      <c r="D5" s="12">
        <f t="shared" ref="D5:G5" si="2">SUM(D3:D4)</f>
        <v>19213799.999999996</v>
      </c>
      <c r="E5" s="12">
        <f t="shared" si="2"/>
        <v>19809427.799999997</v>
      </c>
      <c r="F5" s="12">
        <f t="shared" si="2"/>
        <v>20423520.061799996</v>
      </c>
      <c r="G5" s="12">
        <f t="shared" si="2"/>
        <v>32700152.223839391</v>
      </c>
    </row>
    <row r="8" spans="2:7" x14ac:dyDescent="0.25">
      <c r="B8" s="7" t="s">
        <v>72</v>
      </c>
      <c r="C8" s="9">
        <v>3.5999999999999997E-2</v>
      </c>
      <c r="D8" s="9">
        <v>3.3000000000000002E-2</v>
      </c>
      <c r="E8" s="9">
        <v>3.1E-2</v>
      </c>
      <c r="F8" s="9">
        <v>3.1E-2</v>
      </c>
      <c r="G8" s="9">
        <v>3.3000000000000002E-2</v>
      </c>
    </row>
    <row r="9" spans="2:7" x14ac:dyDescent="0.25">
      <c r="B9" s="7"/>
      <c r="C9" s="10">
        <v>1.036</v>
      </c>
      <c r="D9" s="10">
        <v>1.0329999999999999</v>
      </c>
      <c r="E9" s="10">
        <v>1.0309999999999999</v>
      </c>
      <c r="F9" s="10">
        <v>1.0309999999999999</v>
      </c>
      <c r="G9" s="10">
        <v>1.0329999999999999</v>
      </c>
    </row>
  </sheetData>
  <phoneticPr fontId="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45"/>
  <sheetViews>
    <sheetView tabSelected="1" workbookViewId="0">
      <selection activeCell="C8" sqref="C8"/>
    </sheetView>
  </sheetViews>
  <sheetFormatPr baseColWidth="10" defaultRowHeight="15" x14ac:dyDescent="0.25"/>
  <cols>
    <col min="2" max="2" width="13.140625" bestFit="1" customWidth="1"/>
    <col min="3" max="3" width="18" customWidth="1"/>
    <col min="4" max="7" width="16.85546875" bestFit="1" customWidth="1"/>
    <col min="8" max="8" width="15.140625" bestFit="1" customWidth="1"/>
    <col min="9" max="9" width="14.85546875" bestFit="1" customWidth="1"/>
  </cols>
  <sheetData>
    <row r="2" spans="2:9" x14ac:dyDescent="0.25">
      <c r="B2" s="1"/>
      <c r="C2" s="203" t="s">
        <v>28</v>
      </c>
      <c r="D2" s="204"/>
      <c r="E2" s="204"/>
      <c r="F2" s="204"/>
      <c r="G2" s="205"/>
    </row>
    <row r="3" spans="2:9" x14ac:dyDescent="0.25">
      <c r="B3" s="1" t="s">
        <v>1</v>
      </c>
      <c r="C3" s="1">
        <v>1</v>
      </c>
      <c r="D3" s="1">
        <v>2</v>
      </c>
      <c r="E3" s="1">
        <v>3</v>
      </c>
      <c r="F3" s="1">
        <v>4</v>
      </c>
      <c r="G3" s="1">
        <v>5</v>
      </c>
    </row>
    <row r="4" spans="2:9" x14ac:dyDescent="0.25">
      <c r="B4" s="1" t="s">
        <v>78</v>
      </c>
      <c r="C4" s="17">
        <f>FV(C8,C3,0,-(F15*$D$14))</f>
        <v>23482666.666666672</v>
      </c>
      <c r="D4" s="17">
        <f>FV(D8,D3,0,-(F16*$D$14))</f>
        <v>41260774.666666657</v>
      </c>
      <c r="E4" s="17">
        <f>FV(E8,E3,0,-(F17*$D$14))</f>
        <v>86211806.225333303</v>
      </c>
      <c r="F4" s="17">
        <f>FV(F8,F3,0,-(F18*$D$14))</f>
        <v>102443005.26857065</v>
      </c>
      <c r="G4" s="17">
        <f>FV(G8,G3,0,-(F19*$D$14))</f>
        <v>106647150.71246222</v>
      </c>
      <c r="H4" s="19"/>
    </row>
    <row r="5" spans="2:9" x14ac:dyDescent="0.25">
      <c r="B5" s="1" t="s">
        <v>79</v>
      </c>
      <c r="C5" s="17">
        <f>FV(C8,C3,0,-(G15*$D$15))</f>
        <v>74592000</v>
      </c>
      <c r="D5" s="17">
        <f>FV(D8,D3,0,-(G16*$D$15))</f>
        <v>102440543.99999997</v>
      </c>
      <c r="E5" s="17">
        <f>FV(E8,E3,0,-(G17*$D$15))</f>
        <v>144660488.41199997</v>
      </c>
      <c r="F5" s="17">
        <f>FV(F8,F3,0,-(G18*$D$15))</f>
        <v>162703596.60302395</v>
      </c>
      <c r="G5" s="17">
        <f>FV(G8,G3,0,-(G19*$D$15))</f>
        <v>211725960.97327065</v>
      </c>
    </row>
    <row r="6" spans="2:9" x14ac:dyDescent="0.25">
      <c r="B6" s="1" t="s">
        <v>0</v>
      </c>
      <c r="C6" s="18">
        <f>SUM(C4:C5)</f>
        <v>98074666.666666672</v>
      </c>
      <c r="D6" s="18">
        <f t="shared" ref="D6:G6" si="0">SUM(D4:D5)</f>
        <v>143701318.66666663</v>
      </c>
      <c r="E6" s="18">
        <f t="shared" si="0"/>
        <v>230872294.63733327</v>
      </c>
      <c r="F6" s="18">
        <f t="shared" si="0"/>
        <v>265146601.87159461</v>
      </c>
      <c r="G6" s="18">
        <f t="shared" si="0"/>
        <v>318373111.68573284</v>
      </c>
    </row>
    <row r="7" spans="2:9" x14ac:dyDescent="0.25">
      <c r="I7" s="19"/>
    </row>
    <row r="8" spans="2:9" x14ac:dyDescent="0.25">
      <c r="B8" s="7" t="s">
        <v>72</v>
      </c>
      <c r="C8" s="9">
        <v>3.5999999999999997E-2</v>
      </c>
      <c r="D8" s="9">
        <v>3.3000000000000002E-2</v>
      </c>
      <c r="E8" s="9">
        <v>3.1E-2</v>
      </c>
      <c r="F8" s="9">
        <v>3.1E-2</v>
      </c>
      <c r="G8" s="9">
        <v>3.3000000000000002E-2</v>
      </c>
    </row>
    <row r="9" spans="2:9" x14ac:dyDescent="0.25">
      <c r="B9" s="7"/>
      <c r="C9" s="10">
        <v>1.036</v>
      </c>
      <c r="D9" s="10">
        <v>1.0329999999999999</v>
      </c>
      <c r="E9" s="10">
        <v>1.0309999999999999</v>
      </c>
      <c r="F9" s="10">
        <v>1.0309999999999999</v>
      </c>
      <c r="G9" s="10">
        <v>1.0329999999999999</v>
      </c>
    </row>
    <row r="10" spans="2:9" x14ac:dyDescent="0.25">
      <c r="B10" s="14" t="s">
        <v>78</v>
      </c>
      <c r="C10" s="207" t="s">
        <v>80</v>
      </c>
      <c r="D10" s="207"/>
      <c r="E10" s="208"/>
    </row>
    <row r="11" spans="2:9" x14ac:dyDescent="0.25">
      <c r="B11" s="15" t="s">
        <v>79</v>
      </c>
      <c r="C11" s="209" t="s">
        <v>81</v>
      </c>
      <c r="D11" s="209"/>
      <c r="E11" s="210"/>
    </row>
    <row r="13" spans="2:9" ht="45" customHeight="1" x14ac:dyDescent="0.25">
      <c r="B13" s="153" t="s">
        <v>182</v>
      </c>
      <c r="C13" s="153" t="s">
        <v>144</v>
      </c>
      <c r="D13" s="153" t="s">
        <v>183</v>
      </c>
      <c r="E13" s="211" t="s">
        <v>84</v>
      </c>
      <c r="F13" s="211"/>
      <c r="G13" s="211"/>
    </row>
    <row r="14" spans="2:9" x14ac:dyDescent="0.25">
      <c r="B14" s="146" t="s">
        <v>78</v>
      </c>
      <c r="C14" s="146" t="s">
        <v>82</v>
      </c>
      <c r="D14" s="35">
        <v>8000000</v>
      </c>
      <c r="E14" s="146" t="s">
        <v>83</v>
      </c>
      <c r="F14" s="146" t="s">
        <v>78</v>
      </c>
      <c r="G14" s="146" t="s">
        <v>79</v>
      </c>
    </row>
    <row r="15" spans="2:9" x14ac:dyDescent="0.25">
      <c r="B15" s="146" t="s">
        <v>79</v>
      </c>
      <c r="C15" s="146" t="s">
        <v>82</v>
      </c>
      <c r="D15" s="35">
        <v>12000000</v>
      </c>
      <c r="E15" s="146">
        <v>1</v>
      </c>
      <c r="F15" s="26">
        <f>'Margen de contribución SGA'!K16</f>
        <v>2.8333333333333339</v>
      </c>
      <c r="G15" s="152">
        <f>'Margen de contribución VEA'!B15</f>
        <v>6</v>
      </c>
    </row>
    <row r="16" spans="2:9" x14ac:dyDescent="0.25">
      <c r="B16" s="212"/>
      <c r="C16" s="213"/>
      <c r="D16" s="214"/>
      <c r="E16" s="146">
        <v>2</v>
      </c>
      <c r="F16" s="26">
        <f>'Margen de contribución SGA'!K29</f>
        <v>4.833333333333333</v>
      </c>
      <c r="G16" s="152">
        <f>'Margen de contribución VEA'!C15</f>
        <v>8</v>
      </c>
    </row>
    <row r="17" spans="1:7" x14ac:dyDescent="0.25">
      <c r="B17" s="215"/>
      <c r="C17" s="216"/>
      <c r="D17" s="217"/>
      <c r="E17" s="146">
        <v>3</v>
      </c>
      <c r="F17" s="26">
        <f>'Margen de contribución SGA'!K42</f>
        <v>9.8333333333333321</v>
      </c>
      <c r="G17" s="152">
        <f>'Margen de contribución VEA'!D15</f>
        <v>11</v>
      </c>
    </row>
    <row r="18" spans="1:7" x14ac:dyDescent="0.25">
      <c r="B18" s="215"/>
      <c r="C18" s="216"/>
      <c r="D18" s="217"/>
      <c r="E18" s="146">
        <v>4</v>
      </c>
      <c r="F18" s="26">
        <f>'Margen de contribución SGA'!K55</f>
        <v>11.333333333333334</v>
      </c>
      <c r="G18" s="152">
        <f>'Margen de contribución VEA'!E15</f>
        <v>12</v>
      </c>
    </row>
    <row r="19" spans="1:7" x14ac:dyDescent="0.25">
      <c r="B19" s="218"/>
      <c r="C19" s="219"/>
      <c r="D19" s="220"/>
      <c r="E19" s="146">
        <v>5</v>
      </c>
      <c r="F19" s="26">
        <f>'Margen de contribución SGA'!K68</f>
        <v>11.33333333333333</v>
      </c>
      <c r="G19" s="152">
        <f>'Margen de contribución VEA'!F15</f>
        <v>15</v>
      </c>
    </row>
    <row r="20" spans="1:7" ht="15" customHeight="1" x14ac:dyDescent="0.25">
      <c r="A20" s="206"/>
      <c r="B20" s="206"/>
      <c r="C20" s="206"/>
      <c r="D20" s="206"/>
      <c r="E20" s="206"/>
      <c r="F20" s="206"/>
      <c r="G20" s="206"/>
    </row>
    <row r="21" spans="1:7" x14ac:dyDescent="0.25">
      <c r="A21" s="24"/>
      <c r="B21" s="22"/>
      <c r="C21" s="22"/>
      <c r="D21" s="22"/>
      <c r="E21" s="22"/>
      <c r="F21" s="22"/>
      <c r="G21" s="22"/>
    </row>
    <row r="22" spans="1:7" x14ac:dyDescent="0.25">
      <c r="A22" s="24"/>
      <c r="B22" s="24"/>
      <c r="C22" s="27"/>
      <c r="D22" s="27"/>
      <c r="E22" s="27"/>
      <c r="F22" s="27"/>
      <c r="G22" s="28"/>
    </row>
    <row r="23" spans="1:7" x14ac:dyDescent="0.25">
      <c r="A23" s="24"/>
      <c r="B23" s="24"/>
      <c r="C23" s="27"/>
      <c r="D23" s="27"/>
      <c r="E23" s="27"/>
      <c r="F23" s="27"/>
      <c r="G23" s="28"/>
    </row>
    <row r="24" spans="1:7" x14ac:dyDescent="0.25">
      <c r="A24" s="24"/>
      <c r="B24" s="24"/>
      <c r="C24" s="27"/>
      <c r="D24" s="27"/>
      <c r="E24" s="27"/>
      <c r="F24" s="27"/>
      <c r="G24" s="28"/>
    </row>
    <row r="25" spans="1:7" x14ac:dyDescent="0.25">
      <c r="A25" s="24"/>
      <c r="B25" s="24"/>
      <c r="C25" s="27"/>
      <c r="D25" s="27"/>
      <c r="E25" s="27"/>
      <c r="F25" s="27"/>
      <c r="G25" s="28"/>
    </row>
    <row r="26" spans="1:7" x14ac:dyDescent="0.25">
      <c r="A26" s="24"/>
      <c r="B26" s="24"/>
      <c r="C26" s="27"/>
      <c r="D26" s="27"/>
      <c r="E26" s="27"/>
      <c r="F26" s="27"/>
      <c r="G26" s="28"/>
    </row>
    <row r="27" spans="1:7" x14ac:dyDescent="0.25">
      <c r="A27" s="24"/>
      <c r="B27" s="24"/>
      <c r="C27" s="27"/>
      <c r="D27" s="27"/>
      <c r="E27" s="27"/>
      <c r="F27" s="27"/>
      <c r="G27" s="28"/>
    </row>
    <row r="29" spans="1:7" x14ac:dyDescent="0.25">
      <c r="A29" s="206"/>
      <c r="B29" s="206"/>
      <c r="C29" s="206"/>
      <c r="D29" s="206"/>
      <c r="E29" s="206"/>
      <c r="F29" s="206"/>
      <c r="G29" s="206"/>
    </row>
    <row r="30" spans="1:7" x14ac:dyDescent="0.25">
      <c r="A30" s="24"/>
      <c r="B30" s="22"/>
      <c r="C30" s="22"/>
      <c r="D30" s="22"/>
      <c r="E30" s="22"/>
      <c r="F30" s="22"/>
      <c r="G30" s="22"/>
    </row>
    <row r="31" spans="1:7" x14ac:dyDescent="0.25">
      <c r="A31" s="24"/>
      <c r="B31" s="24"/>
      <c r="C31" s="27"/>
      <c r="D31" s="27"/>
      <c r="E31" s="27"/>
      <c r="F31" s="27"/>
      <c r="G31" s="28"/>
    </row>
    <row r="32" spans="1:7" x14ac:dyDescent="0.25">
      <c r="A32" s="24"/>
      <c r="B32" s="24"/>
      <c r="C32" s="27"/>
      <c r="D32" s="27"/>
      <c r="E32" s="27"/>
      <c r="F32" s="27"/>
      <c r="G32" s="28"/>
    </row>
    <row r="33" spans="1:7" x14ac:dyDescent="0.25">
      <c r="A33" s="24"/>
      <c r="B33" s="24"/>
      <c r="C33" s="27"/>
      <c r="D33" s="27"/>
      <c r="E33" s="27"/>
      <c r="F33" s="27"/>
      <c r="G33" s="28"/>
    </row>
    <row r="34" spans="1:7" x14ac:dyDescent="0.25">
      <c r="A34" s="24"/>
      <c r="B34" s="24"/>
      <c r="C34" s="27"/>
      <c r="D34" s="27"/>
      <c r="E34" s="27"/>
      <c r="F34" s="27"/>
      <c r="G34" s="28"/>
    </row>
    <row r="35" spans="1:7" x14ac:dyDescent="0.25">
      <c r="A35" s="24"/>
      <c r="B35" s="24"/>
      <c r="C35" s="27"/>
      <c r="D35" s="27"/>
      <c r="E35" s="27"/>
      <c r="F35" s="27"/>
      <c r="G35" s="28"/>
    </row>
    <row r="36" spans="1:7" x14ac:dyDescent="0.25">
      <c r="A36" s="24"/>
      <c r="B36" s="24"/>
      <c r="C36" s="27"/>
      <c r="D36" s="27"/>
      <c r="E36" s="27"/>
      <c r="F36" s="27"/>
      <c r="G36" s="28"/>
    </row>
    <row r="38" spans="1:7" x14ac:dyDescent="0.25">
      <c r="A38" s="206"/>
      <c r="B38" s="206"/>
      <c r="C38" s="206"/>
      <c r="D38" s="206"/>
      <c r="E38" s="206"/>
      <c r="F38" s="206"/>
      <c r="G38" s="206"/>
    </row>
    <row r="39" spans="1:7" x14ac:dyDescent="0.25">
      <c r="A39" s="24"/>
      <c r="B39" s="22"/>
      <c r="C39" s="22"/>
      <c r="D39" s="22"/>
      <c r="E39" s="22"/>
      <c r="F39" s="22"/>
      <c r="G39" s="22"/>
    </row>
    <row r="40" spans="1:7" x14ac:dyDescent="0.25">
      <c r="A40" s="24"/>
      <c r="B40" s="24"/>
      <c r="C40" s="27"/>
      <c r="D40" s="27"/>
      <c r="E40" s="27"/>
      <c r="F40" s="27"/>
      <c r="G40" s="28"/>
    </row>
    <row r="41" spans="1:7" x14ac:dyDescent="0.25">
      <c r="A41" s="24"/>
      <c r="B41" s="24"/>
      <c r="C41" s="27"/>
      <c r="D41" s="27"/>
      <c r="E41" s="27"/>
      <c r="F41" s="27"/>
      <c r="G41" s="28"/>
    </row>
    <row r="42" spans="1:7" x14ac:dyDescent="0.25">
      <c r="A42" s="24"/>
      <c r="B42" s="24"/>
      <c r="C42" s="27"/>
      <c r="D42" s="27"/>
      <c r="E42" s="27"/>
      <c r="F42" s="27"/>
      <c r="G42" s="28"/>
    </row>
    <row r="43" spans="1:7" x14ac:dyDescent="0.25">
      <c r="A43" s="24"/>
      <c r="B43" s="24"/>
      <c r="C43" s="27"/>
      <c r="D43" s="27"/>
      <c r="E43" s="27"/>
      <c r="F43" s="27"/>
      <c r="G43" s="28"/>
    </row>
    <row r="44" spans="1:7" x14ac:dyDescent="0.25">
      <c r="A44" s="24"/>
      <c r="B44" s="24"/>
      <c r="C44" s="27"/>
      <c r="D44" s="27"/>
      <c r="E44" s="27"/>
      <c r="F44" s="27"/>
      <c r="G44" s="28"/>
    </row>
    <row r="45" spans="1:7" x14ac:dyDescent="0.25">
      <c r="A45" s="24"/>
      <c r="B45" s="24"/>
      <c r="C45" s="27"/>
      <c r="D45" s="27"/>
      <c r="E45" s="27"/>
      <c r="F45" s="27"/>
      <c r="G45" s="28"/>
    </row>
  </sheetData>
  <mergeCells count="8">
    <mergeCell ref="A38:G38"/>
    <mergeCell ref="A29:G29"/>
    <mergeCell ref="C2:G2"/>
    <mergeCell ref="C10:E10"/>
    <mergeCell ref="C11:E11"/>
    <mergeCell ref="A20:G20"/>
    <mergeCell ref="E13:G13"/>
    <mergeCell ref="B16:D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68"/>
  <sheetViews>
    <sheetView topLeftCell="A15" workbookViewId="0">
      <selection activeCell="E32" sqref="E32"/>
    </sheetView>
  </sheetViews>
  <sheetFormatPr baseColWidth="10" defaultRowHeight="15" x14ac:dyDescent="0.25"/>
  <cols>
    <col min="2" max="6" width="25.7109375" bestFit="1" customWidth="1"/>
    <col min="7" max="7" width="15.140625" bestFit="1" customWidth="1"/>
    <col min="8" max="8" width="18.5703125" bestFit="1" customWidth="1"/>
    <col min="9" max="9" width="15.28515625" bestFit="1" customWidth="1"/>
    <col min="10" max="10" width="30.42578125" bestFit="1" customWidth="1"/>
    <col min="11" max="11" width="15.140625" bestFit="1" customWidth="1"/>
    <col min="12" max="12" width="14.140625" bestFit="1" customWidth="1"/>
    <col min="13" max="13" width="15.140625" bestFit="1" customWidth="1"/>
  </cols>
  <sheetData>
    <row r="1" spans="1:12" x14ac:dyDescent="0.25">
      <c r="A1" s="221" t="s">
        <v>78</v>
      </c>
      <c r="B1" s="222"/>
      <c r="C1" s="222"/>
      <c r="D1" s="222"/>
      <c r="E1" s="222"/>
      <c r="F1" s="222"/>
    </row>
    <row r="2" spans="1:12" x14ac:dyDescent="0.25">
      <c r="A2" s="159" t="s">
        <v>98</v>
      </c>
      <c r="B2" s="159" t="s">
        <v>93</v>
      </c>
      <c r="C2" s="159" t="s">
        <v>94</v>
      </c>
      <c r="D2" s="159" t="s">
        <v>95</v>
      </c>
      <c r="E2" s="159" t="s">
        <v>96</v>
      </c>
      <c r="F2" s="159" t="s">
        <v>97</v>
      </c>
      <c r="G2" s="147" t="s">
        <v>111</v>
      </c>
      <c r="H2" s="1" t="s">
        <v>90</v>
      </c>
      <c r="I2" s="1" t="s">
        <v>91</v>
      </c>
      <c r="J2" s="1" t="s">
        <v>92</v>
      </c>
    </row>
    <row r="3" spans="1:12" x14ac:dyDescent="0.25">
      <c r="A3" s="162" t="s">
        <v>99</v>
      </c>
      <c r="B3" s="162">
        <v>1</v>
      </c>
      <c r="C3" s="162">
        <v>2</v>
      </c>
      <c r="D3" s="162">
        <v>5</v>
      </c>
      <c r="E3" s="162">
        <v>5</v>
      </c>
      <c r="F3" s="162">
        <v>6</v>
      </c>
      <c r="G3" s="32">
        <f>8000000/6</f>
        <v>1333333.3333333333</v>
      </c>
      <c r="H3" s="29">
        <f t="shared" ref="H3:H14" si="0">$G$3*B3</f>
        <v>1333333.3333333333</v>
      </c>
      <c r="I3" s="33">
        <f>IF(B3&lt;=4,'Costos variables'!$B$4+'Costos variables'!$B$7,IF(B3&lt;=7,'Costos variables'!$B$4+'Costos variables'!$B$7+'Costos variables'!$B$3,IF(B3&lt;=10,'Costos variables'!$B$4+'Costos variables'!$B$7+'Costos variables'!$B$3+'Costos variables'!$B$5,IF(B3&gt;10,'Costos variables'!$B$4+'Costos variables'!$B$7+'Costos variables'!$B$3+'Costos variables'!$B$6+'Costos variables'!$B$5+'Costos variables'!$B$2))))</f>
        <v>611400</v>
      </c>
      <c r="J3" s="29">
        <f>H3-I3</f>
        <v>721933.33333333326</v>
      </c>
    </row>
    <row r="4" spans="1:12" x14ac:dyDescent="0.25">
      <c r="A4" s="162" t="s">
        <v>100</v>
      </c>
      <c r="B4" s="162">
        <v>1</v>
      </c>
      <c r="C4" s="162">
        <v>2</v>
      </c>
      <c r="D4" s="162">
        <v>5</v>
      </c>
      <c r="E4" s="162">
        <v>5</v>
      </c>
      <c r="F4" s="162">
        <v>6</v>
      </c>
      <c r="H4" s="29">
        <f t="shared" si="0"/>
        <v>1333333.3333333333</v>
      </c>
      <c r="I4" s="33">
        <f>IF(B4&lt;=4,'Costos variables'!$B$4+'Costos variables'!$B$7,IF(B4&lt;=7,'Costos variables'!$B$4+'Costos variables'!$B$7+'Costos variables'!$B$3,IF(B4&lt;=10,'Costos variables'!$B$4+'Costos variables'!$B$7+'Costos variables'!$B$3+'Costos variables'!$B$5,IF(B4&gt;10,'Costos variables'!$B$4+'Costos variables'!$B$7+'Costos variables'!$B$3+'Costos variables'!$B$6+'Costos variables'!$B$5+'Costos variables'!$B$2))))</f>
        <v>611400</v>
      </c>
      <c r="J4" s="29">
        <f t="shared" ref="J4:J40" si="1">H4-I4</f>
        <v>721933.33333333326</v>
      </c>
    </row>
    <row r="5" spans="1:12" x14ac:dyDescent="0.25">
      <c r="A5" s="162" t="s">
        <v>101</v>
      </c>
      <c r="B5" s="162">
        <v>1</v>
      </c>
      <c r="C5" s="162">
        <v>2</v>
      </c>
      <c r="D5" s="162">
        <v>5</v>
      </c>
      <c r="E5" s="162">
        <v>5</v>
      </c>
      <c r="F5" s="162">
        <v>7</v>
      </c>
      <c r="H5" s="29">
        <f t="shared" si="0"/>
        <v>1333333.3333333333</v>
      </c>
      <c r="I5" s="33">
        <f>IF(B5&lt;=4,'Costos variables'!$B$4+'Costos variables'!$B$7,IF(B5&lt;=7,'Costos variables'!$B$4+'Costos variables'!$B$7+'Costos variables'!$B$3,IF(B5&lt;=10,'Costos variables'!$B$4+'Costos variables'!$B$7+'Costos variables'!$B$3+'Costos variables'!$B$5,IF(B5&gt;10,'Costos variables'!$B$4+'Costos variables'!$B$7+'Costos variables'!$B$3+'Costos variables'!$B$6+'Costos variables'!$B$5+'Costos variables'!$B$2))))</f>
        <v>611400</v>
      </c>
      <c r="J5" s="29">
        <f t="shared" si="1"/>
        <v>721933.33333333326</v>
      </c>
    </row>
    <row r="6" spans="1:12" x14ac:dyDescent="0.25">
      <c r="A6" s="162" t="s">
        <v>102</v>
      </c>
      <c r="B6" s="162">
        <v>1</v>
      </c>
      <c r="C6" s="162">
        <v>2</v>
      </c>
      <c r="D6" s="162">
        <v>5</v>
      </c>
      <c r="E6" s="162">
        <v>5</v>
      </c>
      <c r="F6" s="162">
        <v>7</v>
      </c>
      <c r="G6" s="23"/>
      <c r="H6" s="29">
        <f t="shared" si="0"/>
        <v>1333333.3333333333</v>
      </c>
      <c r="I6" s="33">
        <f>IF(B6&lt;=4,'Costos variables'!$B$4+'Costos variables'!$B$7,IF(B6&lt;=7,'Costos variables'!$B$4+'Costos variables'!$B$7+'Costos variables'!$B$3,IF(B6&lt;=10,'Costos variables'!$B$4+'Costos variables'!$B$7+'Costos variables'!$B$3+'Costos variables'!$B$5,IF(B6&gt;10,'Costos variables'!$B$4+'Costos variables'!$B$7+'Costos variables'!$B$3+'Costos variables'!$B$6+'Costos variables'!$B$5+'Costos variables'!$B$2))))</f>
        <v>611400</v>
      </c>
      <c r="J6" s="29">
        <f t="shared" si="1"/>
        <v>721933.33333333326</v>
      </c>
    </row>
    <row r="7" spans="1:12" x14ac:dyDescent="0.25">
      <c r="A7" s="162" t="s">
        <v>103</v>
      </c>
      <c r="B7" s="162">
        <v>2</v>
      </c>
      <c r="C7" s="162">
        <v>2</v>
      </c>
      <c r="D7" s="162">
        <v>5</v>
      </c>
      <c r="E7" s="162">
        <v>6</v>
      </c>
      <c r="F7" s="162">
        <v>7</v>
      </c>
      <c r="H7" s="29">
        <f t="shared" si="0"/>
        <v>2666666.6666666665</v>
      </c>
      <c r="I7" s="33">
        <f>IF(B7&lt;=4,'Costos variables'!$B$4+'Costos variables'!$B$7,IF(B7&lt;=7,'Costos variables'!$B$4+'Costos variables'!$B$7+'Costos variables'!$B$3,IF(B7&lt;=10,'Costos variables'!$B$4+'Costos variables'!$B$7+'Costos variables'!$B$3+'Costos variables'!$B$5,IF(B7&gt;10,'Costos variables'!$B$4+'Costos variables'!$B$7+'Costos variables'!$B$3+'Costos variables'!$B$6+'Costos variables'!$B$5+'Costos variables'!$B$2))))</f>
        <v>611400</v>
      </c>
      <c r="J7" s="29">
        <f t="shared" si="1"/>
        <v>2055266.6666666665</v>
      </c>
    </row>
    <row r="8" spans="1:12" x14ac:dyDescent="0.25">
      <c r="A8" s="162" t="s">
        <v>104</v>
      </c>
      <c r="B8" s="162">
        <v>2</v>
      </c>
      <c r="C8" s="162">
        <v>2</v>
      </c>
      <c r="D8" s="162">
        <v>5</v>
      </c>
      <c r="E8" s="162">
        <v>6</v>
      </c>
      <c r="F8" s="162">
        <v>7</v>
      </c>
      <c r="G8" s="23"/>
      <c r="H8" s="29">
        <f t="shared" si="0"/>
        <v>2666666.6666666665</v>
      </c>
      <c r="I8" s="33">
        <f>IF(B8&lt;=4,'Costos variables'!$B$4+'Costos variables'!$B$7,IF(B8&lt;=7,'Costos variables'!$B$4+'Costos variables'!$B$7+'Costos variables'!$B$3,IF(B8&lt;=10,'Costos variables'!$B$4+'Costos variables'!$B$7+'Costos variables'!$B$3+'Costos variables'!$B$5,IF(B8&gt;10,'Costos variables'!$B$4+'Costos variables'!$B$7+'Costos variables'!$B$3+'Costos variables'!$B$6+'Costos variables'!$B$5+'Costos variables'!$B$2))))</f>
        <v>611400</v>
      </c>
      <c r="J8" s="29">
        <f t="shared" si="1"/>
        <v>2055266.6666666665</v>
      </c>
    </row>
    <row r="9" spans="1:12" x14ac:dyDescent="0.25">
      <c r="A9" s="163" t="s">
        <v>105</v>
      </c>
      <c r="B9" s="163">
        <v>1</v>
      </c>
      <c r="C9" s="163">
        <v>1</v>
      </c>
      <c r="D9" s="163">
        <v>4</v>
      </c>
      <c r="E9" s="163">
        <v>6</v>
      </c>
      <c r="F9" s="163">
        <v>6</v>
      </c>
      <c r="H9" s="29">
        <f t="shared" si="0"/>
        <v>1333333.3333333333</v>
      </c>
      <c r="I9" s="33">
        <f>IF(B9&lt;=4,'Costos variables'!$B$4+'Costos variables'!$B$7,IF(B9&lt;=7,'Costos variables'!$B$4+'Costos variables'!$B$7+'Costos variables'!$B$3,IF(B9&lt;=10,'Costos variables'!$B$4+'Costos variables'!$B$7+'Costos variables'!$B$3+'Costos variables'!$B$5,IF(B9&gt;10,'Costos variables'!$B$4+'Costos variables'!$B$7+'Costos variables'!$B$3+'Costos variables'!$B$6+'Costos variables'!$B$5+'Costos variables'!$B$2))))</f>
        <v>611400</v>
      </c>
      <c r="J9" s="29">
        <f t="shared" si="1"/>
        <v>721933.33333333326</v>
      </c>
    </row>
    <row r="10" spans="1:12" x14ac:dyDescent="0.25">
      <c r="A10" s="163" t="s">
        <v>106</v>
      </c>
      <c r="B10" s="163">
        <v>1</v>
      </c>
      <c r="C10" s="163">
        <v>1</v>
      </c>
      <c r="D10" s="163">
        <v>5</v>
      </c>
      <c r="E10" s="163">
        <v>6</v>
      </c>
      <c r="F10" s="163">
        <v>6</v>
      </c>
      <c r="H10" s="29">
        <f t="shared" si="0"/>
        <v>1333333.3333333333</v>
      </c>
      <c r="I10" s="33">
        <f>IF(B10&lt;=4,'Costos variables'!$B$4+'Costos variables'!$B$7,IF(B10&lt;=7,'Costos variables'!$B$4+'Costos variables'!$B$7+'Costos variables'!$B$3,IF(B10&lt;=10,'Costos variables'!$B$4+'Costos variables'!$B$7+'Costos variables'!$B$3+'Costos variables'!$B$5,IF(B10&gt;10,'Costos variables'!$B$4+'Costos variables'!$B$7+'Costos variables'!$B$3+'Costos variables'!$B$6+'Costos variables'!$B$5+'Costos variables'!$B$2))))</f>
        <v>611400</v>
      </c>
      <c r="J10" s="29">
        <f t="shared" si="1"/>
        <v>721933.33333333326</v>
      </c>
    </row>
    <row r="11" spans="1:12" x14ac:dyDescent="0.25">
      <c r="A11" s="163" t="s">
        <v>107</v>
      </c>
      <c r="B11" s="163">
        <v>1</v>
      </c>
      <c r="C11" s="163">
        <v>2</v>
      </c>
      <c r="D11" s="163">
        <v>5</v>
      </c>
      <c r="E11" s="163">
        <v>6</v>
      </c>
      <c r="F11" s="163">
        <v>4</v>
      </c>
      <c r="H11" s="29">
        <f t="shared" si="0"/>
        <v>1333333.3333333333</v>
      </c>
      <c r="I11" s="33">
        <f>IF(B11&lt;=4,'Costos variables'!$B$4+'Costos variables'!$B$7,IF(B11&lt;=7,'Costos variables'!$B$4+'Costos variables'!$B$7+'Costos variables'!$B$3,IF(B11&lt;=10,'Costos variables'!$B$4+'Costos variables'!$B$7+'Costos variables'!$B$3+'Costos variables'!$B$5,IF(B11&gt;10,'Costos variables'!$B$4+'Costos variables'!$B$7+'Costos variables'!$B$3+'Costos variables'!$B$6+'Costos variables'!$B$5+'Costos variables'!$B$2))))</f>
        <v>611400</v>
      </c>
      <c r="J11" s="29">
        <f t="shared" si="1"/>
        <v>721933.33333333326</v>
      </c>
    </row>
    <row r="12" spans="1:12" x14ac:dyDescent="0.25">
      <c r="A12" s="163" t="s">
        <v>108</v>
      </c>
      <c r="B12" s="163">
        <v>2</v>
      </c>
      <c r="C12" s="163">
        <v>2</v>
      </c>
      <c r="D12" s="163">
        <v>5</v>
      </c>
      <c r="E12" s="163">
        <v>6</v>
      </c>
      <c r="F12" s="163">
        <v>4</v>
      </c>
      <c r="H12" s="29">
        <f t="shared" si="0"/>
        <v>2666666.6666666665</v>
      </c>
      <c r="I12" s="33">
        <f>IF(B12&lt;=4,'Costos variables'!$B$4+'Costos variables'!$B$7,IF(B12&lt;=7,'Costos variables'!$B$4+'Costos variables'!$B$7+'Costos variables'!$B$3,IF(B12&lt;=10,'Costos variables'!$B$4+'Costos variables'!$B$7+'Costos variables'!$B$3+'Costos variables'!$B$5,IF(B12&gt;10,'Costos variables'!$B$4+'Costos variables'!$B$7+'Costos variables'!$B$3+'Costos variables'!$B$6+'Costos variables'!$B$5+'Costos variables'!$B$2))))</f>
        <v>611400</v>
      </c>
      <c r="J12" s="29">
        <f t="shared" si="1"/>
        <v>2055266.6666666665</v>
      </c>
    </row>
    <row r="13" spans="1:12" x14ac:dyDescent="0.25">
      <c r="A13" s="163" t="s">
        <v>109</v>
      </c>
      <c r="B13" s="163">
        <v>2</v>
      </c>
      <c r="C13" s="163">
        <v>5</v>
      </c>
      <c r="D13" s="163">
        <v>5</v>
      </c>
      <c r="E13" s="163">
        <v>6</v>
      </c>
      <c r="F13" s="163">
        <v>4</v>
      </c>
      <c r="H13" s="29">
        <f t="shared" si="0"/>
        <v>2666666.6666666665</v>
      </c>
      <c r="I13" s="33">
        <f>IF(B13&lt;=4,'Costos variables'!$B$4+'Costos variables'!$B$7,IF(B13&lt;=7,'Costos variables'!$B$4+'Costos variables'!$B$7+'Costos variables'!$B$3,IF(B13&lt;=10,'Costos variables'!$B$4+'Costos variables'!$B$7+'Costos variables'!$B$3+'Costos variables'!$B$5,IF(B13&gt;10,'Costos variables'!$B$4+'Costos variables'!$B$7+'Costos variables'!$B$3+'Costos variables'!$B$6+'Costos variables'!$B$5+'Costos variables'!$B$2))))</f>
        <v>611400</v>
      </c>
      <c r="J13" s="29">
        <f t="shared" si="1"/>
        <v>2055266.6666666665</v>
      </c>
      <c r="K13" s="23"/>
    </row>
    <row r="14" spans="1:12" x14ac:dyDescent="0.25">
      <c r="A14" s="163" t="s">
        <v>110</v>
      </c>
      <c r="B14" s="163">
        <v>2</v>
      </c>
      <c r="C14" s="163">
        <v>6</v>
      </c>
      <c r="D14" s="163">
        <v>5</v>
      </c>
      <c r="E14" s="163">
        <v>6</v>
      </c>
      <c r="F14" s="163">
        <v>4</v>
      </c>
      <c r="H14" s="29">
        <f t="shared" si="0"/>
        <v>2666666.6666666665</v>
      </c>
      <c r="I14" s="33">
        <f>IF(B14&lt;=4,'Costos variables'!$B$4+'Costos variables'!$B$7,IF(B14&lt;=7,'Costos variables'!$B$4+'Costos variables'!$B$7+'Costos variables'!$B$3,IF(B14&lt;=10,'Costos variables'!$B$4+'Costos variables'!$B$7+'Costos variables'!$B$3+'Costos variables'!$B$5,IF(B14&gt;10,'Costos variables'!$B$4+'Costos variables'!$B$7+'Costos variables'!$B$3+'Costos variables'!$B$6+'Costos variables'!$B$5+'Costos variables'!$B$2))))</f>
        <v>611400</v>
      </c>
      <c r="J14" s="29">
        <f t="shared" si="1"/>
        <v>2055266.6666666665</v>
      </c>
      <c r="K14" s="23">
        <f>SUM(H3:H14)</f>
        <v>22666666.666666672</v>
      </c>
      <c r="L14" s="23">
        <f>SUM(I3:I14)</f>
        <v>7336800</v>
      </c>
    </row>
    <row r="15" spans="1:12" x14ac:dyDescent="0.25">
      <c r="A15" s="208"/>
      <c r="B15" s="153" t="s">
        <v>181</v>
      </c>
      <c r="C15" s="153" t="s">
        <v>181</v>
      </c>
      <c r="D15" s="153" t="s">
        <v>181</v>
      </c>
      <c r="E15" s="153" t="s">
        <v>181</v>
      </c>
      <c r="F15" s="153" t="s">
        <v>181</v>
      </c>
      <c r="H15" s="1" t="s">
        <v>90</v>
      </c>
      <c r="I15" s="1" t="s">
        <v>91</v>
      </c>
      <c r="J15" s="1" t="s">
        <v>92</v>
      </c>
      <c r="K15" s="23">
        <f>+K14/G3</f>
        <v>17.000000000000004</v>
      </c>
    </row>
    <row r="16" spans="1:12" x14ac:dyDescent="0.25">
      <c r="A16" s="223"/>
      <c r="B16" s="153" t="s">
        <v>93</v>
      </c>
      <c r="C16" s="153" t="s">
        <v>94</v>
      </c>
      <c r="D16" s="153" t="s">
        <v>95</v>
      </c>
      <c r="E16" s="153" t="s">
        <v>96</v>
      </c>
      <c r="F16" s="153" t="s">
        <v>97</v>
      </c>
      <c r="H16" s="29">
        <f t="shared" ref="H16:H27" si="2">$G$3*C3</f>
        <v>2666666.6666666665</v>
      </c>
      <c r="I16" s="33">
        <f>IF(C3&lt;=4,'Costos variables'!$B$4+'Costos variables'!$B$7,IF(C3&lt;=7,'Costos variables'!$B$4+'Costos variables'!$B$7+'Costos variables'!$B$3,IF(C3&lt;=10,'Costos variables'!$B$4+'Costos variables'!$B$7+'Costos variables'!$B$3+'Costos variables'!$B$5,IF(C3&gt;10,'Costos variables'!$B$4+'Costos variables'!$B$7+'Costos variables'!$B$3+'Costos variables'!$B$6+'Costos variables'!$B$5+'Costos variables'!$B$2))))</f>
        <v>611400</v>
      </c>
      <c r="J16" s="29">
        <f t="shared" si="1"/>
        <v>2055266.6666666665</v>
      </c>
      <c r="K16" s="43">
        <f>K15/6</f>
        <v>2.8333333333333339</v>
      </c>
    </row>
    <row r="17" spans="1:13" x14ac:dyDescent="0.25">
      <c r="A17" s="223"/>
      <c r="B17" s="164">
        <f t="shared" ref="B17:B28" si="3">(H3-I3)/H3</f>
        <v>0.54144999999999999</v>
      </c>
      <c r="C17" s="164">
        <f t="shared" ref="C17:C28" si="4">(H16-I16)/H16</f>
        <v>0.77072499999999999</v>
      </c>
      <c r="D17" s="164">
        <f t="shared" ref="D17:D28" si="5">(H29-I29)/H29</f>
        <v>0.60409000000000002</v>
      </c>
      <c r="E17" s="164">
        <f t="shared" ref="E17:E28" si="6">(H42-I42)/H42</f>
        <v>0.60409000000000002</v>
      </c>
      <c r="F17" s="164">
        <f t="shared" ref="F17:F28" si="7">(H55-I55)/H55</f>
        <v>0.67007499999999998</v>
      </c>
      <c r="H17" s="29">
        <f t="shared" si="2"/>
        <v>2666666.6666666665</v>
      </c>
      <c r="I17" s="33">
        <f>IF(C4&lt;=4,'Costos variables'!$B$4+'Costos variables'!$B$7,IF(C4&lt;=7,'Costos variables'!$B$4+'Costos variables'!$B$7+'Costos variables'!$B$3,IF(C4&lt;=10,'Costos variables'!$B$4+'Costos variables'!$B$7+'Costos variables'!$B$3+'Costos variables'!$B$5,IF(C4&gt;10,'Costos variables'!$B$4+'Costos variables'!$B$7+'Costos variables'!$B$3+'Costos variables'!$B$6+'Costos variables'!$B$5+'Costos variables'!$B$2))))</f>
        <v>611400</v>
      </c>
      <c r="J17" s="29">
        <f t="shared" si="1"/>
        <v>2055266.6666666665</v>
      </c>
    </row>
    <row r="18" spans="1:13" x14ac:dyDescent="0.25">
      <c r="A18" s="223"/>
      <c r="B18" s="164">
        <f t="shared" si="3"/>
        <v>0.54144999999999999</v>
      </c>
      <c r="C18" s="164">
        <f t="shared" si="4"/>
        <v>0.77072499999999999</v>
      </c>
      <c r="D18" s="164">
        <f t="shared" si="5"/>
        <v>0.60409000000000002</v>
      </c>
      <c r="E18" s="164">
        <f t="shared" si="6"/>
        <v>0.60409000000000002</v>
      </c>
      <c r="F18" s="164">
        <f t="shared" si="7"/>
        <v>0.67007499999999998</v>
      </c>
      <c r="H18" s="29">
        <f t="shared" si="2"/>
        <v>2666666.6666666665</v>
      </c>
      <c r="I18" s="33">
        <f>IF(C5&lt;=4,'Costos variables'!$B$4+'Costos variables'!$B$7,IF(C5&lt;=7,'Costos variables'!$B$4+'Costos variables'!$B$7+'Costos variables'!$B$3,IF(C5&lt;=10,'Costos variables'!$B$4+'Costos variables'!$B$7+'Costos variables'!$B$3+'Costos variables'!$B$5,IF(C5&gt;10,'Costos variables'!$B$4+'Costos variables'!$B$7+'Costos variables'!$B$3+'Costos variables'!$B$6+'Costos variables'!$B$5+'Costos variables'!$B$2))))</f>
        <v>611400</v>
      </c>
      <c r="J18" s="29">
        <f t="shared" si="1"/>
        <v>2055266.6666666665</v>
      </c>
    </row>
    <row r="19" spans="1:13" x14ac:dyDescent="0.25">
      <c r="A19" s="223"/>
      <c r="B19" s="164">
        <f t="shared" si="3"/>
        <v>0.54144999999999999</v>
      </c>
      <c r="C19" s="164">
        <f t="shared" si="4"/>
        <v>0.77072499999999999</v>
      </c>
      <c r="D19" s="164">
        <f t="shared" si="5"/>
        <v>0.60409000000000002</v>
      </c>
      <c r="E19" s="164">
        <f t="shared" si="6"/>
        <v>0.60409000000000002</v>
      </c>
      <c r="F19" s="164">
        <f t="shared" si="7"/>
        <v>0.71720714285714282</v>
      </c>
      <c r="H19" s="29">
        <f t="shared" si="2"/>
        <v>2666666.6666666665</v>
      </c>
      <c r="I19" s="33">
        <f>IF(C6&lt;=4,'Costos variables'!$B$4+'Costos variables'!$B$7,IF(C6&lt;=7,'Costos variables'!$B$4+'Costos variables'!$B$7+'Costos variables'!$B$3,IF(C6&lt;=10,'Costos variables'!$B$4+'Costos variables'!$B$7+'Costos variables'!$B$3+'Costos variables'!$B$5,IF(C6&gt;10,'Costos variables'!$B$4+'Costos variables'!$B$7+'Costos variables'!$B$3+'Costos variables'!$B$6+'Costos variables'!$B$5+'Costos variables'!$B$2))))</f>
        <v>611400</v>
      </c>
      <c r="J19" s="29">
        <f t="shared" si="1"/>
        <v>2055266.6666666665</v>
      </c>
      <c r="M19" s="23"/>
    </row>
    <row r="20" spans="1:13" x14ac:dyDescent="0.25">
      <c r="A20" s="223"/>
      <c r="B20" s="164">
        <f t="shared" si="3"/>
        <v>0.54144999999999999</v>
      </c>
      <c r="C20" s="164">
        <f t="shared" si="4"/>
        <v>0.77072499999999999</v>
      </c>
      <c r="D20" s="164">
        <f t="shared" si="5"/>
        <v>0.60409000000000002</v>
      </c>
      <c r="E20" s="164">
        <f t="shared" si="6"/>
        <v>0.60409000000000002</v>
      </c>
      <c r="F20" s="164">
        <f t="shared" si="7"/>
        <v>0.71720714285714282</v>
      </c>
      <c r="G20" s="143"/>
      <c r="H20" s="29">
        <f t="shared" si="2"/>
        <v>2666666.6666666665</v>
      </c>
      <c r="I20" s="33">
        <f>IF(C7&lt;=4,'Costos variables'!$B$4+'Costos variables'!$B$7,IF(C7&lt;=7,'Costos variables'!$B$4+'Costos variables'!$B$7+'Costos variables'!$B$3,IF(C7&lt;=10,'Costos variables'!$B$4+'Costos variables'!$B$7+'Costos variables'!$B$3+'Costos variables'!$B$5,IF(C7&gt;10,'Costos variables'!$B$4+'Costos variables'!$B$7+'Costos variables'!$B$3+'Costos variables'!$B$6+'Costos variables'!$B$5+'Costos variables'!$B$2))))</f>
        <v>611400</v>
      </c>
      <c r="J20" s="29">
        <f t="shared" si="1"/>
        <v>2055266.6666666665</v>
      </c>
    </row>
    <row r="21" spans="1:13" x14ac:dyDescent="0.25">
      <c r="A21" s="223"/>
      <c r="B21" s="164">
        <f t="shared" si="3"/>
        <v>0.77072499999999999</v>
      </c>
      <c r="C21" s="164">
        <f t="shared" si="4"/>
        <v>0.77072499999999999</v>
      </c>
      <c r="D21" s="164">
        <f t="shared" si="5"/>
        <v>0.60409000000000002</v>
      </c>
      <c r="E21" s="164">
        <f t="shared" si="6"/>
        <v>0.67007499999999998</v>
      </c>
      <c r="F21" s="164">
        <f t="shared" si="7"/>
        <v>0.71720714285714282</v>
      </c>
      <c r="G21" s="23"/>
      <c r="H21" s="29">
        <f t="shared" si="2"/>
        <v>2666666.6666666665</v>
      </c>
      <c r="I21" s="33">
        <f>IF(C8&lt;=4,'Costos variables'!$B$4+'Costos variables'!$B$7,IF(C8&lt;=7,'Costos variables'!$B$4+'Costos variables'!$B$7+'Costos variables'!$B$3,IF(C8&lt;=10,'Costos variables'!$B$4+'Costos variables'!$B$7+'Costos variables'!$B$3+'Costos variables'!$B$5,IF(C8&gt;10,'Costos variables'!$B$4+'Costos variables'!$B$7+'Costos variables'!$B$3+'Costos variables'!$B$6+'Costos variables'!$B$5+'Costos variables'!$B$2))))</f>
        <v>611400</v>
      </c>
      <c r="J21" s="29">
        <f t="shared" si="1"/>
        <v>2055266.6666666665</v>
      </c>
    </row>
    <row r="22" spans="1:13" x14ac:dyDescent="0.25">
      <c r="A22" s="223"/>
      <c r="B22" s="164">
        <f t="shared" si="3"/>
        <v>0.77072499999999999</v>
      </c>
      <c r="C22" s="164">
        <f t="shared" si="4"/>
        <v>0.77072499999999999</v>
      </c>
      <c r="D22" s="164">
        <f t="shared" si="5"/>
        <v>0.60409000000000002</v>
      </c>
      <c r="E22" s="164">
        <f t="shared" si="6"/>
        <v>0.67007499999999998</v>
      </c>
      <c r="F22" s="164">
        <f t="shared" si="7"/>
        <v>0.71720714285714282</v>
      </c>
      <c r="H22" s="29">
        <f t="shared" si="2"/>
        <v>1333333.3333333333</v>
      </c>
      <c r="I22" s="33">
        <f>IF(C9&lt;=4,'Costos variables'!$B$4+'Costos variables'!$B$7,IF(C9&lt;=7,'Costos variables'!$B$4+'Costos variables'!$B$7+'Costos variables'!$B$3,IF(C9&lt;=10,'Costos variables'!$B$4+'Costos variables'!$B$7+'Costos variables'!$B$3+'Costos variables'!$B$5,IF(C9&gt;10,'Costos variables'!$B$4+'Costos variables'!$B$7+'Costos variables'!$B$3+'Costos variables'!$B$6+'Costos variables'!$B$5+'Costos variables'!$B$2))))</f>
        <v>611400</v>
      </c>
      <c r="J22" s="29">
        <f t="shared" si="1"/>
        <v>721933.33333333326</v>
      </c>
    </row>
    <row r="23" spans="1:13" x14ac:dyDescent="0.25">
      <c r="A23" s="223"/>
      <c r="B23" s="164">
        <f t="shared" si="3"/>
        <v>0.54144999999999999</v>
      </c>
      <c r="C23" s="164">
        <f t="shared" si="4"/>
        <v>0.54144999999999999</v>
      </c>
      <c r="D23" s="164">
        <f t="shared" si="5"/>
        <v>0.88536249999999994</v>
      </c>
      <c r="E23" s="164">
        <f t="shared" si="6"/>
        <v>0.67007499999999998</v>
      </c>
      <c r="F23" s="164">
        <f t="shared" si="7"/>
        <v>0.67007499999999998</v>
      </c>
      <c r="H23" s="29">
        <f t="shared" si="2"/>
        <v>1333333.3333333333</v>
      </c>
      <c r="I23" s="33">
        <f>IF(C10&lt;=4,'Costos variables'!$B$4+'Costos variables'!$B$7,IF(C10&lt;=7,'Costos variables'!$B$4+'Costos variables'!$B$7+'Costos variables'!$B$3,IF(C10&lt;=10,'Costos variables'!$B$4+'Costos variables'!$B$7+'Costos variables'!$B$3+'Costos variables'!$B$5,IF(C10&gt;10,'Costos variables'!$B$4+'Costos variables'!$B$7+'Costos variables'!$B$3+'Costos variables'!$B$6+'Costos variables'!$B$5+'Costos variables'!$B$2))))</f>
        <v>611400</v>
      </c>
      <c r="J23" s="29">
        <f t="shared" si="1"/>
        <v>721933.33333333326</v>
      </c>
    </row>
    <row r="24" spans="1:13" x14ac:dyDescent="0.25">
      <c r="A24" s="223"/>
      <c r="B24" s="164">
        <f t="shared" si="3"/>
        <v>0.54144999999999999</v>
      </c>
      <c r="C24" s="164">
        <f t="shared" si="4"/>
        <v>0.54144999999999999</v>
      </c>
      <c r="D24" s="164">
        <f t="shared" si="5"/>
        <v>0.60409000000000002</v>
      </c>
      <c r="E24" s="164">
        <f t="shared" si="6"/>
        <v>0.67007499999999998</v>
      </c>
      <c r="F24" s="164">
        <f t="shared" si="7"/>
        <v>0.67007499999999998</v>
      </c>
      <c r="H24" s="29">
        <f t="shared" si="2"/>
        <v>2666666.6666666665</v>
      </c>
      <c r="I24" s="33">
        <f>IF(C11&lt;=4,'Costos variables'!$B$4+'Costos variables'!$B$7,IF(C11&lt;=7,'Costos variables'!$B$4+'Costos variables'!$B$7+'Costos variables'!$B$3,IF(C11&lt;=10,'Costos variables'!$B$4+'Costos variables'!$B$7+'Costos variables'!$B$3+'Costos variables'!$B$5,IF(C11&gt;10,'Costos variables'!$B$4+'Costos variables'!$B$7+'Costos variables'!$B$3+'Costos variables'!$B$6+'Costos variables'!$B$5+'Costos variables'!$B$2))))</f>
        <v>611400</v>
      </c>
      <c r="J24" s="29">
        <f t="shared" si="1"/>
        <v>2055266.6666666665</v>
      </c>
    </row>
    <row r="25" spans="1:13" x14ac:dyDescent="0.25">
      <c r="A25" s="223"/>
      <c r="B25" s="164">
        <f t="shared" si="3"/>
        <v>0.54144999999999999</v>
      </c>
      <c r="C25" s="164">
        <f t="shared" si="4"/>
        <v>0.77072499999999999</v>
      </c>
      <c r="D25" s="164">
        <f t="shared" si="5"/>
        <v>0.60409000000000002</v>
      </c>
      <c r="E25" s="164">
        <f t="shared" si="6"/>
        <v>0.67007499999999998</v>
      </c>
      <c r="F25" s="164">
        <f t="shared" si="7"/>
        <v>0.88536249999999994</v>
      </c>
      <c r="H25" s="29">
        <f t="shared" si="2"/>
        <v>2666666.6666666665</v>
      </c>
      <c r="I25" s="33">
        <f>IF(C12&lt;=4,'Costos variables'!$B$4+'Costos variables'!$B$7,IF(C12&lt;=7,'Costos variables'!$B$4+'Costos variables'!$B$7+'Costos variables'!$B$3,IF(C12&lt;=10,'Costos variables'!$B$4+'Costos variables'!$B$7+'Costos variables'!$B$3+'Costos variables'!$B$5,IF(C12&gt;10,'Costos variables'!$B$4+'Costos variables'!$B$7+'Costos variables'!$B$3+'Costos variables'!$B$6+'Costos variables'!$B$5+'Costos variables'!$B$2))))</f>
        <v>611400</v>
      </c>
      <c r="J25" s="29">
        <f t="shared" si="1"/>
        <v>2055266.6666666665</v>
      </c>
    </row>
    <row r="26" spans="1:13" x14ac:dyDescent="0.25">
      <c r="A26" s="223"/>
      <c r="B26" s="164">
        <f t="shared" si="3"/>
        <v>0.77072499999999999</v>
      </c>
      <c r="C26" s="164">
        <f t="shared" si="4"/>
        <v>0.77072499999999999</v>
      </c>
      <c r="D26" s="164">
        <f t="shared" si="5"/>
        <v>0.60409000000000002</v>
      </c>
      <c r="E26" s="164">
        <f t="shared" si="6"/>
        <v>0.67007499999999998</v>
      </c>
      <c r="F26" s="164">
        <f t="shared" si="7"/>
        <v>0.88536249999999994</v>
      </c>
      <c r="H26" s="29">
        <f t="shared" si="2"/>
        <v>6666666.666666666</v>
      </c>
      <c r="I26" s="33">
        <f>IF(C13&lt;=4,'Costos variables'!$B$4+'Costos variables'!$B$7,IF(C13&lt;=7,'Costos variables'!$B$4+'Costos variables'!$B$7+'Costos variables'!$B$3,IF(C13&lt;=10,'Costos variables'!$B$4+'Costos variables'!$B$7+'Costos variables'!$B$3+'Costos variables'!$B$5,IF(C13&gt;10,'Costos variables'!$B$4+'Costos variables'!$B$7+'Costos variables'!$B$3+'Costos variables'!$B$6+'Costos variables'!$B$5+'Costos variables'!$B$2))))</f>
        <v>2639400</v>
      </c>
      <c r="J26" s="29">
        <f t="shared" si="1"/>
        <v>4027266.666666666</v>
      </c>
    </row>
    <row r="27" spans="1:13" x14ac:dyDescent="0.25">
      <c r="A27" s="223"/>
      <c r="B27" s="164">
        <f t="shared" si="3"/>
        <v>0.77072499999999999</v>
      </c>
      <c r="C27" s="164">
        <f t="shared" si="4"/>
        <v>0.60409000000000002</v>
      </c>
      <c r="D27" s="164">
        <f t="shared" si="5"/>
        <v>0.60409000000000002</v>
      </c>
      <c r="E27" s="164">
        <f t="shared" si="6"/>
        <v>0.67007499999999998</v>
      </c>
      <c r="F27" s="164">
        <f t="shared" si="7"/>
        <v>0.88536249999999994</v>
      </c>
      <c r="H27" s="29">
        <f t="shared" si="2"/>
        <v>8000000</v>
      </c>
      <c r="I27" s="33">
        <f>IF(C14&lt;=4,'Costos variables'!$B$4+'Costos variables'!$B$7,IF(C14&lt;=7,'Costos variables'!$B$4+'Costos variables'!$B$7+'Costos variables'!$B$3,IF(C14&lt;=10,'Costos variables'!$B$4+'Costos variables'!$B$7+'Costos variables'!$B$3+'Costos variables'!$B$5,IF(C14&gt;10,'Costos variables'!$B$4+'Costos variables'!$B$7+'Costos variables'!$B$3+'Costos variables'!$B$6+'Costos variables'!$B$5+'Costos variables'!$B$2))))</f>
        <v>2639400</v>
      </c>
      <c r="J27" s="29">
        <f t="shared" si="1"/>
        <v>5360600</v>
      </c>
      <c r="K27" s="23">
        <f>SUM(H16:H27)</f>
        <v>38666666.666666664</v>
      </c>
      <c r="L27" s="23">
        <f>SUM(I16:I27)</f>
        <v>11392800</v>
      </c>
    </row>
    <row r="28" spans="1:13" x14ac:dyDescent="0.25">
      <c r="A28" s="223"/>
      <c r="B28" s="164">
        <f t="shared" si="3"/>
        <v>0.77072499999999999</v>
      </c>
      <c r="C28" s="164">
        <f t="shared" si="4"/>
        <v>0.67007499999999998</v>
      </c>
      <c r="D28" s="164">
        <f t="shared" si="5"/>
        <v>0.60409000000000002</v>
      </c>
      <c r="E28" s="164">
        <f t="shared" si="6"/>
        <v>0.67007499999999998</v>
      </c>
      <c r="F28" s="164">
        <f t="shared" si="7"/>
        <v>0.88536249999999994</v>
      </c>
      <c r="H28" s="1" t="s">
        <v>90</v>
      </c>
      <c r="I28" s="1" t="s">
        <v>91</v>
      </c>
      <c r="J28" s="1" t="s">
        <v>92</v>
      </c>
      <c r="K28" s="23">
        <f>+K27/G3</f>
        <v>29</v>
      </c>
    </row>
    <row r="29" spans="1:13" x14ac:dyDescent="0.25">
      <c r="H29" s="29">
        <f t="shared" ref="H29:H40" si="8">$G$3*D3</f>
        <v>6666666.666666666</v>
      </c>
      <c r="I29" s="29">
        <f>IF(D3&lt;=4,'Costos variables'!$B$4+'Costos variables'!$B$7,IF(D3&lt;=7,'Costos variables'!$B$4+'Costos variables'!$B$7+'Costos variables'!$B$3,IF(D3&lt;=10,'Costos variables'!$B$4+'Costos variables'!$B$7+'Costos variables'!$B$3+'Costos variables'!$B$5,IF(D3&gt;10,'Costos variables'!$B$4+'Costos variables'!$B$7+'Costos variables'!$B$3+'Costos variables'!$B$6+'Costos variables'!$B$5+'Costos variables'!$B$2))))</f>
        <v>2639400</v>
      </c>
      <c r="J29" s="29">
        <f t="shared" si="1"/>
        <v>4027266.666666666</v>
      </c>
      <c r="K29" s="43">
        <f>K28/6</f>
        <v>4.833333333333333</v>
      </c>
    </row>
    <row r="30" spans="1:13" x14ac:dyDescent="0.25">
      <c r="H30" s="29">
        <f t="shared" si="8"/>
        <v>6666666.666666666</v>
      </c>
      <c r="I30" s="29">
        <f>IF(D4&lt;=4,'Costos variables'!$B$4+'Costos variables'!$B$7,IF(D4&lt;=7,'Costos variables'!$B$4+'Costos variables'!$B$7+'Costos variables'!$B$3,IF(D4&lt;=10,'Costos variables'!$B$4+'Costos variables'!$B$7+'Costos variables'!$B$3+'Costos variables'!$B$5,IF(D4&gt;10,'Costos variables'!$B$4+'Costos variables'!$B$7+'Costos variables'!$B$3+'Costos variables'!$B$6+'Costos variables'!$B$5+'Costos variables'!$B$2))))</f>
        <v>2639400</v>
      </c>
      <c r="J30" s="29">
        <f t="shared" si="1"/>
        <v>4027266.666666666</v>
      </c>
    </row>
    <row r="31" spans="1:13" x14ac:dyDescent="0.25">
      <c r="H31" s="29">
        <f t="shared" si="8"/>
        <v>6666666.666666666</v>
      </c>
      <c r="I31" s="29">
        <f>IF(D5&lt;=4,'Costos variables'!$B$4+'Costos variables'!$B$7,IF(D5&lt;=7,'Costos variables'!$B$4+'Costos variables'!$B$7+'Costos variables'!$B$3,IF(D5&lt;=10,'Costos variables'!$B$4+'Costos variables'!$B$7+'Costos variables'!$B$3+'Costos variables'!$B$5,IF(D5&gt;10,'Costos variables'!$B$4+'Costos variables'!$B$7+'Costos variables'!$B$3+'Costos variables'!$B$6+'Costos variables'!$B$5+'Costos variables'!$B$2))))</f>
        <v>2639400</v>
      </c>
      <c r="J31" s="29">
        <f t="shared" si="1"/>
        <v>4027266.666666666</v>
      </c>
    </row>
    <row r="32" spans="1:13" x14ac:dyDescent="0.25">
      <c r="H32" s="29">
        <f t="shared" si="8"/>
        <v>6666666.666666666</v>
      </c>
      <c r="I32" s="29">
        <f>IF(D6&lt;=4,'Costos variables'!$B$4+'Costos variables'!$B$7,IF(D6&lt;=7,'Costos variables'!$B$4+'Costos variables'!$B$7+'Costos variables'!$B$3,IF(D6&lt;=10,'Costos variables'!$B$4+'Costos variables'!$B$7+'Costos variables'!$B$3+'Costos variables'!$B$5,IF(D6&gt;10,'Costos variables'!$B$4+'Costos variables'!$B$7+'Costos variables'!$B$3+'Costos variables'!$B$6+'Costos variables'!$B$5+'Costos variables'!$B$2))))</f>
        <v>2639400</v>
      </c>
      <c r="J32" s="29">
        <f t="shared" si="1"/>
        <v>4027266.666666666</v>
      </c>
    </row>
    <row r="33" spans="7:12" x14ac:dyDescent="0.25">
      <c r="H33" s="29">
        <f t="shared" si="8"/>
        <v>6666666.666666666</v>
      </c>
      <c r="I33" s="29">
        <f>IF(D7&lt;=4,'Costos variables'!$B$4+'Costos variables'!$B$7,IF(D7&lt;=7,'Costos variables'!$B$4+'Costos variables'!$B$7+'Costos variables'!$B$3,IF(D7&lt;=10,'Costos variables'!$B$4+'Costos variables'!$B$7+'Costos variables'!$B$3+'Costos variables'!$B$5,IF(D7&gt;10,'Costos variables'!$B$4+'Costos variables'!$B$7+'Costos variables'!$B$3+'Costos variables'!$B$6+'Costos variables'!$B$5+'Costos variables'!$B$2))))</f>
        <v>2639400</v>
      </c>
      <c r="J33" s="29">
        <f t="shared" si="1"/>
        <v>4027266.666666666</v>
      </c>
    </row>
    <row r="34" spans="7:12" x14ac:dyDescent="0.25">
      <c r="G34" s="23"/>
      <c r="H34" s="29">
        <f t="shared" si="8"/>
        <v>6666666.666666666</v>
      </c>
      <c r="I34" s="29">
        <f>IF(D8&lt;=4,'Costos variables'!$B$4+'Costos variables'!$B$7,IF(D8&lt;=7,'Costos variables'!$B$4+'Costos variables'!$B$7+'Costos variables'!$B$3,IF(D8&lt;=10,'Costos variables'!$B$4+'Costos variables'!$B$7+'Costos variables'!$B$3+'Costos variables'!$B$5,IF(D8&gt;10,'Costos variables'!$B$4+'Costos variables'!$B$7+'Costos variables'!$B$3+'Costos variables'!$B$6+'Costos variables'!$B$5+'Costos variables'!$B$2))))</f>
        <v>2639400</v>
      </c>
      <c r="J34" s="29">
        <f t="shared" si="1"/>
        <v>4027266.666666666</v>
      </c>
    </row>
    <row r="35" spans="7:12" x14ac:dyDescent="0.25">
      <c r="H35" s="29">
        <f t="shared" si="8"/>
        <v>5333333.333333333</v>
      </c>
      <c r="I35" s="29">
        <f>IF(D9&lt;=4,'Costos variables'!$B$4+'Costos variables'!$B$7,IF(D9&lt;=7,'Costos variables'!$B$4+'Costos variables'!$B$7+'Costos variables'!$B$3,IF(D9&lt;=10,'Costos variables'!$B$4+'Costos variables'!$B$7+'Costos variables'!$B$3+'Costos variables'!$B$5,IF(D9&gt;10,'Costos variables'!$B$4+'Costos variables'!$B$7+'Costos variables'!$B$3+'Costos variables'!$B$6+'Costos variables'!$B$5+'Costos variables'!$B$2))))</f>
        <v>611400</v>
      </c>
      <c r="J35" s="29">
        <f t="shared" si="1"/>
        <v>4721933.333333333</v>
      </c>
    </row>
    <row r="36" spans="7:12" x14ac:dyDescent="0.25">
      <c r="H36" s="29">
        <f t="shared" si="8"/>
        <v>6666666.666666666</v>
      </c>
      <c r="I36" s="29">
        <f>IF(D10&lt;=4,'Costos variables'!$B$4+'Costos variables'!$B$7,IF(D10&lt;=7,'Costos variables'!$B$4+'Costos variables'!$B$7+'Costos variables'!$B$3,IF(D10&lt;=10,'Costos variables'!$B$4+'Costos variables'!$B$7+'Costos variables'!$B$3+'Costos variables'!$B$5,IF(D10&gt;10,'Costos variables'!$B$4+'Costos variables'!$B$7+'Costos variables'!$B$3+'Costos variables'!$B$6+'Costos variables'!$B$5+'Costos variables'!$B$2))))</f>
        <v>2639400</v>
      </c>
      <c r="J36" s="29">
        <f t="shared" si="1"/>
        <v>4027266.666666666</v>
      </c>
    </row>
    <row r="37" spans="7:12" x14ac:dyDescent="0.25">
      <c r="H37" s="29">
        <f t="shared" si="8"/>
        <v>6666666.666666666</v>
      </c>
      <c r="I37" s="29">
        <f>IF(D11&lt;=4,'Costos variables'!$B$4+'Costos variables'!$B$7,IF(D11&lt;=7,'Costos variables'!$B$4+'Costos variables'!$B$7+'Costos variables'!$B$3,IF(D11&lt;=10,'Costos variables'!$B$4+'Costos variables'!$B$7+'Costos variables'!$B$3+'Costos variables'!$B$5,IF(D11&gt;10,'Costos variables'!$B$4+'Costos variables'!$B$7+'Costos variables'!$B$3+'Costos variables'!$B$6+'Costos variables'!$B$5+'Costos variables'!$B$2))))</f>
        <v>2639400</v>
      </c>
      <c r="J37" s="29">
        <f t="shared" si="1"/>
        <v>4027266.666666666</v>
      </c>
    </row>
    <row r="38" spans="7:12" x14ac:dyDescent="0.25">
      <c r="H38" s="29">
        <f t="shared" si="8"/>
        <v>6666666.666666666</v>
      </c>
      <c r="I38" s="29">
        <f>IF(D12&lt;=4,'Costos variables'!$B$4+'Costos variables'!$B$7,IF(D12&lt;=7,'Costos variables'!$B$4+'Costos variables'!$B$7+'Costos variables'!$B$3,IF(D12&lt;=10,'Costos variables'!$B$4+'Costos variables'!$B$7+'Costos variables'!$B$3+'Costos variables'!$B$5,IF(D12&gt;10,'Costos variables'!$B$4+'Costos variables'!$B$7+'Costos variables'!$B$3+'Costos variables'!$B$6+'Costos variables'!$B$5+'Costos variables'!$B$2))))</f>
        <v>2639400</v>
      </c>
      <c r="J38" s="29">
        <f t="shared" si="1"/>
        <v>4027266.666666666</v>
      </c>
    </row>
    <row r="39" spans="7:12" x14ac:dyDescent="0.25">
      <c r="H39" s="29">
        <f t="shared" si="8"/>
        <v>6666666.666666666</v>
      </c>
      <c r="I39" s="29">
        <f>IF(D13&lt;=4,'Costos variables'!$B$4+'Costos variables'!$B$7,IF(D13&lt;=7,'Costos variables'!$B$4+'Costos variables'!$B$7+'Costos variables'!$B$3,IF(D13&lt;=10,'Costos variables'!$B$4+'Costos variables'!$B$7+'Costos variables'!$B$3+'Costos variables'!$B$5,IF(D13&gt;10,'Costos variables'!$B$4+'Costos variables'!$B$7+'Costos variables'!$B$3+'Costos variables'!$B$6+'Costos variables'!$B$5+'Costos variables'!$B$2))))</f>
        <v>2639400</v>
      </c>
      <c r="J39" s="29">
        <f t="shared" si="1"/>
        <v>4027266.666666666</v>
      </c>
    </row>
    <row r="40" spans="7:12" x14ac:dyDescent="0.25">
      <c r="H40" s="29">
        <f t="shared" si="8"/>
        <v>6666666.666666666</v>
      </c>
      <c r="I40" s="29">
        <f>IF(D14&lt;=4,'Costos variables'!$B$4+'Costos variables'!$B$7,IF(D14&lt;=7,'Costos variables'!$B$4+'Costos variables'!$B$7+'Costos variables'!$B$3,IF(D14&lt;=10,'Costos variables'!$B$4+'Costos variables'!$B$7+'Costos variables'!$B$3+'Costos variables'!$B$5,IF(D14&gt;10,'Costos variables'!$B$4+'Costos variables'!$B$7+'Costos variables'!$B$3+'Costos variables'!$B$6+'Costos variables'!$B$5+'Costos variables'!$B$2))))</f>
        <v>2639400</v>
      </c>
      <c r="J40" s="29">
        <f t="shared" si="1"/>
        <v>4027266.666666666</v>
      </c>
      <c r="K40" s="23">
        <f>SUM(H29:H40)</f>
        <v>78666666.666666657</v>
      </c>
      <c r="L40" s="23">
        <f>SUM(I29:I40)</f>
        <v>29644800</v>
      </c>
    </row>
    <row r="41" spans="7:12" x14ac:dyDescent="0.25">
      <c r="H41" s="1" t="s">
        <v>90</v>
      </c>
      <c r="I41" s="1" t="s">
        <v>91</v>
      </c>
      <c r="J41" s="1" t="s">
        <v>92</v>
      </c>
      <c r="K41">
        <f>K40/G3</f>
        <v>58.999999999999993</v>
      </c>
    </row>
    <row r="42" spans="7:12" x14ac:dyDescent="0.25">
      <c r="H42" s="29">
        <f t="shared" ref="H42:H53" si="9">$G$3*E3</f>
        <v>6666666.666666666</v>
      </c>
      <c r="I42" s="29">
        <f>IF(E3&lt;=4,'Costos variables'!$B$4+'Costos variables'!$B$7,IF(E3&lt;=7,'Costos variables'!$B$4+'Costos variables'!$B$7+'Costos variables'!$B$3,IF(E3&lt;=10,'Costos variables'!$B$4+'Costos variables'!$B$7+'Costos variables'!$B$3+'Costos variables'!$B$5,IF(E3&gt;10,'Costos variables'!$B$4+'Costos variables'!$B$7+'Costos variables'!$B$3+'Costos variables'!$B$6+'Costos variables'!$B$5+'Costos variables'!$B$2))))</f>
        <v>2639400</v>
      </c>
      <c r="J42" s="29">
        <f>H42-I42</f>
        <v>4027266.666666666</v>
      </c>
      <c r="K42">
        <f>K41/6</f>
        <v>9.8333333333333321</v>
      </c>
    </row>
    <row r="43" spans="7:12" x14ac:dyDescent="0.25">
      <c r="H43" s="29">
        <f t="shared" si="9"/>
        <v>6666666.666666666</v>
      </c>
      <c r="I43" s="29">
        <f>IF(E4&lt;=4,'Costos variables'!$B$4+'Costos variables'!$B$7,IF(E4&lt;=7,'Costos variables'!$B$4+'Costos variables'!$B$7+'Costos variables'!$B$3,IF(E4&lt;=10,'Costos variables'!$B$4+'Costos variables'!$B$7+'Costos variables'!$B$3+'Costos variables'!$B$5,IF(E4&gt;10,'Costos variables'!$B$4+'Costos variables'!$B$7+'Costos variables'!$B$3+'Costos variables'!$B$6+'Costos variables'!$B$5+'Costos variables'!$B$2))))</f>
        <v>2639400</v>
      </c>
      <c r="J43" s="29">
        <f t="shared" ref="J43:J53" si="10">H43-I43</f>
        <v>4027266.666666666</v>
      </c>
    </row>
    <row r="44" spans="7:12" x14ac:dyDescent="0.25">
      <c r="H44" s="29">
        <f t="shared" si="9"/>
        <v>6666666.666666666</v>
      </c>
      <c r="I44" s="29">
        <f>IF(E5&lt;=4,'Costos variables'!$B$4+'Costos variables'!$B$7,IF(E5&lt;=7,'Costos variables'!$B$4+'Costos variables'!$B$7+'Costos variables'!$B$3,IF(E5&lt;=10,'Costos variables'!$B$4+'Costos variables'!$B$7+'Costos variables'!$B$3+'Costos variables'!$B$5,IF(E5&gt;10,'Costos variables'!$B$4+'Costos variables'!$B$7+'Costos variables'!$B$3+'Costos variables'!$B$6+'Costos variables'!$B$5+'Costos variables'!$B$2))))</f>
        <v>2639400</v>
      </c>
      <c r="J44" s="29">
        <f t="shared" si="10"/>
        <v>4027266.666666666</v>
      </c>
    </row>
    <row r="45" spans="7:12" x14ac:dyDescent="0.25">
      <c r="H45" s="29">
        <f t="shared" si="9"/>
        <v>6666666.666666666</v>
      </c>
      <c r="I45" s="29">
        <f>IF(E6&lt;=4,'Costos variables'!$B$4+'Costos variables'!$B$7,IF(E6&lt;=7,'Costos variables'!$B$4+'Costos variables'!$B$7+'Costos variables'!$B$3,IF(E6&lt;=10,'Costos variables'!$B$4+'Costos variables'!$B$7+'Costos variables'!$B$3+'Costos variables'!$B$5,IF(E6&gt;10,'Costos variables'!$B$4+'Costos variables'!$B$7+'Costos variables'!$B$3+'Costos variables'!$B$6+'Costos variables'!$B$5+'Costos variables'!$B$2))))</f>
        <v>2639400</v>
      </c>
      <c r="J45" s="29">
        <f t="shared" si="10"/>
        <v>4027266.666666666</v>
      </c>
    </row>
    <row r="46" spans="7:12" x14ac:dyDescent="0.25">
      <c r="H46" s="29">
        <f t="shared" si="9"/>
        <v>8000000</v>
      </c>
      <c r="I46" s="29">
        <f>IF(E7&lt;=4,'Costos variables'!$B$4+'Costos variables'!$B$7,IF(E7&lt;=7,'Costos variables'!$B$4+'Costos variables'!$B$7+'Costos variables'!$B$3,IF(E7&lt;=10,'Costos variables'!$B$4+'Costos variables'!$B$7+'Costos variables'!$B$3+'Costos variables'!$B$5,IF(E7&gt;10,'Costos variables'!$B$4+'Costos variables'!$B$7+'Costos variables'!$B$3+'Costos variables'!$B$6+'Costos variables'!$B$5+'Costos variables'!$B$2))))</f>
        <v>2639400</v>
      </c>
      <c r="J46" s="29">
        <f t="shared" si="10"/>
        <v>5360600</v>
      </c>
    </row>
    <row r="47" spans="7:12" x14ac:dyDescent="0.25">
      <c r="H47" s="29">
        <f t="shared" si="9"/>
        <v>8000000</v>
      </c>
      <c r="I47" s="29">
        <f>IF(E8&lt;=4,'Costos variables'!$B$4+'Costos variables'!$B$7,IF(E8&lt;=7,'Costos variables'!$B$4+'Costos variables'!$B$7+'Costos variables'!$B$3,IF(E8&lt;=10,'Costos variables'!$B$4+'Costos variables'!$B$7+'Costos variables'!$B$3+'Costos variables'!$B$5,IF(E8&gt;10,'Costos variables'!$B$4+'Costos variables'!$B$7+'Costos variables'!$B$3+'Costos variables'!$B$6+'Costos variables'!$B$5+'Costos variables'!$B$2))))</f>
        <v>2639400</v>
      </c>
      <c r="J47" s="29">
        <f t="shared" si="10"/>
        <v>5360600</v>
      </c>
    </row>
    <row r="48" spans="7:12" x14ac:dyDescent="0.25">
      <c r="H48" s="29">
        <f t="shared" si="9"/>
        <v>8000000</v>
      </c>
      <c r="I48" s="29">
        <f>IF(E9&lt;=4,'Costos variables'!$B$4+'Costos variables'!$B$7,IF(E9&lt;=7,'Costos variables'!$B$4+'Costos variables'!$B$7+'Costos variables'!$B$3,IF(E9&lt;=10,'Costos variables'!$B$4+'Costos variables'!$B$7+'Costos variables'!$B$3+'Costos variables'!$B$5,IF(E9&gt;10,'Costos variables'!$B$4+'Costos variables'!$B$7+'Costos variables'!$B$3+'Costos variables'!$B$6+'Costos variables'!$B$5+'Costos variables'!$B$2))))</f>
        <v>2639400</v>
      </c>
      <c r="J48" s="29">
        <f t="shared" si="10"/>
        <v>5360600</v>
      </c>
    </row>
    <row r="49" spans="8:12" x14ac:dyDescent="0.25">
      <c r="H49" s="29">
        <f t="shared" si="9"/>
        <v>8000000</v>
      </c>
      <c r="I49" s="29">
        <f>IF(E10&lt;=4,'Costos variables'!$B$4+'Costos variables'!$B$7,IF(E10&lt;=7,'Costos variables'!$B$4+'Costos variables'!$B$7+'Costos variables'!$B$3,IF(E10&lt;=10,'Costos variables'!$B$4+'Costos variables'!$B$7+'Costos variables'!$B$3+'Costos variables'!$B$5,IF(E10&gt;10,'Costos variables'!$B$4+'Costos variables'!$B$7+'Costos variables'!$B$3+'Costos variables'!$B$6+'Costos variables'!$B$5+'Costos variables'!$B$2))))</f>
        <v>2639400</v>
      </c>
      <c r="J49" s="29">
        <f t="shared" si="10"/>
        <v>5360600</v>
      </c>
    </row>
    <row r="50" spans="8:12" x14ac:dyDescent="0.25">
      <c r="H50" s="29">
        <f t="shared" si="9"/>
        <v>8000000</v>
      </c>
      <c r="I50" s="29">
        <f>IF(E11&lt;=4,'Costos variables'!$B$4+'Costos variables'!$B$7,IF(E11&lt;=7,'Costos variables'!$B$4+'Costos variables'!$B$7+'Costos variables'!$B$3,IF(E11&lt;=10,'Costos variables'!$B$4+'Costos variables'!$B$7+'Costos variables'!$B$3+'Costos variables'!$B$5,IF(E11&gt;10,'Costos variables'!$B$4+'Costos variables'!$B$7+'Costos variables'!$B$3+'Costos variables'!$B$6+'Costos variables'!$B$5+'Costos variables'!$B$2))))</f>
        <v>2639400</v>
      </c>
      <c r="J50" s="29">
        <f t="shared" si="10"/>
        <v>5360600</v>
      </c>
    </row>
    <row r="51" spans="8:12" x14ac:dyDescent="0.25">
      <c r="H51" s="29">
        <f t="shared" si="9"/>
        <v>8000000</v>
      </c>
      <c r="I51" s="29">
        <f>IF(E12&lt;=4,'Costos variables'!$B$4+'Costos variables'!$B$7,IF(E12&lt;=7,'Costos variables'!$B$4+'Costos variables'!$B$7+'Costos variables'!$B$3,IF(E12&lt;=10,'Costos variables'!$B$4+'Costos variables'!$B$7+'Costos variables'!$B$3+'Costos variables'!$B$5,IF(E12&gt;10,'Costos variables'!$B$4+'Costos variables'!$B$7+'Costos variables'!$B$3+'Costos variables'!$B$6+'Costos variables'!$B$5+'Costos variables'!$B$2))))</f>
        <v>2639400</v>
      </c>
      <c r="J51" s="29">
        <f t="shared" si="10"/>
        <v>5360600</v>
      </c>
    </row>
    <row r="52" spans="8:12" x14ac:dyDescent="0.25">
      <c r="H52" s="29">
        <f t="shared" si="9"/>
        <v>8000000</v>
      </c>
      <c r="I52" s="29">
        <f>IF(E13&lt;=4,'Costos variables'!$B$4+'Costos variables'!$B$7,IF(E13&lt;=7,'Costos variables'!$B$4+'Costos variables'!$B$7+'Costos variables'!$B$3,IF(E13&lt;=10,'Costos variables'!$B$4+'Costos variables'!$B$7+'Costos variables'!$B$3+'Costos variables'!$B$5,IF(E13&gt;10,'Costos variables'!$B$4+'Costos variables'!$B$7+'Costos variables'!$B$3+'Costos variables'!$B$6+'Costos variables'!$B$5+'Costos variables'!$B$2))))</f>
        <v>2639400</v>
      </c>
      <c r="J52" s="29">
        <f t="shared" si="10"/>
        <v>5360600</v>
      </c>
    </row>
    <row r="53" spans="8:12" x14ac:dyDescent="0.25">
      <c r="H53" s="29">
        <f t="shared" si="9"/>
        <v>8000000</v>
      </c>
      <c r="I53" s="29">
        <f>IF(E14&lt;=4,'Costos variables'!$B$4+'Costos variables'!$B$7,IF(E14&lt;=7,'Costos variables'!$B$4+'Costos variables'!$B$7+'Costos variables'!$B$3,IF(E14&lt;=10,'Costos variables'!$B$4+'Costos variables'!$B$7+'Costos variables'!$B$3+'Costos variables'!$B$5,IF(E14&gt;10,'Costos variables'!$B$4+'Costos variables'!$B$7+'Costos variables'!$B$3+'Costos variables'!$B$6+'Costos variables'!$B$5+'Costos variables'!$B$2))))</f>
        <v>2639400</v>
      </c>
      <c r="J53" s="29">
        <f t="shared" si="10"/>
        <v>5360600</v>
      </c>
      <c r="K53" s="23">
        <f>SUM(H42:H53)</f>
        <v>90666666.666666657</v>
      </c>
      <c r="L53" s="23">
        <f>SUM(I42:I53)</f>
        <v>31672800</v>
      </c>
    </row>
    <row r="54" spans="8:12" x14ac:dyDescent="0.25">
      <c r="H54" s="1" t="s">
        <v>90</v>
      </c>
      <c r="I54" s="1" t="s">
        <v>91</v>
      </c>
      <c r="J54" s="1" t="s">
        <v>92</v>
      </c>
      <c r="K54" s="23">
        <f>+K53/G3</f>
        <v>68</v>
      </c>
    </row>
    <row r="55" spans="8:12" x14ac:dyDescent="0.25">
      <c r="H55" s="29">
        <f t="shared" ref="H55:H66" si="11">$G$3*F3</f>
        <v>8000000</v>
      </c>
      <c r="I55" s="29">
        <f>IF(F3&lt;=4,'Costos variables'!$B$4+'Costos variables'!$B$7,IF(F3&lt;=7,'Costos variables'!$B$4+'Costos variables'!$B$7+'Costos variables'!$B$3,IF(F3&lt;=10,'Costos variables'!$B$4+'Costos variables'!$B$7+'Costos variables'!$B$3+'Costos variables'!$B$5,IF(F3&gt;10,'Costos variables'!$B$4+'Costos variables'!$B$7+'Costos variables'!$B$3+'Costos variables'!$B$6+'Costos variables'!$B$5+'Costos variables'!$B$2))))</f>
        <v>2639400</v>
      </c>
      <c r="J55" s="29">
        <f>H55-I55</f>
        <v>5360600</v>
      </c>
      <c r="K55" s="43">
        <f>K54/6</f>
        <v>11.333333333333334</v>
      </c>
    </row>
    <row r="56" spans="8:12" x14ac:dyDescent="0.25">
      <c r="H56" s="29">
        <f t="shared" si="11"/>
        <v>8000000</v>
      </c>
      <c r="I56" s="29">
        <f>IF(F4&lt;=4,'Costos variables'!$B$4+'Costos variables'!$B$7,IF(F4&lt;=7,'Costos variables'!$B$4+'Costos variables'!$B$7+'Costos variables'!$B$3,IF(F4&lt;=10,'Costos variables'!$B$4+'Costos variables'!$B$7+'Costos variables'!$B$3+'Costos variables'!$B$5,IF(F4&gt;10,'Costos variables'!$B$4+'Costos variables'!$B$7+'Costos variables'!$B$3+'Costos variables'!$B$6+'Costos variables'!$B$5+'Costos variables'!$B$2))))</f>
        <v>2639400</v>
      </c>
      <c r="J56" s="29">
        <f t="shared" ref="J56:J66" si="12">H56-I56</f>
        <v>5360600</v>
      </c>
    </row>
    <row r="57" spans="8:12" x14ac:dyDescent="0.25">
      <c r="H57" s="29">
        <f t="shared" si="11"/>
        <v>9333333.3333333321</v>
      </c>
      <c r="I57" s="29">
        <f>IF(F5&lt;=4,'Costos variables'!$B$4+'Costos variables'!$B$7,IF(F5&lt;=7,'Costos variables'!$B$4+'Costos variables'!$B$7+'Costos variables'!$B$3,IF(F5&lt;=10,'Costos variables'!$B$4+'Costos variables'!$B$7+'Costos variables'!$B$3+'Costos variables'!$B$5,IF(F5&gt;10,'Costos variables'!$B$4+'Costos variables'!$B$7+'Costos variables'!$B$3+'Costos variables'!$B$6+'Costos variables'!$B$5+'Costos variables'!$B$2))))</f>
        <v>2639400</v>
      </c>
      <c r="J57" s="29">
        <f t="shared" si="12"/>
        <v>6693933.3333333321</v>
      </c>
    </row>
    <row r="58" spans="8:12" x14ac:dyDescent="0.25">
      <c r="H58" s="29">
        <f t="shared" si="11"/>
        <v>9333333.3333333321</v>
      </c>
      <c r="I58" s="29">
        <f>IF(F6&lt;=4,'Costos variables'!$B$4+'Costos variables'!$B$7,IF(F6&lt;=7,'Costos variables'!$B$4+'Costos variables'!$B$7+'Costos variables'!$B$3,IF(F6&lt;=10,'Costos variables'!$B$4+'Costos variables'!$B$7+'Costos variables'!$B$3+'Costos variables'!$B$5,IF(F6&gt;10,'Costos variables'!$B$4+'Costos variables'!$B$7+'Costos variables'!$B$3+'Costos variables'!$B$6+'Costos variables'!$B$5+'Costos variables'!$B$2))))</f>
        <v>2639400</v>
      </c>
      <c r="J58" s="29">
        <f t="shared" si="12"/>
        <v>6693933.3333333321</v>
      </c>
    </row>
    <row r="59" spans="8:12" x14ac:dyDescent="0.25">
      <c r="H59" s="29">
        <f t="shared" si="11"/>
        <v>9333333.3333333321</v>
      </c>
      <c r="I59" s="29">
        <f>IF(F7&lt;=4,'Costos variables'!$B$4+'Costos variables'!$B$7,IF(F7&lt;=7,'Costos variables'!$B$4+'Costos variables'!$B$7+'Costos variables'!$B$3,IF(F7&lt;=10,'Costos variables'!$B$4+'Costos variables'!$B$7+'Costos variables'!$B$3+'Costos variables'!$B$5,IF(F7&gt;10,'Costos variables'!$B$4+'Costos variables'!$B$7+'Costos variables'!$B$3+'Costos variables'!$B$6+'Costos variables'!$B$5+'Costos variables'!$B$2))))</f>
        <v>2639400</v>
      </c>
      <c r="J59" s="29">
        <f t="shared" si="12"/>
        <v>6693933.3333333321</v>
      </c>
    </row>
    <row r="60" spans="8:12" x14ac:dyDescent="0.25">
      <c r="H60" s="29">
        <f t="shared" si="11"/>
        <v>9333333.3333333321</v>
      </c>
      <c r="I60" s="29">
        <f>IF(F8&lt;=4,'Costos variables'!$B$4+'Costos variables'!$B$7,IF(F8&lt;=7,'Costos variables'!$B$4+'Costos variables'!$B$7+'Costos variables'!$B$3,IF(F8&lt;=10,'Costos variables'!$B$4+'Costos variables'!$B$7+'Costos variables'!$B$3+'Costos variables'!$B$5,IF(F8&gt;10,'Costos variables'!$B$4+'Costos variables'!$B$7+'Costos variables'!$B$3+'Costos variables'!$B$6+'Costos variables'!$B$5+'Costos variables'!$B$2))))</f>
        <v>2639400</v>
      </c>
      <c r="J60" s="29">
        <f t="shared" si="12"/>
        <v>6693933.3333333321</v>
      </c>
    </row>
    <row r="61" spans="8:12" x14ac:dyDescent="0.25">
      <c r="H61" s="29">
        <f t="shared" si="11"/>
        <v>8000000</v>
      </c>
      <c r="I61" s="29">
        <f>IF(F9&lt;=4,'Costos variables'!$B$4+'Costos variables'!$B$7,IF(F9&lt;=7,'Costos variables'!$B$4+'Costos variables'!$B$7+'Costos variables'!$B$3,IF(F9&lt;=10,'Costos variables'!$B$4+'Costos variables'!$B$7+'Costos variables'!$B$3+'Costos variables'!$B$5,IF(F9&gt;10,'Costos variables'!$B$4+'Costos variables'!$B$7+'Costos variables'!$B$3+'Costos variables'!$B$6+'Costos variables'!$B$5+'Costos variables'!$B$2))))</f>
        <v>2639400</v>
      </c>
      <c r="J61" s="29">
        <f t="shared" si="12"/>
        <v>5360600</v>
      </c>
    </row>
    <row r="62" spans="8:12" x14ac:dyDescent="0.25">
      <c r="H62" s="29">
        <f t="shared" si="11"/>
        <v>8000000</v>
      </c>
      <c r="I62" s="29">
        <f>IF(F10&lt;=4,'Costos variables'!$B$4+'Costos variables'!$B$7,IF(F10&lt;=7,'Costos variables'!$B$4+'Costos variables'!$B$7+'Costos variables'!$B$3,IF(F10&lt;=10,'Costos variables'!$B$4+'Costos variables'!$B$7+'Costos variables'!$B$3+'Costos variables'!$B$5,IF(F10&gt;10,'Costos variables'!$B$4+'Costos variables'!$B$7+'Costos variables'!$B$3+'Costos variables'!$B$6+'Costos variables'!$B$5+'Costos variables'!$B$2))))</f>
        <v>2639400</v>
      </c>
      <c r="J62" s="29">
        <f t="shared" si="12"/>
        <v>5360600</v>
      </c>
    </row>
    <row r="63" spans="8:12" x14ac:dyDescent="0.25">
      <c r="H63" s="29">
        <f t="shared" si="11"/>
        <v>5333333.333333333</v>
      </c>
      <c r="I63" s="29">
        <f>IF(F11&lt;=4,'Costos variables'!$B$4+'Costos variables'!$B$7,IF(F11&lt;=7,'Costos variables'!$B$4+'Costos variables'!$B$7+'Costos variables'!$B$3,IF(F11&lt;=10,'Costos variables'!$B$4+'Costos variables'!$B$7+'Costos variables'!$B$3+'Costos variables'!$B$5,IF(F11&gt;10,'Costos variables'!$B$4+'Costos variables'!$B$7+'Costos variables'!$B$3+'Costos variables'!$B$6+'Costos variables'!$B$5+'Costos variables'!$B$2))))</f>
        <v>611400</v>
      </c>
      <c r="J63" s="29">
        <f t="shared" si="12"/>
        <v>4721933.333333333</v>
      </c>
    </row>
    <row r="64" spans="8:12" x14ac:dyDescent="0.25">
      <c r="H64" s="29">
        <f t="shared" si="11"/>
        <v>5333333.333333333</v>
      </c>
      <c r="I64" s="29">
        <f>IF(F12&lt;=4,'Costos variables'!$B$4+'Costos variables'!$B$7,IF(F12&lt;=7,'Costos variables'!$B$4+'Costos variables'!$B$7+'Costos variables'!$B$3,IF(F12&lt;=10,'Costos variables'!$B$4+'Costos variables'!$B$7+'Costos variables'!$B$3+'Costos variables'!$B$5,IF(F12&gt;10,'Costos variables'!$B$4+'Costos variables'!$B$7+'Costos variables'!$B$3+'Costos variables'!$B$6+'Costos variables'!$B$5+'Costos variables'!$B$2))))</f>
        <v>611400</v>
      </c>
      <c r="J64" s="29">
        <f t="shared" si="12"/>
        <v>4721933.333333333</v>
      </c>
    </row>
    <row r="65" spans="8:12" x14ac:dyDescent="0.25">
      <c r="H65" s="29">
        <f t="shared" si="11"/>
        <v>5333333.333333333</v>
      </c>
      <c r="I65" s="29">
        <f>IF(F13&lt;=4,'Costos variables'!$B$4+'Costos variables'!$B$7,IF(F13&lt;=7,'Costos variables'!$B$4+'Costos variables'!$B$7+'Costos variables'!$B$3,IF(F13&lt;=10,'Costos variables'!$B$4+'Costos variables'!$B$7+'Costos variables'!$B$3+'Costos variables'!$B$5,IF(F13&gt;10,'Costos variables'!$B$4+'Costos variables'!$B$7+'Costos variables'!$B$3+'Costos variables'!$B$6+'Costos variables'!$B$5+'Costos variables'!$B$2))))</f>
        <v>611400</v>
      </c>
      <c r="J65" s="29">
        <f t="shared" si="12"/>
        <v>4721933.333333333</v>
      </c>
    </row>
    <row r="66" spans="8:12" x14ac:dyDescent="0.25">
      <c r="H66" s="29">
        <f t="shared" si="11"/>
        <v>5333333.333333333</v>
      </c>
      <c r="I66" s="29">
        <f>IF(F14&lt;=4,'Costos variables'!$B$4+'Costos variables'!$B$7,IF(F14&lt;=7,'Costos variables'!$B$4+'Costos variables'!$B$7+'Costos variables'!$B$3,IF(F14&lt;=10,'Costos variables'!$B$4+'Costos variables'!$B$7+'Costos variables'!$B$3+'Costos variables'!$B$5,IF(F14&gt;10,'Costos variables'!$B$4+'Costos variables'!$B$7+'Costos variables'!$B$3+'Costos variables'!$B$6+'Costos variables'!$B$5+'Costos variables'!$B$2))))</f>
        <v>611400</v>
      </c>
      <c r="J66" s="29">
        <f t="shared" si="12"/>
        <v>4721933.333333333</v>
      </c>
      <c r="K66" s="23">
        <f>SUM(H55:H66)</f>
        <v>90666666.666666642</v>
      </c>
      <c r="L66" s="23">
        <f>SUM(I55:I66)</f>
        <v>23560800</v>
      </c>
    </row>
    <row r="67" spans="8:12" x14ac:dyDescent="0.25">
      <c r="K67">
        <f>K66/G3</f>
        <v>67.999999999999986</v>
      </c>
    </row>
    <row r="68" spans="8:12" x14ac:dyDescent="0.25">
      <c r="K68" s="43">
        <f>K67/6</f>
        <v>11.33333333333333</v>
      </c>
    </row>
  </sheetData>
  <mergeCells count="2">
    <mergeCell ref="A1:F1"/>
    <mergeCell ref="A15:A28"/>
  </mergeCells>
  <phoneticPr fontId="5" type="noConversion"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66"/>
  <sheetViews>
    <sheetView topLeftCell="A16" workbookViewId="0">
      <selection activeCell="D36" sqref="D36"/>
    </sheetView>
  </sheetViews>
  <sheetFormatPr baseColWidth="10" defaultRowHeight="15" x14ac:dyDescent="0.25"/>
  <cols>
    <col min="2" max="6" width="25.7109375" bestFit="1" customWidth="1"/>
    <col min="7" max="7" width="14.140625" bestFit="1" customWidth="1"/>
    <col min="8" max="8" width="18.5703125" bestFit="1" customWidth="1"/>
    <col min="9" max="9" width="15.28515625" bestFit="1" customWidth="1"/>
    <col min="10" max="10" width="30.42578125" bestFit="1" customWidth="1"/>
  </cols>
  <sheetData>
    <row r="1" spans="1:10" x14ac:dyDescent="0.25">
      <c r="A1" s="224" t="s">
        <v>79</v>
      </c>
      <c r="B1" s="225"/>
      <c r="C1" s="225"/>
      <c r="D1" s="225"/>
      <c r="E1" s="225"/>
      <c r="F1" s="225"/>
    </row>
    <row r="2" spans="1:10" x14ac:dyDescent="0.25">
      <c r="A2" s="1" t="s">
        <v>98</v>
      </c>
      <c r="B2" s="1" t="s">
        <v>93</v>
      </c>
      <c r="C2" s="1" t="s">
        <v>94</v>
      </c>
      <c r="D2" s="1" t="s">
        <v>95</v>
      </c>
      <c r="E2" s="1" t="s">
        <v>96</v>
      </c>
      <c r="F2" s="1" t="s">
        <v>97</v>
      </c>
      <c r="G2" s="148" t="s">
        <v>87</v>
      </c>
      <c r="H2" s="1" t="s">
        <v>90</v>
      </c>
      <c r="I2" s="1" t="s">
        <v>91</v>
      </c>
      <c r="J2" s="1" t="s">
        <v>92</v>
      </c>
    </row>
    <row r="3" spans="1:10" x14ac:dyDescent="0.25">
      <c r="A3" s="30" t="s">
        <v>99</v>
      </c>
      <c r="B3" s="30">
        <v>0</v>
      </c>
      <c r="C3" s="30">
        <v>0</v>
      </c>
      <c r="D3" s="30">
        <v>0</v>
      </c>
      <c r="E3" s="30">
        <v>1</v>
      </c>
      <c r="F3" s="30">
        <v>2</v>
      </c>
      <c r="G3" s="149">
        <v>12000000</v>
      </c>
      <c r="H3" s="29">
        <f t="shared" ref="H3:H14" si="0">B3*$G$3</f>
        <v>0</v>
      </c>
      <c r="I3" s="29">
        <f>IF(B3&lt;=4,'Costos variables'!$B$4+'Costos variables'!$B$7,IF(B3&lt;=10,'Costos variables'!$B$3+'Costos variables'!$B$4+'Costos variables'!$B$7,IF(B3&gt;10,'Costos variables'!$B$3*2+'Costos variables'!$B$5+'Costos variables'!$B$6+'Costos variables'!$B$4+'Costos variables'!$B$7)))</f>
        <v>611400</v>
      </c>
      <c r="J3" s="29">
        <f>H3-I3</f>
        <v>-611400</v>
      </c>
    </row>
    <row r="4" spans="1:10" x14ac:dyDescent="0.25">
      <c r="A4" s="30" t="s">
        <v>100</v>
      </c>
      <c r="B4" s="30">
        <v>0</v>
      </c>
      <c r="C4" s="30">
        <v>0</v>
      </c>
      <c r="D4" s="30">
        <v>2</v>
      </c>
      <c r="E4" s="30">
        <v>1</v>
      </c>
      <c r="F4" s="30">
        <v>3</v>
      </c>
      <c r="H4" s="29">
        <f t="shared" si="0"/>
        <v>0</v>
      </c>
      <c r="I4" s="29">
        <f>IF(B4&lt;=4,'Costos variables'!$B$4+'Costos variables'!$B$7,IF(B4&lt;=10,'Costos variables'!$B$3+'Costos variables'!$B$4+'Costos variables'!$B$7,IF(B4&gt;10,'Costos variables'!$B$3*2+'Costos variables'!$B$5+'Costos variables'!$B$6+'Costos variables'!$B$4+'Costos variables'!$B$7)))</f>
        <v>611400</v>
      </c>
      <c r="J4" s="29">
        <f t="shared" ref="J4:J14" si="1">H4-I4</f>
        <v>-611400</v>
      </c>
    </row>
    <row r="5" spans="1:10" x14ac:dyDescent="0.25">
      <c r="A5" s="30" t="s">
        <v>101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H5" s="29">
        <f t="shared" si="0"/>
        <v>0</v>
      </c>
      <c r="I5" s="29">
        <f>IF(B5&lt;=4,'Costos variables'!$B$4+'Costos variables'!$B$7,IF(B5&lt;=10,'Costos variables'!$B$3+'Costos variables'!$B$4+'Costos variables'!$B$7,IF(B5&gt;10,'Costos variables'!$B$3*2+'Costos variables'!$B$5+'Costos variables'!$B$6+'Costos variables'!$B$4+'Costos variables'!$B$7)))</f>
        <v>611400</v>
      </c>
      <c r="J5" s="29">
        <f t="shared" si="1"/>
        <v>-611400</v>
      </c>
    </row>
    <row r="6" spans="1:10" x14ac:dyDescent="0.25">
      <c r="A6" s="30" t="s">
        <v>102</v>
      </c>
      <c r="B6" s="30">
        <v>1</v>
      </c>
      <c r="C6" s="30">
        <v>1</v>
      </c>
      <c r="D6" s="30">
        <v>0</v>
      </c>
      <c r="E6" s="30">
        <v>2</v>
      </c>
      <c r="F6" s="30">
        <v>2</v>
      </c>
      <c r="H6" s="29">
        <f t="shared" si="0"/>
        <v>12000000</v>
      </c>
      <c r="I6" s="29">
        <f>IF(B6&lt;=4,'Costos variables'!$B$4+'Costos variables'!$B$7,IF(B6&lt;=10,'Costos variables'!$B$3+'Costos variables'!$B$4+'Costos variables'!$B$7,IF(B6&gt;10,'Costos variables'!$B$3*2+'Costos variables'!$B$5+'Costos variables'!$B$6+'Costos variables'!$B$4+'Costos variables'!$B$7)))</f>
        <v>611400</v>
      </c>
      <c r="J6" s="29">
        <f t="shared" si="1"/>
        <v>11388600</v>
      </c>
    </row>
    <row r="7" spans="1:10" x14ac:dyDescent="0.25">
      <c r="A7" s="30" t="s">
        <v>103</v>
      </c>
      <c r="B7" s="30">
        <v>1</v>
      </c>
      <c r="C7" s="30">
        <v>2</v>
      </c>
      <c r="D7" s="30">
        <v>3</v>
      </c>
      <c r="E7" s="30">
        <v>0</v>
      </c>
      <c r="F7" s="30">
        <v>2</v>
      </c>
      <c r="H7" s="29">
        <f t="shared" si="0"/>
        <v>12000000</v>
      </c>
      <c r="I7" s="29">
        <f>IF(B7&lt;=4,'Costos variables'!$B$4+'Costos variables'!$B$7,IF(B7&lt;=10,'Costos variables'!$B$3+'Costos variables'!$B$4+'Costos variables'!$B$7,IF(B7&gt;10,'Costos variables'!$B$3*2+'Costos variables'!$B$5+'Costos variables'!$B$6+'Costos variables'!$B$4+'Costos variables'!$B$7)))</f>
        <v>611400</v>
      </c>
      <c r="J7" s="29">
        <f t="shared" si="1"/>
        <v>11388600</v>
      </c>
    </row>
    <row r="8" spans="1:10" x14ac:dyDescent="0.25">
      <c r="A8" s="30" t="s">
        <v>104</v>
      </c>
      <c r="B8" s="30">
        <v>0</v>
      </c>
      <c r="C8" s="30">
        <v>1</v>
      </c>
      <c r="D8" s="30">
        <v>0</v>
      </c>
      <c r="E8" s="30">
        <v>2</v>
      </c>
      <c r="F8" s="30">
        <v>0</v>
      </c>
      <c r="H8" s="29">
        <f t="shared" si="0"/>
        <v>0</v>
      </c>
      <c r="I8" s="29">
        <f>IF(B8&lt;=4,'Costos variables'!$B$4+'Costos variables'!$B$7,IF(B8&lt;=10,'Costos variables'!$B$3+'Costos variables'!$B$4+'Costos variables'!$B$7,IF(B8&gt;10,'Costos variables'!$B$3*2+'Costos variables'!$B$5+'Costos variables'!$B$6+'Costos variables'!$B$4+'Costos variables'!$B$7)))</f>
        <v>611400</v>
      </c>
      <c r="J8" s="29">
        <f t="shared" si="1"/>
        <v>-611400</v>
      </c>
    </row>
    <row r="9" spans="1:10" x14ac:dyDescent="0.25">
      <c r="A9" s="31" t="s">
        <v>105</v>
      </c>
      <c r="B9" s="31">
        <v>0</v>
      </c>
      <c r="C9" s="31">
        <v>1</v>
      </c>
      <c r="D9" s="31">
        <v>0</v>
      </c>
      <c r="E9" s="31">
        <v>1</v>
      </c>
      <c r="F9" s="31">
        <v>1</v>
      </c>
      <c r="H9" s="29">
        <f t="shared" si="0"/>
        <v>0</v>
      </c>
      <c r="I9" s="29">
        <f>IF(B9&lt;=4,'Costos variables'!$B$4+'Costos variables'!$B$7,IF(B9&lt;=10,'Costos variables'!$B$3+'Costos variables'!$B$4+'Costos variables'!$B$7,IF(B9&gt;10,'Costos variables'!$B$3*2+'Costos variables'!$B$5+'Costos variables'!$B$6+'Costos variables'!$B$4+'Costos variables'!$B$7)))</f>
        <v>611400</v>
      </c>
      <c r="J9" s="29">
        <f t="shared" si="1"/>
        <v>-611400</v>
      </c>
    </row>
    <row r="10" spans="1:10" x14ac:dyDescent="0.25">
      <c r="A10" s="31" t="s">
        <v>106</v>
      </c>
      <c r="B10" s="31">
        <v>1</v>
      </c>
      <c r="C10" s="31">
        <v>0</v>
      </c>
      <c r="D10" s="31">
        <v>0</v>
      </c>
      <c r="E10" s="31">
        <v>0</v>
      </c>
      <c r="F10" s="31">
        <v>0</v>
      </c>
      <c r="H10" s="29">
        <f t="shared" si="0"/>
        <v>12000000</v>
      </c>
      <c r="I10" s="29">
        <f>IF(B10&lt;=4,'Costos variables'!$B$4+'Costos variables'!$B$7,IF(B10&lt;=10,'Costos variables'!$B$3+'Costos variables'!$B$4+'Costos variables'!$B$7,IF(B10&gt;10,'Costos variables'!$B$3*2+'Costos variables'!$B$5+'Costos variables'!$B$6+'Costos variables'!$B$4+'Costos variables'!$B$7)))</f>
        <v>611400</v>
      </c>
      <c r="J10" s="29">
        <f t="shared" si="1"/>
        <v>11388600</v>
      </c>
    </row>
    <row r="11" spans="1:10" x14ac:dyDescent="0.25">
      <c r="A11" s="31" t="s">
        <v>107</v>
      </c>
      <c r="B11" s="31">
        <v>1</v>
      </c>
      <c r="C11" s="31">
        <v>0</v>
      </c>
      <c r="D11" s="31">
        <v>4</v>
      </c>
      <c r="E11" s="31">
        <v>2</v>
      </c>
      <c r="F11" s="31">
        <v>2</v>
      </c>
      <c r="H11" s="29">
        <f t="shared" si="0"/>
        <v>12000000</v>
      </c>
      <c r="I11" s="29">
        <f>IF(B11&lt;=4,'Costos variables'!$B$4+'Costos variables'!$B$7,IF(B11&lt;=10,'Costos variables'!$B$3+'Costos variables'!$B$4+'Costos variables'!$B$7,IF(B11&gt;10,'Costos variables'!$B$3*2+'Costos variables'!$B$5+'Costos variables'!$B$6+'Costos variables'!$B$4+'Costos variables'!$B$7)))</f>
        <v>611400</v>
      </c>
      <c r="J11" s="29">
        <f t="shared" si="1"/>
        <v>11388600</v>
      </c>
    </row>
    <row r="12" spans="1:10" x14ac:dyDescent="0.25">
      <c r="A12" s="31" t="s">
        <v>108</v>
      </c>
      <c r="B12" s="31">
        <v>0</v>
      </c>
      <c r="C12" s="31">
        <v>1</v>
      </c>
      <c r="D12" s="31">
        <v>1</v>
      </c>
      <c r="E12" s="31">
        <v>0</v>
      </c>
      <c r="F12" s="31">
        <v>0</v>
      </c>
      <c r="H12" s="29">
        <f t="shared" si="0"/>
        <v>0</v>
      </c>
      <c r="I12" s="29">
        <f>IF(B12&lt;=4,'Costos variables'!$B$4+'Costos variables'!$B$7,IF(B12&lt;=10,'Costos variables'!$B$3+'Costos variables'!$B$4+'Costos variables'!$B$7,IF(B12&gt;10,'Costos variables'!$B$3*2+'Costos variables'!$B$5+'Costos variables'!$B$6+'Costos variables'!$B$4+'Costos variables'!$B$7)))</f>
        <v>611400</v>
      </c>
      <c r="J12" s="29">
        <f t="shared" si="1"/>
        <v>-611400</v>
      </c>
    </row>
    <row r="13" spans="1:10" x14ac:dyDescent="0.25">
      <c r="A13" s="31" t="s">
        <v>109</v>
      </c>
      <c r="B13" s="31">
        <v>2</v>
      </c>
      <c r="C13" s="31">
        <v>0</v>
      </c>
      <c r="D13" s="31">
        <v>1</v>
      </c>
      <c r="E13" s="31">
        <v>2</v>
      </c>
      <c r="F13" s="31">
        <v>3</v>
      </c>
      <c r="H13" s="29">
        <f t="shared" si="0"/>
        <v>24000000</v>
      </c>
      <c r="I13" s="29">
        <f>IF(B13&lt;=4,'Costos variables'!$B$4+'Costos variables'!$B$7,IF(B13&lt;=10,'Costos variables'!$B$3+'Costos variables'!$B$4+'Costos variables'!$B$7,IF(B13&gt;10,'Costos variables'!$B$3*2+'Costos variables'!$B$5+'Costos variables'!$B$6+'Costos variables'!$B$4+'Costos variables'!$B$7)))</f>
        <v>611400</v>
      </c>
      <c r="J13" s="29">
        <f t="shared" si="1"/>
        <v>23388600</v>
      </c>
    </row>
    <row r="14" spans="1:10" x14ac:dyDescent="0.25">
      <c r="A14" s="31" t="s">
        <v>110</v>
      </c>
      <c r="B14" s="31">
        <v>0</v>
      </c>
      <c r="C14" s="31">
        <v>2</v>
      </c>
      <c r="D14" s="31">
        <v>0</v>
      </c>
      <c r="E14" s="31">
        <v>1</v>
      </c>
      <c r="F14" s="31">
        <v>0</v>
      </c>
      <c r="H14" s="29">
        <f t="shared" si="0"/>
        <v>0</v>
      </c>
      <c r="I14" s="29">
        <f>IF(B14&lt;=4,'Costos variables'!$B$4+'Costos variables'!$B$7,IF(B14&lt;=10,'Costos variables'!$B$3+'Costos variables'!$B$4+'Costos variables'!$B$7,IF(B14&gt;10,'Costos variables'!$B$3*2+'Costos variables'!$B$5+'Costos variables'!$B$6+'Costos variables'!$B$4+'Costos variables'!$B$7)))</f>
        <v>611400</v>
      </c>
      <c r="J14" s="29">
        <f t="shared" si="1"/>
        <v>-611400</v>
      </c>
    </row>
    <row r="15" spans="1:10" x14ac:dyDescent="0.25">
      <c r="A15" s="208"/>
      <c r="B15">
        <f>+SUM(B3:B14)</f>
        <v>6</v>
      </c>
      <c r="C15">
        <f t="shared" ref="C15:F15" si="2">+SUM(C3:C14)</f>
        <v>8</v>
      </c>
      <c r="D15">
        <f t="shared" si="2"/>
        <v>11</v>
      </c>
      <c r="E15">
        <f t="shared" si="2"/>
        <v>12</v>
      </c>
      <c r="F15">
        <f t="shared" si="2"/>
        <v>15</v>
      </c>
      <c r="H15" s="1" t="s">
        <v>90</v>
      </c>
      <c r="I15" s="1" t="s">
        <v>91</v>
      </c>
      <c r="J15" s="1" t="s">
        <v>92</v>
      </c>
    </row>
    <row r="16" spans="1:10" x14ac:dyDescent="0.25">
      <c r="A16" s="223"/>
      <c r="B16" s="153" t="s">
        <v>181</v>
      </c>
      <c r="C16" s="153" t="s">
        <v>181</v>
      </c>
      <c r="D16" s="153" t="s">
        <v>181</v>
      </c>
      <c r="E16" s="153" t="s">
        <v>181</v>
      </c>
      <c r="F16" s="153" t="s">
        <v>181</v>
      </c>
      <c r="H16" s="29">
        <f t="shared" ref="H16:H27" si="3">C3*$G$3</f>
        <v>0</v>
      </c>
      <c r="I16" s="29">
        <f>IF(C3&lt;=4,'Costos variables'!$B$4+'Costos variables'!$B$7,IF(C3&lt;=10,'Costos variables'!$B$3+'Costos variables'!$B$4+'Costos variables'!$B$7,IF(C3&gt;10,'Costos variables'!$B$3*2+'Costos variables'!$B$5+'Costos variables'!$B$6+'Costos variables'!$B$4+'Costos variables'!$B$7)))</f>
        <v>611400</v>
      </c>
      <c r="J16" s="29">
        <f>H16-I16</f>
        <v>-611400</v>
      </c>
    </row>
    <row r="17" spans="1:10" x14ac:dyDescent="0.25">
      <c r="A17" s="223"/>
      <c r="B17" s="153" t="s">
        <v>93</v>
      </c>
      <c r="C17" s="153" t="s">
        <v>94</v>
      </c>
      <c r="D17" s="153" t="s">
        <v>95</v>
      </c>
      <c r="E17" s="153" t="s">
        <v>96</v>
      </c>
      <c r="F17" s="153" t="s">
        <v>97</v>
      </c>
      <c r="H17" s="29">
        <f t="shared" si="3"/>
        <v>0</v>
      </c>
      <c r="I17" s="29">
        <f>IF(C4&lt;=4,'Costos variables'!$B$4+'Costos variables'!$B$7,IF(C4&lt;=10,'Costos variables'!$B$3+'Costos variables'!$B$4+'Costos variables'!$B$7,IF(C4&gt;10,'Costos variables'!$B$3*2+'Costos variables'!$B$5+'Costos variables'!$B$6+'Costos variables'!$B$4+'Costos variables'!$B$7)))</f>
        <v>611400</v>
      </c>
      <c r="J17" s="29">
        <f t="shared" ref="J17:J27" si="4">H17-I17</f>
        <v>-611400</v>
      </c>
    </row>
    <row r="18" spans="1:10" x14ac:dyDescent="0.25">
      <c r="A18" s="223"/>
      <c r="B18" s="164" t="s">
        <v>163</v>
      </c>
      <c r="C18" s="164" t="s">
        <v>163</v>
      </c>
      <c r="D18" s="164" t="s">
        <v>163</v>
      </c>
      <c r="E18" s="164">
        <f t="shared" ref="E18:E29" si="5">(H42-I42)/H42</f>
        <v>0.94904999999999995</v>
      </c>
      <c r="F18" s="164">
        <f>(H55-I55)/H55</f>
        <v>0.97452499999999997</v>
      </c>
      <c r="H18" s="29">
        <f t="shared" si="3"/>
        <v>0</v>
      </c>
      <c r="I18" s="29">
        <f>IF(C5&lt;=4,'Costos variables'!$B$4+'Costos variables'!$B$7,IF(C5&lt;=10,'Costos variables'!$B$3+'Costos variables'!$B$4+'Costos variables'!$B$7,IF(C5&gt;10,'Costos variables'!$B$3*2+'Costos variables'!$B$5+'Costos variables'!$B$6+'Costos variables'!$B$4+'Costos variables'!$B$7)))</f>
        <v>611400</v>
      </c>
      <c r="J18" s="29">
        <f t="shared" si="4"/>
        <v>-611400</v>
      </c>
    </row>
    <row r="19" spans="1:10" x14ac:dyDescent="0.25">
      <c r="A19" s="223"/>
      <c r="B19" s="164" t="s">
        <v>163</v>
      </c>
      <c r="C19" s="164" t="s">
        <v>163</v>
      </c>
      <c r="D19" s="164">
        <f>(H30-I30)/H30</f>
        <v>0.97452499999999997</v>
      </c>
      <c r="E19" s="164">
        <f t="shared" si="5"/>
        <v>0.94904999999999995</v>
      </c>
      <c r="F19" s="164">
        <f t="shared" ref="F19:F28" si="6">(H56-I56)/H56</f>
        <v>0.98301666666666665</v>
      </c>
      <c r="H19" s="29">
        <f t="shared" si="3"/>
        <v>12000000</v>
      </c>
      <c r="I19" s="29">
        <f>IF(C6&lt;=4,'Costos variables'!$B$4+'Costos variables'!$B$7,IF(C6&lt;=10,'Costos variables'!$B$3+'Costos variables'!$B$4+'Costos variables'!$B$7,IF(C6&gt;10,'Costos variables'!$B$3*2+'Costos variables'!$B$5+'Costos variables'!$B$6+'Costos variables'!$B$4+'Costos variables'!$B$7)))</f>
        <v>611400</v>
      </c>
      <c r="J19" s="29">
        <f t="shared" si="4"/>
        <v>11388600</v>
      </c>
    </row>
    <row r="20" spans="1:10" x14ac:dyDescent="0.25">
      <c r="A20" s="223"/>
      <c r="B20" s="164" t="s">
        <v>163</v>
      </c>
      <c r="C20" s="164" t="s">
        <v>163</v>
      </c>
      <c r="D20" s="164" t="s">
        <v>163</v>
      </c>
      <c r="E20" s="164" t="s">
        <v>163</v>
      </c>
      <c r="F20" s="164" t="s">
        <v>163</v>
      </c>
      <c r="H20" s="29">
        <f t="shared" si="3"/>
        <v>24000000</v>
      </c>
      <c r="I20" s="29">
        <f>IF(C7&lt;=4,'Costos variables'!$B$4+'Costos variables'!$B$7,IF(C7&lt;=10,'Costos variables'!$B$3+'Costos variables'!$B$4+'Costos variables'!$B$7,IF(C7&gt;10,'Costos variables'!$B$3*2+'Costos variables'!$B$5+'Costos variables'!$B$6+'Costos variables'!$B$4+'Costos variables'!$B$7)))</f>
        <v>611400</v>
      </c>
      <c r="J20" s="29">
        <f t="shared" si="4"/>
        <v>23388600</v>
      </c>
    </row>
    <row r="21" spans="1:10" x14ac:dyDescent="0.25">
      <c r="A21" s="223"/>
      <c r="B21" s="164">
        <f>(H6-I6)/H6</f>
        <v>0.94904999999999995</v>
      </c>
      <c r="C21" s="164">
        <f>(H19-I19)/H19</f>
        <v>0.94904999999999995</v>
      </c>
      <c r="D21" s="164" t="s">
        <v>163</v>
      </c>
      <c r="E21" s="164">
        <f>(H45-I45)/H45</f>
        <v>0.97452499999999997</v>
      </c>
      <c r="F21" s="164">
        <f t="shared" si="6"/>
        <v>0.97452499999999997</v>
      </c>
      <c r="H21" s="29">
        <f t="shared" si="3"/>
        <v>12000000</v>
      </c>
      <c r="I21" s="29">
        <f>IF(C8&lt;=4,'Costos variables'!$B$4+'Costos variables'!$B$7,IF(C8&lt;=10,'Costos variables'!$B$3+'Costos variables'!$B$4+'Costos variables'!$B$7,IF(C8&gt;10,'Costos variables'!$B$3*2+'Costos variables'!$B$5+'Costos variables'!$B$6+'Costos variables'!$B$4+'Costos variables'!$B$7)))</f>
        <v>611400</v>
      </c>
      <c r="J21" s="29">
        <f t="shared" si="4"/>
        <v>11388600</v>
      </c>
    </row>
    <row r="22" spans="1:10" x14ac:dyDescent="0.25">
      <c r="A22" s="223"/>
      <c r="B22" s="164">
        <f t="shared" ref="B22:B28" si="7">(H7-I7)/H7</f>
        <v>0.94904999999999995</v>
      </c>
      <c r="C22" s="164">
        <f t="shared" ref="C22:C29" si="8">(H20-I20)/H20</f>
        <v>0.97452499999999997</v>
      </c>
      <c r="D22" s="164">
        <f t="shared" ref="D22:D28" si="9">(H33-I33)/H33</f>
        <v>0.98301666666666665</v>
      </c>
      <c r="E22" s="164" t="s">
        <v>163</v>
      </c>
      <c r="F22" s="164">
        <f t="shared" si="6"/>
        <v>0.97452499999999997</v>
      </c>
      <c r="H22" s="29">
        <f t="shared" si="3"/>
        <v>12000000</v>
      </c>
      <c r="I22" s="29">
        <f>IF(C9&lt;=4,'Costos variables'!$B$4+'Costos variables'!$B$7,IF(C9&lt;=10,'Costos variables'!$B$3+'Costos variables'!$B$4+'Costos variables'!$B$7,IF(C9&gt;10,'Costos variables'!$B$3*2+'Costos variables'!$B$5+'Costos variables'!$B$6+'Costos variables'!$B$4+'Costos variables'!$B$7)))</f>
        <v>611400</v>
      </c>
      <c r="J22" s="29">
        <f t="shared" si="4"/>
        <v>11388600</v>
      </c>
    </row>
    <row r="23" spans="1:10" x14ac:dyDescent="0.25">
      <c r="A23" s="223"/>
      <c r="B23" s="164" t="s">
        <v>163</v>
      </c>
      <c r="C23" s="164">
        <f t="shared" si="8"/>
        <v>0.94904999999999995</v>
      </c>
      <c r="D23" s="164" t="s">
        <v>163</v>
      </c>
      <c r="E23" s="164">
        <f t="shared" si="5"/>
        <v>0.97452499999999997</v>
      </c>
      <c r="F23" s="164" t="s">
        <v>163</v>
      </c>
      <c r="H23" s="29">
        <f t="shared" si="3"/>
        <v>0</v>
      </c>
      <c r="I23" s="29">
        <f>IF(C10&lt;=4,'Costos variables'!$B$4+'Costos variables'!$B$7,IF(C10&lt;=10,'Costos variables'!$B$3+'Costos variables'!$B$4+'Costos variables'!$B$7,IF(C10&gt;10,'Costos variables'!$B$3*2+'Costos variables'!$B$5+'Costos variables'!$B$6+'Costos variables'!$B$4+'Costos variables'!$B$7)))</f>
        <v>611400</v>
      </c>
      <c r="J23" s="29">
        <f t="shared" si="4"/>
        <v>-611400</v>
      </c>
    </row>
    <row r="24" spans="1:10" x14ac:dyDescent="0.25">
      <c r="A24" s="223"/>
      <c r="B24" s="164" t="s">
        <v>163</v>
      </c>
      <c r="C24" s="164">
        <f t="shared" si="8"/>
        <v>0.94904999999999995</v>
      </c>
      <c r="D24" s="164" t="s">
        <v>163</v>
      </c>
      <c r="E24" s="164">
        <f t="shared" si="5"/>
        <v>0.94904999999999995</v>
      </c>
      <c r="F24" s="164">
        <f t="shared" si="6"/>
        <v>0.94904999999999995</v>
      </c>
      <c r="H24" s="29">
        <f t="shared" si="3"/>
        <v>0</v>
      </c>
      <c r="I24" s="29">
        <f>IF(C11&lt;=4,'Costos variables'!$B$4+'Costos variables'!$B$7,IF(C11&lt;=10,'Costos variables'!$B$3+'Costos variables'!$B$4+'Costos variables'!$B$7,IF(C11&gt;10,'Costos variables'!$B$3*2+'Costos variables'!$B$5+'Costos variables'!$B$6+'Costos variables'!$B$4+'Costos variables'!$B$7)))</f>
        <v>611400</v>
      </c>
      <c r="J24" s="29">
        <f t="shared" si="4"/>
        <v>-611400</v>
      </c>
    </row>
    <row r="25" spans="1:10" x14ac:dyDescent="0.25">
      <c r="A25" s="223"/>
      <c r="B25" s="164">
        <f t="shared" si="7"/>
        <v>0.94904999999999995</v>
      </c>
      <c r="C25" s="164" t="s">
        <v>163</v>
      </c>
      <c r="D25" s="164" t="s">
        <v>163</v>
      </c>
      <c r="E25" s="164" t="s">
        <v>163</v>
      </c>
      <c r="F25" s="164" t="s">
        <v>163</v>
      </c>
      <c r="H25" s="29">
        <f t="shared" si="3"/>
        <v>12000000</v>
      </c>
      <c r="I25" s="29">
        <f>IF(C12&lt;=4,'Costos variables'!$B$4+'Costos variables'!$B$7,IF(C12&lt;=10,'Costos variables'!$B$3+'Costos variables'!$B$4+'Costos variables'!$B$7,IF(C12&gt;10,'Costos variables'!$B$3*2+'Costos variables'!$B$5+'Costos variables'!$B$6+'Costos variables'!$B$4+'Costos variables'!$B$7)))</f>
        <v>611400</v>
      </c>
      <c r="J25" s="29">
        <f t="shared" si="4"/>
        <v>11388600</v>
      </c>
    </row>
    <row r="26" spans="1:10" x14ac:dyDescent="0.25">
      <c r="A26" s="223"/>
      <c r="B26" s="164">
        <f t="shared" si="7"/>
        <v>0.94904999999999995</v>
      </c>
      <c r="C26" s="164" t="s">
        <v>163</v>
      </c>
      <c r="D26" s="164">
        <f t="shared" si="9"/>
        <v>0.98726250000000004</v>
      </c>
      <c r="E26" s="164">
        <f t="shared" si="5"/>
        <v>0.97452499999999997</v>
      </c>
      <c r="F26" s="164">
        <f t="shared" si="6"/>
        <v>0.97452499999999997</v>
      </c>
      <c r="H26" s="29">
        <f t="shared" si="3"/>
        <v>0</v>
      </c>
      <c r="I26" s="29">
        <f>IF(C13&lt;=4,'Costos variables'!$B$4+'Costos variables'!$B$7,IF(C13&lt;=10,'Costos variables'!$B$3+'Costos variables'!$B$4+'Costos variables'!$B$7,IF(C13&gt;10,'Costos variables'!$B$3*2+'Costos variables'!$B$5+'Costos variables'!$B$6+'Costos variables'!$B$4+'Costos variables'!$B$7)))</f>
        <v>611400</v>
      </c>
      <c r="J26" s="29">
        <f t="shared" si="4"/>
        <v>-611400</v>
      </c>
    </row>
    <row r="27" spans="1:10" x14ac:dyDescent="0.25">
      <c r="A27" s="223"/>
      <c r="B27" s="164" t="s">
        <v>163</v>
      </c>
      <c r="C27" s="164">
        <f t="shared" si="8"/>
        <v>0.94904999999999995</v>
      </c>
      <c r="D27" s="164">
        <f t="shared" si="9"/>
        <v>0.94904999999999995</v>
      </c>
      <c r="E27" s="164" t="s">
        <v>163</v>
      </c>
      <c r="F27" s="164" t="s">
        <v>163</v>
      </c>
      <c r="H27" s="29">
        <f t="shared" si="3"/>
        <v>24000000</v>
      </c>
      <c r="I27" s="29">
        <f>IF(C14&lt;=4,'Costos variables'!$B$4+'Costos variables'!$B$7,IF(C14&lt;=10,'Costos variables'!$B$3+'Costos variables'!$B$4+'Costos variables'!$B$7,IF(C14&gt;10,'Costos variables'!$B$3*2+'Costos variables'!$B$5+'Costos variables'!$B$6+'Costos variables'!$B$4+'Costos variables'!$B$7)))</f>
        <v>611400</v>
      </c>
      <c r="J27" s="29">
        <f t="shared" si="4"/>
        <v>23388600</v>
      </c>
    </row>
    <row r="28" spans="1:10" x14ac:dyDescent="0.25">
      <c r="A28" s="223"/>
      <c r="B28" s="164">
        <f t="shared" si="7"/>
        <v>0.97452499999999997</v>
      </c>
      <c r="C28" s="164" t="s">
        <v>163</v>
      </c>
      <c r="D28" s="164">
        <f t="shared" si="9"/>
        <v>0.94904999999999995</v>
      </c>
      <c r="E28" s="164">
        <f t="shared" si="5"/>
        <v>0.97452499999999997</v>
      </c>
      <c r="F28" s="164">
        <f t="shared" si="6"/>
        <v>0.98301666666666665</v>
      </c>
      <c r="H28" s="1" t="s">
        <v>90</v>
      </c>
      <c r="I28" s="1" t="s">
        <v>91</v>
      </c>
      <c r="J28" s="1" t="s">
        <v>92</v>
      </c>
    </row>
    <row r="29" spans="1:10" x14ac:dyDescent="0.25">
      <c r="B29" s="164" t="s">
        <v>163</v>
      </c>
      <c r="C29" s="164">
        <f t="shared" si="8"/>
        <v>0.97452499999999997</v>
      </c>
      <c r="D29" s="164" t="s">
        <v>163</v>
      </c>
      <c r="E29" s="164">
        <f t="shared" si="5"/>
        <v>0.94904999999999995</v>
      </c>
      <c r="F29" s="164" t="s">
        <v>163</v>
      </c>
      <c r="H29" s="29">
        <f t="shared" ref="H29:H40" si="10">D3*$G$3</f>
        <v>0</v>
      </c>
      <c r="I29" s="29">
        <f>IF(D3&lt;=4,'Costos variables'!$B$4+'Costos variables'!$B$7,IF(D3&lt;=10,'Costos variables'!$B$3+'Costos variables'!$B$4+'Costos variables'!$B$7,IF(D3&gt;10,'Costos variables'!$B$3*2+'Costos variables'!$B$5+'Costos variables'!$B$6+'Costos variables'!$B$4+'Costos variables'!$B$7)))</f>
        <v>611400</v>
      </c>
      <c r="J29" s="29">
        <f>H29-I29</f>
        <v>-611400</v>
      </c>
    </row>
    <row r="30" spans="1:10" x14ac:dyDescent="0.25">
      <c r="H30" s="29">
        <f t="shared" si="10"/>
        <v>24000000</v>
      </c>
      <c r="I30" s="29">
        <f>IF(D4&lt;=4,'Costos variables'!$B$4+'Costos variables'!$B$7,IF(D4&lt;=10,'Costos variables'!$B$3+'Costos variables'!$B$4+'Costos variables'!$B$7,IF(D4&gt;10,'Costos variables'!$B$3*2+'Costos variables'!$B$5+'Costos variables'!$B$6+'Costos variables'!$B$4+'Costos variables'!$B$7)))</f>
        <v>611400</v>
      </c>
      <c r="J30" s="29">
        <f t="shared" ref="J30:J40" si="11">H30-I30</f>
        <v>23388600</v>
      </c>
    </row>
    <row r="31" spans="1:10" x14ac:dyDescent="0.25">
      <c r="H31" s="29">
        <f t="shared" si="10"/>
        <v>0</v>
      </c>
      <c r="I31" s="29">
        <f>IF(D5&lt;=4,'Costos variables'!$B$4+'Costos variables'!$B$7,IF(D5&lt;=10,'Costos variables'!$B$3+'Costos variables'!$B$4+'Costos variables'!$B$7,IF(D5&gt;10,'Costos variables'!$B$3*2+'Costos variables'!$B$5+'Costos variables'!$B$6+'Costos variables'!$B$4+'Costos variables'!$B$7)))</f>
        <v>611400</v>
      </c>
      <c r="J31" s="29">
        <f t="shared" si="11"/>
        <v>-611400</v>
      </c>
    </row>
    <row r="32" spans="1:10" x14ac:dyDescent="0.25">
      <c r="H32" s="29">
        <f t="shared" si="10"/>
        <v>0</v>
      </c>
      <c r="I32" s="29">
        <f>IF(D6&lt;=4,'Costos variables'!$B$4+'Costos variables'!$B$7,IF(D6&lt;=10,'Costos variables'!$B$3+'Costos variables'!$B$4+'Costos variables'!$B$7,IF(D6&gt;10,'Costos variables'!$B$3*2+'Costos variables'!$B$5+'Costos variables'!$B$6+'Costos variables'!$B$4+'Costos variables'!$B$7)))</f>
        <v>611400</v>
      </c>
      <c r="J32" s="29">
        <f t="shared" si="11"/>
        <v>-611400</v>
      </c>
    </row>
    <row r="33" spans="8:10" x14ac:dyDescent="0.25">
      <c r="H33" s="29">
        <f t="shared" si="10"/>
        <v>36000000</v>
      </c>
      <c r="I33" s="29">
        <f>IF(D7&lt;=4,'Costos variables'!$B$4+'Costos variables'!$B$7,IF(D7&lt;=10,'Costos variables'!$B$3+'Costos variables'!$B$4+'Costos variables'!$B$7,IF(D7&gt;10,'Costos variables'!$B$3*2+'Costos variables'!$B$5+'Costos variables'!$B$6+'Costos variables'!$B$4+'Costos variables'!$B$7)))</f>
        <v>611400</v>
      </c>
      <c r="J33" s="29">
        <f t="shared" si="11"/>
        <v>35388600</v>
      </c>
    </row>
    <row r="34" spans="8:10" x14ac:dyDescent="0.25">
      <c r="H34" s="29">
        <f t="shared" si="10"/>
        <v>0</v>
      </c>
      <c r="I34" s="29">
        <f>IF(D8&lt;=4,'Costos variables'!$B$4+'Costos variables'!$B$7,IF(D8&lt;=10,'Costos variables'!$B$3+'Costos variables'!$B$4+'Costos variables'!$B$7,IF(D8&gt;10,'Costos variables'!$B$3*2+'Costos variables'!$B$5+'Costos variables'!$B$6+'Costos variables'!$B$4+'Costos variables'!$B$7)))</f>
        <v>611400</v>
      </c>
      <c r="J34" s="29">
        <f t="shared" si="11"/>
        <v>-611400</v>
      </c>
    </row>
    <row r="35" spans="8:10" x14ac:dyDescent="0.25">
      <c r="H35" s="29">
        <f t="shared" si="10"/>
        <v>0</v>
      </c>
      <c r="I35" s="29">
        <f>IF(D9&lt;=4,'Costos variables'!$B$4+'Costos variables'!$B$7,IF(D9&lt;=10,'Costos variables'!$B$3+'Costos variables'!$B$4+'Costos variables'!$B$7,IF(D9&gt;10,'Costos variables'!$B$3*2+'Costos variables'!$B$5+'Costos variables'!$B$6+'Costos variables'!$B$4+'Costos variables'!$B$7)))</f>
        <v>611400</v>
      </c>
      <c r="J35" s="29">
        <f t="shared" si="11"/>
        <v>-611400</v>
      </c>
    </row>
    <row r="36" spans="8:10" ht="11.25" customHeight="1" x14ac:dyDescent="0.25">
      <c r="H36" s="29">
        <f t="shared" si="10"/>
        <v>0</v>
      </c>
      <c r="I36" s="29">
        <f>IF(D10&lt;=4,'Costos variables'!$B$4+'Costos variables'!$B$7,IF(D10&lt;=10,'Costos variables'!$B$3+'Costos variables'!$B$4+'Costos variables'!$B$7,IF(D10&gt;10,'Costos variables'!$B$3*2+'Costos variables'!$B$5+'Costos variables'!$B$6+'Costos variables'!$B$4+'Costos variables'!$B$7)))</f>
        <v>611400</v>
      </c>
      <c r="J36" s="29">
        <f t="shared" si="11"/>
        <v>-611400</v>
      </c>
    </row>
    <row r="37" spans="8:10" x14ac:dyDescent="0.25">
      <c r="H37" s="29">
        <f t="shared" si="10"/>
        <v>48000000</v>
      </c>
      <c r="I37" s="29">
        <f>IF(D11&lt;=4,'Costos variables'!$B$4+'Costos variables'!$B$7,IF(D11&lt;=10,'Costos variables'!$B$3+'Costos variables'!$B$4+'Costos variables'!$B$7,IF(D11&gt;10,'Costos variables'!$B$3*2+'Costos variables'!$B$5+'Costos variables'!$B$6+'Costos variables'!$B$4+'Costos variables'!$B$7)))</f>
        <v>611400</v>
      </c>
      <c r="J37" s="29">
        <f t="shared" si="11"/>
        <v>47388600</v>
      </c>
    </row>
    <row r="38" spans="8:10" x14ac:dyDescent="0.25">
      <c r="H38" s="29">
        <f t="shared" si="10"/>
        <v>12000000</v>
      </c>
      <c r="I38" s="29">
        <f>IF(D12&lt;=4,'Costos variables'!$B$4+'Costos variables'!$B$7,IF(D12&lt;=10,'Costos variables'!$B$3+'Costos variables'!$B$4+'Costos variables'!$B$7,IF(D12&gt;10,'Costos variables'!$B$3*2+'Costos variables'!$B$5+'Costos variables'!$B$6+'Costos variables'!$B$4+'Costos variables'!$B$7)))</f>
        <v>611400</v>
      </c>
      <c r="J38" s="29">
        <f t="shared" si="11"/>
        <v>11388600</v>
      </c>
    </row>
    <row r="39" spans="8:10" x14ac:dyDescent="0.25">
      <c r="H39" s="29">
        <f t="shared" si="10"/>
        <v>12000000</v>
      </c>
      <c r="I39" s="29">
        <f>IF(D13&lt;=4,'Costos variables'!$B$4+'Costos variables'!$B$7,IF(D13&lt;=10,'Costos variables'!$B$3+'Costos variables'!$B$4+'Costos variables'!$B$7,IF(D13&gt;10,'Costos variables'!$B$3*2+'Costos variables'!$B$5+'Costos variables'!$B$6+'Costos variables'!$B$4+'Costos variables'!$B$7)))</f>
        <v>611400</v>
      </c>
      <c r="J39" s="29">
        <f t="shared" si="11"/>
        <v>11388600</v>
      </c>
    </row>
    <row r="40" spans="8:10" x14ac:dyDescent="0.25">
      <c r="H40" s="29">
        <f t="shared" si="10"/>
        <v>0</v>
      </c>
      <c r="I40" s="29">
        <f>IF(D14&lt;=4,'Costos variables'!$B$4+'Costos variables'!$B$7,IF(D14&lt;=10,'Costos variables'!$B$3+'Costos variables'!$B$4+'Costos variables'!$B$7,IF(D14&gt;10,'Costos variables'!$B$3*2+'Costos variables'!$B$5+'Costos variables'!$B$6+'Costos variables'!$B$4+'Costos variables'!$B$7)))</f>
        <v>611400</v>
      </c>
      <c r="J40" s="29">
        <f t="shared" si="11"/>
        <v>-611400</v>
      </c>
    </row>
    <row r="41" spans="8:10" x14ac:dyDescent="0.25">
      <c r="H41" s="1" t="s">
        <v>90</v>
      </c>
      <c r="I41" s="1" t="s">
        <v>91</v>
      </c>
      <c r="J41" s="1" t="s">
        <v>92</v>
      </c>
    </row>
    <row r="42" spans="8:10" x14ac:dyDescent="0.25">
      <c r="H42" s="29">
        <f t="shared" ref="H42:H53" si="12">E3*$G$3</f>
        <v>12000000</v>
      </c>
      <c r="I42" s="29">
        <f>IF(E3&lt;=4,'Costos variables'!$B$4+'Costos variables'!$B$7,IF(E3&lt;=10,'Costos variables'!$B$3+'Costos variables'!$B$4+'Costos variables'!$B$7,IF(E3&gt;10,'Costos variables'!$B$3*2+'Costos variables'!$B$5+'Costos variables'!$B$6+'Costos variables'!$B$4+'Costos variables'!$B$7)))</f>
        <v>611400</v>
      </c>
      <c r="J42" s="29">
        <f>H42-I42</f>
        <v>11388600</v>
      </c>
    </row>
    <row r="43" spans="8:10" x14ac:dyDescent="0.25">
      <c r="H43" s="29">
        <f t="shared" si="12"/>
        <v>12000000</v>
      </c>
      <c r="I43" s="29">
        <f>IF(E4&lt;=4,'Costos variables'!$B$4+'Costos variables'!$B$7,IF(E4&lt;=10,'Costos variables'!$B$3+'Costos variables'!$B$4+'Costos variables'!$B$7,IF(E4&gt;10,'Costos variables'!$B$3*2+'Costos variables'!$B$5+'Costos variables'!$B$6+'Costos variables'!$B$4+'Costos variables'!$B$7)))</f>
        <v>611400</v>
      </c>
      <c r="J43" s="29">
        <f t="shared" ref="J43:J53" si="13">H43-I43</f>
        <v>11388600</v>
      </c>
    </row>
    <row r="44" spans="8:10" x14ac:dyDescent="0.25">
      <c r="H44" s="29">
        <f t="shared" si="12"/>
        <v>0</v>
      </c>
      <c r="I44" s="29">
        <f>IF(E5&lt;=4,'Costos variables'!$B$4+'Costos variables'!$B$7,IF(E5&lt;=10,'Costos variables'!$B$3+'Costos variables'!$B$4+'Costos variables'!$B$7,IF(E5&gt;10,'Costos variables'!$B$3*2+'Costos variables'!$B$5+'Costos variables'!$B$6+'Costos variables'!$B$4+'Costos variables'!$B$7)))</f>
        <v>611400</v>
      </c>
      <c r="J44" s="29">
        <f t="shared" si="13"/>
        <v>-611400</v>
      </c>
    </row>
    <row r="45" spans="8:10" x14ac:dyDescent="0.25">
      <c r="H45" s="29">
        <f t="shared" si="12"/>
        <v>24000000</v>
      </c>
      <c r="I45" s="29">
        <f>IF(E6&lt;=4,'Costos variables'!$B$4+'Costos variables'!$B$7,IF(E6&lt;=10,'Costos variables'!$B$3+'Costos variables'!$B$4+'Costos variables'!$B$7,IF(E6&gt;10,'Costos variables'!$B$3*2+'Costos variables'!$B$5+'Costos variables'!$B$6+'Costos variables'!$B$4+'Costos variables'!$B$7)))</f>
        <v>611400</v>
      </c>
      <c r="J45" s="29">
        <f t="shared" si="13"/>
        <v>23388600</v>
      </c>
    </row>
    <row r="46" spans="8:10" x14ac:dyDescent="0.25">
      <c r="H46" s="29">
        <f t="shared" si="12"/>
        <v>0</v>
      </c>
      <c r="I46" s="29">
        <f>IF(E7&lt;=4,'Costos variables'!$B$4+'Costos variables'!$B$7,IF(E7&lt;=10,'Costos variables'!$B$3+'Costos variables'!$B$4+'Costos variables'!$B$7,IF(E7&gt;10,'Costos variables'!$B$3*2+'Costos variables'!$B$5+'Costos variables'!$B$6+'Costos variables'!$B$4+'Costos variables'!$B$7)))</f>
        <v>611400</v>
      </c>
      <c r="J46" s="29">
        <f t="shared" si="13"/>
        <v>-611400</v>
      </c>
    </row>
    <row r="47" spans="8:10" x14ac:dyDescent="0.25">
      <c r="H47" s="29">
        <f t="shared" si="12"/>
        <v>24000000</v>
      </c>
      <c r="I47" s="29">
        <f>IF(E8&lt;=4,'Costos variables'!$B$4+'Costos variables'!$B$7,IF(E8&lt;=10,'Costos variables'!$B$3+'Costos variables'!$B$4+'Costos variables'!$B$7,IF(E8&gt;10,'Costos variables'!$B$3*2+'Costos variables'!$B$5+'Costos variables'!$B$6+'Costos variables'!$B$4+'Costos variables'!$B$7)))</f>
        <v>611400</v>
      </c>
      <c r="J47" s="29">
        <f t="shared" si="13"/>
        <v>23388600</v>
      </c>
    </row>
    <row r="48" spans="8:10" x14ac:dyDescent="0.25">
      <c r="H48" s="29">
        <f t="shared" si="12"/>
        <v>12000000</v>
      </c>
      <c r="I48" s="29">
        <f>IF(E9&lt;=4,'Costos variables'!$B$4+'Costos variables'!$B$7,IF(E9&lt;=10,'Costos variables'!$B$3+'Costos variables'!$B$4+'Costos variables'!$B$7,IF(E9&gt;10,'Costos variables'!$B$3*2+'Costos variables'!$B$5+'Costos variables'!$B$6+'Costos variables'!$B$4+'Costos variables'!$B$7)))</f>
        <v>611400</v>
      </c>
      <c r="J48" s="29">
        <f t="shared" si="13"/>
        <v>11388600</v>
      </c>
    </row>
    <row r="49" spans="8:10" x14ac:dyDescent="0.25">
      <c r="H49" s="29">
        <f t="shared" si="12"/>
        <v>0</v>
      </c>
      <c r="I49" s="29">
        <f>IF(E10&lt;=4,'Costos variables'!$B$4+'Costos variables'!$B$7,IF(E10&lt;=10,'Costos variables'!$B$3+'Costos variables'!$B$4+'Costos variables'!$B$7,IF(E10&gt;10,'Costos variables'!$B$3*2+'Costos variables'!$B$5+'Costos variables'!$B$6+'Costos variables'!$B$4+'Costos variables'!$B$7)))</f>
        <v>611400</v>
      </c>
      <c r="J49" s="29">
        <f t="shared" si="13"/>
        <v>-611400</v>
      </c>
    </row>
    <row r="50" spans="8:10" x14ac:dyDescent="0.25">
      <c r="H50" s="29">
        <f t="shared" si="12"/>
        <v>24000000</v>
      </c>
      <c r="I50" s="29">
        <f>IF(E11&lt;=4,'Costos variables'!$B$4+'Costos variables'!$B$7,IF(E11&lt;=10,'Costos variables'!$B$3+'Costos variables'!$B$4+'Costos variables'!$B$7,IF(E11&gt;10,'Costos variables'!$B$3*2+'Costos variables'!$B$5+'Costos variables'!$B$6+'Costos variables'!$B$4+'Costos variables'!$B$7)))</f>
        <v>611400</v>
      </c>
      <c r="J50" s="29">
        <f t="shared" si="13"/>
        <v>23388600</v>
      </c>
    </row>
    <row r="51" spans="8:10" x14ac:dyDescent="0.25">
      <c r="H51" s="29">
        <f t="shared" si="12"/>
        <v>0</v>
      </c>
      <c r="I51" s="29">
        <f>IF(E12&lt;=4,'Costos variables'!$B$4+'Costos variables'!$B$7,IF(E12&lt;=10,'Costos variables'!$B$3+'Costos variables'!$B$4+'Costos variables'!$B$7,IF(E12&gt;10,'Costos variables'!$B$3*2+'Costos variables'!$B$5+'Costos variables'!$B$6+'Costos variables'!$B$4+'Costos variables'!$B$7)))</f>
        <v>611400</v>
      </c>
      <c r="J51" s="29">
        <f t="shared" si="13"/>
        <v>-611400</v>
      </c>
    </row>
    <row r="52" spans="8:10" x14ac:dyDescent="0.25">
      <c r="H52" s="29">
        <f t="shared" si="12"/>
        <v>24000000</v>
      </c>
      <c r="I52" s="29">
        <f>IF(E13&lt;=4,'Costos variables'!$B$4+'Costos variables'!$B$7,IF(E13&lt;=10,'Costos variables'!$B$3+'Costos variables'!$B$4+'Costos variables'!$B$7,IF(E13&gt;10,'Costos variables'!$B$3*2+'Costos variables'!$B$5+'Costos variables'!$B$6+'Costos variables'!$B$4+'Costos variables'!$B$7)))</f>
        <v>611400</v>
      </c>
      <c r="J52" s="29">
        <f t="shared" si="13"/>
        <v>23388600</v>
      </c>
    </row>
    <row r="53" spans="8:10" x14ac:dyDescent="0.25">
      <c r="H53" s="29">
        <f t="shared" si="12"/>
        <v>12000000</v>
      </c>
      <c r="I53" s="29">
        <f>IF(E14&lt;=4,'Costos variables'!$B$4+'Costos variables'!$B$7,IF(E14&lt;=10,'Costos variables'!$B$3+'Costos variables'!$B$4+'Costos variables'!$B$7,IF(E14&gt;10,'Costos variables'!$B$3*2+'Costos variables'!$B$5+'Costos variables'!$B$6+'Costos variables'!$B$4+'Costos variables'!$B$7)))</f>
        <v>611400</v>
      </c>
      <c r="J53" s="29">
        <f t="shared" si="13"/>
        <v>11388600</v>
      </c>
    </row>
    <row r="54" spans="8:10" x14ac:dyDescent="0.25">
      <c r="H54" s="1" t="s">
        <v>90</v>
      </c>
      <c r="I54" s="1" t="s">
        <v>91</v>
      </c>
      <c r="J54" s="1" t="s">
        <v>92</v>
      </c>
    </row>
    <row r="55" spans="8:10" x14ac:dyDescent="0.25">
      <c r="H55" s="29">
        <f t="shared" ref="H55:H66" si="14">F3*$G$3</f>
        <v>24000000</v>
      </c>
      <c r="I55" s="29">
        <f>IF(F3&lt;=4,'Costos variables'!$B$4+'Costos variables'!$B$7,IF(F3&lt;=10,'Costos variables'!$B$3+'Costos variables'!$B$4+'Costos variables'!$B$7,IF(F3&gt;10,'Costos variables'!$B$3*2+'Costos variables'!$B$5+'Costos variables'!$B$6+'Costos variables'!$B$4+'Costos variables'!$B$7)))</f>
        <v>611400</v>
      </c>
      <c r="J55" s="29">
        <f>H55-I55</f>
        <v>23388600</v>
      </c>
    </row>
    <row r="56" spans="8:10" x14ac:dyDescent="0.25">
      <c r="H56" s="29">
        <f t="shared" si="14"/>
        <v>36000000</v>
      </c>
      <c r="I56" s="29">
        <f>IF(F4&lt;=4,'Costos variables'!$B$4+'Costos variables'!$B$7,IF(F4&lt;=10,'Costos variables'!$B$3+'Costos variables'!$B$4+'Costos variables'!$B$7,IF(F4&gt;10,'Costos variables'!$B$3*2+'Costos variables'!$B$5+'Costos variables'!$B$6+'Costos variables'!$B$4+'Costos variables'!$B$7)))</f>
        <v>611400</v>
      </c>
      <c r="J56" s="29">
        <f t="shared" ref="J56:J66" si="15">H56-I56</f>
        <v>35388600</v>
      </c>
    </row>
    <row r="57" spans="8:10" x14ac:dyDescent="0.25">
      <c r="H57" s="29">
        <f t="shared" si="14"/>
        <v>0</v>
      </c>
      <c r="I57" s="29">
        <f>IF(F5&lt;=4,'Costos variables'!$B$4+'Costos variables'!$B$7,IF(F5&lt;=10,'Costos variables'!$B$3+'Costos variables'!$B$4+'Costos variables'!$B$7,IF(F5&gt;10,'Costos variables'!$B$3*2+'Costos variables'!$B$5+'Costos variables'!$B$6+'Costos variables'!$B$4+'Costos variables'!$B$7)))</f>
        <v>611400</v>
      </c>
      <c r="J57" s="29">
        <f t="shared" si="15"/>
        <v>-611400</v>
      </c>
    </row>
    <row r="58" spans="8:10" x14ac:dyDescent="0.25">
      <c r="H58" s="29">
        <f t="shared" si="14"/>
        <v>24000000</v>
      </c>
      <c r="I58" s="29">
        <f>IF(F6&lt;=4,'Costos variables'!$B$4+'Costos variables'!$B$7,IF(F6&lt;=10,'Costos variables'!$B$3+'Costos variables'!$B$4+'Costos variables'!$B$7,IF(F6&gt;10,'Costos variables'!$B$3*2+'Costos variables'!$B$5+'Costos variables'!$B$6+'Costos variables'!$B$4+'Costos variables'!$B$7)))</f>
        <v>611400</v>
      </c>
      <c r="J58" s="29">
        <f t="shared" si="15"/>
        <v>23388600</v>
      </c>
    </row>
    <row r="59" spans="8:10" x14ac:dyDescent="0.25">
      <c r="H59" s="29">
        <f t="shared" si="14"/>
        <v>24000000</v>
      </c>
      <c r="I59" s="29">
        <f>IF(F7&lt;=4,'Costos variables'!$B$4+'Costos variables'!$B$7,IF(F7&lt;=10,'Costos variables'!$B$3+'Costos variables'!$B$4+'Costos variables'!$B$7,IF(F7&gt;10,'Costos variables'!$B$3*2+'Costos variables'!$B$5+'Costos variables'!$B$6+'Costos variables'!$B$4+'Costos variables'!$B$7)))</f>
        <v>611400</v>
      </c>
      <c r="J59" s="29">
        <f t="shared" si="15"/>
        <v>23388600</v>
      </c>
    </row>
    <row r="60" spans="8:10" x14ac:dyDescent="0.25">
      <c r="H60" s="29">
        <f t="shared" si="14"/>
        <v>0</v>
      </c>
      <c r="I60" s="29">
        <f>IF(F8&lt;=4,'Costos variables'!$B$4+'Costos variables'!$B$7,IF(F8&lt;=10,'Costos variables'!$B$3+'Costos variables'!$B$4+'Costos variables'!$B$7,IF(F8&gt;10,'Costos variables'!$B$3*2+'Costos variables'!$B$5+'Costos variables'!$B$6+'Costos variables'!$B$4+'Costos variables'!$B$7)))</f>
        <v>611400</v>
      </c>
      <c r="J60" s="29">
        <f t="shared" si="15"/>
        <v>-611400</v>
      </c>
    </row>
    <row r="61" spans="8:10" x14ac:dyDescent="0.25">
      <c r="H61" s="29">
        <f t="shared" si="14"/>
        <v>12000000</v>
      </c>
      <c r="I61" s="29">
        <f>IF(F9&lt;=4,'Costos variables'!$B$4+'Costos variables'!$B$7,IF(F9&lt;=10,'Costos variables'!$B$3+'Costos variables'!$B$4+'Costos variables'!$B$7,IF(F9&gt;10,'Costos variables'!$B$3*2+'Costos variables'!$B$5+'Costos variables'!$B$6+'Costos variables'!$B$4+'Costos variables'!$B$7)))</f>
        <v>611400</v>
      </c>
      <c r="J61" s="29">
        <f t="shared" si="15"/>
        <v>11388600</v>
      </c>
    </row>
    <row r="62" spans="8:10" x14ac:dyDescent="0.25">
      <c r="H62" s="29">
        <f t="shared" si="14"/>
        <v>0</v>
      </c>
      <c r="I62" s="29">
        <f>IF(F10&lt;=4,'Costos variables'!$B$4+'Costos variables'!$B$7,IF(F10&lt;=10,'Costos variables'!$B$3+'Costos variables'!$B$4+'Costos variables'!$B$7,IF(F10&gt;10,'Costos variables'!$B$3*2+'Costos variables'!$B$5+'Costos variables'!$B$6+'Costos variables'!$B$4+'Costos variables'!$B$7)))</f>
        <v>611400</v>
      </c>
      <c r="J62" s="29">
        <f t="shared" si="15"/>
        <v>-611400</v>
      </c>
    </row>
    <row r="63" spans="8:10" x14ac:dyDescent="0.25">
      <c r="H63" s="29">
        <f t="shared" si="14"/>
        <v>24000000</v>
      </c>
      <c r="I63" s="29">
        <f>IF(F11&lt;=4,'Costos variables'!$B$4+'Costos variables'!$B$7,IF(F11&lt;=10,'Costos variables'!$B$3+'Costos variables'!$B$4+'Costos variables'!$B$7,IF(F11&gt;10,'Costos variables'!$B$3*2+'Costos variables'!$B$5+'Costos variables'!$B$6+'Costos variables'!$B$4+'Costos variables'!$B$7)))</f>
        <v>611400</v>
      </c>
      <c r="J63" s="29">
        <f t="shared" si="15"/>
        <v>23388600</v>
      </c>
    </row>
    <row r="64" spans="8:10" x14ac:dyDescent="0.25">
      <c r="H64" s="29">
        <f t="shared" si="14"/>
        <v>0</v>
      </c>
      <c r="I64" s="29">
        <f>IF(F12&lt;=4,'Costos variables'!$B$4+'Costos variables'!$B$7,IF(F12&lt;=10,'Costos variables'!$B$3+'Costos variables'!$B$4+'Costos variables'!$B$7,IF(F12&gt;10,'Costos variables'!$B$3*2+'Costos variables'!$B$5+'Costos variables'!$B$6+'Costos variables'!$B$4+'Costos variables'!$B$7)))</f>
        <v>611400</v>
      </c>
      <c r="J64" s="29">
        <f t="shared" si="15"/>
        <v>-611400</v>
      </c>
    </row>
    <row r="65" spans="8:10" x14ac:dyDescent="0.25">
      <c r="H65" s="29">
        <f t="shared" si="14"/>
        <v>36000000</v>
      </c>
      <c r="I65" s="29">
        <f>IF(F13&lt;=4,'Costos variables'!$B$4+'Costos variables'!$B$7,IF(F13&lt;=10,'Costos variables'!$B$3+'Costos variables'!$B$4+'Costos variables'!$B$7,IF(F13&gt;10,'Costos variables'!$B$3*2+'Costos variables'!$B$5+'Costos variables'!$B$6+'Costos variables'!$B$4+'Costos variables'!$B$7)))</f>
        <v>611400</v>
      </c>
      <c r="J65" s="29">
        <f t="shared" si="15"/>
        <v>35388600</v>
      </c>
    </row>
    <row r="66" spans="8:10" x14ac:dyDescent="0.25">
      <c r="H66" s="29">
        <f t="shared" si="14"/>
        <v>0</v>
      </c>
      <c r="I66" s="29">
        <f>IF(F14&lt;=4,'Costos variables'!$B$4+'Costos variables'!$B$7,IF(F14&lt;=10,'Costos variables'!$B$3+'Costos variables'!$B$4+'Costos variables'!$B$7,IF(F14&gt;10,'Costos variables'!$B$3*2+'Costos variables'!$B$5+'Costos variables'!$B$6+'Costos variables'!$B$4+'Costos variables'!$B$7)))</f>
        <v>611400</v>
      </c>
      <c r="J66" s="29">
        <f t="shared" si="15"/>
        <v>-611400</v>
      </c>
    </row>
  </sheetData>
  <mergeCells count="2">
    <mergeCell ref="A1:F1"/>
    <mergeCell ref="A15:A28"/>
  </mergeCells>
  <phoneticPr fontId="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6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38" bestFit="1" customWidth="1"/>
    <col min="2" max="3" width="15.85546875" bestFit="1" customWidth="1"/>
    <col min="4" max="7" width="15.140625" bestFit="1" customWidth="1"/>
    <col min="8" max="8" width="14.140625" bestFit="1" customWidth="1"/>
  </cols>
  <sheetData>
    <row r="1" spans="1:8" x14ac:dyDescent="0.25">
      <c r="A1" s="153" t="s">
        <v>144</v>
      </c>
      <c r="B1" s="153" t="s">
        <v>93</v>
      </c>
      <c r="C1" s="153" t="s">
        <v>94</v>
      </c>
      <c r="D1" s="153" t="s">
        <v>95</v>
      </c>
      <c r="E1" s="153" t="s">
        <v>96</v>
      </c>
      <c r="F1" s="153" t="s">
        <v>97</v>
      </c>
    </row>
    <row r="2" spans="1:8" x14ac:dyDescent="0.25">
      <c r="A2" s="38" t="s">
        <v>185</v>
      </c>
      <c r="B2" s="165">
        <f>'Presupuesto de ingresos'!C6</f>
        <v>98074666.666666672</v>
      </c>
      <c r="C2" s="165">
        <f>'Presupuesto de ingresos'!D6</f>
        <v>143701318.66666663</v>
      </c>
      <c r="D2" s="165">
        <f>'Presupuesto de ingresos'!E6</f>
        <v>230872294.63733327</v>
      </c>
      <c r="E2" s="165">
        <f>'Presupuesto de ingresos'!F6</f>
        <v>265146601.87159461</v>
      </c>
      <c r="F2" s="165">
        <f>'Presupuesto de ingresos'!G6</f>
        <v>318373111.68573284</v>
      </c>
    </row>
    <row r="3" spans="1:8" x14ac:dyDescent="0.25">
      <c r="A3" s="159" t="s">
        <v>141</v>
      </c>
      <c r="B3" s="35">
        <v>0</v>
      </c>
      <c r="C3" s="35">
        <v>0</v>
      </c>
      <c r="D3" s="35">
        <v>0</v>
      </c>
      <c r="E3" s="35">
        <v>0</v>
      </c>
      <c r="F3" s="35">
        <v>0</v>
      </c>
    </row>
    <row r="4" spans="1:8" x14ac:dyDescent="0.25">
      <c r="A4" s="159" t="s">
        <v>142</v>
      </c>
      <c r="B4" s="35">
        <f>B2-B3</f>
        <v>98074666.666666672</v>
      </c>
      <c r="C4" s="35">
        <f t="shared" ref="C4:F4" si="0">C2-C3</f>
        <v>143701318.66666663</v>
      </c>
      <c r="D4" s="35">
        <f t="shared" si="0"/>
        <v>230872294.63733327</v>
      </c>
      <c r="E4" s="35">
        <f t="shared" si="0"/>
        <v>265146601.87159461</v>
      </c>
      <c r="F4" s="35">
        <f t="shared" si="0"/>
        <v>318373111.68573284</v>
      </c>
    </row>
    <row r="5" spans="1:8" x14ac:dyDescent="0.25">
      <c r="A5" s="193" t="s">
        <v>186</v>
      </c>
      <c r="B5" s="194"/>
      <c r="C5" s="194"/>
      <c r="D5" s="194"/>
      <c r="E5" s="194"/>
      <c r="F5" s="195"/>
      <c r="H5" s="23"/>
    </row>
    <row r="6" spans="1:8" x14ac:dyDescent="0.25">
      <c r="A6" s="159" t="s">
        <v>187</v>
      </c>
      <c r="B6" s="35">
        <f>Depreciación!$E$25</f>
        <v>4901680</v>
      </c>
      <c r="C6" s="35">
        <f>Depreciación!$E$25</f>
        <v>4901680</v>
      </c>
      <c r="D6" s="35">
        <f>Depreciación!$E$25</f>
        <v>4901680</v>
      </c>
      <c r="E6" s="35">
        <f>Depreciación!$E$25</f>
        <v>4901680</v>
      </c>
      <c r="F6" s="35">
        <f>Depreciación!$E$25</f>
        <v>4901680</v>
      </c>
      <c r="H6" s="23"/>
    </row>
    <row r="7" spans="1:8" x14ac:dyDescent="0.25">
      <c r="A7" s="159" t="s">
        <v>189</v>
      </c>
      <c r="B7" s="35">
        <f>'Presupuesto costos de producció'!C6+'Presupuesto gastos administrati'!C5+'Presupuesto gastos de venta'!C5</f>
        <v>117128388</v>
      </c>
      <c r="C7" s="35">
        <f>'Presupuesto costos de producció'!D6+'Presupuesto gastos administrati'!D5+'Presupuesto gastos de venta'!D5</f>
        <v>112613928.80399999</v>
      </c>
      <c r="D7" s="35">
        <f>'Presupuesto costos de producció'!E6+'Presupuesto gastos administrati'!E5+'Presupuesto gastos de venta'!E5</f>
        <v>149732056.59692401</v>
      </c>
      <c r="E7" s="35">
        <f>'Presupuesto costos de producció'!F6+'Presupuesto gastos administrati'!F5+'Presupuesto gastos de venta'!F5</f>
        <v>154373750.3514286</v>
      </c>
      <c r="F7" s="35">
        <f>'Presupuesto costos de producció'!G6+'Presupuesto gastos administrati'!G5+'Presupuesto gastos de venta'!G5</f>
        <v>203684616.11302575</v>
      </c>
    </row>
    <row r="8" spans="1:8" x14ac:dyDescent="0.25">
      <c r="A8" s="38" t="s">
        <v>188</v>
      </c>
      <c r="B8" s="165">
        <f>B6+B7</f>
        <v>122030068</v>
      </c>
      <c r="C8" s="165">
        <f t="shared" ref="C8:F8" si="1">C6+C7</f>
        <v>117515608.80399999</v>
      </c>
      <c r="D8" s="165">
        <f t="shared" si="1"/>
        <v>154633736.59692401</v>
      </c>
      <c r="E8" s="165">
        <f t="shared" si="1"/>
        <v>159275430.3514286</v>
      </c>
      <c r="F8" s="165">
        <f t="shared" si="1"/>
        <v>208586296.11302575</v>
      </c>
    </row>
    <row r="9" spans="1:8" x14ac:dyDescent="0.25">
      <c r="A9" s="2" t="s">
        <v>114</v>
      </c>
      <c r="B9" s="35">
        <f>B4-B8</f>
        <v>-23955401.333333328</v>
      </c>
      <c r="C9" s="35">
        <f t="shared" ref="C9:F9" si="2">C4-C8</f>
        <v>26185709.862666637</v>
      </c>
      <c r="D9" s="35">
        <f t="shared" si="2"/>
        <v>76238558.040409267</v>
      </c>
      <c r="E9" s="35">
        <f t="shared" si="2"/>
        <v>105871171.52016601</v>
      </c>
      <c r="F9" s="35">
        <f t="shared" si="2"/>
        <v>109786815.57270709</v>
      </c>
    </row>
    <row r="10" spans="1:8" x14ac:dyDescent="0.25">
      <c r="A10" s="159" t="s">
        <v>206</v>
      </c>
      <c r="B10" s="35">
        <f>Amortizaciones!A82</f>
        <v>4261902.5876980191</v>
      </c>
      <c r="C10" s="35">
        <f>Amortizaciones!A83</f>
        <v>3492521.0369023392</v>
      </c>
      <c r="D10" s="35">
        <f>Amortizaciones!A84</f>
        <v>2635807.2363581844</v>
      </c>
      <c r="E10" s="35">
        <f>Amortizaciones!A85</f>
        <v>1681848.1307833705</v>
      </c>
      <c r="F10" s="35">
        <f>Amortizaciones!A86</f>
        <v>619605.43721280433</v>
      </c>
    </row>
    <row r="11" spans="1:8" x14ac:dyDescent="0.25">
      <c r="A11" s="159" t="s">
        <v>140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23"/>
    </row>
    <row r="12" spans="1:8" x14ac:dyDescent="0.25">
      <c r="A12" s="159" t="s">
        <v>86</v>
      </c>
      <c r="B12" s="35">
        <f>B9-B10-B11</f>
        <v>-28217303.921031348</v>
      </c>
      <c r="C12" s="35">
        <f t="shared" ref="C12:F12" si="3">C9-C10-C11</f>
        <v>22693188.825764298</v>
      </c>
      <c r="D12" s="35">
        <f t="shared" si="3"/>
        <v>73602750.804051086</v>
      </c>
      <c r="E12" s="35">
        <f t="shared" si="3"/>
        <v>104189323.38938265</v>
      </c>
      <c r="F12" s="35">
        <f t="shared" si="3"/>
        <v>109167210.13549428</v>
      </c>
      <c r="G12" s="19"/>
    </row>
    <row r="13" spans="1:8" x14ac:dyDescent="0.25">
      <c r="A13" s="159" t="s">
        <v>166</v>
      </c>
      <c r="B13" s="35">
        <f>ABS(B12*31%)</f>
        <v>8747364.2155197188</v>
      </c>
      <c r="C13" s="35">
        <f t="shared" ref="C13:F13" si="4">ABS(C12*31%)</f>
        <v>7034888.5359869329</v>
      </c>
      <c r="D13" s="35">
        <f t="shared" si="4"/>
        <v>22816852.749255836</v>
      </c>
      <c r="E13" s="35">
        <f t="shared" si="4"/>
        <v>32298690.250708621</v>
      </c>
      <c r="F13" s="35">
        <f t="shared" si="4"/>
        <v>33841835.142003223</v>
      </c>
    </row>
    <row r="14" spans="1:8" x14ac:dyDescent="0.25">
      <c r="A14" s="38" t="s">
        <v>113</v>
      </c>
      <c r="B14" s="165">
        <f>B12-B13</f>
        <v>-36964668.136551067</v>
      </c>
      <c r="C14" s="165">
        <f t="shared" ref="C14:F14" si="5">C12-C13</f>
        <v>15658300.289777365</v>
      </c>
      <c r="D14" s="165">
        <f t="shared" si="5"/>
        <v>50785898.05479525</v>
      </c>
      <c r="E14" s="165">
        <f t="shared" si="5"/>
        <v>71890633.138674021</v>
      </c>
      <c r="F14" s="165">
        <f t="shared" si="5"/>
        <v>75325374.993491054</v>
      </c>
    </row>
    <row r="15" spans="1:8" x14ac:dyDescent="0.25">
      <c r="A15" s="159" t="s">
        <v>143</v>
      </c>
      <c r="B15" s="161">
        <f>B14/B2</f>
        <v>-0.3769033267498681</v>
      </c>
      <c r="C15" s="161">
        <f t="shared" ref="C15:F15" si="6">C14/C2</f>
        <v>0.10896420739254851</v>
      </c>
      <c r="D15" s="161">
        <f t="shared" si="6"/>
        <v>0.21997398230295451</v>
      </c>
      <c r="E15" s="161">
        <f t="shared" si="6"/>
        <v>0.27113541199931829</v>
      </c>
      <c r="F15" s="161">
        <f t="shared" si="6"/>
        <v>0.2365946502035165</v>
      </c>
    </row>
    <row r="16" spans="1:8" x14ac:dyDescent="0.25">
      <c r="A16" s="46"/>
      <c r="B16" s="46"/>
      <c r="C16" s="46"/>
      <c r="D16" s="46"/>
      <c r="E16" s="46"/>
      <c r="F16" s="46"/>
    </row>
  </sheetData>
  <mergeCells count="1">
    <mergeCell ref="A5:F5"/>
  </mergeCells>
  <phoneticPr fontId="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G30"/>
  <sheetViews>
    <sheetView topLeftCell="A8" workbookViewId="0">
      <selection activeCell="C22" sqref="C22"/>
    </sheetView>
  </sheetViews>
  <sheetFormatPr baseColWidth="10" defaultRowHeight="15" x14ac:dyDescent="0.25"/>
  <cols>
    <col min="2" max="2" width="33" bestFit="1" customWidth="1"/>
    <col min="3" max="3" width="15.85546875" bestFit="1" customWidth="1"/>
    <col min="4" max="4" width="20.28515625" bestFit="1" customWidth="1"/>
    <col min="5" max="7" width="16.85546875" bestFit="1" customWidth="1"/>
    <col min="8" max="8" width="15.140625" bestFit="1" customWidth="1"/>
  </cols>
  <sheetData>
    <row r="1" spans="2:7" x14ac:dyDescent="0.25">
      <c r="B1" s="159" t="s">
        <v>144</v>
      </c>
      <c r="C1" s="153" t="s">
        <v>93</v>
      </c>
      <c r="D1" s="153" t="s">
        <v>94</v>
      </c>
      <c r="E1" s="153" t="s">
        <v>95</v>
      </c>
      <c r="F1" s="153" t="s">
        <v>96</v>
      </c>
      <c r="G1" s="153" t="s">
        <v>97</v>
      </c>
    </row>
    <row r="2" spans="2:7" x14ac:dyDescent="0.25">
      <c r="B2" s="160" t="s">
        <v>168</v>
      </c>
      <c r="C2" s="160"/>
      <c r="D2" s="160"/>
      <c r="E2" s="160"/>
      <c r="F2" s="160"/>
      <c r="G2" s="160"/>
    </row>
    <row r="3" spans="2:7" x14ac:dyDescent="0.25">
      <c r="B3" s="159" t="s">
        <v>201</v>
      </c>
      <c r="C3" s="166">
        <v>0</v>
      </c>
      <c r="D3" s="166">
        <f>C22</f>
        <v>-30093738.21912428</v>
      </c>
      <c r="E3" s="166">
        <f>D22</f>
        <v>-18793729.45776831</v>
      </c>
      <c r="F3" s="166">
        <f>E22</f>
        <v>44271603.160863087</v>
      </c>
      <c r="G3" s="166">
        <f>F22</f>
        <v>121187585.0459823</v>
      </c>
    </row>
    <row r="4" spans="2:7" x14ac:dyDescent="0.25">
      <c r="B4" s="159" t="s">
        <v>167</v>
      </c>
      <c r="C4" s="35">
        <f>'Estado de resultados'!B14</f>
        <v>-36964668.136551067</v>
      </c>
      <c r="D4" s="35">
        <f>'Estado de resultados'!C14</f>
        <v>15658300.289777365</v>
      </c>
      <c r="E4" s="35">
        <f>'Estado de resultados'!D14</f>
        <v>50785898.05479525</v>
      </c>
      <c r="F4" s="35">
        <f>'Estado de resultados'!E14</f>
        <v>71890633.138674021</v>
      </c>
      <c r="G4" s="35">
        <f>'Estado de resultados'!F14</f>
        <v>75325374.993491054</v>
      </c>
    </row>
    <row r="5" spans="2:7" x14ac:dyDescent="0.25">
      <c r="B5" s="159" t="s">
        <v>133</v>
      </c>
      <c r="C5" s="35">
        <f>SUM(Depreciación!$B$25:$D$25)</f>
        <v>4901680</v>
      </c>
      <c r="D5" s="35">
        <f>SUM(Depreciación!$B$25:$D$25)</f>
        <v>4901680</v>
      </c>
      <c r="E5" s="35">
        <f>SUM(Depreciación!$B$25:$D$25)</f>
        <v>4901680</v>
      </c>
      <c r="F5" s="35">
        <f>SUM(Depreciación!$B$25:$D$25)</f>
        <v>4901680</v>
      </c>
      <c r="G5" s="35">
        <f>SUM(Depreciación!$B$25:$D$25)</f>
        <v>4901680</v>
      </c>
    </row>
    <row r="6" spans="2:7" x14ac:dyDescent="0.25">
      <c r="B6" s="159" t="s">
        <v>204</v>
      </c>
      <c r="C6" s="35">
        <f>'Estado de resultados'!B13</f>
        <v>8747364.2155197188</v>
      </c>
      <c r="D6" s="35">
        <f>'Estado de resultados'!C13</f>
        <v>7034888.5359869329</v>
      </c>
      <c r="E6" s="35">
        <f>'Estado de resultados'!D13</f>
        <v>22816852.749255836</v>
      </c>
      <c r="F6" s="35">
        <f>'Estado de resultados'!E13</f>
        <v>32298690.250708621</v>
      </c>
      <c r="G6" s="35">
        <f>'Estado de resultados'!F13</f>
        <v>33841835.142003223</v>
      </c>
    </row>
    <row r="7" spans="2:7" x14ac:dyDescent="0.25">
      <c r="B7" s="159" t="s">
        <v>169</v>
      </c>
      <c r="C7" s="35">
        <f>SUM(Amortizaciones!E18:E29)</f>
        <v>6778114.2980929296</v>
      </c>
      <c r="D7" s="35">
        <f>SUM(Amortizaciones!E30:E41)</f>
        <v>7547495.8488886077</v>
      </c>
      <c r="E7" s="35">
        <f>SUM(Amortizaciones!E42:E53)</f>
        <v>8404209.6494327635</v>
      </c>
      <c r="F7" s="35">
        <f>SUM(Amortizaciones!E54:E65)</f>
        <v>9358168.7550075762</v>
      </c>
      <c r="G7" s="35">
        <f>SUM(Amortizaciones!E66:E77)</f>
        <v>10420411.448578143</v>
      </c>
    </row>
    <row r="8" spans="2:7" x14ac:dyDescent="0.25">
      <c r="B8" s="167" t="s">
        <v>172</v>
      </c>
      <c r="C8" s="168">
        <f>+C4+C5-C7+C6</f>
        <v>-30093738.21912428</v>
      </c>
      <c r="D8" s="168">
        <f>+D4+D5-D7+D6+D3-C6</f>
        <v>-18793729.45776831</v>
      </c>
      <c r="E8" s="168">
        <f>+E4+E5-E7+E6+E3-D6</f>
        <v>44271603.160863087</v>
      </c>
      <c r="F8" s="168">
        <f>+F4+F5-F7+F6+F3-E6</f>
        <v>121187585.0459823</v>
      </c>
      <c r="G8" s="168">
        <f>+G4+G5-G7+G6+G3-F6</f>
        <v>192537373.4821898</v>
      </c>
    </row>
    <row r="9" spans="2:7" x14ac:dyDescent="0.25">
      <c r="B9" s="160" t="s">
        <v>170</v>
      </c>
      <c r="C9" s="160"/>
      <c r="D9" s="160"/>
      <c r="E9" s="160"/>
      <c r="F9" s="160"/>
      <c r="G9" s="160"/>
    </row>
    <row r="10" spans="2:7" x14ac:dyDescent="0.25">
      <c r="B10" s="159" t="s">
        <v>190</v>
      </c>
      <c r="C10" s="35">
        <f>Amortizaciones!E2+Amortizaciones!E5</f>
        <v>5129000</v>
      </c>
      <c r="D10" s="35">
        <v>0</v>
      </c>
      <c r="E10" s="35">
        <v>0</v>
      </c>
      <c r="F10" s="35">
        <v>0</v>
      </c>
      <c r="G10" s="35">
        <v>0</v>
      </c>
    </row>
    <row r="11" spans="2:7" x14ac:dyDescent="0.25">
      <c r="B11" s="159" t="s">
        <v>162</v>
      </c>
      <c r="C11" s="35">
        <f>Amortizaciones!E3+Amortizaciones!E4</f>
        <v>1379400</v>
      </c>
      <c r="D11" s="35">
        <v>0</v>
      </c>
      <c r="E11" s="35">
        <v>0</v>
      </c>
      <c r="F11" s="35">
        <v>0</v>
      </c>
      <c r="G11" s="35">
        <v>0</v>
      </c>
    </row>
    <row r="12" spans="2:7" x14ac:dyDescent="0.25">
      <c r="B12" s="159" t="s">
        <v>209</v>
      </c>
      <c r="C12" s="35">
        <f>Amortizaciones!E6</f>
        <v>36000000</v>
      </c>
      <c r="D12" s="35">
        <v>0</v>
      </c>
      <c r="E12" s="35">
        <v>0</v>
      </c>
      <c r="F12" s="35">
        <v>0</v>
      </c>
      <c r="G12" s="35">
        <v>0</v>
      </c>
    </row>
    <row r="13" spans="2:7" x14ac:dyDescent="0.25">
      <c r="B13" s="159"/>
      <c r="C13" s="35"/>
      <c r="D13" s="35"/>
      <c r="E13" s="35"/>
      <c r="F13" s="35"/>
      <c r="G13" s="35"/>
    </row>
    <row r="14" spans="2:7" x14ac:dyDescent="0.25">
      <c r="B14" s="159" t="s">
        <v>174</v>
      </c>
      <c r="C14" s="35">
        <f>inversiones!$B$62</f>
        <v>7517712</v>
      </c>
      <c r="D14" s="35">
        <f>inversiones!$B$62</f>
        <v>7517712</v>
      </c>
      <c r="E14" s="35">
        <f>inversiones!$B$62</f>
        <v>7517712</v>
      </c>
      <c r="F14" s="35">
        <f>inversiones!$B$62</f>
        <v>7517712</v>
      </c>
      <c r="G14" s="35">
        <f>inversiones!$B$62</f>
        <v>7517712</v>
      </c>
    </row>
    <row r="15" spans="2:7" x14ac:dyDescent="0.25">
      <c r="B15" s="167" t="s">
        <v>171</v>
      </c>
      <c r="C15" s="168">
        <f>SUM(C10:C14)</f>
        <v>50026112</v>
      </c>
      <c r="D15" s="168">
        <f t="shared" ref="D15:G15" si="0">SUM(D10:D14)</f>
        <v>7517712</v>
      </c>
      <c r="E15" s="168">
        <f t="shared" si="0"/>
        <v>7517712</v>
      </c>
      <c r="F15" s="168">
        <f t="shared" si="0"/>
        <v>7517712</v>
      </c>
      <c r="G15" s="168">
        <f t="shared" si="0"/>
        <v>7517712</v>
      </c>
    </row>
    <row r="16" spans="2:7" x14ac:dyDescent="0.25">
      <c r="B16" s="159"/>
      <c r="C16" s="159"/>
      <c r="D16" s="159"/>
      <c r="E16" s="159"/>
      <c r="F16" s="159"/>
      <c r="G16" s="159"/>
    </row>
    <row r="17" spans="2:7" x14ac:dyDescent="0.25">
      <c r="B17" s="160" t="s">
        <v>173</v>
      </c>
      <c r="C17" s="160"/>
      <c r="D17" s="160"/>
      <c r="E17" s="160"/>
      <c r="F17" s="160"/>
      <c r="G17" s="160"/>
    </row>
    <row r="18" spans="2:7" x14ac:dyDescent="0.25">
      <c r="B18" s="159" t="s">
        <v>208</v>
      </c>
      <c r="C18" s="35">
        <f>Amortizaciones!B10</f>
        <v>42508400</v>
      </c>
      <c r="D18" s="35">
        <v>0</v>
      </c>
      <c r="E18" s="35">
        <v>0</v>
      </c>
      <c r="F18" s="35">
        <v>0</v>
      </c>
      <c r="G18" s="35">
        <v>0</v>
      </c>
    </row>
    <row r="19" spans="2:7" x14ac:dyDescent="0.25">
      <c r="B19" s="159" t="s">
        <v>164</v>
      </c>
      <c r="C19" s="35">
        <f>inversiones!$B$62</f>
        <v>7517712</v>
      </c>
      <c r="D19" s="35">
        <f>inversiones!$B$62</f>
        <v>7517712</v>
      </c>
      <c r="E19" s="35">
        <f>inversiones!$B$62</f>
        <v>7517712</v>
      </c>
      <c r="F19" s="35">
        <f>inversiones!$B$62</f>
        <v>7517712</v>
      </c>
      <c r="G19" s="35">
        <f>inversiones!$B$62</f>
        <v>7517712</v>
      </c>
    </row>
    <row r="20" spans="2:7" x14ac:dyDescent="0.25">
      <c r="B20" s="167" t="s">
        <v>207</v>
      </c>
      <c r="C20" s="168">
        <f>+C18+C19</f>
        <v>50026112</v>
      </c>
      <c r="D20" s="168">
        <f t="shared" ref="D20:G20" si="1">+D18+D19</f>
        <v>7517712</v>
      </c>
      <c r="E20" s="168">
        <f t="shared" si="1"/>
        <v>7517712</v>
      </c>
      <c r="F20" s="168">
        <f t="shared" si="1"/>
        <v>7517712</v>
      </c>
      <c r="G20" s="168">
        <f t="shared" si="1"/>
        <v>7517712</v>
      </c>
    </row>
    <row r="21" spans="2:7" x14ac:dyDescent="0.25">
      <c r="B21" s="159"/>
      <c r="C21" s="159"/>
      <c r="D21" s="159"/>
      <c r="E21" s="159"/>
      <c r="F21" s="159"/>
      <c r="G21" s="159"/>
    </row>
    <row r="22" spans="2:7" x14ac:dyDescent="0.25">
      <c r="B22" s="159" t="s">
        <v>175</v>
      </c>
      <c r="C22" s="35">
        <f>C20+C8-C15</f>
        <v>-30093738.21912428</v>
      </c>
      <c r="D22" s="35">
        <f t="shared" ref="D22:G22" si="2">D20+D8-D15</f>
        <v>-18793729.45776831</v>
      </c>
      <c r="E22" s="35">
        <f t="shared" si="2"/>
        <v>44271603.160863087</v>
      </c>
      <c r="F22" s="35">
        <f t="shared" si="2"/>
        <v>121187585.0459823</v>
      </c>
      <c r="G22" s="35">
        <f t="shared" si="2"/>
        <v>192537373.4821898</v>
      </c>
    </row>
    <row r="30" spans="2:7" ht="13.5" customHeight="1" x14ac:dyDescent="0.25"/>
  </sheetData>
  <phoneticPr fontId="5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37"/>
  <sheetViews>
    <sheetView topLeftCell="A2" workbookViewId="0">
      <selection activeCell="E21" sqref="E21:E22"/>
    </sheetView>
  </sheetViews>
  <sheetFormatPr baseColWidth="10" defaultRowHeight="15" x14ac:dyDescent="0.25"/>
  <cols>
    <col min="1" max="1" width="27.140625" bestFit="1" customWidth="1"/>
    <col min="2" max="2" width="27.140625" customWidth="1"/>
    <col min="3" max="6" width="15.85546875" bestFit="1" customWidth="1"/>
    <col min="7" max="7" width="16.85546875" bestFit="1" customWidth="1"/>
    <col min="8" max="8" width="15.140625" bestFit="1" customWidth="1"/>
    <col min="9" max="12" width="13.140625" bestFit="1" customWidth="1"/>
  </cols>
  <sheetData>
    <row r="1" spans="1:12" x14ac:dyDescent="0.25">
      <c r="A1" s="169" t="s">
        <v>144</v>
      </c>
      <c r="B1" s="169"/>
      <c r="C1" s="169" t="s">
        <v>93</v>
      </c>
      <c r="D1" s="169" t="s">
        <v>94</v>
      </c>
      <c r="E1" s="169" t="s">
        <v>95</v>
      </c>
      <c r="F1" s="169" t="s">
        <v>96</v>
      </c>
      <c r="G1" s="169" t="s">
        <v>97</v>
      </c>
    </row>
    <row r="2" spans="1:12" x14ac:dyDescent="0.25">
      <c r="A2" s="160" t="s">
        <v>145</v>
      </c>
      <c r="B2" s="180"/>
      <c r="C2" s="181"/>
      <c r="D2" s="181"/>
      <c r="E2" s="181"/>
      <c r="F2" s="181"/>
      <c r="G2" s="182"/>
    </row>
    <row r="3" spans="1:12" x14ac:dyDescent="0.25">
      <c r="A3" s="159" t="s">
        <v>146</v>
      </c>
      <c r="B3" s="159" t="s">
        <v>163</v>
      </c>
      <c r="C3" s="35">
        <f>'Flujo de efectivo'!C22</f>
        <v>-30093738.21912428</v>
      </c>
      <c r="D3" s="35">
        <f>'Flujo de efectivo'!D22</f>
        <v>-18793729.45776831</v>
      </c>
      <c r="E3" s="35">
        <f>'Flujo de efectivo'!E22</f>
        <v>44271603.160863087</v>
      </c>
      <c r="F3" s="35">
        <f>'Flujo de efectivo'!F22</f>
        <v>121187585.0459823</v>
      </c>
      <c r="G3" s="35">
        <f>'Flujo de efectivo'!G22</f>
        <v>192537373.4821898</v>
      </c>
    </row>
    <row r="4" spans="1:12" x14ac:dyDescent="0.25">
      <c r="A4" s="159" t="s">
        <v>190</v>
      </c>
      <c r="B4" s="35">
        <f>Amortizaciones!$D$2+Amortizaciones!$D$5</f>
        <v>5129000</v>
      </c>
      <c r="C4" s="35">
        <f>Amortizaciones!$D$2+Amortizaciones!$D$5</f>
        <v>5129000</v>
      </c>
      <c r="D4" s="35">
        <f>Amortizaciones!$D$2+Amortizaciones!$D$5</f>
        <v>5129000</v>
      </c>
      <c r="E4" s="35">
        <f>Amortizaciones!$D$2+Amortizaciones!$D$5</f>
        <v>5129000</v>
      </c>
      <c r="F4" s="35">
        <f>Amortizaciones!$D$2+Amortizaciones!$D$5</f>
        <v>5129000</v>
      </c>
      <c r="G4" s="35">
        <f>Amortizaciones!$D$2+Amortizaciones!$D$5</f>
        <v>5129000</v>
      </c>
    </row>
    <row r="5" spans="1:12" x14ac:dyDescent="0.25">
      <c r="A5" s="159" t="s">
        <v>133</v>
      </c>
      <c r="B5" s="24"/>
      <c r="C5" s="3">
        <f>-Depreciación!$D$10</f>
        <v>-1025800</v>
      </c>
      <c r="D5" s="3">
        <f>C5*2</f>
        <v>-2051600</v>
      </c>
      <c r="E5" s="3">
        <f>C5*3</f>
        <v>-3077400</v>
      </c>
      <c r="F5" s="3">
        <f>C5*4</f>
        <v>-4103200</v>
      </c>
      <c r="G5" s="3">
        <f>C5*5</f>
        <v>-5129000</v>
      </c>
    </row>
    <row r="6" spans="1:12" x14ac:dyDescent="0.25">
      <c r="A6" s="159" t="s">
        <v>8</v>
      </c>
      <c r="B6" s="35">
        <f>Amortizaciones!$E$3+Amortizaciones!$E$4</f>
        <v>1379400</v>
      </c>
      <c r="C6" s="35">
        <f>Amortizaciones!$E$3+Amortizaciones!$E$4</f>
        <v>1379400</v>
      </c>
      <c r="D6" s="35">
        <f>Amortizaciones!$E$3+Amortizaciones!$E$4</f>
        <v>1379400</v>
      </c>
      <c r="E6" s="35">
        <f>Amortizaciones!$E$3+Amortizaciones!$E$4</f>
        <v>1379400</v>
      </c>
      <c r="F6" s="35">
        <f>Amortizaciones!$E$3+Amortizaciones!$E$4</f>
        <v>1379400</v>
      </c>
      <c r="G6" s="35">
        <f>Amortizaciones!$E$3+Amortizaciones!$E$4</f>
        <v>1379400</v>
      </c>
    </row>
    <row r="7" spans="1:12" x14ac:dyDescent="0.25">
      <c r="A7" s="159" t="s">
        <v>133</v>
      </c>
      <c r="B7" s="24"/>
      <c r="C7" s="3">
        <f>-Depreciación!$D$4</f>
        <v>-275880</v>
      </c>
      <c r="D7" s="3">
        <f>C7*2</f>
        <v>-551760</v>
      </c>
      <c r="E7" s="3">
        <f>C7*3</f>
        <v>-827640</v>
      </c>
      <c r="F7" s="3">
        <f>C7*4</f>
        <v>-1103520</v>
      </c>
      <c r="G7" s="3">
        <f>C7*5</f>
        <v>-1379400</v>
      </c>
      <c r="H7" s="23"/>
      <c r="I7" s="23"/>
      <c r="J7" s="23"/>
      <c r="K7" s="23"/>
      <c r="L7" s="23"/>
    </row>
    <row r="8" spans="1:12" x14ac:dyDescent="0.25">
      <c r="A8" s="159" t="s">
        <v>46</v>
      </c>
      <c r="B8" s="35">
        <f>Amortizaciones!$D$6</f>
        <v>36000000</v>
      </c>
      <c r="C8" s="35">
        <f>Amortizaciones!$D$6</f>
        <v>36000000</v>
      </c>
      <c r="D8" s="35">
        <f>Amortizaciones!$D$6</f>
        <v>36000000</v>
      </c>
      <c r="E8" s="35">
        <f>Amortizaciones!$D$6</f>
        <v>36000000</v>
      </c>
      <c r="F8" s="35">
        <f>Amortizaciones!$D$6</f>
        <v>36000000</v>
      </c>
      <c r="G8" s="35">
        <f>Amortizaciones!$D$6</f>
        <v>36000000</v>
      </c>
    </row>
    <row r="9" spans="1:12" x14ac:dyDescent="0.25">
      <c r="A9" s="159" t="s">
        <v>133</v>
      </c>
      <c r="B9" s="24"/>
      <c r="C9" s="35">
        <f>-Depreciación!$D$16</f>
        <v>-3600000</v>
      </c>
      <c r="D9" s="35">
        <f>C9*2</f>
        <v>-7200000</v>
      </c>
      <c r="E9" s="35">
        <f>C9*3</f>
        <v>-10800000</v>
      </c>
      <c r="F9" s="35">
        <f>C9*4</f>
        <v>-14400000</v>
      </c>
      <c r="G9" s="35">
        <f>C9*5</f>
        <v>-18000000</v>
      </c>
    </row>
    <row r="10" spans="1:12" x14ac:dyDescent="0.25">
      <c r="A10" s="159" t="s">
        <v>165</v>
      </c>
      <c r="B10" s="35"/>
      <c r="C10" s="35">
        <f>'Flujo de efectivo'!C19</f>
        <v>7517712</v>
      </c>
      <c r="D10" s="35">
        <f>'Flujo de efectivo'!D19</f>
        <v>7517712</v>
      </c>
      <c r="E10" s="35">
        <f>'Flujo de efectivo'!E19</f>
        <v>7517712</v>
      </c>
      <c r="F10" s="35">
        <f>'Flujo de efectivo'!F19</f>
        <v>7517712</v>
      </c>
      <c r="G10" s="35">
        <f>'Flujo de efectivo'!G19</f>
        <v>7517712</v>
      </c>
    </row>
    <row r="11" spans="1:12" x14ac:dyDescent="0.25">
      <c r="A11" s="170" t="s">
        <v>147</v>
      </c>
      <c r="B11" s="170"/>
      <c r="C11" s="171">
        <f>+SUM(C3:C10)</f>
        <v>15030693.78087572</v>
      </c>
      <c r="D11" s="171">
        <f t="shared" ref="D11:G11" si="0">+SUM(D3:D10)</f>
        <v>21429022.54223169</v>
      </c>
      <c r="E11" s="171">
        <f t="shared" si="0"/>
        <v>79592675.160863087</v>
      </c>
      <c r="F11" s="171">
        <f t="shared" si="0"/>
        <v>151606977.0459823</v>
      </c>
      <c r="G11" s="171">
        <f t="shared" si="0"/>
        <v>218055085.4821898</v>
      </c>
      <c r="H11" s="23"/>
      <c r="I11" s="29"/>
    </row>
    <row r="12" spans="1:12" x14ac:dyDescent="0.25">
      <c r="A12" s="160" t="s">
        <v>148</v>
      </c>
      <c r="B12" s="180"/>
      <c r="C12" s="181"/>
      <c r="D12" s="181"/>
      <c r="E12" s="181"/>
      <c r="F12" s="181"/>
      <c r="G12" s="182"/>
    </row>
    <row r="13" spans="1:12" x14ac:dyDescent="0.25">
      <c r="A13" s="159" t="s">
        <v>112</v>
      </c>
      <c r="B13" s="24"/>
      <c r="C13" s="35">
        <f>'Estado de resultados'!B13</f>
        <v>8747364.2155197188</v>
      </c>
      <c r="D13" s="35">
        <f>'Estado de resultados'!C13</f>
        <v>7034888.5359869329</v>
      </c>
      <c r="E13" s="35">
        <f>'Estado de resultados'!D13</f>
        <v>22816852.749255836</v>
      </c>
      <c r="F13" s="35">
        <f>'Estado de resultados'!E13</f>
        <v>32298690.250708621</v>
      </c>
      <c r="G13" s="35">
        <f>'Estado de resultados'!F13</f>
        <v>33841835.142003223</v>
      </c>
    </row>
    <row r="14" spans="1:12" x14ac:dyDescent="0.25">
      <c r="A14" s="159" t="s">
        <v>149</v>
      </c>
      <c r="B14" s="35"/>
      <c r="C14" s="172">
        <f>Amortizaciones!F17-'Flujo de efectivo'!C7</f>
        <v>35730285.701907068</v>
      </c>
      <c r="D14" s="172">
        <f>Amortizaciones!F29-'Flujo de efectivo'!D7</f>
        <v>28182789.853018448</v>
      </c>
      <c r="E14" s="172">
        <f>Amortizaciones!F41-'Flujo de efectivo'!E7</f>
        <v>19778580.203585681</v>
      </c>
      <c r="F14" s="172">
        <f>Amortizaciones!F53-'Flujo de efectivo'!F7</f>
        <v>10420411.448578101</v>
      </c>
      <c r="G14" s="172">
        <f>Amortizaciones!F65-'Flujo de efectivo'!G7</f>
        <v>-4.6566128730773926E-8</v>
      </c>
    </row>
    <row r="15" spans="1:12" x14ac:dyDescent="0.25">
      <c r="A15" s="170" t="s">
        <v>150</v>
      </c>
      <c r="B15" s="170"/>
      <c r="C15" s="171">
        <f>C13+C14</f>
        <v>44477649.917426787</v>
      </c>
      <c r="D15" s="171">
        <f>D13+D14</f>
        <v>35217678.389005378</v>
      </c>
      <c r="E15" s="171">
        <f>E13+E14</f>
        <v>42595432.95284152</v>
      </c>
      <c r="F15" s="171">
        <f>F13+F14</f>
        <v>42719101.699286722</v>
      </c>
      <c r="G15" s="171">
        <f>G13+G14</f>
        <v>33841835.142003179</v>
      </c>
    </row>
    <row r="16" spans="1:12" x14ac:dyDescent="0.25">
      <c r="A16" s="160" t="s">
        <v>151</v>
      </c>
      <c r="B16" s="180"/>
      <c r="C16" s="181"/>
      <c r="D16" s="181"/>
      <c r="E16" s="181"/>
      <c r="F16" s="181"/>
      <c r="G16" s="182"/>
    </row>
    <row r="17" spans="1:7" x14ac:dyDescent="0.25">
      <c r="A17" s="44" t="s">
        <v>164</v>
      </c>
      <c r="B17" s="44"/>
      <c r="C17" s="35">
        <f>'Flujo de efectivo'!C19</f>
        <v>7517712</v>
      </c>
      <c r="D17" s="35">
        <f>'Flujo de efectivo'!D19</f>
        <v>7517712</v>
      </c>
      <c r="E17" s="35">
        <f>'Flujo de efectivo'!E19</f>
        <v>7517712</v>
      </c>
      <c r="F17" s="35">
        <f>'Flujo de efectivo'!F19</f>
        <v>7517712</v>
      </c>
      <c r="G17" s="35">
        <f>'Flujo de efectivo'!G19</f>
        <v>7517712</v>
      </c>
    </row>
    <row r="18" spans="1:7" x14ac:dyDescent="0.25">
      <c r="A18" s="44" t="s">
        <v>152</v>
      </c>
      <c r="B18" s="44"/>
      <c r="C18" s="35">
        <f>'Estado de resultados'!B14</f>
        <v>-36964668.136551067</v>
      </c>
      <c r="D18" s="35">
        <f>'Estado de resultados'!C14+C18</f>
        <v>-21306367.846773703</v>
      </c>
      <c r="E18" s="35">
        <f>'Estado de resultados'!D14+D18</f>
        <v>29479530.208021548</v>
      </c>
      <c r="F18" s="35">
        <f>'Estado de resultados'!E14+E18</f>
        <v>101370163.34669557</v>
      </c>
      <c r="G18" s="35">
        <f>'Estado de resultados'!F14+F18</f>
        <v>176695538.34018663</v>
      </c>
    </row>
    <row r="19" spans="1:7" ht="14.25" customHeight="1" x14ac:dyDescent="0.25">
      <c r="A19" s="170" t="s">
        <v>153</v>
      </c>
      <c r="B19" s="170"/>
      <c r="C19" s="171">
        <f>C15+C18+C17</f>
        <v>15030693.78087572</v>
      </c>
      <c r="D19" s="171">
        <f>D15+D18+D17</f>
        <v>21429022.542231675</v>
      </c>
      <c r="E19" s="171">
        <f>E15+E18+E17</f>
        <v>79592675.160863072</v>
      </c>
      <c r="F19" s="171">
        <f>F15+F18+F17</f>
        <v>151606977.0459823</v>
      </c>
      <c r="G19" s="171">
        <f>G15+G18+G17</f>
        <v>218055085.4821898</v>
      </c>
    </row>
    <row r="20" spans="1:7" x14ac:dyDescent="0.25">
      <c r="C20" s="23"/>
    </row>
    <row r="21" spans="1:7" x14ac:dyDescent="0.25">
      <c r="A21" s="155"/>
      <c r="B21" s="143"/>
      <c r="C21" s="143"/>
      <c r="D21" s="155"/>
      <c r="E21" s="143"/>
      <c r="F21" s="155"/>
    </row>
    <row r="22" spans="1:7" x14ac:dyDescent="0.25">
      <c r="A22" s="155"/>
      <c r="B22" s="155"/>
      <c r="C22" s="143"/>
      <c r="D22" s="155"/>
      <c r="E22" s="143"/>
      <c r="F22" s="155"/>
    </row>
    <row r="23" spans="1:7" x14ac:dyDescent="0.25">
      <c r="A23" s="155"/>
      <c r="B23" s="155"/>
      <c r="C23" s="143"/>
      <c r="D23" s="155"/>
      <c r="E23" s="155"/>
      <c r="F23" s="155"/>
    </row>
    <row r="24" spans="1:7" x14ac:dyDescent="0.25">
      <c r="A24" s="155"/>
      <c r="B24" s="155"/>
      <c r="C24" s="143"/>
      <c r="D24" s="155"/>
      <c r="E24" s="155"/>
      <c r="F24" s="155"/>
    </row>
    <row r="25" spans="1:7" x14ac:dyDescent="0.25">
      <c r="A25" s="155"/>
      <c r="B25" s="155"/>
      <c r="C25" s="143"/>
      <c r="D25" s="143"/>
      <c r="E25" s="143"/>
      <c r="F25" s="155"/>
    </row>
    <row r="26" spans="1:7" x14ac:dyDescent="0.25">
      <c r="A26" s="155"/>
      <c r="B26" s="155"/>
      <c r="C26" s="143"/>
      <c r="D26" s="143"/>
      <c r="E26" s="156"/>
      <c r="F26" s="156"/>
    </row>
    <row r="27" spans="1:7" x14ac:dyDescent="0.25">
      <c r="A27" s="155"/>
      <c r="B27" s="155"/>
      <c r="C27" s="143"/>
      <c r="D27" s="155"/>
      <c r="E27" s="155"/>
      <c r="F27" s="143"/>
    </row>
    <row r="28" spans="1:7" x14ac:dyDescent="0.25">
      <c r="A28" s="155"/>
      <c r="B28" s="155"/>
      <c r="C28" s="143"/>
      <c r="D28" s="143"/>
      <c r="E28" s="155"/>
      <c r="F28" s="155"/>
    </row>
    <row r="29" spans="1:7" x14ac:dyDescent="0.25">
      <c r="A29" s="155"/>
      <c r="B29" s="155"/>
      <c r="C29" s="143"/>
      <c r="D29" s="155"/>
      <c r="E29" s="155"/>
      <c r="F29" s="155"/>
    </row>
    <row r="30" spans="1:7" x14ac:dyDescent="0.25">
      <c r="A30" s="155"/>
      <c r="B30" s="155"/>
      <c r="C30" s="143"/>
      <c r="D30" s="155"/>
      <c r="E30" s="155"/>
      <c r="F30" s="155"/>
    </row>
    <row r="31" spans="1:7" x14ac:dyDescent="0.25">
      <c r="A31" s="155"/>
      <c r="B31" s="155"/>
      <c r="C31" s="143"/>
      <c r="D31" s="143"/>
      <c r="E31" s="143"/>
      <c r="F31" s="143"/>
    </row>
    <row r="32" spans="1:7" x14ac:dyDescent="0.25">
      <c r="A32" s="155"/>
      <c r="B32" s="155"/>
      <c r="C32" s="143"/>
      <c r="D32" s="143"/>
      <c r="E32" s="155"/>
      <c r="F32" s="143"/>
    </row>
    <row r="33" spans="1:6" x14ac:dyDescent="0.25">
      <c r="A33" s="155"/>
      <c r="B33" s="155"/>
      <c r="C33" s="143"/>
      <c r="D33" s="155"/>
      <c r="E33" s="155"/>
      <c r="F33" s="155"/>
    </row>
    <row r="34" spans="1:6" x14ac:dyDescent="0.25">
      <c r="A34" s="155"/>
      <c r="B34" s="155"/>
      <c r="C34" s="143"/>
      <c r="D34" s="155"/>
      <c r="E34" s="155"/>
      <c r="F34" s="155"/>
    </row>
    <row r="35" spans="1:6" x14ac:dyDescent="0.25">
      <c r="A35" s="155"/>
      <c r="B35" s="155"/>
      <c r="C35" s="143"/>
      <c r="D35" s="143"/>
      <c r="E35" s="155"/>
      <c r="F35" s="155"/>
    </row>
    <row r="36" spans="1:6" x14ac:dyDescent="0.25">
      <c r="A36" s="155"/>
      <c r="B36" s="155"/>
      <c r="C36" s="155"/>
      <c r="D36" s="155"/>
      <c r="E36" s="155"/>
      <c r="F36" s="155"/>
    </row>
    <row r="37" spans="1:6" x14ac:dyDescent="0.25">
      <c r="A37" s="155"/>
      <c r="B37" s="155"/>
      <c r="C37" s="155"/>
      <c r="D37" s="155"/>
      <c r="E37" s="155"/>
      <c r="F37" s="155"/>
    </row>
  </sheetData>
  <mergeCells count="3">
    <mergeCell ref="B16:G16"/>
    <mergeCell ref="B12:G12"/>
    <mergeCell ref="B2:G2"/>
  </mergeCells>
  <phoneticPr fontId="5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4DD42-BBAA-40DE-B8A7-B250EDA37AF0}">
  <dimension ref="A2:C3"/>
  <sheetViews>
    <sheetView workbookViewId="0">
      <selection activeCell="F8" sqref="F8"/>
    </sheetView>
  </sheetViews>
  <sheetFormatPr baseColWidth="10" defaultRowHeight="15" x14ac:dyDescent="0.25"/>
  <cols>
    <col min="1" max="1" width="19" bestFit="1" customWidth="1"/>
    <col min="2" max="2" width="17" bestFit="1" customWidth="1"/>
    <col min="3" max="3" width="30.5703125" bestFit="1" customWidth="1"/>
  </cols>
  <sheetData>
    <row r="2" spans="1:3" x14ac:dyDescent="0.25">
      <c r="A2" s="159" t="s">
        <v>212</v>
      </c>
      <c r="B2" s="159" t="s">
        <v>213</v>
      </c>
      <c r="C2" s="159" t="s">
        <v>214</v>
      </c>
    </row>
    <row r="3" spans="1:3" x14ac:dyDescent="0.25">
      <c r="A3" s="175">
        <f>'Estado de resultados'!B7+'Estado de resultados'!B6</f>
        <v>122030068</v>
      </c>
      <c r="B3" s="35">
        <f>'Estado de resultados'!B10+'Flujo de efectivo'!C6+'Flujo de efectivo'!C7</f>
        <v>19787381.10131067</v>
      </c>
      <c r="C3" s="176">
        <f>A3-B3</f>
        <v>102242686.89868933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8"/>
  <sheetViews>
    <sheetView workbookViewId="0">
      <selection activeCell="G18" sqref="G18"/>
    </sheetView>
  </sheetViews>
  <sheetFormatPr baseColWidth="10" defaultRowHeight="15" x14ac:dyDescent="0.25"/>
  <cols>
    <col min="1" max="1" width="32.85546875" bestFit="1" customWidth="1"/>
    <col min="2" max="2" width="19.85546875" bestFit="1" customWidth="1"/>
    <col min="3" max="3" width="14.42578125" bestFit="1" customWidth="1"/>
    <col min="4" max="4" width="13.140625" bestFit="1" customWidth="1"/>
    <col min="5" max="5" width="19.85546875" bestFit="1" customWidth="1"/>
    <col min="6" max="6" width="15.85546875" bestFit="1" customWidth="1"/>
    <col min="7" max="7" width="13.7109375" customWidth="1"/>
  </cols>
  <sheetData>
    <row r="2" spans="1:8" x14ac:dyDescent="0.25">
      <c r="A2" s="180" t="s">
        <v>32</v>
      </c>
      <c r="B2" s="181"/>
      <c r="C2" s="181"/>
      <c r="D2" s="181"/>
      <c r="E2" s="181"/>
      <c r="F2" s="181"/>
      <c r="G2" s="182"/>
    </row>
    <row r="3" spans="1:8" x14ac:dyDescent="0.25">
      <c r="A3" s="66" t="s">
        <v>23</v>
      </c>
      <c r="B3" s="66" t="s">
        <v>2</v>
      </c>
      <c r="C3" s="66" t="s">
        <v>31</v>
      </c>
      <c r="D3" s="66" t="s">
        <v>24</v>
      </c>
      <c r="E3" s="66" t="s">
        <v>25</v>
      </c>
      <c r="F3" s="44" t="s">
        <v>26</v>
      </c>
      <c r="G3" s="44" t="s">
        <v>27</v>
      </c>
    </row>
    <row r="4" spans="1:8" x14ac:dyDescent="0.25">
      <c r="A4" s="44" t="s">
        <v>33</v>
      </c>
      <c r="B4" s="26">
        <f>inversiones!G7</f>
        <v>1</v>
      </c>
      <c r="C4" s="3">
        <f>inversiones!H7</f>
        <v>1125000</v>
      </c>
      <c r="D4" s="3">
        <f>C4*B4</f>
        <v>1125000</v>
      </c>
      <c r="E4" s="3">
        <f>inversiones!J7</f>
        <v>630000.00000000012</v>
      </c>
      <c r="F4" s="3">
        <f>D4+E4</f>
        <v>1755000</v>
      </c>
      <c r="G4" s="3">
        <f>F4*12</f>
        <v>21060000</v>
      </c>
    </row>
    <row r="5" spans="1:8" x14ac:dyDescent="0.25">
      <c r="A5" s="44" t="s">
        <v>21</v>
      </c>
      <c r="B5" s="26">
        <f>inversiones!G8</f>
        <v>1</v>
      </c>
      <c r="C5" s="3">
        <f>inversiones!H8</f>
        <v>1400000</v>
      </c>
      <c r="D5" s="3">
        <f t="shared" ref="D5:D6" si="0">C5*B5</f>
        <v>1400000</v>
      </c>
      <c r="E5" s="3">
        <f>inversiones!J8</f>
        <v>784000.00000000012</v>
      </c>
      <c r="F5" s="3">
        <f>D5+E5</f>
        <v>2184000</v>
      </c>
      <c r="G5" s="3">
        <f>F5*12</f>
        <v>26208000</v>
      </c>
      <c r="H5" s="25"/>
    </row>
    <row r="6" spans="1:8" x14ac:dyDescent="0.25">
      <c r="A6" s="44" t="s">
        <v>22</v>
      </c>
      <c r="B6" s="26">
        <f>inversiones!G9</f>
        <v>1</v>
      </c>
      <c r="C6" s="3">
        <f>inversiones!H9</f>
        <v>1300000</v>
      </c>
      <c r="D6" s="3">
        <f t="shared" si="0"/>
        <v>1300000</v>
      </c>
      <c r="E6" s="3">
        <f>inversiones!J9</f>
        <v>728000.00000000012</v>
      </c>
      <c r="F6" s="3">
        <f>D6+E6</f>
        <v>2028000</v>
      </c>
      <c r="G6" s="3">
        <f>F6*12</f>
        <v>24336000</v>
      </c>
    </row>
    <row r="7" spans="1:8" x14ac:dyDescent="0.25">
      <c r="A7" s="44" t="s">
        <v>0</v>
      </c>
      <c r="B7" s="66"/>
      <c r="C7" s="66"/>
      <c r="D7" s="3">
        <f>SUM(D4:D6)</f>
        <v>3825000</v>
      </c>
      <c r="E7" s="3"/>
      <c r="F7" s="3">
        <f>SUM(F4:F6)</f>
        <v>5967000</v>
      </c>
      <c r="G7" s="3">
        <f>SUM(G4:G6)</f>
        <v>71604000</v>
      </c>
    </row>
    <row r="8" spans="1:8" x14ac:dyDescent="0.25">
      <c r="A8" s="24"/>
      <c r="B8" s="24"/>
      <c r="C8" s="24"/>
      <c r="D8" s="24"/>
      <c r="E8" s="24"/>
      <c r="F8" s="24"/>
      <c r="G8" s="24"/>
    </row>
    <row r="9" spans="1:8" x14ac:dyDescent="0.25">
      <c r="A9" s="180" t="s">
        <v>34</v>
      </c>
      <c r="B9" s="181"/>
      <c r="C9" s="181"/>
      <c r="D9" s="181"/>
      <c r="E9" s="181"/>
      <c r="F9" s="182"/>
      <c r="G9" s="24"/>
    </row>
    <row r="10" spans="1:8" x14ac:dyDescent="0.25">
      <c r="A10" s="66" t="s">
        <v>1</v>
      </c>
      <c r="B10" s="66" t="s">
        <v>35</v>
      </c>
      <c r="C10" s="66" t="s">
        <v>2</v>
      </c>
      <c r="D10" s="66" t="s">
        <v>3</v>
      </c>
      <c r="E10" s="66" t="s">
        <v>4</v>
      </c>
      <c r="F10" s="66" t="s">
        <v>48</v>
      </c>
      <c r="G10" s="24"/>
    </row>
    <row r="11" spans="1:8" ht="15.75" customHeight="1" x14ac:dyDescent="0.25">
      <c r="A11" s="66" t="s">
        <v>13</v>
      </c>
      <c r="B11" s="66" t="s">
        <v>36</v>
      </c>
      <c r="C11" s="66">
        <f>inversiones!B55</f>
        <v>2</v>
      </c>
      <c r="D11" s="4">
        <f>inversiones!C55</f>
        <v>6000</v>
      </c>
      <c r="E11" s="4">
        <f>D11*C11</f>
        <v>12000</v>
      </c>
      <c r="F11" s="4">
        <f>E11*12</f>
        <v>144000</v>
      </c>
      <c r="G11" s="24"/>
    </row>
    <row r="12" spans="1:8" x14ac:dyDescent="0.25">
      <c r="A12" s="66" t="s">
        <v>14</v>
      </c>
      <c r="B12" s="66" t="s">
        <v>36</v>
      </c>
      <c r="C12" s="66">
        <f>inversiones!B56</f>
        <v>8</v>
      </c>
      <c r="D12" s="4">
        <f>inversiones!C56</f>
        <v>600</v>
      </c>
      <c r="E12" s="4">
        <f t="shared" ref="E12:E14" si="1">D12*C12</f>
        <v>4800</v>
      </c>
      <c r="F12" s="4">
        <f t="shared" ref="F12:F14" si="2">E12*12</f>
        <v>57600</v>
      </c>
      <c r="G12" s="24"/>
    </row>
    <row r="13" spans="1:8" x14ac:dyDescent="0.25">
      <c r="A13" s="66" t="s">
        <v>15</v>
      </c>
      <c r="B13" s="66" t="s">
        <v>36</v>
      </c>
      <c r="C13" s="66">
        <f>inversiones!B57</f>
        <v>6</v>
      </c>
      <c r="D13" s="4">
        <f>inversiones!C57</f>
        <v>3000</v>
      </c>
      <c r="E13" s="4">
        <f t="shared" si="1"/>
        <v>18000</v>
      </c>
      <c r="F13" s="4">
        <f>E13*12</f>
        <v>216000</v>
      </c>
      <c r="G13" s="24"/>
    </row>
    <row r="14" spans="1:8" x14ac:dyDescent="0.25">
      <c r="A14" s="66" t="s">
        <v>16</v>
      </c>
      <c r="B14" s="66" t="s">
        <v>36</v>
      </c>
      <c r="C14" s="66">
        <f>inversiones!B58</f>
        <v>8</v>
      </c>
      <c r="D14" s="4">
        <f>inversiones!C58</f>
        <v>200</v>
      </c>
      <c r="E14" s="4">
        <f t="shared" si="1"/>
        <v>1600</v>
      </c>
      <c r="F14" s="4">
        <f t="shared" si="2"/>
        <v>19200</v>
      </c>
      <c r="G14" s="24"/>
    </row>
    <row r="15" spans="1:8" x14ac:dyDescent="0.25">
      <c r="A15" s="66" t="s">
        <v>0</v>
      </c>
      <c r="B15" s="66"/>
      <c r="C15" s="66"/>
      <c r="D15" s="66"/>
      <c r="E15" s="125">
        <f>SUM(E11:E14)</f>
        <v>36400</v>
      </c>
      <c r="F15" s="125">
        <f>SUM(F11:F14)</f>
        <v>436800</v>
      </c>
      <c r="G15" s="24"/>
    </row>
    <row r="16" spans="1:8" x14ac:dyDescent="0.25">
      <c r="A16" s="24"/>
      <c r="B16" s="24"/>
      <c r="C16" s="24"/>
      <c r="D16" s="24"/>
      <c r="E16" s="24"/>
      <c r="F16" s="24"/>
      <c r="G16" s="24"/>
    </row>
    <row r="17" spans="1:7" x14ac:dyDescent="0.25">
      <c r="A17" s="196" t="s">
        <v>51</v>
      </c>
      <c r="B17" s="196"/>
      <c r="C17" s="196"/>
      <c r="D17" s="196"/>
      <c r="E17" s="196"/>
      <c r="F17" s="196"/>
      <c r="G17" s="24"/>
    </row>
    <row r="18" spans="1:7" x14ac:dyDescent="0.25">
      <c r="A18" s="80" t="s">
        <v>37</v>
      </c>
      <c r="B18" s="80" t="s">
        <v>35</v>
      </c>
      <c r="C18" s="80" t="s">
        <v>2</v>
      </c>
      <c r="D18" s="80" t="s">
        <v>38</v>
      </c>
      <c r="E18" s="80" t="s">
        <v>39</v>
      </c>
      <c r="F18" s="80" t="s">
        <v>40</v>
      </c>
      <c r="G18" s="24"/>
    </row>
    <row r="19" spans="1:7" x14ac:dyDescent="0.25">
      <c r="A19" s="81" t="s">
        <v>41</v>
      </c>
      <c r="B19" s="81" t="s">
        <v>42</v>
      </c>
      <c r="C19" s="81">
        <v>150</v>
      </c>
      <c r="D19" s="82">
        <v>528.66</v>
      </c>
      <c r="E19" s="82">
        <f>C19*D19</f>
        <v>79299</v>
      </c>
      <c r="F19" s="82">
        <f>(E19*12)*80%</f>
        <v>761270.4</v>
      </c>
      <c r="G19" s="24"/>
    </row>
    <row r="20" spans="1:7" x14ac:dyDescent="0.25">
      <c r="A20" s="81" t="s">
        <v>49</v>
      </c>
      <c r="B20" s="81" t="s">
        <v>43</v>
      </c>
      <c r="C20" s="81">
        <v>20</v>
      </c>
      <c r="D20" s="82">
        <v>5100</v>
      </c>
      <c r="E20" s="82">
        <f t="shared" ref="E20:E23" si="3">C20*D20</f>
        <v>102000</v>
      </c>
      <c r="F20" s="82">
        <f t="shared" ref="F20:F23" si="4">(E20*12)*80%</f>
        <v>979200</v>
      </c>
      <c r="G20" s="24"/>
    </row>
    <row r="21" spans="1:7" x14ac:dyDescent="0.25">
      <c r="A21" s="81" t="s">
        <v>50</v>
      </c>
      <c r="B21" s="81" t="s">
        <v>44</v>
      </c>
      <c r="C21" s="81">
        <v>1</v>
      </c>
      <c r="D21" s="82">
        <v>100000</v>
      </c>
      <c r="E21" s="82">
        <f t="shared" si="3"/>
        <v>100000</v>
      </c>
      <c r="F21" s="82">
        <f t="shared" si="4"/>
        <v>960000</v>
      </c>
      <c r="G21" s="24"/>
    </row>
    <row r="22" spans="1:7" x14ac:dyDescent="0.25">
      <c r="A22" s="81" t="s">
        <v>45</v>
      </c>
      <c r="B22" s="81" t="s">
        <v>44</v>
      </c>
      <c r="C22" s="81">
        <v>1</v>
      </c>
      <c r="D22" s="82">
        <v>70000</v>
      </c>
      <c r="E22" s="82">
        <f t="shared" si="3"/>
        <v>70000</v>
      </c>
      <c r="F22" s="82">
        <f t="shared" si="4"/>
        <v>672000</v>
      </c>
      <c r="G22" s="24"/>
    </row>
    <row r="23" spans="1:7" x14ac:dyDescent="0.25">
      <c r="A23" s="81" t="s">
        <v>46</v>
      </c>
      <c r="B23" s="81" t="s">
        <v>44</v>
      </c>
      <c r="C23" s="81">
        <v>1</v>
      </c>
      <c r="D23" s="82">
        <v>500000</v>
      </c>
      <c r="E23" s="82">
        <f t="shared" si="3"/>
        <v>500000</v>
      </c>
      <c r="F23" s="82">
        <f t="shared" si="4"/>
        <v>4800000</v>
      </c>
      <c r="G23" s="24"/>
    </row>
    <row r="24" spans="1:7" x14ac:dyDescent="0.25">
      <c r="A24" s="66" t="s">
        <v>47</v>
      </c>
      <c r="B24" s="81" t="s">
        <v>44</v>
      </c>
      <c r="C24" s="81">
        <f>inversiones!B59</f>
        <v>1</v>
      </c>
      <c r="D24" s="82">
        <f>inversiones!C59</f>
        <v>1200000</v>
      </c>
      <c r="E24" s="82">
        <f>C24*D24</f>
        <v>1200000</v>
      </c>
      <c r="F24" s="82">
        <f>(E24*12)*80%</f>
        <v>11520000</v>
      </c>
      <c r="G24" s="24"/>
    </row>
    <row r="25" spans="1:7" x14ac:dyDescent="0.25">
      <c r="A25" s="83" t="s">
        <v>0</v>
      </c>
      <c r="B25" s="71"/>
      <c r="C25" s="71"/>
      <c r="D25" s="84"/>
      <c r="E25" s="144">
        <f>SUM(E19:E24)*0.8</f>
        <v>1641039.2000000002</v>
      </c>
      <c r="F25" s="144">
        <f>SUM(F19:F24)</f>
        <v>19692470.399999999</v>
      </c>
      <c r="G25" s="24"/>
    </row>
    <row r="26" spans="1:7" x14ac:dyDescent="0.25">
      <c r="A26" s="85"/>
      <c r="B26" s="86"/>
      <c r="C26" s="86"/>
      <c r="D26" s="86"/>
      <c r="E26" s="87"/>
      <c r="F26" s="88"/>
      <c r="G26" s="24"/>
    </row>
    <row r="27" spans="1:7" x14ac:dyDescent="0.25">
      <c r="A27" s="24"/>
      <c r="B27" s="24"/>
      <c r="C27" s="24"/>
      <c r="D27" s="24"/>
      <c r="E27" s="24"/>
      <c r="F27" s="24"/>
      <c r="G27" s="24"/>
    </row>
    <row r="28" spans="1:7" x14ac:dyDescent="0.25">
      <c r="A28" s="89" t="s">
        <v>59</v>
      </c>
      <c r="B28" s="90">
        <f>SUM(G7,F15,F25)</f>
        <v>91733270.400000006</v>
      </c>
      <c r="C28" s="24"/>
      <c r="D28" s="24"/>
      <c r="E28" s="24"/>
      <c r="F28" s="24"/>
      <c r="G28" s="24"/>
    </row>
  </sheetData>
  <mergeCells count="3">
    <mergeCell ref="A2:G2"/>
    <mergeCell ref="A17:F17"/>
    <mergeCell ref="A9:F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26"/>
  <sheetViews>
    <sheetView topLeftCell="A7" workbookViewId="0">
      <selection activeCell="D27" sqref="D27"/>
    </sheetView>
  </sheetViews>
  <sheetFormatPr baseColWidth="10" defaultRowHeight="15" x14ac:dyDescent="0.25"/>
  <cols>
    <col min="1" max="1" width="19.42578125" bestFit="1" customWidth="1"/>
    <col min="2" max="2" width="21.5703125" customWidth="1"/>
    <col min="3" max="3" width="15.28515625" bestFit="1" customWidth="1"/>
    <col min="4" max="4" width="15.5703125" customWidth="1"/>
    <col min="5" max="6" width="15.140625" bestFit="1" customWidth="1"/>
  </cols>
  <sheetData>
    <row r="2" spans="1:6" x14ac:dyDescent="0.25">
      <c r="A2" s="1" t="s">
        <v>192</v>
      </c>
      <c r="B2" s="1" t="s">
        <v>183</v>
      </c>
      <c r="C2" s="1" t="s">
        <v>194</v>
      </c>
      <c r="D2" s="1"/>
    </row>
    <row r="3" spans="1:6" x14ac:dyDescent="0.25">
      <c r="A3" s="1" t="s">
        <v>193</v>
      </c>
      <c r="B3" s="29">
        <f>Amortizaciones!B10</f>
        <v>42508400</v>
      </c>
      <c r="C3" s="45">
        <f>100%*B3/B5</f>
        <v>0.8497242400128957</v>
      </c>
      <c r="D3" s="226"/>
    </row>
    <row r="4" spans="1:6" x14ac:dyDescent="0.25">
      <c r="A4" s="1" t="s">
        <v>176</v>
      </c>
      <c r="B4" s="29">
        <f>inversiones!B62</f>
        <v>7517712</v>
      </c>
      <c r="C4" s="45">
        <f>100%*B4/B5</f>
        <v>0.15027575998710432</v>
      </c>
      <c r="D4" s="226"/>
    </row>
    <row r="5" spans="1:6" x14ac:dyDescent="0.25">
      <c r="A5" s="1" t="s">
        <v>195</v>
      </c>
      <c r="B5" s="29">
        <f>+SUM(B3:B4)</f>
        <v>50026112</v>
      </c>
      <c r="C5" s="45"/>
      <c r="D5" s="1"/>
    </row>
    <row r="6" spans="1:6" x14ac:dyDescent="0.25">
      <c r="A6" t="s">
        <v>196</v>
      </c>
      <c r="C6" s="42">
        <f>+(1+C7)*(1+62%)*(1+'Presupuesto de ingresos'!C8)-1</f>
        <v>0.85957856000000032</v>
      </c>
    </row>
    <row r="7" spans="1:6" x14ac:dyDescent="0.25">
      <c r="A7" t="s">
        <v>198</v>
      </c>
      <c r="C7" s="157">
        <f>Amortizaciones!B11*12</f>
        <v>0.10799999999999998</v>
      </c>
    </row>
    <row r="8" spans="1:6" x14ac:dyDescent="0.25">
      <c r="A8" t="s">
        <v>197</v>
      </c>
      <c r="C8" s="158">
        <v>0.31</v>
      </c>
    </row>
    <row r="9" spans="1:6" x14ac:dyDescent="0.25">
      <c r="A9" t="s">
        <v>199</v>
      </c>
      <c r="C9" s="42">
        <f>C6*C4+C7*C3*(1-C8)</f>
        <v>0.19249527173838177</v>
      </c>
    </row>
    <row r="11" spans="1:6" x14ac:dyDescent="0.25">
      <c r="A11" s="1" t="s">
        <v>200</v>
      </c>
      <c r="B11" s="45" t="s">
        <v>202</v>
      </c>
    </row>
    <row r="12" spans="1:6" x14ac:dyDescent="0.25">
      <c r="A12" s="121">
        <f>+NPV(C9,'Flujo de efectivo'!C22:G22)-Indicadores!B5</f>
        <v>77399146.275924236</v>
      </c>
      <c r="B12" s="174">
        <f>+IRR(A16:F16)</f>
        <v>0.41083676476938269</v>
      </c>
    </row>
    <row r="15" spans="1:6" x14ac:dyDescent="0.25">
      <c r="A15" t="s">
        <v>203</v>
      </c>
    </row>
    <row r="16" spans="1:6" x14ac:dyDescent="0.25">
      <c r="A16" s="23">
        <f>-B5</f>
        <v>-50026112</v>
      </c>
      <c r="B16" s="23">
        <f>'Flujo de efectivo'!C22</f>
        <v>-30093738.21912428</v>
      </c>
      <c r="C16" s="23">
        <f>'Flujo de efectivo'!D22</f>
        <v>-18793729.45776831</v>
      </c>
      <c r="D16" s="23">
        <f>'Flujo de efectivo'!E22</f>
        <v>44271603.160863087</v>
      </c>
      <c r="E16" s="23">
        <f>'Flujo de efectivo'!F22</f>
        <v>121187585.0459823</v>
      </c>
      <c r="F16" s="23">
        <f>'Flujo de efectivo'!G22</f>
        <v>192537373.4821898</v>
      </c>
    </row>
    <row r="19" spans="1:6" x14ac:dyDescent="0.25">
      <c r="A19" s="188" t="s">
        <v>210</v>
      </c>
      <c r="B19" s="159" t="s">
        <v>95</v>
      </c>
      <c r="C19" s="159" t="s">
        <v>96</v>
      </c>
      <c r="D19" s="159" t="s">
        <v>97</v>
      </c>
    </row>
    <row r="20" spans="1:6" x14ac:dyDescent="0.25">
      <c r="A20" s="227"/>
      <c r="B20" s="173">
        <f>+'Estado de resultados'!D14/SUM('Balance general'!E17:E18)</f>
        <v>1.3726941529653827</v>
      </c>
      <c r="C20" s="173">
        <f>+'Estado de resultados'!E14/SUM('Balance general'!F17:F18)</f>
        <v>0.66022624566579613</v>
      </c>
      <c r="D20" s="173">
        <f>+'Estado de resultados'!F14/SUM('Balance general'!G17:G18)</f>
        <v>0.40890313185608351</v>
      </c>
      <c r="E20" s="42"/>
    </row>
    <row r="21" spans="1:6" x14ac:dyDescent="0.25">
      <c r="A21" s="188" t="s">
        <v>211</v>
      </c>
      <c r="B21" s="159" t="s">
        <v>93</v>
      </c>
      <c r="C21" s="159" t="s">
        <v>94</v>
      </c>
      <c r="D21" s="159" t="s">
        <v>95</v>
      </c>
      <c r="E21" s="159" t="s">
        <v>96</v>
      </c>
      <c r="F21" s="159" t="s">
        <v>97</v>
      </c>
    </row>
    <row r="22" spans="1:6" x14ac:dyDescent="0.25">
      <c r="A22" s="188"/>
      <c r="B22" s="161">
        <f>('Estado de resultados'!B14-Indicadores!$B$5)/Indicadores!$B$5</f>
        <v>-1.7389074756909164</v>
      </c>
      <c r="C22" s="161">
        <f>('Estado de resultados'!C14-Indicadores!$B$5)/Indicadores!$B$5</f>
        <v>-0.6869974566526903</v>
      </c>
      <c r="D22" s="161">
        <f>('Estado de resultados'!D14-Indicadores!$B$5)/Indicadores!$B$5</f>
        <v>1.5187789424755821E-2</v>
      </c>
      <c r="E22" s="161">
        <f>('Estado de resultados'!E14-Indicadores!$B$5)/Indicadores!$B$5</f>
        <v>0.43706217142507536</v>
      </c>
      <c r="F22" s="161">
        <f>('Estado de resultados'!F14-Indicadores!$B$5)/Indicadores!$B$5</f>
        <v>0.50572115205537171</v>
      </c>
    </row>
    <row r="24" spans="1:6" x14ac:dyDescent="0.25">
      <c r="A24" s="228" t="s">
        <v>113</v>
      </c>
      <c r="B24" s="228"/>
      <c r="C24" s="228"/>
      <c r="D24" s="228"/>
      <c r="E24" s="228"/>
    </row>
    <row r="25" spans="1:6" x14ac:dyDescent="0.25">
      <c r="A25" t="s">
        <v>93</v>
      </c>
      <c r="B25" t="s">
        <v>94</v>
      </c>
      <c r="C25" t="s">
        <v>95</v>
      </c>
      <c r="D25" t="s">
        <v>96</v>
      </c>
      <c r="E25" t="s">
        <v>97</v>
      </c>
    </row>
    <row r="26" spans="1:6" x14ac:dyDescent="0.25">
      <c r="A26" s="23">
        <f>'Estado de resultados'!B14</f>
        <v>-36964668.136551067</v>
      </c>
      <c r="B26" s="23">
        <f>'Estado de resultados'!C14</f>
        <v>15658300.289777365</v>
      </c>
      <c r="C26" s="23">
        <f>'Estado de resultados'!D14</f>
        <v>50785898.05479525</v>
      </c>
      <c r="D26" s="23">
        <f>'Estado de resultados'!E14</f>
        <v>71890633.138674021</v>
      </c>
      <c r="E26" s="23">
        <f>'Estado de resultados'!F14</f>
        <v>75325374.993491054</v>
      </c>
    </row>
  </sheetData>
  <mergeCells count="4">
    <mergeCell ref="D3:D4"/>
    <mergeCell ref="A19:A20"/>
    <mergeCell ref="A21:A22"/>
    <mergeCell ref="A24:E24"/>
  </mergeCells>
  <phoneticPr fontId="5" type="noConversion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3DE94-7D2C-48FF-BC41-3CEA1F457EE2}">
  <dimension ref="A1:O38"/>
  <sheetViews>
    <sheetView topLeftCell="B1" workbookViewId="0">
      <selection activeCell="J3" sqref="J3:N7"/>
    </sheetView>
  </sheetViews>
  <sheetFormatPr baseColWidth="10" defaultRowHeight="15" x14ac:dyDescent="0.25"/>
  <cols>
    <col min="2" max="2" width="26" bestFit="1" customWidth="1"/>
    <col min="3" max="3" width="15.140625" bestFit="1" customWidth="1"/>
    <col min="4" max="7" width="15.28515625" bestFit="1" customWidth="1"/>
    <col min="8" max="8" width="15.85546875" bestFit="1" customWidth="1"/>
    <col min="9" max="9" width="14.85546875" bestFit="1" customWidth="1"/>
    <col min="10" max="10" width="15.85546875" bestFit="1" customWidth="1"/>
    <col min="11" max="13" width="15.28515625" bestFit="1" customWidth="1"/>
    <col min="14" max="15" width="15.140625" bestFit="1" customWidth="1"/>
  </cols>
  <sheetData>
    <row r="1" spans="2:15" x14ac:dyDescent="0.25">
      <c r="B1" s="209" t="s">
        <v>217</v>
      </c>
      <c r="C1" s="209"/>
      <c r="D1" s="209"/>
      <c r="E1" s="209"/>
      <c r="F1" s="209"/>
      <c r="G1" s="209"/>
      <c r="I1" t="s">
        <v>215</v>
      </c>
      <c r="J1" s="228" t="s">
        <v>85</v>
      </c>
      <c r="K1" s="228"/>
      <c r="L1" s="228"/>
      <c r="M1" s="228"/>
      <c r="N1" s="228"/>
      <c r="O1" t="s">
        <v>202</v>
      </c>
    </row>
    <row r="2" spans="2:15" x14ac:dyDescent="0.25">
      <c r="B2" s="1"/>
      <c r="C2" s="203" t="s">
        <v>28</v>
      </c>
      <c r="D2" s="204"/>
      <c r="E2" s="204"/>
      <c r="F2" s="204"/>
      <c r="G2" s="205"/>
      <c r="I2" t="s">
        <v>157</v>
      </c>
      <c r="J2" s="23">
        <f>C6</f>
        <v>92112693.866666675</v>
      </c>
      <c r="K2" s="23">
        <f>D6</f>
        <v>134894419.73186663</v>
      </c>
      <c r="L2" s="23">
        <f>E6</f>
        <v>216515837.07523328</v>
      </c>
      <c r="M2" s="23">
        <f>F6</f>
        <v>248623147.72768748</v>
      </c>
      <c r="N2" s="23">
        <f>G6</f>
        <v>298702828.90704501</v>
      </c>
    </row>
    <row r="3" spans="2:15" x14ac:dyDescent="0.25">
      <c r="B3" s="1" t="s">
        <v>1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I3" s="179">
        <f>B22</f>
        <v>117128388</v>
      </c>
      <c r="J3" s="230">
        <f>+NPV(Indicadores!$C$9,'Análisis de sensibilidad'!$I$10:$M$10)-Indicadores!$B$5</f>
        <v>1371030.7518989965</v>
      </c>
      <c r="K3" s="230"/>
      <c r="L3" s="230"/>
      <c r="M3" s="230"/>
      <c r="N3" s="230"/>
      <c r="O3" s="231">
        <f>IRR(I10:M10)</f>
        <v>0.48812255012786698</v>
      </c>
    </row>
    <row r="4" spans="2:15" x14ac:dyDescent="0.25">
      <c r="B4" s="1" t="s">
        <v>78</v>
      </c>
      <c r="C4" s="17">
        <f>FV(C8,C3,0,-(F15*$D$14))</f>
        <v>21869407.466666672</v>
      </c>
      <c r="D4" s="17">
        <f>FV(D8,D3,0,-(F16*$D$14))</f>
        <v>38426159.447066657</v>
      </c>
      <c r="E4" s="17">
        <f>FV(E8,E3,0,-(F17*$D$14))</f>
        <v>80289055.137652904</v>
      </c>
      <c r="F4" s="17">
        <f>FV(F8,F3,0,-(F18*$D$14))</f>
        <v>95405170.806619838</v>
      </c>
      <c r="G4" s="17">
        <f>FV(G8,G3,0,-(F19*$D$14))</f>
        <v>99320491.458516061</v>
      </c>
      <c r="I4" s="179">
        <f>C22</f>
        <v>112613928.80399999</v>
      </c>
      <c r="J4" s="230"/>
      <c r="K4" s="230"/>
      <c r="L4" s="230"/>
      <c r="M4" s="230"/>
      <c r="N4" s="230"/>
      <c r="O4" s="231"/>
    </row>
    <row r="5" spans="2:15" x14ac:dyDescent="0.25">
      <c r="B5" s="1" t="s">
        <v>79</v>
      </c>
      <c r="C5" s="17">
        <f>FV(C8,C3,0,-(G15*$D$15))</f>
        <v>70243286.400000006</v>
      </c>
      <c r="D5" s="17">
        <f>FV(D8,D3,0,-(G16*$D$15))</f>
        <v>96468260.284799978</v>
      </c>
      <c r="E5" s="17">
        <f>FV(E8,E3,0,-(G17*$D$15))</f>
        <v>136226781.93758038</v>
      </c>
      <c r="F5" s="17">
        <f>FV(F8,F3,0,-(G18*$D$15))</f>
        <v>153217976.92106766</v>
      </c>
      <c r="G5" s="17">
        <f>FV(G8,G3,0,-(G19*$D$15))</f>
        <v>199382337.44852898</v>
      </c>
      <c r="I5" s="179">
        <f>D22</f>
        <v>149732056.59692401</v>
      </c>
      <c r="J5" s="230"/>
      <c r="K5" s="230"/>
      <c r="L5" s="230"/>
      <c r="M5" s="230"/>
      <c r="N5" s="230"/>
      <c r="O5" s="231"/>
    </row>
    <row r="6" spans="2:15" x14ac:dyDescent="0.25">
      <c r="B6" s="1" t="s">
        <v>0</v>
      </c>
      <c r="C6" s="18">
        <f>SUM(C4:C5)</f>
        <v>92112693.866666675</v>
      </c>
      <c r="D6" s="18">
        <f t="shared" ref="D6:G6" si="0">SUM(D4:D5)</f>
        <v>134894419.73186663</v>
      </c>
      <c r="E6" s="18">
        <f t="shared" si="0"/>
        <v>216515837.07523328</v>
      </c>
      <c r="F6" s="18">
        <f t="shared" si="0"/>
        <v>248623147.72768748</v>
      </c>
      <c r="G6" s="18">
        <f t="shared" si="0"/>
        <v>298702828.90704501</v>
      </c>
      <c r="I6" s="179">
        <f>E22</f>
        <v>154373750.3514286</v>
      </c>
      <c r="J6" s="230"/>
      <c r="K6" s="230"/>
      <c r="L6" s="230"/>
      <c r="M6" s="230"/>
      <c r="N6" s="230"/>
      <c r="O6" s="231"/>
    </row>
    <row r="7" spans="2:15" x14ac:dyDescent="0.25">
      <c r="I7" s="179">
        <f>F22</f>
        <v>203684616.11302575</v>
      </c>
      <c r="J7" s="230"/>
      <c r="K7" s="230"/>
      <c r="L7" s="230"/>
      <c r="M7" s="230"/>
      <c r="N7" s="230"/>
      <c r="O7" s="231"/>
    </row>
    <row r="8" spans="2:15" x14ac:dyDescent="0.25">
      <c r="B8" s="7" t="s">
        <v>72</v>
      </c>
      <c r="C8" s="9">
        <v>3.5999999999999997E-2</v>
      </c>
      <c r="D8" s="9">
        <v>3.3000000000000002E-2</v>
      </c>
      <c r="E8" s="9">
        <v>3.1E-2</v>
      </c>
      <c r="F8" s="9">
        <v>3.1E-2</v>
      </c>
      <c r="G8" s="9">
        <v>3.3000000000000002E-2</v>
      </c>
    </row>
    <row r="9" spans="2:15" x14ac:dyDescent="0.25">
      <c r="B9" s="7"/>
      <c r="C9" s="10">
        <v>1.036</v>
      </c>
      <c r="D9" s="10">
        <v>1.0329999999999999</v>
      </c>
      <c r="E9" s="10">
        <v>1.0309999999999999</v>
      </c>
      <c r="F9" s="10">
        <v>1.0309999999999999</v>
      </c>
      <c r="G9" s="10">
        <v>1.0329999999999999</v>
      </c>
    </row>
    <row r="10" spans="2:15" x14ac:dyDescent="0.25">
      <c r="B10" s="14" t="s">
        <v>78</v>
      </c>
      <c r="C10" s="207" t="s">
        <v>80</v>
      </c>
      <c r="D10" s="207"/>
      <c r="E10" s="208"/>
      <c r="H10" t="s">
        <v>203</v>
      </c>
      <c r="I10" s="23">
        <f>'FE AS'!C23</f>
        <v>-36055711.019124277</v>
      </c>
      <c r="J10" s="23">
        <f>'FE AS'!D23</f>
        <v>-35410812.760568298</v>
      </c>
      <c r="K10" s="23">
        <f>'FE AS'!E23</f>
        <v>16028200.965751097</v>
      </c>
      <c r="L10" s="23">
        <f>'FE AS'!F23</f>
        <v>80871230.551214188</v>
      </c>
      <c r="M10" s="23">
        <f>'FE AS'!G23</f>
        <v>137673006.99334508</v>
      </c>
    </row>
    <row r="11" spans="2:15" x14ac:dyDescent="0.25">
      <c r="B11" s="15" t="s">
        <v>79</v>
      </c>
      <c r="C11" s="209" t="s">
        <v>81</v>
      </c>
      <c r="D11" s="209"/>
      <c r="E11" s="210"/>
    </row>
    <row r="12" spans="2:15" x14ac:dyDescent="0.25">
      <c r="I12" t="s">
        <v>215</v>
      </c>
      <c r="J12" t="s">
        <v>157</v>
      </c>
    </row>
    <row r="13" spans="2:15" x14ac:dyDescent="0.25">
      <c r="B13" s="153" t="s">
        <v>182</v>
      </c>
      <c r="C13" s="153" t="s">
        <v>144</v>
      </c>
      <c r="D13" s="153" t="s">
        <v>183</v>
      </c>
      <c r="E13" s="211" t="s">
        <v>84</v>
      </c>
      <c r="F13" s="211"/>
      <c r="G13" s="211"/>
      <c r="I13" s="100" t="s">
        <v>85</v>
      </c>
      <c r="J13" s="23">
        <f>B27</f>
        <v>132940720.38</v>
      </c>
      <c r="K13" s="23">
        <f t="shared" ref="K13:N13" si="1">C27</f>
        <v>127816809.19253999</v>
      </c>
      <c r="L13" s="23">
        <f t="shared" si="1"/>
        <v>169945884.23750874</v>
      </c>
      <c r="M13" s="23">
        <f t="shared" si="1"/>
        <v>175214206.64887145</v>
      </c>
      <c r="N13" s="23">
        <f t="shared" si="1"/>
        <v>231182039.28828424</v>
      </c>
    </row>
    <row r="14" spans="2:15" x14ac:dyDescent="0.25">
      <c r="B14" s="177" t="s">
        <v>78</v>
      </c>
      <c r="C14" s="177" t="s">
        <v>82</v>
      </c>
      <c r="D14" s="35">
        <v>7450400</v>
      </c>
      <c r="E14" s="177" t="s">
        <v>83</v>
      </c>
      <c r="F14" s="177" t="s">
        <v>78</v>
      </c>
      <c r="G14" s="177" t="s">
        <v>79</v>
      </c>
      <c r="I14" s="19">
        <f>'Presupuesto de ingresos'!C6</f>
        <v>98074666.666666672</v>
      </c>
      <c r="J14" s="230">
        <f>+NPV(Indicadores!C9,'Análisis de sensibilidad'!I21:M21)-Indicadores!B5</f>
        <v>2494691.3025198132</v>
      </c>
      <c r="K14" s="230"/>
      <c r="L14" s="230"/>
      <c r="M14" s="230"/>
      <c r="N14" s="230"/>
    </row>
    <row r="15" spans="2:15" x14ac:dyDescent="0.25">
      <c r="B15" s="177" t="s">
        <v>79</v>
      </c>
      <c r="C15" s="177" t="s">
        <v>82</v>
      </c>
      <c r="D15" s="35">
        <v>11300400</v>
      </c>
      <c r="E15" s="177">
        <v>1</v>
      </c>
      <c r="F15" s="26">
        <f>'Margen de contribución SGA'!K16</f>
        <v>2.8333333333333339</v>
      </c>
      <c r="G15" s="152">
        <f>'Margen de contribución VEA'!B15</f>
        <v>6</v>
      </c>
      <c r="I15" s="19">
        <f>'Presupuesto de ingresos'!D6</f>
        <v>143701318.66666663</v>
      </c>
      <c r="J15" s="230"/>
      <c r="K15" s="230"/>
      <c r="L15" s="230"/>
      <c r="M15" s="230"/>
      <c r="N15" s="230"/>
    </row>
    <row r="16" spans="2:15" x14ac:dyDescent="0.25">
      <c r="B16" s="212" t="s">
        <v>216</v>
      </c>
      <c r="C16" s="213"/>
      <c r="D16" s="214"/>
      <c r="E16" s="177">
        <v>2</v>
      </c>
      <c r="F16" s="26">
        <f>'Margen de contribución SGA'!K29</f>
        <v>4.833333333333333</v>
      </c>
      <c r="G16" s="152">
        <f>'Margen de contribución VEA'!C15</f>
        <v>8</v>
      </c>
      <c r="I16" s="19">
        <f>'Presupuesto de ingresos'!E6</f>
        <v>230872294.63733327</v>
      </c>
      <c r="J16" s="230"/>
      <c r="K16" s="230"/>
      <c r="L16" s="230"/>
      <c r="M16" s="230"/>
      <c r="N16" s="230"/>
    </row>
    <row r="17" spans="1:14" x14ac:dyDescent="0.25">
      <c r="B17" s="215"/>
      <c r="C17" s="216"/>
      <c r="D17" s="217"/>
      <c r="E17" s="177">
        <v>3</v>
      </c>
      <c r="F17" s="26">
        <f>'Margen de contribución SGA'!K42</f>
        <v>9.8333333333333321</v>
      </c>
      <c r="G17" s="152">
        <f>'Margen de contribución VEA'!D15</f>
        <v>11</v>
      </c>
      <c r="I17" s="19">
        <f>'Presupuesto de ingresos'!F6</f>
        <v>265146601.87159461</v>
      </c>
      <c r="J17" s="230"/>
      <c r="K17" s="230"/>
      <c r="L17" s="230"/>
      <c r="M17" s="230"/>
      <c r="N17" s="230"/>
    </row>
    <row r="18" spans="1:14" x14ac:dyDescent="0.25">
      <c r="B18" s="215"/>
      <c r="C18" s="216"/>
      <c r="D18" s="217"/>
      <c r="E18" s="177">
        <v>4</v>
      </c>
      <c r="F18" s="26">
        <f>'Margen de contribución SGA'!K55</f>
        <v>11.333333333333334</v>
      </c>
      <c r="G18" s="152">
        <f>'Margen de contribución VEA'!E15</f>
        <v>12</v>
      </c>
      <c r="I18" s="19">
        <f>'Presupuesto de ingresos'!G6</f>
        <v>318373111.68573284</v>
      </c>
      <c r="J18" s="230"/>
      <c r="K18" s="230"/>
      <c r="L18" s="230"/>
      <c r="M18" s="230"/>
      <c r="N18" s="230"/>
    </row>
    <row r="19" spans="1:14" x14ac:dyDescent="0.25">
      <c r="B19" s="218"/>
      <c r="C19" s="219"/>
      <c r="D19" s="220"/>
      <c r="E19" s="177">
        <v>5</v>
      </c>
      <c r="F19" s="26">
        <f>'Margen de contribución SGA'!K68</f>
        <v>11.33333333333333</v>
      </c>
      <c r="G19" s="152">
        <f>'Margen de contribución VEA'!F15</f>
        <v>15</v>
      </c>
    </row>
    <row r="21" spans="1:14" x14ac:dyDescent="0.25">
      <c r="B21" s="228" t="s">
        <v>212</v>
      </c>
      <c r="C21" s="228"/>
      <c r="D21" s="228"/>
      <c r="E21" s="228"/>
      <c r="F21" s="228"/>
      <c r="H21" t="s">
        <v>218</v>
      </c>
      <c r="I21" s="23">
        <f>'FE AS'!J23</f>
        <v>-39127956.301031344</v>
      </c>
      <c r="J21" s="23">
        <f>'FE AS'!K23</f>
        <v>-40385155.117126763</v>
      </c>
      <c r="K21" s="23">
        <f>'FE AS'!L23</f>
        <v>15583452.430800054</v>
      </c>
      <c r="L21" s="23">
        <f>'FE AS'!M23</f>
        <v>87283433.342065275</v>
      </c>
      <c r="M21" s="23">
        <f>'FE AS'!N23</f>
        <v>148016751.50379971</v>
      </c>
    </row>
    <row r="22" spans="1:14" x14ac:dyDescent="0.25">
      <c r="B22" s="179">
        <f>'Presupuesto costos de producció'!C6+'Presupuesto gastos administrati'!C5+'Presupuesto gastos de venta'!C5</f>
        <v>117128388</v>
      </c>
      <c r="C22" s="179">
        <f>'Presupuesto costos de producció'!D6+'Presupuesto gastos administrati'!D5+'Presupuesto gastos de venta'!D5</f>
        <v>112613928.80399999</v>
      </c>
      <c r="D22" s="179">
        <f>'Presupuesto costos de producció'!E6+'Presupuesto gastos administrati'!E5+'Presupuesto gastos de venta'!E5</f>
        <v>149732056.59692401</v>
      </c>
      <c r="E22" s="179">
        <f>'Presupuesto costos de producció'!F6+'Presupuesto gastos administrati'!F5+'Presupuesto gastos de venta'!F5</f>
        <v>154373750.3514286</v>
      </c>
      <c r="F22" s="179">
        <f>'Presupuesto costos de producció'!G6+'Presupuesto gastos administrati'!G5+'Presupuesto gastos de venta'!G5</f>
        <v>203684616.11302575</v>
      </c>
      <c r="G22" s="179"/>
    </row>
    <row r="23" spans="1:14" x14ac:dyDescent="0.25">
      <c r="B23" s="151"/>
      <c r="C23" s="151"/>
      <c r="D23" s="151"/>
      <c r="E23" s="151"/>
      <c r="F23" s="151"/>
      <c r="G23" s="151"/>
    </row>
    <row r="24" spans="1:14" x14ac:dyDescent="0.25">
      <c r="B24" s="23"/>
      <c r="C24" s="23"/>
      <c r="D24" s="23"/>
      <c r="E24" s="23"/>
      <c r="F24" s="23"/>
      <c r="G24" s="23"/>
    </row>
    <row r="25" spans="1:14" x14ac:dyDescent="0.25">
      <c r="B25" s="229" t="s">
        <v>219</v>
      </c>
      <c r="C25" s="229"/>
      <c r="D25" s="229"/>
      <c r="E25" s="229"/>
      <c r="F25" s="229"/>
      <c r="G25" s="23"/>
    </row>
    <row r="26" spans="1:14" x14ac:dyDescent="0.25">
      <c r="A26" t="s">
        <v>220</v>
      </c>
      <c r="B26" s="23">
        <f>'Estado de resultados'!B7</f>
        <v>117128388</v>
      </c>
      <c r="C26" s="23">
        <f>'Estado de resultados'!C7</f>
        <v>112613928.80399999</v>
      </c>
      <c r="D26" s="23">
        <f>'Estado de resultados'!D7</f>
        <v>149732056.59692401</v>
      </c>
      <c r="E26" s="23">
        <f>'Estado de resultados'!E7</f>
        <v>154373750.3514286</v>
      </c>
      <c r="F26" s="23">
        <f>'Estado de resultados'!F7</f>
        <v>203684616.11302575</v>
      </c>
      <c r="G26" s="23"/>
    </row>
    <row r="27" spans="1:14" x14ac:dyDescent="0.25">
      <c r="A27" s="42" t="s">
        <v>221</v>
      </c>
      <c r="B27" s="23">
        <f>(B26*0.135)+B26</f>
        <v>132940720.38</v>
      </c>
      <c r="C27" s="23">
        <f t="shared" ref="C27:F27" si="2">(C26*0.135)+C26</f>
        <v>127816809.19253999</v>
      </c>
      <c r="D27" s="23">
        <f t="shared" si="2"/>
        <v>169945884.23750874</v>
      </c>
      <c r="E27" s="23">
        <f t="shared" si="2"/>
        <v>175214206.64887145</v>
      </c>
      <c r="F27" s="23">
        <f t="shared" si="2"/>
        <v>231182039.28828424</v>
      </c>
      <c r="G27" s="23"/>
    </row>
    <row r="28" spans="1:14" x14ac:dyDescent="0.25">
      <c r="B28" s="23"/>
      <c r="C28" s="23"/>
      <c r="D28" s="23"/>
      <c r="E28" s="23"/>
      <c r="F28" s="23"/>
      <c r="G28" s="23"/>
    </row>
    <row r="29" spans="1:14" x14ac:dyDescent="0.25">
      <c r="B29" s="23"/>
      <c r="C29" s="23"/>
      <c r="D29" s="23"/>
      <c r="E29" s="23"/>
      <c r="F29" s="23"/>
      <c r="G29" s="23"/>
    </row>
    <row r="30" spans="1:14" x14ac:dyDescent="0.25">
      <c r="B30" s="23"/>
      <c r="C30" s="23"/>
      <c r="D30" s="23"/>
      <c r="E30" s="23"/>
      <c r="F30" s="23"/>
      <c r="G30" s="23"/>
    </row>
    <row r="31" spans="1:14" x14ac:dyDescent="0.25">
      <c r="B31" s="23"/>
      <c r="C31" s="23"/>
      <c r="D31" s="23"/>
      <c r="E31" s="23"/>
      <c r="F31" s="23"/>
      <c r="G31" s="23"/>
    </row>
    <row r="32" spans="1:14" x14ac:dyDescent="0.25">
      <c r="B32" s="23"/>
      <c r="C32" s="23"/>
      <c r="D32" s="23"/>
      <c r="E32" s="23"/>
      <c r="F32" s="23"/>
      <c r="G32" s="23"/>
    </row>
    <row r="33" spans="2:7" x14ac:dyDescent="0.25">
      <c r="B33" s="23"/>
      <c r="C33" s="23"/>
      <c r="D33" s="23"/>
      <c r="E33" s="23"/>
      <c r="F33" s="23"/>
      <c r="G33" s="23"/>
    </row>
    <row r="34" spans="2:7" x14ac:dyDescent="0.25">
      <c r="B34" s="23"/>
      <c r="C34" s="23"/>
      <c r="D34" s="23"/>
      <c r="E34" s="23"/>
      <c r="F34" s="23"/>
      <c r="G34" s="23"/>
    </row>
    <row r="35" spans="2:7" x14ac:dyDescent="0.25">
      <c r="B35" s="23"/>
      <c r="C35" s="23"/>
      <c r="D35" s="23"/>
      <c r="E35" s="23"/>
      <c r="F35" s="23"/>
      <c r="G35" s="23"/>
    </row>
    <row r="36" spans="2:7" x14ac:dyDescent="0.25">
      <c r="B36" s="23"/>
      <c r="C36" s="23"/>
      <c r="D36" s="23"/>
      <c r="E36" s="23"/>
      <c r="F36" s="23"/>
      <c r="G36" s="23"/>
    </row>
    <row r="37" spans="2:7" x14ac:dyDescent="0.25">
      <c r="B37" s="23"/>
      <c r="C37" s="23"/>
      <c r="D37" s="23"/>
      <c r="E37" s="23"/>
      <c r="F37" s="23"/>
      <c r="G37" s="23"/>
    </row>
    <row r="38" spans="2:7" x14ac:dyDescent="0.25">
      <c r="B38" s="23"/>
      <c r="C38" s="23"/>
      <c r="D38" s="23"/>
      <c r="E38" s="23"/>
      <c r="F38" s="23"/>
      <c r="G38" s="23"/>
    </row>
  </sheetData>
  <mergeCells count="12">
    <mergeCell ref="B25:F25"/>
    <mergeCell ref="B21:F21"/>
    <mergeCell ref="J3:N7"/>
    <mergeCell ref="O3:O7"/>
    <mergeCell ref="J1:N1"/>
    <mergeCell ref="J14:N18"/>
    <mergeCell ref="C2:G2"/>
    <mergeCell ref="C10:E10"/>
    <mergeCell ref="C11:E11"/>
    <mergeCell ref="E13:G13"/>
    <mergeCell ref="B16:D19"/>
    <mergeCell ref="B1:G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51BAB-BB9A-48AA-8D44-3D82B9F05E96}">
  <dimension ref="A1:M16"/>
  <sheetViews>
    <sheetView topLeftCell="C1" workbookViewId="0">
      <selection activeCell="H20" sqref="H20"/>
    </sheetView>
  </sheetViews>
  <sheetFormatPr baseColWidth="10" defaultRowHeight="15" x14ac:dyDescent="0.25"/>
  <cols>
    <col min="1" max="1" width="21.140625" customWidth="1"/>
    <col min="2" max="6" width="15.140625" bestFit="1" customWidth="1"/>
    <col min="8" max="8" width="26" bestFit="1" customWidth="1"/>
    <col min="9" max="13" width="15.140625" bestFit="1" customWidth="1"/>
  </cols>
  <sheetData>
    <row r="1" spans="1:13" x14ac:dyDescent="0.25">
      <c r="A1" s="209" t="s">
        <v>222</v>
      </c>
      <c r="B1" s="209"/>
      <c r="C1" s="209"/>
      <c r="D1" s="209"/>
      <c r="E1" s="209"/>
      <c r="F1" s="209"/>
      <c r="H1" s="209" t="s">
        <v>223</v>
      </c>
      <c r="I1" s="209"/>
      <c r="J1" s="209"/>
      <c r="K1" s="209"/>
      <c r="L1" s="209"/>
      <c r="M1" s="209"/>
    </row>
    <row r="2" spans="1:13" x14ac:dyDescent="0.25">
      <c r="A2" s="153" t="s">
        <v>144</v>
      </c>
      <c r="B2" s="153" t="s">
        <v>93</v>
      </c>
      <c r="C2" s="153" t="s">
        <v>94</v>
      </c>
      <c r="D2" s="153" t="s">
        <v>95</v>
      </c>
      <c r="E2" s="153" t="s">
        <v>96</v>
      </c>
      <c r="F2" s="153" t="s">
        <v>97</v>
      </c>
      <c r="H2" s="153" t="s">
        <v>144</v>
      </c>
      <c r="I2" s="153" t="s">
        <v>93</v>
      </c>
      <c r="J2" s="153" t="s">
        <v>94</v>
      </c>
      <c r="K2" s="153" t="s">
        <v>95</v>
      </c>
      <c r="L2" s="153" t="s">
        <v>96</v>
      </c>
      <c r="M2" s="153" t="s">
        <v>97</v>
      </c>
    </row>
    <row r="3" spans="1:13" x14ac:dyDescent="0.25">
      <c r="A3" s="38" t="s">
        <v>185</v>
      </c>
      <c r="B3" s="165">
        <f>'Análisis de sensibilidad'!J2</f>
        <v>92112693.866666675</v>
      </c>
      <c r="C3" s="165">
        <f>'Análisis de sensibilidad'!K2</f>
        <v>134894419.73186663</v>
      </c>
      <c r="D3" s="165">
        <f>'Análisis de sensibilidad'!L2</f>
        <v>216515837.07523328</v>
      </c>
      <c r="E3" s="165">
        <f>'Análisis de sensibilidad'!M2</f>
        <v>248623147.72768748</v>
      </c>
      <c r="F3" s="165">
        <f>'Análisis de sensibilidad'!N2</f>
        <v>298702828.90704501</v>
      </c>
      <c r="H3" s="38" t="s">
        <v>185</v>
      </c>
      <c r="I3" s="165">
        <f>'Presupuesto de ingresos'!C6</f>
        <v>98074666.666666672</v>
      </c>
      <c r="J3" s="165">
        <f>'Presupuesto de ingresos'!D6</f>
        <v>143701318.66666663</v>
      </c>
      <c r="K3" s="165">
        <f>'Presupuesto de ingresos'!E6</f>
        <v>230872294.63733327</v>
      </c>
      <c r="L3" s="165">
        <f>'Presupuesto de ingresos'!F6</f>
        <v>265146601.87159461</v>
      </c>
      <c r="M3" s="165">
        <f>'Presupuesto de ingresos'!G6</f>
        <v>318373111.68573284</v>
      </c>
    </row>
    <row r="4" spans="1:13" x14ac:dyDescent="0.25">
      <c r="A4" s="177" t="s">
        <v>141</v>
      </c>
      <c r="B4" s="35">
        <v>0</v>
      </c>
      <c r="C4" s="35">
        <v>0</v>
      </c>
      <c r="D4" s="35">
        <v>0</v>
      </c>
      <c r="E4" s="35">
        <v>0</v>
      </c>
      <c r="F4" s="35">
        <v>0</v>
      </c>
      <c r="H4" s="177" t="s">
        <v>141</v>
      </c>
      <c r="I4" s="35">
        <v>0</v>
      </c>
      <c r="J4" s="35">
        <v>0</v>
      </c>
      <c r="K4" s="35">
        <v>0</v>
      </c>
      <c r="L4" s="35">
        <v>0</v>
      </c>
      <c r="M4" s="35">
        <v>0</v>
      </c>
    </row>
    <row r="5" spans="1:13" x14ac:dyDescent="0.25">
      <c r="A5" s="177" t="s">
        <v>142</v>
      </c>
      <c r="B5" s="35">
        <f>B3-B4</f>
        <v>92112693.866666675</v>
      </c>
      <c r="C5" s="35">
        <f t="shared" ref="C5:F5" si="0">C3-C4</f>
        <v>134894419.73186663</v>
      </c>
      <c r="D5" s="35">
        <f t="shared" si="0"/>
        <v>216515837.07523328</v>
      </c>
      <c r="E5" s="35">
        <f t="shared" si="0"/>
        <v>248623147.72768748</v>
      </c>
      <c r="F5" s="35">
        <f t="shared" si="0"/>
        <v>298702828.90704501</v>
      </c>
      <c r="H5" s="177" t="s">
        <v>142</v>
      </c>
      <c r="I5" s="35">
        <f>I3-I4</f>
        <v>98074666.666666672</v>
      </c>
      <c r="J5" s="35">
        <f t="shared" ref="J5:M5" si="1">J3-J4</f>
        <v>143701318.66666663</v>
      </c>
      <c r="K5" s="35">
        <f t="shared" si="1"/>
        <v>230872294.63733327</v>
      </c>
      <c r="L5" s="35">
        <f t="shared" si="1"/>
        <v>265146601.87159461</v>
      </c>
      <c r="M5" s="35">
        <f t="shared" si="1"/>
        <v>318373111.68573284</v>
      </c>
    </row>
    <row r="6" spans="1:13" x14ac:dyDescent="0.25">
      <c r="A6" s="193" t="s">
        <v>186</v>
      </c>
      <c r="B6" s="194"/>
      <c r="C6" s="194"/>
      <c r="D6" s="194"/>
      <c r="E6" s="194"/>
      <c r="F6" s="195"/>
      <c r="H6" s="193" t="s">
        <v>186</v>
      </c>
      <c r="I6" s="194"/>
      <c r="J6" s="194"/>
      <c r="K6" s="194"/>
      <c r="L6" s="194"/>
      <c r="M6" s="195"/>
    </row>
    <row r="7" spans="1:13" x14ac:dyDescent="0.25">
      <c r="A7" s="177" t="s">
        <v>187</v>
      </c>
      <c r="B7" s="35">
        <f>Depreciación!$E$25</f>
        <v>4901680</v>
      </c>
      <c r="C7" s="35">
        <f>Depreciación!$E$25</f>
        <v>4901680</v>
      </c>
      <c r="D7" s="35">
        <f>Depreciación!$E$25</f>
        <v>4901680</v>
      </c>
      <c r="E7" s="35">
        <f>Depreciación!$E$25</f>
        <v>4901680</v>
      </c>
      <c r="F7" s="35">
        <f>Depreciación!$E$25</f>
        <v>4901680</v>
      </c>
      <c r="H7" s="177" t="s">
        <v>187</v>
      </c>
      <c r="I7" s="35">
        <f>Depreciación!$E$25</f>
        <v>4901680</v>
      </c>
      <c r="J7" s="35">
        <f>Depreciación!$E$25</f>
        <v>4901680</v>
      </c>
      <c r="K7" s="35">
        <f>Depreciación!$E$25</f>
        <v>4901680</v>
      </c>
      <c r="L7" s="35">
        <f>Depreciación!$E$25</f>
        <v>4901680</v>
      </c>
      <c r="M7" s="35">
        <f>Depreciación!$E$25</f>
        <v>4901680</v>
      </c>
    </row>
    <row r="8" spans="1:13" x14ac:dyDescent="0.25">
      <c r="A8" s="177" t="s">
        <v>189</v>
      </c>
      <c r="B8" s="35">
        <f>'Presupuesto costos de producció'!C6+'Presupuesto gastos administrati'!C5+'Presupuesto gastos de venta'!C5</f>
        <v>117128388</v>
      </c>
      <c r="C8" s="35">
        <f>'Presupuesto costos de producció'!D6+'Presupuesto gastos administrati'!D5+'Presupuesto gastos de venta'!D5</f>
        <v>112613928.80399999</v>
      </c>
      <c r="D8" s="35">
        <f>'Presupuesto costos de producció'!E6+'Presupuesto gastos administrati'!E5+'Presupuesto gastos de venta'!E5</f>
        <v>149732056.59692401</v>
      </c>
      <c r="E8" s="35">
        <f>'Presupuesto costos de producció'!F6+'Presupuesto gastos administrati'!F5+'Presupuesto gastos de venta'!F5</f>
        <v>154373750.3514286</v>
      </c>
      <c r="F8" s="35">
        <f>'Presupuesto costos de producció'!G6+'Presupuesto gastos administrati'!G5+'Presupuesto gastos de venta'!G5</f>
        <v>203684616.11302575</v>
      </c>
      <c r="H8" s="177" t="s">
        <v>189</v>
      </c>
      <c r="I8" s="35">
        <f>'Análisis de sensibilidad'!B27</f>
        <v>132940720.38</v>
      </c>
      <c r="J8" s="35">
        <f>'Análisis de sensibilidad'!C27</f>
        <v>127816809.19253999</v>
      </c>
      <c r="K8" s="35">
        <f>'Análisis de sensibilidad'!D27</f>
        <v>169945884.23750874</v>
      </c>
      <c r="L8" s="35">
        <f>'Análisis de sensibilidad'!E27</f>
        <v>175214206.64887145</v>
      </c>
      <c r="M8" s="35">
        <f>'Análisis de sensibilidad'!F27</f>
        <v>231182039.28828424</v>
      </c>
    </row>
    <row r="9" spans="1:13" x14ac:dyDescent="0.25">
      <c r="A9" s="38" t="s">
        <v>188</v>
      </c>
      <c r="B9" s="165">
        <f>B7+B8</f>
        <v>122030068</v>
      </c>
      <c r="C9" s="165">
        <f t="shared" ref="C9:F9" si="2">C7+C8</f>
        <v>117515608.80399999</v>
      </c>
      <c r="D9" s="165">
        <f t="shared" si="2"/>
        <v>154633736.59692401</v>
      </c>
      <c r="E9" s="165">
        <f t="shared" si="2"/>
        <v>159275430.3514286</v>
      </c>
      <c r="F9" s="165">
        <f t="shared" si="2"/>
        <v>208586296.11302575</v>
      </c>
      <c r="H9" s="38" t="s">
        <v>188</v>
      </c>
      <c r="I9" s="165">
        <f>I7+I8</f>
        <v>137842400.38</v>
      </c>
      <c r="J9" s="165">
        <f t="shared" ref="J9:M9" si="3">J7+J8</f>
        <v>132718489.19253999</v>
      </c>
      <c r="K9" s="165">
        <f t="shared" si="3"/>
        <v>174847564.23750874</v>
      </c>
      <c r="L9" s="165">
        <f t="shared" si="3"/>
        <v>180115886.64887145</v>
      </c>
      <c r="M9" s="165">
        <f t="shared" si="3"/>
        <v>236083719.28828424</v>
      </c>
    </row>
    <row r="10" spans="1:13" ht="30" x14ac:dyDescent="0.25">
      <c r="A10" s="2" t="s">
        <v>114</v>
      </c>
      <c r="B10" s="35">
        <f>B5-B9</f>
        <v>-29917374.133333325</v>
      </c>
      <c r="C10" s="35">
        <f t="shared" ref="C10:F10" si="4">C5-C9</f>
        <v>17378810.927866638</v>
      </c>
      <c r="D10" s="35">
        <f t="shared" si="4"/>
        <v>61882100.478309274</v>
      </c>
      <c r="E10" s="35">
        <f t="shared" si="4"/>
        <v>89347717.37625888</v>
      </c>
      <c r="F10" s="35">
        <f t="shared" si="4"/>
        <v>90116532.794019252</v>
      </c>
      <c r="H10" s="2" t="s">
        <v>114</v>
      </c>
      <c r="I10" s="35">
        <f>I5-I9</f>
        <v>-39767733.713333324</v>
      </c>
      <c r="J10" s="35">
        <f t="shared" ref="J10:M10" si="5">J5-J9</f>
        <v>10982829.474126637</v>
      </c>
      <c r="K10" s="35">
        <f t="shared" si="5"/>
        <v>56024730.39982453</v>
      </c>
      <c r="L10" s="35">
        <f t="shared" si="5"/>
        <v>85030715.222723156</v>
      </c>
      <c r="M10" s="35">
        <f t="shared" si="5"/>
        <v>82289392.397448599</v>
      </c>
    </row>
    <row r="11" spans="1:13" x14ac:dyDescent="0.25">
      <c r="A11" s="177" t="s">
        <v>206</v>
      </c>
      <c r="B11" s="35">
        <f>Amortizaciones!A82</f>
        <v>4261902.5876980191</v>
      </c>
      <c r="C11" s="35">
        <f>Amortizaciones!A83</f>
        <v>3492521.0369023392</v>
      </c>
      <c r="D11" s="35">
        <f>Amortizaciones!A84</f>
        <v>2635807.2363581844</v>
      </c>
      <c r="E11" s="35">
        <f>Amortizaciones!A85</f>
        <v>1681848.1307833705</v>
      </c>
      <c r="F11" s="35">
        <f>Amortizaciones!A86</f>
        <v>619605.43721280433</v>
      </c>
      <c r="H11" s="177" t="s">
        <v>206</v>
      </c>
      <c r="I11" s="35">
        <f>Amortizaciones!A82</f>
        <v>4261902.5876980191</v>
      </c>
      <c r="J11" s="35">
        <f>Amortizaciones!A83</f>
        <v>3492521.0369023392</v>
      </c>
      <c r="K11" s="35">
        <f>Amortizaciones!A84</f>
        <v>2635807.2363581844</v>
      </c>
      <c r="L11" s="35">
        <f>Amortizaciones!A85</f>
        <v>1681848.1307833705</v>
      </c>
      <c r="M11" s="35">
        <f>Amortizaciones!A86</f>
        <v>619605.43721280433</v>
      </c>
    </row>
    <row r="12" spans="1:13" x14ac:dyDescent="0.25">
      <c r="A12" s="177" t="s">
        <v>140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H12" s="177" t="s">
        <v>140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</row>
    <row r="13" spans="1:13" x14ac:dyDescent="0.25">
      <c r="A13" s="177" t="s">
        <v>86</v>
      </c>
      <c r="B13" s="35">
        <f>B10-B11-B12</f>
        <v>-34179276.721031345</v>
      </c>
      <c r="C13" s="35">
        <f t="shared" ref="C13:F13" si="6">C10-C11-C12</f>
        <v>13886289.890964299</v>
      </c>
      <c r="D13" s="35">
        <f t="shared" si="6"/>
        <v>59246293.241951093</v>
      </c>
      <c r="E13" s="35">
        <f t="shared" si="6"/>
        <v>87665869.245475516</v>
      </c>
      <c r="F13" s="35">
        <f t="shared" si="6"/>
        <v>89496927.356806442</v>
      </c>
      <c r="H13" s="177" t="s">
        <v>86</v>
      </c>
      <c r="I13" s="35">
        <f>I10-I11-I12</f>
        <v>-44029636.301031344</v>
      </c>
      <c r="J13" s="35">
        <f t="shared" ref="J13:M13" si="7">J10-J11-J12</f>
        <v>7490308.4372242978</v>
      </c>
      <c r="K13" s="35">
        <f t="shared" si="7"/>
        <v>53388923.163466349</v>
      </c>
      <c r="L13" s="35">
        <f t="shared" si="7"/>
        <v>83348867.091939792</v>
      </c>
      <c r="M13" s="35">
        <f t="shared" si="7"/>
        <v>81669786.960235789</v>
      </c>
    </row>
    <row r="14" spans="1:13" x14ac:dyDescent="0.25">
      <c r="A14" s="177" t="s">
        <v>166</v>
      </c>
      <c r="B14" s="35">
        <f>ABS(B13*31%)</f>
        <v>10595575.783519717</v>
      </c>
      <c r="C14" s="35">
        <f t="shared" ref="C14:F14" si="8">ABS(C13*31%)</f>
        <v>4304749.8661989328</v>
      </c>
      <c r="D14" s="35">
        <f t="shared" si="8"/>
        <v>18366350.90500484</v>
      </c>
      <c r="E14" s="35">
        <f t="shared" si="8"/>
        <v>27176419.466097411</v>
      </c>
      <c r="F14" s="35">
        <f t="shared" si="8"/>
        <v>27744047.480609998</v>
      </c>
      <c r="H14" s="177" t="s">
        <v>166</v>
      </c>
      <c r="I14" s="35">
        <f>ABS(I13*31%)</f>
        <v>13649187.253319716</v>
      </c>
      <c r="J14" s="35">
        <f t="shared" ref="J14:M14" si="9">ABS(J13*31%)</f>
        <v>2321995.6155395322</v>
      </c>
      <c r="K14" s="35">
        <f t="shared" si="9"/>
        <v>16550566.180674568</v>
      </c>
      <c r="L14" s="35">
        <f t="shared" si="9"/>
        <v>25838148.798501335</v>
      </c>
      <c r="M14" s="35">
        <f t="shared" si="9"/>
        <v>25317633.957673095</v>
      </c>
    </row>
    <row r="15" spans="1:13" x14ac:dyDescent="0.25">
      <c r="A15" s="38" t="s">
        <v>113</v>
      </c>
      <c r="B15" s="165">
        <f>B13-B14</f>
        <v>-44774852.50455106</v>
      </c>
      <c r="C15" s="165">
        <f t="shared" ref="C15:F15" si="10">C13-C14</f>
        <v>9581540.0247653667</v>
      </c>
      <c r="D15" s="165">
        <f t="shared" si="10"/>
        <v>40879942.336946249</v>
      </c>
      <c r="E15" s="165">
        <f t="shared" si="10"/>
        <v>60489449.779378101</v>
      </c>
      <c r="F15" s="165">
        <f t="shared" si="10"/>
        <v>61752879.876196444</v>
      </c>
      <c r="H15" s="38" t="s">
        <v>113</v>
      </c>
      <c r="I15" s="165">
        <f>I13-I14</f>
        <v>-57678823.554351062</v>
      </c>
      <c r="J15" s="165">
        <f t="shared" ref="J15:M15" si="11">J13-J14</f>
        <v>5168312.8216847656</v>
      </c>
      <c r="K15" s="165">
        <f t="shared" si="11"/>
        <v>36838356.982791781</v>
      </c>
      <c r="L15" s="165">
        <f t="shared" si="11"/>
        <v>57510718.293438457</v>
      </c>
      <c r="M15" s="165">
        <f t="shared" si="11"/>
        <v>56352153.002562694</v>
      </c>
    </row>
    <row r="16" spans="1:13" x14ac:dyDescent="0.25">
      <c r="A16" s="177" t="s">
        <v>143</v>
      </c>
      <c r="B16" s="161">
        <f>B15/B3</f>
        <v>-0.48608775430412182</v>
      </c>
      <c r="C16" s="161">
        <f t="shared" ref="C16:F16" si="12">C15/C3</f>
        <v>7.1029921354870421E-2</v>
      </c>
      <c r="D16" s="161">
        <f t="shared" si="12"/>
        <v>0.18880809315921587</v>
      </c>
      <c r="E16" s="161">
        <f t="shared" si="12"/>
        <v>0.24329773929831797</v>
      </c>
      <c r="F16" s="161">
        <f t="shared" si="12"/>
        <v>0.20673684310975732</v>
      </c>
      <c r="H16" s="177" t="s">
        <v>143</v>
      </c>
      <c r="I16" s="161">
        <f>I15/I3</f>
        <v>-0.58811133919412817</v>
      </c>
      <c r="J16" s="161">
        <f t="shared" ref="J16:M16" si="13">J15/J3</f>
        <v>3.5965660368596344E-2</v>
      </c>
      <c r="K16" s="161">
        <f t="shared" si="13"/>
        <v>0.15956161842918168</v>
      </c>
      <c r="L16" s="161">
        <f t="shared" si="13"/>
        <v>0.21690158533990864</v>
      </c>
      <c r="M16" s="161">
        <f t="shared" si="13"/>
        <v>0.17700035252407903</v>
      </c>
    </row>
  </sheetData>
  <mergeCells count="4">
    <mergeCell ref="A6:F6"/>
    <mergeCell ref="H6:M6"/>
    <mergeCell ref="A1:F1"/>
    <mergeCell ref="H1:M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F136B-7445-472E-BE66-64AEE4BB747A}">
  <dimension ref="B1:N23"/>
  <sheetViews>
    <sheetView topLeftCell="D1" workbookViewId="0">
      <selection activeCell="O11" sqref="O11"/>
    </sheetView>
  </sheetViews>
  <sheetFormatPr baseColWidth="10" defaultRowHeight="15" x14ac:dyDescent="0.25"/>
  <cols>
    <col min="2" max="2" width="33" bestFit="1" customWidth="1"/>
    <col min="3" max="5" width="14.85546875" bestFit="1" customWidth="1"/>
    <col min="6" max="7" width="15.140625" bestFit="1" customWidth="1"/>
    <col min="9" max="9" width="33" bestFit="1" customWidth="1"/>
    <col min="10" max="12" width="14.85546875" bestFit="1" customWidth="1"/>
    <col min="13" max="13" width="14.140625" bestFit="1" customWidth="1"/>
    <col min="14" max="14" width="15.140625" bestFit="1" customWidth="1"/>
  </cols>
  <sheetData>
    <row r="1" spans="2:14" x14ac:dyDescent="0.25">
      <c r="B1" s="209" t="s">
        <v>224</v>
      </c>
      <c r="C1" s="209"/>
      <c r="D1" s="209"/>
      <c r="E1" s="209"/>
      <c r="F1" s="209"/>
      <c r="G1" s="209"/>
      <c r="I1" s="209" t="s">
        <v>225</v>
      </c>
      <c r="J1" s="209"/>
      <c r="K1" s="209"/>
      <c r="L1" s="209"/>
      <c r="M1" s="209"/>
      <c r="N1" s="209"/>
    </row>
    <row r="2" spans="2:14" x14ac:dyDescent="0.25">
      <c r="B2" s="177" t="s">
        <v>144</v>
      </c>
      <c r="C2" s="153" t="s">
        <v>93</v>
      </c>
      <c r="D2" s="153" t="s">
        <v>94</v>
      </c>
      <c r="E2" s="153" t="s">
        <v>95</v>
      </c>
      <c r="F2" s="153" t="s">
        <v>96</v>
      </c>
      <c r="G2" s="153" t="s">
        <v>97</v>
      </c>
      <c r="I2" s="177" t="s">
        <v>144</v>
      </c>
      <c r="J2" s="153" t="s">
        <v>93</v>
      </c>
      <c r="K2" s="153" t="s">
        <v>94</v>
      </c>
      <c r="L2" s="153" t="s">
        <v>95</v>
      </c>
      <c r="M2" s="153" t="s">
        <v>96</v>
      </c>
      <c r="N2" s="153" t="s">
        <v>97</v>
      </c>
    </row>
    <row r="3" spans="2:14" x14ac:dyDescent="0.25">
      <c r="B3" s="178" t="s">
        <v>168</v>
      </c>
      <c r="C3" s="178"/>
      <c r="D3" s="178"/>
      <c r="E3" s="178"/>
      <c r="F3" s="178"/>
      <c r="G3" s="178"/>
      <c r="I3" s="178" t="s">
        <v>168</v>
      </c>
      <c r="J3" s="178"/>
      <c r="K3" s="178"/>
      <c r="L3" s="178"/>
      <c r="M3" s="178"/>
      <c r="N3" s="178"/>
    </row>
    <row r="4" spans="2:14" x14ac:dyDescent="0.25">
      <c r="B4" s="177" t="s">
        <v>201</v>
      </c>
      <c r="C4" s="166">
        <v>0</v>
      </c>
      <c r="D4" s="166">
        <f>C23</f>
        <v>-36055711.019124277</v>
      </c>
      <c r="E4" s="166">
        <f>D23</f>
        <v>-35410812.760568298</v>
      </c>
      <c r="F4" s="166">
        <f>E23</f>
        <v>16028200.965751097</v>
      </c>
      <c r="G4" s="166">
        <f>F23</f>
        <v>80871230.551214188</v>
      </c>
      <c r="I4" s="177" t="s">
        <v>201</v>
      </c>
      <c r="J4" s="166">
        <v>0</v>
      </c>
      <c r="K4" s="166">
        <f>J23</f>
        <v>-39127956.301031344</v>
      </c>
      <c r="L4" s="166">
        <f>K23</f>
        <v>-40385155.117126763</v>
      </c>
      <c r="M4" s="166">
        <f>L23</f>
        <v>15583452.430800054</v>
      </c>
      <c r="N4" s="166">
        <f>M23</f>
        <v>87283433.342065275</v>
      </c>
    </row>
    <row r="5" spans="2:14" x14ac:dyDescent="0.25">
      <c r="B5" s="177" t="s">
        <v>167</v>
      </c>
      <c r="C5" s="35">
        <f>'ER AS'!B15</f>
        <v>-44774852.50455106</v>
      </c>
      <c r="D5" s="35">
        <f>'ER AS'!C15</f>
        <v>9581540.0247653667</v>
      </c>
      <c r="E5" s="35">
        <f>'ER AS'!D15</f>
        <v>40879942.336946249</v>
      </c>
      <c r="F5" s="35">
        <f>'ER AS'!E15</f>
        <v>60489449.779378101</v>
      </c>
      <c r="G5" s="35">
        <f>'ER AS'!F15</f>
        <v>61752879.876196444</v>
      </c>
      <c r="I5" s="177" t="s">
        <v>167</v>
      </c>
      <c r="J5" s="35">
        <f>'ER AS'!I15</f>
        <v>-57678823.554351062</v>
      </c>
      <c r="K5" s="35">
        <f>'ER AS'!J15</f>
        <v>5168312.8216847656</v>
      </c>
      <c r="L5" s="35">
        <f>'ER AS'!K15</f>
        <v>36838356.982791781</v>
      </c>
      <c r="M5" s="35">
        <f>'ER AS'!L15</f>
        <v>57510718.293438457</v>
      </c>
      <c r="N5" s="35">
        <f>'ER AS'!M15</f>
        <v>56352153.002562694</v>
      </c>
    </row>
    <row r="6" spans="2:14" x14ac:dyDescent="0.25">
      <c r="B6" s="177" t="s">
        <v>133</v>
      </c>
      <c r="C6" s="35">
        <f>SUM(Depreciación!$B$25:$D$25)</f>
        <v>4901680</v>
      </c>
      <c r="D6" s="35">
        <f>SUM(Depreciación!$B$25:$D$25)</f>
        <v>4901680</v>
      </c>
      <c r="E6" s="35">
        <f>SUM(Depreciación!$B$25:$D$25)</f>
        <v>4901680</v>
      </c>
      <c r="F6" s="35">
        <f>SUM(Depreciación!$B$25:$D$25)</f>
        <v>4901680</v>
      </c>
      <c r="G6" s="35">
        <f>SUM(Depreciación!$B$25:$D$25)</f>
        <v>4901680</v>
      </c>
      <c r="I6" s="177" t="s">
        <v>133</v>
      </c>
      <c r="J6" s="35">
        <f>SUM(Depreciación!$B$25:$D$25)</f>
        <v>4901680</v>
      </c>
      <c r="K6" s="35">
        <f>SUM(Depreciación!$B$25:$D$25)</f>
        <v>4901680</v>
      </c>
      <c r="L6" s="35">
        <f>SUM(Depreciación!$B$25:$D$25)</f>
        <v>4901680</v>
      </c>
      <c r="M6" s="35">
        <f>SUM(Depreciación!$B$25:$D$25)</f>
        <v>4901680</v>
      </c>
      <c r="N6" s="35">
        <f>SUM(Depreciación!$B$25:$D$25)</f>
        <v>4901680</v>
      </c>
    </row>
    <row r="7" spans="2:14" x14ac:dyDescent="0.25">
      <c r="B7" s="177" t="s">
        <v>204</v>
      </c>
      <c r="C7" s="35">
        <f>'ER AS'!B14</f>
        <v>10595575.783519717</v>
      </c>
      <c r="D7" s="35">
        <f>'ER AS'!C14</f>
        <v>4304749.8661989328</v>
      </c>
      <c r="E7" s="35">
        <f>'ER AS'!D14</f>
        <v>18366350.90500484</v>
      </c>
      <c r="F7" s="35">
        <f>'ER AS'!E14</f>
        <v>27176419.466097411</v>
      </c>
      <c r="G7" s="35">
        <f>'ER AS'!F14</f>
        <v>27744047.480609998</v>
      </c>
      <c r="I7" s="177" t="s">
        <v>204</v>
      </c>
      <c r="J7" s="35">
        <f>'ER AS'!I14</f>
        <v>13649187.253319716</v>
      </c>
      <c r="K7" s="35">
        <f>'ER AS'!J14</f>
        <v>2321995.6155395322</v>
      </c>
      <c r="L7" s="35">
        <f>'ER AS'!K14</f>
        <v>16550566.180674568</v>
      </c>
      <c r="M7" s="35">
        <f>'ER AS'!L14</f>
        <v>25838148.798501335</v>
      </c>
      <c r="N7" s="35">
        <f>'ER AS'!M14</f>
        <v>25317633.957673095</v>
      </c>
    </row>
    <row r="8" spans="2:14" x14ac:dyDescent="0.25">
      <c r="B8" s="177" t="s">
        <v>169</v>
      </c>
      <c r="C8" s="35">
        <f>SUM(Amortizaciones!E18:E29)</f>
        <v>6778114.2980929296</v>
      </c>
      <c r="D8" s="35">
        <f>SUM(Amortizaciones!E30:E41)</f>
        <v>7547495.8488886077</v>
      </c>
      <c r="E8" s="35">
        <f>SUM(Amortizaciones!E42:E53)</f>
        <v>8404209.6494327635</v>
      </c>
      <c r="F8" s="35">
        <f>SUM(Amortizaciones!E54:E65)</f>
        <v>9358168.7550075762</v>
      </c>
      <c r="G8" s="35">
        <f>SUM(Amortizaciones!E66:E77)</f>
        <v>10420411.448578143</v>
      </c>
      <c r="I8" s="177" t="s">
        <v>169</v>
      </c>
      <c r="J8" s="35">
        <f>SUM(Amortizaciones!L18:L29)</f>
        <v>0</v>
      </c>
      <c r="K8" s="35">
        <f>SUM(Amortizaciones!L30:L41)</f>
        <v>0</v>
      </c>
      <c r="L8" s="35">
        <f>SUM(Amortizaciones!L42:L53)</f>
        <v>0</v>
      </c>
      <c r="M8" s="35">
        <f>SUM(Amortizaciones!L54:L65)</f>
        <v>0</v>
      </c>
      <c r="N8" s="35">
        <f>SUM(Amortizaciones!L66:L77)</f>
        <v>0</v>
      </c>
    </row>
    <row r="9" spans="2:14" x14ac:dyDescent="0.25">
      <c r="B9" s="167" t="s">
        <v>172</v>
      </c>
      <c r="C9" s="168">
        <f>+C5+C6-C8+C7</f>
        <v>-36055711.019124277</v>
      </c>
      <c r="D9" s="168">
        <f>+D5+D6-D8+D7+D4-C7</f>
        <v>-35410812.760568298</v>
      </c>
      <c r="E9" s="168">
        <f>+E5+E6-E8+E7+E4-D7</f>
        <v>16028200.965751098</v>
      </c>
      <c r="F9" s="168">
        <f>+F5+F6-F8+F7+F4-E7</f>
        <v>80871230.551214188</v>
      </c>
      <c r="G9" s="168">
        <f>+G5+G6-G8+G7+G4-F7</f>
        <v>137673006.99334508</v>
      </c>
      <c r="I9" s="167" t="s">
        <v>172</v>
      </c>
      <c r="J9" s="168">
        <f>+J5+J6-J8+J7</f>
        <v>-39127956.301031344</v>
      </c>
      <c r="K9" s="168">
        <f>+K5+K6-K8+K7+K4-J7</f>
        <v>-40385155.117126763</v>
      </c>
      <c r="L9" s="168">
        <f>+L5+L6-L8+L7+L4-K7</f>
        <v>15583452.430800054</v>
      </c>
      <c r="M9" s="168">
        <f>+M5+M6-M8+M7+M4-L7</f>
        <v>87283433.342065275</v>
      </c>
      <c r="N9" s="168">
        <f>+N5+N6-N8+N7+N4-M7</f>
        <v>148016751.50379971</v>
      </c>
    </row>
    <row r="10" spans="2:14" x14ac:dyDescent="0.25">
      <c r="B10" s="178" t="s">
        <v>170</v>
      </c>
      <c r="C10" s="178"/>
      <c r="D10" s="178"/>
      <c r="E10" s="178"/>
      <c r="F10" s="178"/>
      <c r="G10" s="178"/>
      <c r="I10" s="178" t="s">
        <v>170</v>
      </c>
      <c r="J10" s="178"/>
      <c r="K10" s="178"/>
      <c r="L10" s="178"/>
      <c r="M10" s="178"/>
      <c r="N10" s="178"/>
    </row>
    <row r="11" spans="2:14" x14ac:dyDescent="0.25">
      <c r="B11" s="177" t="s">
        <v>190</v>
      </c>
      <c r="C11" s="35">
        <f>Amortizaciones!E2+Amortizaciones!E5</f>
        <v>5129000</v>
      </c>
      <c r="D11" s="35">
        <v>0</v>
      </c>
      <c r="E11" s="35">
        <v>0</v>
      </c>
      <c r="F11" s="35">
        <v>0</v>
      </c>
      <c r="G11" s="35">
        <v>0</v>
      </c>
      <c r="I11" s="177" t="s">
        <v>190</v>
      </c>
      <c r="J11" s="35">
        <f>Amortizaciones!L2+Amortizaciones!L5</f>
        <v>0</v>
      </c>
      <c r="K11" s="35">
        <v>0</v>
      </c>
      <c r="L11" s="35">
        <v>0</v>
      </c>
      <c r="M11" s="35">
        <v>0</v>
      </c>
      <c r="N11" s="35">
        <v>0</v>
      </c>
    </row>
    <row r="12" spans="2:14" x14ac:dyDescent="0.25">
      <c r="B12" s="177" t="s">
        <v>162</v>
      </c>
      <c r="C12" s="35">
        <f>Amortizaciones!E3+Amortizaciones!E4</f>
        <v>1379400</v>
      </c>
      <c r="D12" s="35">
        <v>0</v>
      </c>
      <c r="E12" s="35">
        <v>0</v>
      </c>
      <c r="F12" s="35">
        <v>0</v>
      </c>
      <c r="G12" s="35">
        <v>0</v>
      </c>
      <c r="I12" s="177" t="s">
        <v>162</v>
      </c>
      <c r="J12" s="35">
        <f>Amortizaciones!L3+Amortizaciones!L4</f>
        <v>0</v>
      </c>
      <c r="K12" s="35">
        <v>0</v>
      </c>
      <c r="L12" s="35">
        <v>0</v>
      </c>
      <c r="M12" s="35">
        <v>0</v>
      </c>
      <c r="N12" s="35">
        <v>0</v>
      </c>
    </row>
    <row r="13" spans="2:14" x14ac:dyDescent="0.25">
      <c r="B13" s="177" t="s">
        <v>209</v>
      </c>
      <c r="C13" s="35">
        <f>Amortizaciones!E6</f>
        <v>36000000</v>
      </c>
      <c r="D13" s="35">
        <v>0</v>
      </c>
      <c r="E13" s="35">
        <v>0</v>
      </c>
      <c r="F13" s="35">
        <v>0</v>
      </c>
      <c r="G13" s="35">
        <v>0</v>
      </c>
      <c r="I13" s="177" t="s">
        <v>209</v>
      </c>
      <c r="J13" s="35">
        <f>Amortizaciones!L6</f>
        <v>0</v>
      </c>
      <c r="K13" s="35">
        <v>0</v>
      </c>
      <c r="L13" s="35">
        <v>0</v>
      </c>
      <c r="M13" s="35">
        <v>0</v>
      </c>
      <c r="N13" s="35">
        <v>0</v>
      </c>
    </row>
    <row r="14" spans="2:14" x14ac:dyDescent="0.25">
      <c r="B14" s="177"/>
      <c r="C14" s="35"/>
      <c r="D14" s="35"/>
      <c r="E14" s="35"/>
      <c r="F14" s="35"/>
      <c r="G14" s="35"/>
      <c r="I14" s="177"/>
      <c r="J14" s="35"/>
      <c r="K14" s="35"/>
      <c r="L14" s="35"/>
      <c r="M14" s="35"/>
      <c r="N14" s="35"/>
    </row>
    <row r="15" spans="2:14" x14ac:dyDescent="0.25">
      <c r="B15" s="177" t="s">
        <v>174</v>
      </c>
      <c r="C15" s="35">
        <f>inversiones!$B$62</f>
        <v>7517712</v>
      </c>
      <c r="D15" s="35">
        <f>inversiones!$B$62</f>
        <v>7517712</v>
      </c>
      <c r="E15" s="35">
        <f>inversiones!$B$62</f>
        <v>7517712</v>
      </c>
      <c r="F15" s="35">
        <f>inversiones!$B$62</f>
        <v>7517712</v>
      </c>
      <c r="G15" s="35">
        <f>inversiones!$B$62</f>
        <v>7517712</v>
      </c>
      <c r="I15" s="177" t="s">
        <v>174</v>
      </c>
      <c r="J15" s="35">
        <f>inversiones!$B$62</f>
        <v>7517712</v>
      </c>
      <c r="K15" s="35">
        <f>inversiones!$B$62</f>
        <v>7517712</v>
      </c>
      <c r="L15" s="35">
        <f>inversiones!$B$62</f>
        <v>7517712</v>
      </c>
      <c r="M15" s="35">
        <f>inversiones!$B$62</f>
        <v>7517712</v>
      </c>
      <c r="N15" s="35">
        <f>inversiones!$B$62</f>
        <v>7517712</v>
      </c>
    </row>
    <row r="16" spans="2:14" x14ac:dyDescent="0.25">
      <c r="B16" s="167" t="s">
        <v>171</v>
      </c>
      <c r="C16" s="168">
        <f>SUM(C11:C15)</f>
        <v>50026112</v>
      </c>
      <c r="D16" s="168">
        <f t="shared" ref="D16:G16" si="0">SUM(D11:D15)</f>
        <v>7517712</v>
      </c>
      <c r="E16" s="168">
        <f t="shared" si="0"/>
        <v>7517712</v>
      </c>
      <c r="F16" s="168">
        <f t="shared" si="0"/>
        <v>7517712</v>
      </c>
      <c r="G16" s="168">
        <f t="shared" si="0"/>
        <v>7517712</v>
      </c>
      <c r="I16" s="167" t="s">
        <v>171</v>
      </c>
      <c r="J16" s="168">
        <f>SUM(J11:J15)</f>
        <v>7517712</v>
      </c>
      <c r="K16" s="168">
        <f t="shared" ref="K16:N16" si="1">SUM(K11:K15)</f>
        <v>7517712</v>
      </c>
      <c r="L16" s="168">
        <f t="shared" si="1"/>
        <v>7517712</v>
      </c>
      <c r="M16" s="168">
        <f t="shared" si="1"/>
        <v>7517712</v>
      </c>
      <c r="N16" s="168">
        <f t="shared" si="1"/>
        <v>7517712</v>
      </c>
    </row>
    <row r="17" spans="2:14" x14ac:dyDescent="0.25">
      <c r="B17" s="177"/>
      <c r="C17" s="177"/>
      <c r="D17" s="177"/>
      <c r="E17" s="177"/>
      <c r="F17" s="177"/>
      <c r="G17" s="177"/>
      <c r="I17" s="177"/>
      <c r="J17" s="177"/>
      <c r="K17" s="177"/>
      <c r="L17" s="177"/>
      <c r="M17" s="177"/>
      <c r="N17" s="177"/>
    </row>
    <row r="18" spans="2:14" x14ac:dyDescent="0.25">
      <c r="B18" s="178" t="s">
        <v>173</v>
      </c>
      <c r="C18" s="178"/>
      <c r="D18" s="178"/>
      <c r="E18" s="178"/>
      <c r="F18" s="178"/>
      <c r="G18" s="178"/>
      <c r="I18" s="178" t="s">
        <v>173</v>
      </c>
      <c r="J18" s="178"/>
      <c r="K18" s="178"/>
      <c r="L18" s="178"/>
      <c r="M18" s="178"/>
      <c r="N18" s="178"/>
    </row>
    <row r="19" spans="2:14" x14ac:dyDescent="0.25">
      <c r="B19" s="177" t="s">
        <v>208</v>
      </c>
      <c r="C19" s="35">
        <f>Amortizaciones!B10</f>
        <v>42508400</v>
      </c>
      <c r="D19" s="35">
        <v>0</v>
      </c>
      <c r="E19" s="35">
        <v>0</v>
      </c>
      <c r="F19" s="35">
        <v>0</v>
      </c>
      <c r="G19" s="35">
        <v>0</v>
      </c>
      <c r="I19" s="177" t="s">
        <v>208</v>
      </c>
      <c r="J19" s="35">
        <f>Amortizaciones!I10</f>
        <v>0</v>
      </c>
      <c r="K19" s="35">
        <v>0</v>
      </c>
      <c r="L19" s="35">
        <v>0</v>
      </c>
      <c r="M19" s="35">
        <v>0</v>
      </c>
      <c r="N19" s="35">
        <v>0</v>
      </c>
    </row>
    <row r="20" spans="2:14" x14ac:dyDescent="0.25">
      <c r="B20" s="177" t="s">
        <v>164</v>
      </c>
      <c r="C20" s="35">
        <f>inversiones!$B$62</f>
        <v>7517712</v>
      </c>
      <c r="D20" s="35">
        <f>inversiones!$B$62</f>
        <v>7517712</v>
      </c>
      <c r="E20" s="35">
        <f>inversiones!$B$62</f>
        <v>7517712</v>
      </c>
      <c r="F20" s="35">
        <f>inversiones!$B$62</f>
        <v>7517712</v>
      </c>
      <c r="G20" s="35">
        <f>inversiones!$B$62</f>
        <v>7517712</v>
      </c>
      <c r="I20" s="177" t="s">
        <v>164</v>
      </c>
      <c r="J20" s="35">
        <f>inversiones!$B$62</f>
        <v>7517712</v>
      </c>
      <c r="K20" s="35">
        <f>inversiones!$B$62</f>
        <v>7517712</v>
      </c>
      <c r="L20" s="35">
        <f>inversiones!$B$62</f>
        <v>7517712</v>
      </c>
      <c r="M20" s="35">
        <f>inversiones!$B$62</f>
        <v>7517712</v>
      </c>
      <c r="N20" s="35">
        <f>inversiones!$B$62</f>
        <v>7517712</v>
      </c>
    </row>
    <row r="21" spans="2:14" x14ac:dyDescent="0.25">
      <c r="B21" s="167" t="s">
        <v>207</v>
      </c>
      <c r="C21" s="168">
        <f>+C19+C20</f>
        <v>50026112</v>
      </c>
      <c r="D21" s="168">
        <f t="shared" ref="D21:G21" si="2">+D19+D20</f>
        <v>7517712</v>
      </c>
      <c r="E21" s="168">
        <f t="shared" si="2"/>
        <v>7517712</v>
      </c>
      <c r="F21" s="168">
        <f t="shared" si="2"/>
        <v>7517712</v>
      </c>
      <c r="G21" s="168">
        <f t="shared" si="2"/>
        <v>7517712</v>
      </c>
      <c r="I21" s="167" t="s">
        <v>207</v>
      </c>
      <c r="J21" s="168">
        <f>+J19+J20</f>
        <v>7517712</v>
      </c>
      <c r="K21" s="168">
        <f t="shared" ref="K21:N21" si="3">+K19+K20</f>
        <v>7517712</v>
      </c>
      <c r="L21" s="168">
        <f t="shared" si="3"/>
        <v>7517712</v>
      </c>
      <c r="M21" s="168">
        <f t="shared" si="3"/>
        <v>7517712</v>
      </c>
      <c r="N21" s="168">
        <f t="shared" si="3"/>
        <v>7517712</v>
      </c>
    </row>
    <row r="22" spans="2:14" x14ac:dyDescent="0.25">
      <c r="B22" s="177"/>
      <c r="C22" s="177"/>
      <c r="D22" s="177"/>
      <c r="E22" s="177"/>
      <c r="F22" s="177"/>
      <c r="G22" s="177"/>
      <c r="I22" s="177"/>
      <c r="J22" s="177"/>
      <c r="K22" s="177"/>
      <c r="L22" s="177"/>
      <c r="M22" s="177"/>
      <c r="N22" s="177"/>
    </row>
    <row r="23" spans="2:14" x14ac:dyDescent="0.25">
      <c r="B23" s="177" t="s">
        <v>175</v>
      </c>
      <c r="C23" s="35">
        <f>C21+C9-C16</f>
        <v>-36055711.019124277</v>
      </c>
      <c r="D23" s="35">
        <f t="shared" ref="D23:G23" si="4">D21+D9-D16</f>
        <v>-35410812.760568298</v>
      </c>
      <c r="E23" s="35">
        <f t="shared" si="4"/>
        <v>16028200.965751097</v>
      </c>
      <c r="F23" s="35">
        <f t="shared" si="4"/>
        <v>80871230.551214188</v>
      </c>
      <c r="G23" s="35">
        <f t="shared" si="4"/>
        <v>137673006.99334508</v>
      </c>
      <c r="I23" s="177" t="s">
        <v>175</v>
      </c>
      <c r="J23" s="35">
        <f>J21+J9-J16</f>
        <v>-39127956.301031344</v>
      </c>
      <c r="K23" s="35">
        <f t="shared" ref="K23:N23" si="5">K21+K9-K16</f>
        <v>-40385155.117126763</v>
      </c>
      <c r="L23" s="35">
        <f t="shared" si="5"/>
        <v>15583452.430800054</v>
      </c>
      <c r="M23" s="35">
        <f t="shared" si="5"/>
        <v>87283433.342065275</v>
      </c>
      <c r="N23" s="35">
        <f t="shared" si="5"/>
        <v>148016751.50379971</v>
      </c>
    </row>
  </sheetData>
  <mergeCells count="2">
    <mergeCell ref="B1:G1"/>
    <mergeCell ref="I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9"/>
  <sheetViews>
    <sheetView workbookViewId="0">
      <selection activeCell="F16" sqref="F16"/>
    </sheetView>
  </sheetViews>
  <sheetFormatPr baseColWidth="10" defaultRowHeight="15" x14ac:dyDescent="0.25"/>
  <cols>
    <col min="1" max="1" width="33.5703125" bestFit="1" customWidth="1"/>
    <col min="2" max="2" width="14.140625" bestFit="1" customWidth="1"/>
    <col min="3" max="3" width="13.140625" bestFit="1" customWidth="1"/>
    <col min="4" max="4" width="13.5703125" bestFit="1" customWidth="1"/>
    <col min="5" max="6" width="17.42578125" bestFit="1" customWidth="1"/>
    <col min="7" max="7" width="18.42578125" bestFit="1" customWidth="1"/>
  </cols>
  <sheetData>
    <row r="2" spans="1:7" x14ac:dyDescent="0.25">
      <c r="A2" s="197" t="s">
        <v>52</v>
      </c>
      <c r="B2" s="197"/>
      <c r="C2" s="197"/>
      <c r="D2" s="197"/>
      <c r="E2" s="197"/>
      <c r="F2" s="197"/>
      <c r="G2" s="197"/>
    </row>
    <row r="3" spans="1:7" ht="30" x14ac:dyDescent="0.25">
      <c r="A3" s="77" t="s">
        <v>23</v>
      </c>
      <c r="B3" s="77" t="s">
        <v>2</v>
      </c>
      <c r="C3" s="77" t="s">
        <v>53</v>
      </c>
      <c r="D3" s="77" t="s">
        <v>158</v>
      </c>
      <c r="E3" s="77" t="s">
        <v>25</v>
      </c>
      <c r="F3" s="77" t="s">
        <v>26</v>
      </c>
      <c r="G3" s="77" t="s">
        <v>55</v>
      </c>
    </row>
    <row r="4" spans="1:7" x14ac:dyDescent="0.25">
      <c r="A4" s="77" t="s">
        <v>56</v>
      </c>
      <c r="B4" s="94">
        <f>inversiones!G3</f>
        <v>1</v>
      </c>
      <c r="C4" s="78">
        <f>inversiones!H3</f>
        <v>750000</v>
      </c>
      <c r="D4" s="78">
        <f>+B4*C4</f>
        <v>750000</v>
      </c>
      <c r="E4" s="78">
        <f>inversiones!J3</f>
        <v>420000.00000000006</v>
      </c>
      <c r="F4" s="78">
        <f>+D4+E4</f>
        <v>1170000</v>
      </c>
      <c r="G4" s="78">
        <f>F4*12</f>
        <v>14040000</v>
      </c>
    </row>
    <row r="5" spans="1:7" x14ac:dyDescent="0.25">
      <c r="A5" s="77" t="s">
        <v>57</v>
      </c>
      <c r="B5" s="94">
        <f>inversiones!G4</f>
        <v>1</v>
      </c>
      <c r="C5" s="78">
        <f>inversiones!H4</f>
        <v>900000</v>
      </c>
      <c r="D5" s="78">
        <f>+B5*C5</f>
        <v>900000</v>
      </c>
      <c r="E5" s="78">
        <f>inversiones!J4</f>
        <v>0</v>
      </c>
      <c r="F5" s="78">
        <f>inversiones!K4</f>
        <v>900000</v>
      </c>
      <c r="G5" s="78">
        <f>F5*12</f>
        <v>10800000</v>
      </c>
    </row>
    <row r="6" spans="1:7" x14ac:dyDescent="0.25">
      <c r="A6" s="77" t="s">
        <v>0</v>
      </c>
      <c r="B6" s="77"/>
      <c r="C6" s="78"/>
      <c r="D6" s="79">
        <f>SUM(D4:D5)</f>
        <v>1650000</v>
      </c>
      <c r="E6" s="79"/>
      <c r="F6" s="79">
        <f>+SUM(F4:F5)</f>
        <v>2070000</v>
      </c>
      <c r="G6" s="79">
        <f>SUM(G4:G5)</f>
        <v>24840000</v>
      </c>
    </row>
    <row r="7" spans="1:7" x14ac:dyDescent="0.25">
      <c r="A7" s="76"/>
      <c r="B7" s="76"/>
      <c r="C7" s="76"/>
      <c r="D7" s="76"/>
      <c r="E7" s="76"/>
      <c r="F7" s="76"/>
      <c r="G7" s="76"/>
    </row>
    <row r="8" spans="1:7" x14ac:dyDescent="0.25">
      <c r="A8" s="198" t="s">
        <v>75</v>
      </c>
      <c r="B8" s="198"/>
      <c r="C8" s="198"/>
      <c r="D8" s="198"/>
      <c r="E8" s="198"/>
      <c r="F8" s="198"/>
      <c r="G8" s="76"/>
    </row>
    <row r="9" spans="1:7" x14ac:dyDescent="0.25">
      <c r="A9" s="81" t="s">
        <v>37</v>
      </c>
      <c r="B9" s="81" t="s">
        <v>35</v>
      </c>
      <c r="C9" s="81" t="s">
        <v>2</v>
      </c>
      <c r="D9" s="81" t="s">
        <v>38</v>
      </c>
      <c r="E9" s="81" t="s">
        <v>39</v>
      </c>
      <c r="F9" s="81" t="s">
        <v>40</v>
      </c>
      <c r="G9" s="76"/>
    </row>
    <row r="10" spans="1:7" x14ac:dyDescent="0.25">
      <c r="A10" s="81" t="s">
        <v>41</v>
      </c>
      <c r="B10" s="81" t="s">
        <v>42</v>
      </c>
      <c r="C10" s="81">
        <v>150</v>
      </c>
      <c r="D10" s="82">
        <v>528.66</v>
      </c>
      <c r="E10" s="82">
        <f>C10*D10</f>
        <v>79299</v>
      </c>
      <c r="F10" s="82">
        <f>(E10*12)*20%</f>
        <v>190317.6</v>
      </c>
      <c r="G10" s="76"/>
    </row>
    <row r="11" spans="1:7" x14ac:dyDescent="0.25">
      <c r="A11" s="81" t="s">
        <v>49</v>
      </c>
      <c r="B11" s="81" t="s">
        <v>70</v>
      </c>
      <c r="C11" s="81">
        <v>20</v>
      </c>
      <c r="D11" s="82">
        <v>5100</v>
      </c>
      <c r="E11" s="82">
        <f t="shared" ref="E11:E15" si="0">C11*D11</f>
        <v>102000</v>
      </c>
      <c r="F11" s="82">
        <f t="shared" ref="F11:F15" si="1">(E11*12)*20%</f>
        <v>244800</v>
      </c>
      <c r="G11" s="76"/>
    </row>
    <row r="12" spans="1:7" x14ac:dyDescent="0.25">
      <c r="A12" s="81" t="s">
        <v>69</v>
      </c>
      <c r="B12" s="81" t="s">
        <v>44</v>
      </c>
      <c r="C12" s="81">
        <v>1</v>
      </c>
      <c r="D12" s="82">
        <v>100000</v>
      </c>
      <c r="E12" s="82">
        <f t="shared" si="0"/>
        <v>100000</v>
      </c>
      <c r="F12" s="82">
        <f t="shared" si="1"/>
        <v>240000</v>
      </c>
      <c r="G12" s="76"/>
    </row>
    <row r="13" spans="1:7" x14ac:dyDescent="0.25">
      <c r="A13" s="81" t="s">
        <v>45</v>
      </c>
      <c r="B13" s="81" t="s">
        <v>44</v>
      </c>
      <c r="C13" s="81">
        <v>1</v>
      </c>
      <c r="D13" s="82">
        <v>70000</v>
      </c>
      <c r="E13" s="82">
        <f t="shared" si="0"/>
        <v>70000</v>
      </c>
      <c r="F13" s="82">
        <f t="shared" si="1"/>
        <v>168000</v>
      </c>
      <c r="G13" s="76"/>
    </row>
    <row r="14" spans="1:7" x14ac:dyDescent="0.25">
      <c r="A14" s="81" t="s">
        <v>46</v>
      </c>
      <c r="B14" s="81" t="s">
        <v>44</v>
      </c>
      <c r="C14" s="81">
        <v>1</v>
      </c>
      <c r="D14" s="82">
        <v>500000</v>
      </c>
      <c r="E14" s="82">
        <f t="shared" si="0"/>
        <v>500000</v>
      </c>
      <c r="F14" s="82">
        <f t="shared" si="1"/>
        <v>1200000</v>
      </c>
      <c r="G14" s="76"/>
    </row>
    <row r="15" spans="1:7" x14ac:dyDescent="0.25">
      <c r="A15" s="81" t="s">
        <v>47</v>
      </c>
      <c r="B15" s="81" t="s">
        <v>44</v>
      </c>
      <c r="C15" s="81">
        <f>inversiones!B59</f>
        <v>1</v>
      </c>
      <c r="D15" s="82">
        <f>inversiones!C59</f>
        <v>1200000</v>
      </c>
      <c r="E15" s="82">
        <f t="shared" si="0"/>
        <v>1200000</v>
      </c>
      <c r="F15" s="82">
        <f t="shared" si="1"/>
        <v>2880000</v>
      </c>
      <c r="G15" s="76"/>
    </row>
    <row r="16" spans="1:7" x14ac:dyDescent="0.25">
      <c r="A16" s="81" t="s">
        <v>0</v>
      </c>
      <c r="B16" s="81"/>
      <c r="C16" s="81"/>
      <c r="D16" s="82"/>
      <c r="E16" s="145">
        <f>SUM(E10:E15)*0.2</f>
        <v>410259.80000000005</v>
      </c>
      <c r="F16" s="145">
        <f>SUM(F10:F15)</f>
        <v>4923117.5999999996</v>
      </c>
      <c r="G16" s="76"/>
    </row>
    <row r="17" spans="1:6" x14ac:dyDescent="0.25">
      <c r="A17" s="24"/>
      <c r="B17" s="24"/>
      <c r="C17" s="24"/>
      <c r="D17" s="24"/>
      <c r="E17" s="24"/>
      <c r="F17" s="24"/>
    </row>
    <row r="18" spans="1:6" x14ac:dyDescent="0.25">
      <c r="A18" s="24"/>
      <c r="B18" s="24"/>
      <c r="C18" s="24"/>
      <c r="D18" s="24"/>
      <c r="E18" s="24"/>
      <c r="F18" s="24"/>
    </row>
    <row r="19" spans="1:6" x14ac:dyDescent="0.25">
      <c r="A19" s="89" t="s">
        <v>58</v>
      </c>
      <c r="B19" s="93">
        <f>SUM(G6,F16)</f>
        <v>29763117.600000001</v>
      </c>
      <c r="C19" s="24"/>
      <c r="D19" s="24"/>
      <c r="E19" s="24"/>
      <c r="F19" s="24"/>
    </row>
  </sheetData>
  <mergeCells count="2">
    <mergeCell ref="A2:G2"/>
    <mergeCell ref="A8:F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6"/>
  <sheetViews>
    <sheetView workbookViewId="0">
      <selection activeCell="F14" sqref="F14"/>
    </sheetView>
  </sheetViews>
  <sheetFormatPr baseColWidth="10" defaultRowHeight="15" x14ac:dyDescent="0.25"/>
  <cols>
    <col min="1" max="1" width="23.42578125" bestFit="1" customWidth="1"/>
    <col min="3" max="3" width="13.140625" bestFit="1" customWidth="1"/>
    <col min="4" max="4" width="13.42578125" bestFit="1" customWidth="1"/>
    <col min="5" max="5" width="14" customWidth="1"/>
    <col min="6" max="6" width="16" bestFit="1" customWidth="1"/>
    <col min="7" max="7" width="14.140625" bestFit="1" customWidth="1"/>
  </cols>
  <sheetData>
    <row r="2" spans="1:7" x14ac:dyDescent="0.25">
      <c r="A2" s="196" t="s">
        <v>60</v>
      </c>
      <c r="B2" s="196"/>
      <c r="C2" s="196"/>
      <c r="D2" s="196"/>
      <c r="E2" s="196"/>
      <c r="F2" s="196"/>
      <c r="G2" s="196"/>
    </row>
    <row r="3" spans="1:7" ht="30" x14ac:dyDescent="0.25">
      <c r="A3" s="77" t="s">
        <v>23</v>
      </c>
      <c r="B3" s="77" t="s">
        <v>2</v>
      </c>
      <c r="C3" s="77" t="s">
        <v>53</v>
      </c>
      <c r="D3" s="77" t="s">
        <v>158</v>
      </c>
      <c r="E3" s="77" t="s">
        <v>25</v>
      </c>
      <c r="F3" s="77" t="s">
        <v>26</v>
      </c>
      <c r="G3" s="77" t="s">
        <v>55</v>
      </c>
    </row>
    <row r="4" spans="1:7" x14ac:dyDescent="0.25">
      <c r="A4" s="77" t="s">
        <v>61</v>
      </c>
      <c r="B4" s="94">
        <f>inversiones!G5</f>
        <v>1</v>
      </c>
      <c r="C4" s="95">
        <f>inversiones!H5</f>
        <v>1200000</v>
      </c>
      <c r="D4" s="78">
        <f>B4*C4</f>
        <v>1200000</v>
      </c>
      <c r="E4" s="78">
        <f>inversiones!J5</f>
        <v>672000.00000000012</v>
      </c>
      <c r="F4" s="78">
        <f>+D4+E4</f>
        <v>1872000</v>
      </c>
      <c r="G4" s="78">
        <f>F4*12</f>
        <v>22464000</v>
      </c>
    </row>
    <row r="5" spans="1:7" x14ac:dyDescent="0.25">
      <c r="A5" s="77" t="s">
        <v>62</v>
      </c>
      <c r="B5" s="94">
        <f>inversiones!G6</f>
        <v>1</v>
      </c>
      <c r="C5" s="95">
        <f>inversiones!H6</f>
        <v>625000</v>
      </c>
      <c r="D5" s="78">
        <f>+B5*C5</f>
        <v>625000</v>
      </c>
      <c r="E5" s="78">
        <f>inversiones!J6</f>
        <v>350000.00000000006</v>
      </c>
      <c r="F5" s="78">
        <f>+D5+E5</f>
        <v>975000</v>
      </c>
      <c r="G5" s="78">
        <f>F5*12</f>
        <v>11700000</v>
      </c>
    </row>
    <row r="6" spans="1:7" x14ac:dyDescent="0.25">
      <c r="A6" s="77" t="s">
        <v>0</v>
      </c>
      <c r="B6" s="77"/>
      <c r="C6" s="78"/>
      <c r="D6" s="79">
        <f>SUM(D4:D5)</f>
        <v>1825000</v>
      </c>
      <c r="E6" s="79"/>
      <c r="F6" s="79">
        <f>SUM(F4:F5)</f>
        <v>2847000</v>
      </c>
      <c r="G6" s="79">
        <f>SUM(G4:G5)</f>
        <v>34164000</v>
      </c>
    </row>
    <row r="7" spans="1:7" x14ac:dyDescent="0.25">
      <c r="A7" s="96"/>
      <c r="B7" s="96"/>
      <c r="C7" s="96"/>
      <c r="D7" s="96"/>
      <c r="E7" s="96"/>
      <c r="F7" s="96"/>
      <c r="G7" s="96"/>
    </row>
    <row r="8" spans="1:7" x14ac:dyDescent="0.25">
      <c r="A8" s="198" t="s">
        <v>63</v>
      </c>
      <c r="B8" s="198"/>
      <c r="C8" s="198"/>
      <c r="D8" s="198"/>
      <c r="E8" s="198"/>
      <c r="F8" s="198"/>
      <c r="G8" s="96"/>
    </row>
    <row r="9" spans="1:7" x14ac:dyDescent="0.25">
      <c r="A9" s="81" t="s">
        <v>37</v>
      </c>
      <c r="B9" s="81" t="s">
        <v>35</v>
      </c>
      <c r="C9" s="81" t="s">
        <v>2</v>
      </c>
      <c r="D9" s="81" t="s">
        <v>38</v>
      </c>
      <c r="E9" s="81" t="s">
        <v>39</v>
      </c>
      <c r="F9" s="81" t="s">
        <v>40</v>
      </c>
      <c r="G9" s="96"/>
    </row>
    <row r="10" spans="1:7" x14ac:dyDescent="0.25">
      <c r="A10" s="81" t="s">
        <v>64</v>
      </c>
      <c r="B10" s="81" t="s">
        <v>66</v>
      </c>
      <c r="C10" s="81">
        <f>inversiones!B52</f>
        <v>200</v>
      </c>
      <c r="D10" s="82">
        <f>inversiones!C52</f>
        <v>250</v>
      </c>
      <c r="E10" s="82">
        <f>D10*C10</f>
        <v>50000</v>
      </c>
      <c r="F10" s="82">
        <f>E10*12</f>
        <v>600000</v>
      </c>
      <c r="G10" s="96"/>
    </row>
    <row r="11" spans="1:7" x14ac:dyDescent="0.25">
      <c r="A11" s="81" t="s">
        <v>159</v>
      </c>
      <c r="B11" s="81" t="s">
        <v>66</v>
      </c>
      <c r="C11" s="81">
        <f>inversiones!B53</f>
        <v>1</v>
      </c>
      <c r="D11" s="82">
        <f>inversiones!C53</f>
        <v>250000</v>
      </c>
      <c r="E11" s="82">
        <f t="shared" ref="E11" si="0">D11*C11</f>
        <v>250000</v>
      </c>
      <c r="F11" s="82">
        <f>E11</f>
        <v>250000</v>
      </c>
      <c r="G11" s="96"/>
    </row>
    <row r="12" spans="1:7" x14ac:dyDescent="0.25">
      <c r="A12" s="81" t="s">
        <v>65</v>
      </c>
      <c r="B12" s="81" t="s">
        <v>67</v>
      </c>
      <c r="C12" s="81">
        <f>inversiones!B54</f>
        <v>1</v>
      </c>
      <c r="D12" s="82">
        <f>inversiones!C54</f>
        <v>500000</v>
      </c>
      <c r="E12" s="82">
        <f>D12*C12</f>
        <v>500000</v>
      </c>
      <c r="F12" s="82">
        <f>E12*12</f>
        <v>6000000</v>
      </c>
    </row>
    <row r="13" spans="1:7" x14ac:dyDescent="0.25">
      <c r="A13" s="81" t="s">
        <v>139</v>
      </c>
      <c r="B13" s="81" t="s">
        <v>66</v>
      </c>
      <c r="C13" s="81">
        <f>inversiones!B51</f>
        <v>1</v>
      </c>
      <c r="D13" s="82">
        <f>inversiones!C51</f>
        <v>50000</v>
      </c>
      <c r="E13" s="82">
        <f>D13*C13</f>
        <v>50000</v>
      </c>
      <c r="F13" s="82">
        <f>E13</f>
        <v>50000</v>
      </c>
      <c r="G13" s="96"/>
    </row>
    <row r="14" spans="1:7" x14ac:dyDescent="0.25">
      <c r="A14" s="81" t="s">
        <v>0</v>
      </c>
      <c r="B14" s="81"/>
      <c r="C14" s="81"/>
      <c r="D14" s="82"/>
      <c r="E14" s="145">
        <f>SUM(E10:E13)</f>
        <v>850000</v>
      </c>
      <c r="F14" s="145">
        <f>SUM(F10:F13)</f>
        <v>6900000</v>
      </c>
      <c r="G14" s="154">
        <f>F14/12</f>
        <v>575000</v>
      </c>
    </row>
    <row r="15" spans="1:7" x14ac:dyDescent="0.25">
      <c r="A15" s="24"/>
      <c r="B15" s="24"/>
      <c r="C15" s="24"/>
      <c r="D15" s="24"/>
      <c r="E15" s="24"/>
      <c r="F15" s="24"/>
      <c r="G15" s="24"/>
    </row>
    <row r="16" spans="1:7" x14ac:dyDescent="0.25">
      <c r="A16" s="89" t="s">
        <v>68</v>
      </c>
      <c r="B16" s="97">
        <f>SUM(G6,F14)</f>
        <v>41064000</v>
      </c>
      <c r="C16" s="24"/>
      <c r="D16" s="24"/>
      <c r="E16" s="24"/>
      <c r="F16" s="24"/>
      <c r="G16" s="24"/>
    </row>
  </sheetData>
  <mergeCells count="2">
    <mergeCell ref="A2:G2"/>
    <mergeCell ref="A8:F8"/>
  </mergeCells>
  <pageMargins left="0.7" right="0.7" top="0.75" bottom="0.75" header="0.3" footer="0.3"/>
  <ignoredErrors>
    <ignoredError sqref="F11:F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"/>
  <sheetViews>
    <sheetView workbookViewId="0">
      <selection activeCell="B6" sqref="B6"/>
    </sheetView>
  </sheetViews>
  <sheetFormatPr baseColWidth="10" defaultRowHeight="15" x14ac:dyDescent="0.25"/>
  <cols>
    <col min="1" max="1" width="29.42578125" bestFit="1" customWidth="1"/>
    <col min="2" max="2" width="14.140625" bestFit="1" customWidth="1"/>
  </cols>
  <sheetData>
    <row r="1" spans="1:2" x14ac:dyDescent="0.25">
      <c r="A1" s="56" t="s">
        <v>144</v>
      </c>
      <c r="B1" s="57" t="s">
        <v>157</v>
      </c>
    </row>
    <row r="2" spans="1:2" x14ac:dyDescent="0.25">
      <c r="A2" s="58" t="s">
        <v>33</v>
      </c>
      <c r="B2" s="59">
        <f>'Costos de producción'!F4</f>
        <v>1755000</v>
      </c>
    </row>
    <row r="3" spans="1:2" x14ac:dyDescent="0.25">
      <c r="A3" s="60" t="s">
        <v>115</v>
      </c>
      <c r="B3" s="61">
        <f>'Costos de producción'!E25</f>
        <v>1641039.2000000002</v>
      </c>
    </row>
    <row r="4" spans="1:2" x14ac:dyDescent="0.25">
      <c r="A4" s="58" t="s">
        <v>116</v>
      </c>
      <c r="B4" s="59">
        <f>'Gastos de administración'!F4</f>
        <v>1170000</v>
      </c>
    </row>
    <row r="5" spans="1:2" x14ac:dyDescent="0.25">
      <c r="A5" s="60" t="s">
        <v>117</v>
      </c>
      <c r="B5" s="61">
        <f>'Gastos de administración'!E16</f>
        <v>410259.80000000005</v>
      </c>
    </row>
    <row r="6" spans="1:2" x14ac:dyDescent="0.25">
      <c r="A6" s="58" t="s">
        <v>140</v>
      </c>
      <c r="B6" s="59">
        <f>Amortizaciones!B13</f>
        <v>920001.40714924561</v>
      </c>
    </row>
    <row r="7" spans="1:2" x14ac:dyDescent="0.25">
      <c r="A7" s="60" t="s">
        <v>62</v>
      </c>
      <c r="B7" s="61">
        <f>'Gastos de venta'!F5</f>
        <v>975000</v>
      </c>
    </row>
    <row r="8" spans="1:2" x14ac:dyDescent="0.25">
      <c r="A8" s="58" t="s">
        <v>139</v>
      </c>
      <c r="B8" s="59">
        <f>'Gastos de venta'!F13/12</f>
        <v>4166.666666666667</v>
      </c>
    </row>
    <row r="9" spans="1:2" x14ac:dyDescent="0.25">
      <c r="A9" s="60"/>
      <c r="B9" s="62" t="s">
        <v>0</v>
      </c>
    </row>
    <row r="10" spans="1:2" x14ac:dyDescent="0.25">
      <c r="A10" s="51"/>
      <c r="B10" s="63">
        <f>SUM(B2:B8)</f>
        <v>6875467.0738159129</v>
      </c>
    </row>
    <row r="11" spans="1:2" x14ac:dyDescent="0.25">
      <c r="A11" s="15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workbookViewId="0">
      <selection activeCell="B7" sqref="B7"/>
    </sheetView>
  </sheetViews>
  <sheetFormatPr baseColWidth="10" defaultRowHeight="15" x14ac:dyDescent="0.25"/>
  <cols>
    <col min="1" max="1" width="21" bestFit="1" customWidth="1"/>
    <col min="2" max="2" width="13.140625" bestFit="1" customWidth="1"/>
  </cols>
  <sheetData>
    <row r="1" spans="1:2" x14ac:dyDescent="0.25">
      <c r="A1" s="52" t="s">
        <v>144</v>
      </c>
      <c r="B1" s="53" t="s">
        <v>157</v>
      </c>
    </row>
    <row r="2" spans="1:2" x14ac:dyDescent="0.25">
      <c r="A2" s="54" t="s">
        <v>21</v>
      </c>
      <c r="B2" s="64">
        <f>'Costos de producción'!F5</f>
        <v>2184000</v>
      </c>
    </row>
    <row r="3" spans="1:2" x14ac:dyDescent="0.25">
      <c r="A3" s="54" t="s">
        <v>118</v>
      </c>
      <c r="B3" s="64">
        <f>'Costos de producción'!F6</f>
        <v>2028000</v>
      </c>
    </row>
    <row r="4" spans="1:2" x14ac:dyDescent="0.25">
      <c r="A4" s="54" t="s">
        <v>119</v>
      </c>
      <c r="B4" s="64">
        <f>'Costos de producción'!E15</f>
        <v>36400</v>
      </c>
    </row>
    <row r="5" spans="1:2" x14ac:dyDescent="0.25">
      <c r="A5" s="54" t="s">
        <v>120</v>
      </c>
      <c r="B5" s="64">
        <f>'Gastos de administración'!F5</f>
        <v>900000</v>
      </c>
    </row>
    <row r="6" spans="1:2" x14ac:dyDescent="0.25">
      <c r="A6" s="54" t="s">
        <v>61</v>
      </c>
      <c r="B6" s="64">
        <f>'Gastos de venta'!F4</f>
        <v>1872000</v>
      </c>
    </row>
    <row r="7" spans="1:2" x14ac:dyDescent="0.25">
      <c r="A7" s="54" t="s">
        <v>63</v>
      </c>
      <c r="B7" s="64">
        <f>'Gastos de venta'!G14</f>
        <v>575000</v>
      </c>
    </row>
    <row r="8" spans="1:2" x14ac:dyDescent="0.25">
      <c r="A8" s="55" t="s">
        <v>0</v>
      </c>
      <c r="B8" s="65">
        <f>SUM(B2:B7)</f>
        <v>7595400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7"/>
  <sheetViews>
    <sheetView topLeftCell="A9" workbookViewId="0">
      <selection activeCell="A9" sqref="A9"/>
    </sheetView>
  </sheetViews>
  <sheetFormatPr baseColWidth="10" defaultRowHeight="15" x14ac:dyDescent="0.25"/>
  <cols>
    <col min="1" max="1" width="27.42578125" bestFit="1" customWidth="1"/>
    <col min="2" max="2" width="13.7109375" customWidth="1"/>
    <col min="3" max="3" width="21" bestFit="1" customWidth="1"/>
    <col min="4" max="4" width="14.5703125" bestFit="1" customWidth="1"/>
    <col min="5" max="5" width="16.7109375" customWidth="1"/>
    <col min="6" max="6" width="15.140625" bestFit="1" customWidth="1"/>
    <col min="7" max="7" width="14.5703125" bestFit="1" customWidth="1"/>
    <col min="8" max="8" width="18.42578125" customWidth="1"/>
    <col min="9" max="9" width="13.7109375" customWidth="1"/>
    <col min="10" max="10" width="13.85546875" bestFit="1" customWidth="1"/>
    <col min="11" max="11" width="13.140625" bestFit="1" customWidth="1"/>
    <col min="12" max="12" width="16.7109375" customWidth="1"/>
    <col min="13" max="13" width="14.85546875" bestFit="1" customWidth="1"/>
  </cols>
  <sheetData>
    <row r="1" spans="1:7" x14ac:dyDescent="0.25">
      <c r="A1" s="137" t="s">
        <v>122</v>
      </c>
      <c r="B1" s="20" t="s">
        <v>121</v>
      </c>
      <c r="C1" s="20" t="s">
        <v>3</v>
      </c>
      <c r="D1" s="20" t="s">
        <v>0</v>
      </c>
      <c r="E1" s="138" t="s">
        <v>178</v>
      </c>
    </row>
    <row r="2" spans="1:7" ht="60" x14ac:dyDescent="0.25">
      <c r="A2" s="134" t="s">
        <v>5</v>
      </c>
      <c r="B2" s="34">
        <f>inversiones!B43</f>
        <v>2</v>
      </c>
      <c r="C2" s="35">
        <f>inversiones!C43</f>
        <v>1700000</v>
      </c>
      <c r="D2" s="4">
        <f>C2*B2</f>
        <v>3400000</v>
      </c>
      <c r="E2" s="136">
        <f>D2</f>
        <v>3400000</v>
      </c>
    </row>
    <row r="3" spans="1:7" x14ac:dyDescent="0.25">
      <c r="A3" s="124" t="s">
        <v>10</v>
      </c>
      <c r="B3" s="34">
        <f>inversiones!B45</f>
        <v>3</v>
      </c>
      <c r="C3" s="3">
        <f>inversiones!C45</f>
        <v>249900</v>
      </c>
      <c r="D3" s="4">
        <f t="shared" ref="D3:D6" si="0">C3*B3</f>
        <v>749700</v>
      </c>
      <c r="E3" s="136">
        <f t="shared" ref="E3:E6" si="1">D3</f>
        <v>749700</v>
      </c>
    </row>
    <row r="4" spans="1:7" x14ac:dyDescent="0.25">
      <c r="A4" s="124" t="s">
        <v>9</v>
      </c>
      <c r="B4" s="66">
        <f>inversiones!B46</f>
        <v>3</v>
      </c>
      <c r="C4" s="3">
        <f>inversiones!C46</f>
        <v>209900</v>
      </c>
      <c r="D4" s="4">
        <f t="shared" si="0"/>
        <v>629700</v>
      </c>
      <c r="E4" s="136">
        <f t="shared" si="1"/>
        <v>629700</v>
      </c>
    </row>
    <row r="5" spans="1:7" ht="45" x14ac:dyDescent="0.25">
      <c r="A5" s="134" t="s">
        <v>12</v>
      </c>
      <c r="B5" s="34">
        <f>inversiones!B44</f>
        <v>1</v>
      </c>
      <c r="C5" s="3">
        <f>inversiones!C44</f>
        <v>1729000</v>
      </c>
      <c r="D5" s="4">
        <f t="shared" si="0"/>
        <v>1729000</v>
      </c>
      <c r="E5" s="136">
        <f t="shared" si="1"/>
        <v>1729000</v>
      </c>
    </row>
    <row r="6" spans="1:7" x14ac:dyDescent="0.25">
      <c r="A6" s="135" t="s">
        <v>18</v>
      </c>
      <c r="B6" s="34">
        <f>inversiones!B47</f>
        <v>1</v>
      </c>
      <c r="C6" s="3">
        <f>inversiones!C47</f>
        <v>36000000</v>
      </c>
      <c r="D6" s="4">
        <f t="shared" si="0"/>
        <v>36000000</v>
      </c>
      <c r="E6" s="136">
        <f t="shared" si="1"/>
        <v>36000000</v>
      </c>
    </row>
    <row r="7" spans="1:7" x14ac:dyDescent="0.25">
      <c r="A7" s="135"/>
      <c r="B7" s="34"/>
      <c r="C7" s="35"/>
      <c r="D7" s="4"/>
      <c r="E7" s="74"/>
    </row>
    <row r="8" spans="1:7" x14ac:dyDescent="0.25">
      <c r="A8" s="139" t="s">
        <v>0</v>
      </c>
      <c r="B8" s="133"/>
      <c r="C8" s="133"/>
      <c r="D8" s="133"/>
      <c r="E8" s="140">
        <f>SUM(E2:E6)</f>
        <v>42508400</v>
      </c>
    </row>
    <row r="10" spans="1:7" x14ac:dyDescent="0.25">
      <c r="A10" s="44" t="s">
        <v>123</v>
      </c>
      <c r="B10" s="6">
        <f>E8</f>
        <v>42508400</v>
      </c>
      <c r="C10" s="1"/>
      <c r="D10" s="5"/>
      <c r="E10" s="1" t="s">
        <v>0</v>
      </c>
    </row>
    <row r="11" spans="1:7" x14ac:dyDescent="0.25">
      <c r="A11" s="44" t="s">
        <v>124</v>
      </c>
      <c r="B11" s="128">
        <v>8.9999999999999993E-3</v>
      </c>
      <c r="C11" s="1" t="s">
        <v>191</v>
      </c>
      <c r="D11" s="121">
        <f>-PMT(B11,B12,E2+E5)</f>
        <v>111005.99451563646</v>
      </c>
      <c r="E11" s="1"/>
    </row>
    <row r="12" spans="1:7" x14ac:dyDescent="0.25">
      <c r="A12" s="44" t="s">
        <v>125</v>
      </c>
      <c r="B12" s="1">
        <v>60</v>
      </c>
      <c r="C12" s="1" t="s">
        <v>162</v>
      </c>
      <c r="D12" s="121">
        <f>-PMT(B11,B12,E3+E4)</f>
        <v>29854.098037603613</v>
      </c>
      <c r="E12" s="1"/>
      <c r="G12" s="23"/>
    </row>
    <row r="13" spans="1:7" x14ac:dyDescent="0.25">
      <c r="A13" s="44" t="s">
        <v>126</v>
      </c>
      <c r="B13" s="129">
        <f>-PMT(B11,B12,B10)</f>
        <v>920001.40714924561</v>
      </c>
      <c r="C13" s="1" t="s">
        <v>18</v>
      </c>
      <c r="D13" s="121">
        <f>-PMT(B11,B12,E6)</f>
        <v>779141.31459600548</v>
      </c>
      <c r="E13" s="130">
        <f>+SUM(D10:D13)</f>
        <v>920001.4071492455</v>
      </c>
    </row>
    <row r="14" spans="1:7" x14ac:dyDescent="0.25">
      <c r="A14" s="37"/>
      <c r="B14" s="131"/>
      <c r="C14" s="70"/>
      <c r="D14" s="132"/>
      <c r="E14" s="132"/>
    </row>
    <row r="15" spans="1:7" x14ac:dyDescent="0.25">
      <c r="A15" s="199" t="s">
        <v>177</v>
      </c>
      <c r="B15" s="199"/>
      <c r="C15" s="199"/>
      <c r="D15" s="199"/>
      <c r="E15" s="199"/>
      <c r="F15" s="199"/>
    </row>
    <row r="16" spans="1:7" x14ac:dyDescent="0.25">
      <c r="A16" s="37" t="s">
        <v>127</v>
      </c>
      <c r="B16" t="s">
        <v>129</v>
      </c>
      <c r="C16" t="s">
        <v>128</v>
      </c>
      <c r="D16" t="s">
        <v>130</v>
      </c>
      <c r="E16" t="s">
        <v>132</v>
      </c>
      <c r="F16" t="s">
        <v>131</v>
      </c>
    </row>
    <row r="17" spans="1:13" x14ac:dyDescent="0.25">
      <c r="A17" s="37">
        <v>0</v>
      </c>
      <c r="F17" s="36">
        <f>B10</f>
        <v>42508400</v>
      </c>
    </row>
    <row r="18" spans="1:13" x14ac:dyDescent="0.25">
      <c r="A18" s="24">
        <v>1</v>
      </c>
      <c r="B18" s="36">
        <f>F17</f>
        <v>42508400</v>
      </c>
      <c r="C18" s="19">
        <f>IF(A19&lt;=$B$12,$B$13,0)</f>
        <v>920001.40714924561</v>
      </c>
      <c r="D18" s="36">
        <f>B18*$B$11</f>
        <v>382575.6</v>
      </c>
      <c r="E18" s="19">
        <f>C18-D18</f>
        <v>537425.80714924564</v>
      </c>
      <c r="F18" s="23">
        <f>F17-E18</f>
        <v>41970974.192850754</v>
      </c>
    </row>
    <row r="19" spans="1:13" x14ac:dyDescent="0.25">
      <c r="A19" s="24">
        <v>2</v>
      </c>
      <c r="B19" s="36">
        <f t="shared" ref="B19:B77" si="2">F18</f>
        <v>41970974.192850754</v>
      </c>
      <c r="C19" s="19">
        <f t="shared" ref="C19:C77" si="3">IF(A20&lt;=$B$12,$B$13,0)</f>
        <v>920001.40714924561</v>
      </c>
      <c r="D19" s="36">
        <f t="shared" ref="D19:D77" si="4">B19*$B$11</f>
        <v>377738.76773565676</v>
      </c>
      <c r="E19" s="19">
        <f t="shared" ref="E19:E77" si="5">C19-D19</f>
        <v>542262.63941358891</v>
      </c>
      <c r="F19" s="23">
        <f t="shared" ref="F19:F77" si="6">F18-E19</f>
        <v>41428711.553437166</v>
      </c>
      <c r="G19" s="19"/>
      <c r="H19" s="19"/>
      <c r="I19" s="19"/>
      <c r="J19" s="19"/>
      <c r="K19" s="19"/>
      <c r="L19" s="19"/>
      <c r="M19" s="19"/>
    </row>
    <row r="20" spans="1:13" x14ac:dyDescent="0.25">
      <c r="A20" s="24">
        <v>3</v>
      </c>
      <c r="B20" s="36">
        <f t="shared" si="2"/>
        <v>41428711.553437166</v>
      </c>
      <c r="C20" s="19">
        <f t="shared" si="3"/>
        <v>920001.40714924561</v>
      </c>
      <c r="D20" s="36">
        <f t="shared" si="4"/>
        <v>372858.40398093447</v>
      </c>
      <c r="E20" s="19">
        <f t="shared" si="5"/>
        <v>547143.0031683112</v>
      </c>
      <c r="F20" s="23">
        <f t="shared" si="6"/>
        <v>40881568.550268851</v>
      </c>
    </row>
    <row r="21" spans="1:13" x14ac:dyDescent="0.25">
      <c r="A21" s="24">
        <v>4</v>
      </c>
      <c r="B21" s="36">
        <f t="shared" si="2"/>
        <v>40881568.550268851</v>
      </c>
      <c r="C21" s="19">
        <f t="shared" si="3"/>
        <v>920001.40714924561</v>
      </c>
      <c r="D21" s="36">
        <f t="shared" si="4"/>
        <v>367934.11695241963</v>
      </c>
      <c r="E21" s="19">
        <f t="shared" si="5"/>
        <v>552067.29019682598</v>
      </c>
      <c r="F21" s="23">
        <f t="shared" si="6"/>
        <v>40329501.260072023</v>
      </c>
    </row>
    <row r="22" spans="1:13" x14ac:dyDescent="0.25">
      <c r="A22" s="24">
        <v>5</v>
      </c>
      <c r="B22" s="36">
        <f t="shared" si="2"/>
        <v>40329501.260072023</v>
      </c>
      <c r="C22" s="19">
        <f t="shared" si="3"/>
        <v>920001.40714924561</v>
      </c>
      <c r="D22" s="36">
        <f t="shared" si="4"/>
        <v>362965.51134064817</v>
      </c>
      <c r="E22" s="19">
        <f t="shared" si="5"/>
        <v>557035.89580859744</v>
      </c>
      <c r="F22" s="23">
        <f t="shared" si="6"/>
        <v>39772465.364263423</v>
      </c>
    </row>
    <row r="23" spans="1:13" x14ac:dyDescent="0.25">
      <c r="A23" s="24">
        <v>6</v>
      </c>
      <c r="B23" s="36">
        <f t="shared" si="2"/>
        <v>39772465.364263423</v>
      </c>
      <c r="C23" s="19">
        <f t="shared" si="3"/>
        <v>920001.40714924561</v>
      </c>
      <c r="D23" s="36">
        <f t="shared" si="4"/>
        <v>357952.18827837077</v>
      </c>
      <c r="E23" s="19">
        <f t="shared" si="5"/>
        <v>562049.21887087484</v>
      </c>
      <c r="F23" s="23">
        <f t="shared" si="6"/>
        <v>39210416.145392545</v>
      </c>
    </row>
    <row r="24" spans="1:13" x14ac:dyDescent="0.25">
      <c r="A24" s="24">
        <v>7</v>
      </c>
      <c r="B24" s="36">
        <f t="shared" si="2"/>
        <v>39210416.145392545</v>
      </c>
      <c r="C24" s="19">
        <f t="shared" si="3"/>
        <v>920001.40714924561</v>
      </c>
      <c r="D24" s="36">
        <f t="shared" si="4"/>
        <v>352893.7453085329</v>
      </c>
      <c r="E24" s="19">
        <f t="shared" si="5"/>
        <v>567107.66184071265</v>
      </c>
      <c r="F24" s="23">
        <f t="shared" si="6"/>
        <v>38643308.48355183</v>
      </c>
    </row>
    <row r="25" spans="1:13" x14ac:dyDescent="0.25">
      <c r="A25" s="24">
        <v>8</v>
      </c>
      <c r="B25" s="36">
        <f t="shared" si="2"/>
        <v>38643308.48355183</v>
      </c>
      <c r="C25" s="19">
        <f t="shared" si="3"/>
        <v>920001.40714924561</v>
      </c>
      <c r="D25" s="36">
        <f t="shared" si="4"/>
        <v>347789.77635196643</v>
      </c>
      <c r="E25" s="19">
        <f t="shared" si="5"/>
        <v>572211.63079727918</v>
      </c>
      <c r="F25" s="23">
        <f t="shared" si="6"/>
        <v>38071096.852754548</v>
      </c>
    </row>
    <row r="26" spans="1:13" x14ac:dyDescent="0.25">
      <c r="A26" s="24">
        <v>9</v>
      </c>
      <c r="B26" s="36">
        <f t="shared" si="2"/>
        <v>38071096.852754548</v>
      </c>
      <c r="C26" s="19">
        <f t="shared" si="3"/>
        <v>920001.40714924561</v>
      </c>
      <c r="D26" s="36">
        <f t="shared" si="4"/>
        <v>342639.87167479092</v>
      </c>
      <c r="E26" s="19">
        <f t="shared" si="5"/>
        <v>577361.53547445475</v>
      </c>
      <c r="F26" s="23">
        <f t="shared" si="6"/>
        <v>37493735.317280091</v>
      </c>
    </row>
    <row r="27" spans="1:13" x14ac:dyDescent="0.25">
      <c r="A27" s="24">
        <v>10</v>
      </c>
      <c r="B27" s="36">
        <f t="shared" si="2"/>
        <v>37493735.317280091</v>
      </c>
      <c r="C27" s="19">
        <f t="shared" si="3"/>
        <v>920001.40714924561</v>
      </c>
      <c r="D27" s="36">
        <f t="shared" si="4"/>
        <v>337443.6178555208</v>
      </c>
      <c r="E27" s="19">
        <f t="shared" si="5"/>
        <v>582557.78929372481</v>
      </c>
      <c r="F27" s="23">
        <f t="shared" si="6"/>
        <v>36911177.52798637</v>
      </c>
    </row>
    <row r="28" spans="1:13" x14ac:dyDescent="0.25">
      <c r="A28" s="24">
        <v>11</v>
      </c>
      <c r="B28" s="36">
        <f t="shared" si="2"/>
        <v>36911177.52798637</v>
      </c>
      <c r="C28" s="19">
        <f t="shared" si="3"/>
        <v>920001.40714924561</v>
      </c>
      <c r="D28" s="36">
        <f t="shared" si="4"/>
        <v>332200.59775187733</v>
      </c>
      <c r="E28" s="19">
        <f t="shared" si="5"/>
        <v>587800.80939736823</v>
      </c>
      <c r="F28" s="23">
        <f t="shared" si="6"/>
        <v>36323376.718589</v>
      </c>
    </row>
    <row r="29" spans="1:13" x14ac:dyDescent="0.25">
      <c r="A29" s="24">
        <v>12</v>
      </c>
      <c r="B29" s="36">
        <f t="shared" si="2"/>
        <v>36323376.718589</v>
      </c>
      <c r="C29" s="19">
        <f t="shared" si="3"/>
        <v>920001.40714924561</v>
      </c>
      <c r="D29" s="36">
        <f t="shared" si="4"/>
        <v>326910.39046730095</v>
      </c>
      <c r="E29" s="19">
        <f t="shared" si="5"/>
        <v>593091.01668194472</v>
      </c>
      <c r="F29" s="23">
        <f t="shared" si="6"/>
        <v>35730285.701907054</v>
      </c>
    </row>
    <row r="30" spans="1:13" x14ac:dyDescent="0.25">
      <c r="A30" s="24">
        <v>13</v>
      </c>
      <c r="B30" s="36">
        <f t="shared" si="2"/>
        <v>35730285.701907054</v>
      </c>
      <c r="C30" s="19">
        <f t="shared" si="3"/>
        <v>920001.40714924561</v>
      </c>
      <c r="D30" s="36">
        <f t="shared" si="4"/>
        <v>321572.57131716347</v>
      </c>
      <c r="E30" s="19">
        <f t="shared" si="5"/>
        <v>598428.8358320822</v>
      </c>
      <c r="F30" s="23">
        <f t="shared" si="6"/>
        <v>35131856.866074972</v>
      </c>
    </row>
    <row r="31" spans="1:13" x14ac:dyDescent="0.25">
      <c r="A31" s="24">
        <v>14</v>
      </c>
      <c r="B31" s="36">
        <f t="shared" si="2"/>
        <v>35131856.866074972</v>
      </c>
      <c r="C31" s="19">
        <f t="shared" si="3"/>
        <v>920001.40714924561</v>
      </c>
      <c r="D31" s="36">
        <f t="shared" si="4"/>
        <v>316186.71179467475</v>
      </c>
      <c r="E31" s="19">
        <f t="shared" si="5"/>
        <v>603814.69535457087</v>
      </c>
      <c r="F31" s="23">
        <f t="shared" si="6"/>
        <v>34528042.170720398</v>
      </c>
    </row>
    <row r="32" spans="1:13" x14ac:dyDescent="0.25">
      <c r="A32" s="24">
        <v>15</v>
      </c>
      <c r="B32" s="36">
        <f t="shared" si="2"/>
        <v>34528042.170720398</v>
      </c>
      <c r="C32" s="19">
        <f t="shared" si="3"/>
        <v>920001.40714924561</v>
      </c>
      <c r="D32" s="36">
        <f t="shared" si="4"/>
        <v>310752.37953648355</v>
      </c>
      <c r="E32" s="19">
        <f t="shared" si="5"/>
        <v>609249.02761276206</v>
      </c>
      <c r="F32" s="23">
        <f t="shared" si="6"/>
        <v>33918793.143107638</v>
      </c>
    </row>
    <row r="33" spans="1:6" x14ac:dyDescent="0.25">
      <c r="A33" s="24">
        <v>16</v>
      </c>
      <c r="B33" s="36">
        <f t="shared" si="2"/>
        <v>33918793.143107638</v>
      </c>
      <c r="C33" s="19">
        <f t="shared" si="3"/>
        <v>920001.40714924561</v>
      </c>
      <c r="D33" s="36">
        <f t="shared" si="4"/>
        <v>305269.1382879687</v>
      </c>
      <c r="E33" s="19">
        <f t="shared" si="5"/>
        <v>614732.26886127691</v>
      </c>
      <c r="F33" s="23">
        <f t="shared" si="6"/>
        <v>33304060.874246363</v>
      </c>
    </row>
    <row r="34" spans="1:6" x14ac:dyDescent="0.25">
      <c r="A34" s="24">
        <v>17</v>
      </c>
      <c r="B34" s="36">
        <f t="shared" si="2"/>
        <v>33304060.874246363</v>
      </c>
      <c r="C34" s="19">
        <f t="shared" si="3"/>
        <v>920001.40714924561</v>
      </c>
      <c r="D34" s="36">
        <f t="shared" si="4"/>
        <v>299736.54786821723</v>
      </c>
      <c r="E34" s="19">
        <f t="shared" si="5"/>
        <v>620264.85928102839</v>
      </c>
      <c r="F34" s="23">
        <f t="shared" si="6"/>
        <v>32683796.014965333</v>
      </c>
    </row>
    <row r="35" spans="1:6" x14ac:dyDescent="0.25">
      <c r="A35" s="24">
        <v>18</v>
      </c>
      <c r="B35" s="36">
        <f t="shared" si="2"/>
        <v>32683796.014965333</v>
      </c>
      <c r="C35" s="19">
        <f t="shared" si="3"/>
        <v>920001.40714924561</v>
      </c>
      <c r="D35" s="36">
        <f t="shared" si="4"/>
        <v>294154.16413468798</v>
      </c>
      <c r="E35" s="19">
        <f t="shared" si="5"/>
        <v>625847.24301455764</v>
      </c>
      <c r="F35" s="23">
        <f t="shared" si="6"/>
        <v>32057948.771950774</v>
      </c>
    </row>
    <row r="36" spans="1:6" x14ac:dyDescent="0.25">
      <c r="A36" s="24">
        <v>19</v>
      </c>
      <c r="B36" s="36">
        <f t="shared" si="2"/>
        <v>32057948.771950774</v>
      </c>
      <c r="C36" s="19">
        <f t="shared" si="3"/>
        <v>920001.40714924561</v>
      </c>
      <c r="D36" s="36">
        <f t="shared" si="4"/>
        <v>288521.53894755692</v>
      </c>
      <c r="E36" s="19">
        <f t="shared" si="5"/>
        <v>631479.86820168863</v>
      </c>
      <c r="F36" s="23">
        <f t="shared" si="6"/>
        <v>31426468.903749086</v>
      </c>
    </row>
    <row r="37" spans="1:6" x14ac:dyDescent="0.25">
      <c r="A37" s="24">
        <v>20</v>
      </c>
      <c r="B37" s="36">
        <f t="shared" si="2"/>
        <v>31426468.903749086</v>
      </c>
      <c r="C37" s="19">
        <f t="shared" si="3"/>
        <v>920001.40714924561</v>
      </c>
      <c r="D37" s="36">
        <f t="shared" si="4"/>
        <v>282838.22013374174</v>
      </c>
      <c r="E37" s="19">
        <f t="shared" si="5"/>
        <v>637163.18701550388</v>
      </c>
      <c r="F37" s="23">
        <f t="shared" si="6"/>
        <v>30789305.716733582</v>
      </c>
    </row>
    <row r="38" spans="1:6" x14ac:dyDescent="0.25">
      <c r="A38" s="24">
        <v>21</v>
      </c>
      <c r="B38" s="36">
        <f t="shared" si="2"/>
        <v>30789305.716733582</v>
      </c>
      <c r="C38" s="19">
        <f t="shared" si="3"/>
        <v>920001.40714924561</v>
      </c>
      <c r="D38" s="36">
        <f t="shared" si="4"/>
        <v>277103.7514506022</v>
      </c>
      <c r="E38" s="19">
        <f t="shared" si="5"/>
        <v>642897.65569864342</v>
      </c>
      <c r="F38" s="23">
        <f t="shared" si="6"/>
        <v>30146408.06103494</v>
      </c>
    </row>
    <row r="39" spans="1:6" x14ac:dyDescent="0.25">
      <c r="A39" s="24">
        <v>22</v>
      </c>
      <c r="B39" s="36">
        <f t="shared" si="2"/>
        <v>30146408.06103494</v>
      </c>
      <c r="C39" s="19">
        <f t="shared" si="3"/>
        <v>920001.40714924561</v>
      </c>
      <c r="D39" s="36">
        <f t="shared" si="4"/>
        <v>271317.67254931445</v>
      </c>
      <c r="E39" s="19">
        <f t="shared" si="5"/>
        <v>648683.73459993117</v>
      </c>
      <c r="F39" s="23">
        <f t="shared" si="6"/>
        <v>29497724.326435007</v>
      </c>
    </row>
    <row r="40" spans="1:6" x14ac:dyDescent="0.25">
      <c r="A40" s="24">
        <v>23</v>
      </c>
      <c r="B40" s="36">
        <f t="shared" si="2"/>
        <v>29497724.326435007</v>
      </c>
      <c r="C40" s="19">
        <f t="shared" si="3"/>
        <v>920001.40714924561</v>
      </c>
      <c r="D40" s="36">
        <f t="shared" si="4"/>
        <v>265479.51893791504</v>
      </c>
      <c r="E40" s="19">
        <f t="shared" si="5"/>
        <v>654521.88821133063</v>
      </c>
      <c r="F40" s="23">
        <f t="shared" si="6"/>
        <v>28843202.438223675</v>
      </c>
    </row>
    <row r="41" spans="1:6" x14ac:dyDescent="0.25">
      <c r="A41" s="24">
        <v>24</v>
      </c>
      <c r="B41" s="36">
        <f t="shared" si="2"/>
        <v>28843202.438223675</v>
      </c>
      <c r="C41" s="19">
        <f t="shared" si="3"/>
        <v>920001.40714924561</v>
      </c>
      <c r="D41" s="36">
        <f t="shared" si="4"/>
        <v>259588.82194401306</v>
      </c>
      <c r="E41" s="19">
        <f t="shared" si="5"/>
        <v>660412.58520523249</v>
      </c>
      <c r="F41" s="23">
        <f t="shared" si="6"/>
        <v>28182789.853018444</v>
      </c>
    </row>
    <row r="42" spans="1:6" x14ac:dyDescent="0.25">
      <c r="A42" s="24">
        <v>25</v>
      </c>
      <c r="B42" s="36">
        <f t="shared" si="2"/>
        <v>28182789.853018444</v>
      </c>
      <c r="C42" s="19">
        <f t="shared" si="3"/>
        <v>920001.40714924561</v>
      </c>
      <c r="D42" s="36">
        <f t="shared" si="4"/>
        <v>253645.10867716599</v>
      </c>
      <c r="E42" s="19">
        <f t="shared" si="5"/>
        <v>666356.29847207968</v>
      </c>
      <c r="F42" s="23">
        <f t="shared" si="6"/>
        <v>27516433.554546364</v>
      </c>
    </row>
    <row r="43" spans="1:6" x14ac:dyDescent="0.25">
      <c r="A43" s="24">
        <v>26</v>
      </c>
      <c r="B43" s="36">
        <f t="shared" si="2"/>
        <v>27516433.554546364</v>
      </c>
      <c r="C43" s="19">
        <f t="shared" si="3"/>
        <v>920001.40714924561</v>
      </c>
      <c r="D43" s="36">
        <f t="shared" si="4"/>
        <v>247647.90199091725</v>
      </c>
      <c r="E43" s="19">
        <f t="shared" si="5"/>
        <v>672353.50515832833</v>
      </c>
      <c r="F43" s="23">
        <f t="shared" si="6"/>
        <v>26844080.049388036</v>
      </c>
    </row>
    <row r="44" spans="1:6" x14ac:dyDescent="0.25">
      <c r="A44" s="24">
        <v>27</v>
      </c>
      <c r="B44" s="36">
        <f t="shared" si="2"/>
        <v>26844080.049388036</v>
      </c>
      <c r="C44" s="19">
        <f t="shared" si="3"/>
        <v>920001.40714924561</v>
      </c>
      <c r="D44" s="36">
        <f t="shared" si="4"/>
        <v>241596.7204444923</v>
      </c>
      <c r="E44" s="19">
        <f t="shared" si="5"/>
        <v>678404.68670475332</v>
      </c>
      <c r="F44" s="23">
        <f t="shared" si="6"/>
        <v>26165675.362683281</v>
      </c>
    </row>
    <row r="45" spans="1:6" x14ac:dyDescent="0.25">
      <c r="A45" s="24">
        <v>28</v>
      </c>
      <c r="B45" s="36">
        <f t="shared" si="2"/>
        <v>26165675.362683281</v>
      </c>
      <c r="C45" s="19">
        <f t="shared" si="3"/>
        <v>920001.40714924561</v>
      </c>
      <c r="D45" s="36">
        <f t="shared" si="4"/>
        <v>235491.07826414952</v>
      </c>
      <c r="E45" s="19">
        <f t="shared" si="5"/>
        <v>684510.32888509613</v>
      </c>
      <c r="F45" s="23">
        <f t="shared" si="6"/>
        <v>25481165.033798184</v>
      </c>
    </row>
    <row r="46" spans="1:6" x14ac:dyDescent="0.25">
      <c r="A46" s="24">
        <v>29</v>
      </c>
      <c r="B46" s="36">
        <f t="shared" si="2"/>
        <v>25481165.033798184</v>
      </c>
      <c r="C46" s="19">
        <f t="shared" si="3"/>
        <v>920001.40714924561</v>
      </c>
      <c r="D46" s="36">
        <f t="shared" si="4"/>
        <v>229330.48530418365</v>
      </c>
      <c r="E46" s="19">
        <f t="shared" si="5"/>
        <v>690670.92184506194</v>
      </c>
      <c r="F46" s="23">
        <f t="shared" si="6"/>
        <v>24790494.111953121</v>
      </c>
    </row>
    <row r="47" spans="1:6" x14ac:dyDescent="0.25">
      <c r="A47" s="24">
        <v>30</v>
      </c>
      <c r="B47" s="36">
        <f t="shared" si="2"/>
        <v>24790494.111953121</v>
      </c>
      <c r="C47" s="19">
        <f t="shared" si="3"/>
        <v>920001.40714924561</v>
      </c>
      <c r="D47" s="36">
        <f t="shared" si="4"/>
        <v>223114.44700757807</v>
      </c>
      <c r="E47" s="19">
        <f t="shared" si="5"/>
        <v>696886.96014166751</v>
      </c>
      <c r="F47" s="23">
        <f t="shared" si="6"/>
        <v>24093607.151811454</v>
      </c>
    </row>
    <row r="48" spans="1:6" x14ac:dyDescent="0.25">
      <c r="A48" s="24">
        <v>31</v>
      </c>
      <c r="B48" s="36">
        <f t="shared" si="2"/>
        <v>24093607.151811454</v>
      </c>
      <c r="C48" s="19">
        <f t="shared" si="3"/>
        <v>920001.40714924561</v>
      </c>
      <c r="D48" s="36">
        <f t="shared" si="4"/>
        <v>216842.46436630309</v>
      </c>
      <c r="E48" s="19">
        <f t="shared" si="5"/>
        <v>703158.94278294255</v>
      </c>
      <c r="F48" s="23">
        <f t="shared" si="6"/>
        <v>23390448.209028512</v>
      </c>
    </row>
    <row r="49" spans="1:6" x14ac:dyDescent="0.25">
      <c r="A49" s="24">
        <v>32</v>
      </c>
      <c r="B49" s="36">
        <f t="shared" si="2"/>
        <v>23390448.209028512</v>
      </c>
      <c r="C49" s="19">
        <f t="shared" si="3"/>
        <v>920001.40714924561</v>
      </c>
      <c r="D49" s="36">
        <f t="shared" si="4"/>
        <v>210514.03388125659</v>
      </c>
      <c r="E49" s="19">
        <f t="shared" si="5"/>
        <v>709487.37326798902</v>
      </c>
      <c r="F49" s="23">
        <f t="shared" si="6"/>
        <v>22680960.835760523</v>
      </c>
    </row>
    <row r="50" spans="1:6" x14ac:dyDescent="0.25">
      <c r="A50" s="24">
        <v>33</v>
      </c>
      <c r="B50" s="36">
        <f t="shared" si="2"/>
        <v>22680960.835760523</v>
      </c>
      <c r="C50" s="19">
        <f t="shared" si="3"/>
        <v>920001.40714924561</v>
      </c>
      <c r="D50" s="36">
        <f t="shared" si="4"/>
        <v>204128.64752184469</v>
      </c>
      <c r="E50" s="19">
        <f t="shared" si="5"/>
        <v>715872.7596274009</v>
      </c>
      <c r="F50" s="23">
        <f t="shared" si="6"/>
        <v>21965088.076133121</v>
      </c>
    </row>
    <row r="51" spans="1:6" x14ac:dyDescent="0.25">
      <c r="A51" s="24">
        <v>34</v>
      </c>
      <c r="B51" s="36">
        <f t="shared" si="2"/>
        <v>21965088.076133121</v>
      </c>
      <c r="C51" s="19">
        <f t="shared" si="3"/>
        <v>920001.40714924561</v>
      </c>
      <c r="D51" s="36">
        <f t="shared" si="4"/>
        <v>197685.79268519807</v>
      </c>
      <c r="E51" s="19">
        <f t="shared" si="5"/>
        <v>722315.6144640476</v>
      </c>
      <c r="F51" s="23">
        <f t="shared" si="6"/>
        <v>21242772.461669073</v>
      </c>
    </row>
    <row r="52" spans="1:6" x14ac:dyDescent="0.25">
      <c r="A52" s="24">
        <v>35</v>
      </c>
      <c r="B52" s="36">
        <f t="shared" si="2"/>
        <v>21242772.461669073</v>
      </c>
      <c r="C52" s="19">
        <f t="shared" si="3"/>
        <v>920001.40714924561</v>
      </c>
      <c r="D52" s="36">
        <f t="shared" si="4"/>
        <v>191184.95215502163</v>
      </c>
      <c r="E52" s="19">
        <f t="shared" si="5"/>
        <v>728816.45499422401</v>
      </c>
      <c r="F52" s="23">
        <f t="shared" si="6"/>
        <v>20513956.006674848</v>
      </c>
    </row>
    <row r="53" spans="1:6" x14ac:dyDescent="0.25">
      <c r="A53" s="24">
        <v>36</v>
      </c>
      <c r="B53" s="36">
        <f t="shared" si="2"/>
        <v>20513956.006674848</v>
      </c>
      <c r="C53" s="19">
        <f t="shared" si="3"/>
        <v>920001.40714924561</v>
      </c>
      <c r="D53" s="36">
        <f t="shared" si="4"/>
        <v>184625.60406007362</v>
      </c>
      <c r="E53" s="19">
        <f t="shared" si="5"/>
        <v>735375.803089172</v>
      </c>
      <c r="F53" s="23">
        <f t="shared" si="6"/>
        <v>19778580.203585677</v>
      </c>
    </row>
    <row r="54" spans="1:6" x14ac:dyDescent="0.25">
      <c r="A54" s="24">
        <v>37</v>
      </c>
      <c r="B54" s="36">
        <f t="shared" si="2"/>
        <v>19778580.203585677</v>
      </c>
      <c r="C54" s="19">
        <f t="shared" si="3"/>
        <v>920001.40714924561</v>
      </c>
      <c r="D54" s="36">
        <f t="shared" si="4"/>
        <v>178007.22183227108</v>
      </c>
      <c r="E54" s="19">
        <f t="shared" si="5"/>
        <v>741994.18531697453</v>
      </c>
      <c r="F54" s="23">
        <f t="shared" si="6"/>
        <v>19036586.018268701</v>
      </c>
    </row>
    <row r="55" spans="1:6" x14ac:dyDescent="0.25">
      <c r="A55" s="24">
        <v>38</v>
      </c>
      <c r="B55" s="36">
        <f t="shared" si="2"/>
        <v>19036586.018268701</v>
      </c>
      <c r="C55" s="19">
        <f t="shared" si="3"/>
        <v>920001.40714924561</v>
      </c>
      <c r="D55" s="36">
        <f t="shared" si="4"/>
        <v>171329.27416441828</v>
      </c>
      <c r="E55" s="19">
        <f t="shared" si="5"/>
        <v>748672.13298482727</v>
      </c>
      <c r="F55" s="23">
        <f t="shared" si="6"/>
        <v>18287913.885283872</v>
      </c>
    </row>
    <row r="56" spans="1:6" x14ac:dyDescent="0.25">
      <c r="A56" s="24">
        <v>39</v>
      </c>
      <c r="B56" s="36">
        <f t="shared" si="2"/>
        <v>18287913.885283872</v>
      </c>
      <c r="C56" s="19">
        <f t="shared" si="3"/>
        <v>920001.40714924561</v>
      </c>
      <c r="D56" s="36">
        <f t="shared" si="4"/>
        <v>164591.22496755485</v>
      </c>
      <c r="E56" s="19">
        <f t="shared" si="5"/>
        <v>755410.18218169082</v>
      </c>
      <c r="F56" s="23">
        <f t="shared" si="6"/>
        <v>17532503.703102183</v>
      </c>
    </row>
    <row r="57" spans="1:6" x14ac:dyDescent="0.25">
      <c r="A57" s="24">
        <v>40</v>
      </c>
      <c r="B57" s="36">
        <f t="shared" si="2"/>
        <v>17532503.703102183</v>
      </c>
      <c r="C57" s="19">
        <f t="shared" si="3"/>
        <v>920001.40714924561</v>
      </c>
      <c r="D57" s="36">
        <f t="shared" si="4"/>
        <v>157792.53332791963</v>
      </c>
      <c r="E57" s="19">
        <f t="shared" si="5"/>
        <v>762208.87382132595</v>
      </c>
      <c r="F57" s="23">
        <f t="shared" si="6"/>
        <v>16770294.829280857</v>
      </c>
    </row>
    <row r="58" spans="1:6" x14ac:dyDescent="0.25">
      <c r="A58" s="24">
        <v>41</v>
      </c>
      <c r="B58" s="36">
        <f t="shared" si="2"/>
        <v>16770294.829280857</v>
      </c>
      <c r="C58" s="19">
        <f t="shared" si="3"/>
        <v>920001.40714924561</v>
      </c>
      <c r="D58" s="36">
        <f t="shared" si="4"/>
        <v>150932.65346352771</v>
      </c>
      <c r="E58" s="19">
        <f t="shared" si="5"/>
        <v>769068.75368571794</v>
      </c>
      <c r="F58" s="23">
        <f t="shared" si="6"/>
        <v>16001226.075595139</v>
      </c>
    </row>
    <row r="59" spans="1:6" x14ac:dyDescent="0.25">
      <c r="A59" s="24">
        <v>42</v>
      </c>
      <c r="B59" s="36">
        <f t="shared" si="2"/>
        <v>16001226.075595139</v>
      </c>
      <c r="C59" s="19">
        <f t="shared" si="3"/>
        <v>920001.40714924561</v>
      </c>
      <c r="D59" s="36">
        <f t="shared" si="4"/>
        <v>144011.03468035624</v>
      </c>
      <c r="E59" s="19">
        <f t="shared" si="5"/>
        <v>775990.37246888934</v>
      </c>
      <c r="F59" s="23">
        <f t="shared" si="6"/>
        <v>15225235.70312625</v>
      </c>
    </row>
    <row r="60" spans="1:6" x14ac:dyDescent="0.25">
      <c r="A60" s="24">
        <v>43</v>
      </c>
      <c r="B60" s="36">
        <f t="shared" si="2"/>
        <v>15225235.70312625</v>
      </c>
      <c r="C60" s="19">
        <f t="shared" si="3"/>
        <v>920001.40714924561</v>
      </c>
      <c r="D60" s="36">
        <f t="shared" si="4"/>
        <v>137027.12132813624</v>
      </c>
      <c r="E60" s="19">
        <f t="shared" si="5"/>
        <v>782974.28582110931</v>
      </c>
      <c r="F60" s="23">
        <f t="shared" si="6"/>
        <v>14442261.41730514</v>
      </c>
    </row>
    <row r="61" spans="1:6" x14ac:dyDescent="0.25">
      <c r="A61" s="24">
        <v>44</v>
      </c>
      <c r="B61" s="36">
        <f t="shared" si="2"/>
        <v>14442261.41730514</v>
      </c>
      <c r="C61" s="19">
        <f t="shared" si="3"/>
        <v>920001.40714924561</v>
      </c>
      <c r="D61" s="36">
        <f t="shared" si="4"/>
        <v>129980.35275574625</v>
      </c>
      <c r="E61" s="19">
        <f t="shared" si="5"/>
        <v>790021.05439349939</v>
      </c>
      <c r="F61" s="23">
        <f t="shared" si="6"/>
        <v>13652240.36291164</v>
      </c>
    </row>
    <row r="62" spans="1:6" x14ac:dyDescent="0.25">
      <c r="A62" s="24">
        <v>45</v>
      </c>
      <c r="B62" s="36">
        <f t="shared" si="2"/>
        <v>13652240.36291164</v>
      </c>
      <c r="C62" s="19">
        <f t="shared" si="3"/>
        <v>920001.40714924561</v>
      </c>
      <c r="D62" s="36">
        <f t="shared" si="4"/>
        <v>122870.16326620475</v>
      </c>
      <c r="E62" s="19">
        <f t="shared" si="5"/>
        <v>797131.24388304085</v>
      </c>
      <c r="F62" s="23">
        <f t="shared" si="6"/>
        <v>12855109.119028598</v>
      </c>
    </row>
    <row r="63" spans="1:6" x14ac:dyDescent="0.25">
      <c r="A63" s="24">
        <v>46</v>
      </c>
      <c r="B63" s="36">
        <f t="shared" si="2"/>
        <v>12855109.119028598</v>
      </c>
      <c r="C63" s="19">
        <f t="shared" si="3"/>
        <v>920001.40714924561</v>
      </c>
      <c r="D63" s="36">
        <f t="shared" si="4"/>
        <v>115695.98207125737</v>
      </c>
      <c r="E63" s="19">
        <f t="shared" si="5"/>
        <v>804305.4250779883</v>
      </c>
      <c r="F63" s="23">
        <f t="shared" si="6"/>
        <v>12050803.69395061</v>
      </c>
    </row>
    <row r="64" spans="1:6" x14ac:dyDescent="0.25">
      <c r="A64" s="24">
        <v>47</v>
      </c>
      <c r="B64" s="36">
        <f t="shared" si="2"/>
        <v>12050803.69395061</v>
      </c>
      <c r="C64" s="19">
        <f t="shared" si="3"/>
        <v>920001.40714924561</v>
      </c>
      <c r="D64" s="36">
        <f t="shared" si="4"/>
        <v>108457.23324555549</v>
      </c>
      <c r="E64" s="19">
        <f t="shared" si="5"/>
        <v>811544.17390369019</v>
      </c>
      <c r="F64" s="23">
        <f t="shared" si="6"/>
        <v>11239259.52004692</v>
      </c>
    </row>
    <row r="65" spans="1:7" x14ac:dyDescent="0.25">
      <c r="A65" s="24">
        <v>48</v>
      </c>
      <c r="B65" s="36">
        <f t="shared" si="2"/>
        <v>11239259.52004692</v>
      </c>
      <c r="C65" s="19">
        <f t="shared" si="3"/>
        <v>920001.40714924561</v>
      </c>
      <c r="D65" s="36">
        <f t="shared" si="4"/>
        <v>101153.33568042227</v>
      </c>
      <c r="E65" s="19">
        <f t="shared" si="5"/>
        <v>818848.07146882336</v>
      </c>
      <c r="F65" s="23">
        <f t="shared" si="6"/>
        <v>10420411.448578097</v>
      </c>
    </row>
    <row r="66" spans="1:7" x14ac:dyDescent="0.25">
      <c r="A66" s="24">
        <v>49</v>
      </c>
      <c r="B66" s="36">
        <f t="shared" si="2"/>
        <v>10420411.448578097</v>
      </c>
      <c r="C66" s="19">
        <f t="shared" si="3"/>
        <v>920001.40714924561</v>
      </c>
      <c r="D66" s="36">
        <f t="shared" si="4"/>
        <v>93783.703037202868</v>
      </c>
      <c r="E66" s="19">
        <f t="shared" si="5"/>
        <v>826217.70411204279</v>
      </c>
      <c r="F66" s="23">
        <f t="shared" si="6"/>
        <v>9594193.7444660533</v>
      </c>
    </row>
    <row r="67" spans="1:7" x14ac:dyDescent="0.25">
      <c r="A67" s="24">
        <v>50</v>
      </c>
      <c r="B67" s="36">
        <f t="shared" si="2"/>
        <v>9594193.7444660533</v>
      </c>
      <c r="C67" s="19">
        <f t="shared" si="3"/>
        <v>920001.40714924561</v>
      </c>
      <c r="D67" s="36">
        <f t="shared" si="4"/>
        <v>86347.743700194478</v>
      </c>
      <c r="E67" s="19">
        <f t="shared" si="5"/>
        <v>833653.66344905109</v>
      </c>
      <c r="F67" s="23">
        <f t="shared" si="6"/>
        <v>8760540.0810170025</v>
      </c>
    </row>
    <row r="68" spans="1:7" x14ac:dyDescent="0.25">
      <c r="A68" s="24">
        <v>51</v>
      </c>
      <c r="B68" s="36">
        <f t="shared" si="2"/>
        <v>8760540.0810170025</v>
      </c>
      <c r="C68" s="19">
        <f t="shared" si="3"/>
        <v>920001.40714924561</v>
      </c>
      <c r="D68" s="36">
        <f t="shared" si="4"/>
        <v>78844.860729153021</v>
      </c>
      <c r="E68" s="19">
        <f t="shared" si="5"/>
        <v>841156.54642009258</v>
      </c>
      <c r="F68" s="23">
        <f t="shared" si="6"/>
        <v>7919383.5345969098</v>
      </c>
    </row>
    <row r="69" spans="1:7" x14ac:dyDescent="0.25">
      <c r="A69" s="24">
        <v>52</v>
      </c>
      <c r="B69" s="36">
        <f t="shared" si="2"/>
        <v>7919383.5345969098</v>
      </c>
      <c r="C69" s="19">
        <f t="shared" si="3"/>
        <v>920001.40714924561</v>
      </c>
      <c r="D69" s="36">
        <f t="shared" si="4"/>
        <v>71274.451811372186</v>
      </c>
      <c r="E69" s="19">
        <f t="shared" si="5"/>
        <v>848726.95533787343</v>
      </c>
      <c r="F69" s="23">
        <f t="shared" si="6"/>
        <v>7070656.5792590361</v>
      </c>
    </row>
    <row r="70" spans="1:7" x14ac:dyDescent="0.25">
      <c r="A70" s="24">
        <v>53</v>
      </c>
      <c r="B70" s="36">
        <f t="shared" si="2"/>
        <v>7070656.5792590361</v>
      </c>
      <c r="C70" s="19">
        <f t="shared" si="3"/>
        <v>920001.40714924561</v>
      </c>
      <c r="D70" s="36">
        <f t="shared" si="4"/>
        <v>63635.909213331317</v>
      </c>
      <c r="E70" s="19">
        <f t="shared" si="5"/>
        <v>856365.49793591432</v>
      </c>
      <c r="F70" s="23">
        <f t="shared" si="6"/>
        <v>6214291.0813231217</v>
      </c>
    </row>
    <row r="71" spans="1:7" x14ac:dyDescent="0.25">
      <c r="A71" s="24">
        <v>54</v>
      </c>
      <c r="B71" s="36">
        <f t="shared" si="2"/>
        <v>6214291.0813231217</v>
      </c>
      <c r="C71" s="19">
        <f t="shared" si="3"/>
        <v>920001.40714924561</v>
      </c>
      <c r="D71" s="36">
        <f t="shared" si="4"/>
        <v>55928.619731908089</v>
      </c>
      <c r="E71" s="19">
        <f t="shared" si="5"/>
        <v>864072.78741733753</v>
      </c>
      <c r="F71" s="23">
        <f t="shared" si="6"/>
        <v>5350218.2939057844</v>
      </c>
    </row>
    <row r="72" spans="1:7" x14ac:dyDescent="0.25">
      <c r="A72" s="24">
        <v>55</v>
      </c>
      <c r="B72" s="36">
        <f t="shared" si="2"/>
        <v>5350218.2939057844</v>
      </c>
      <c r="C72" s="19">
        <f t="shared" si="3"/>
        <v>920001.40714924561</v>
      </c>
      <c r="D72" s="36">
        <f t="shared" si="4"/>
        <v>48151.964645152053</v>
      </c>
      <c r="E72" s="19">
        <f t="shared" si="5"/>
        <v>871849.44250409352</v>
      </c>
      <c r="F72" s="23">
        <f t="shared" si="6"/>
        <v>4478368.8514016904</v>
      </c>
    </row>
    <row r="73" spans="1:7" x14ac:dyDescent="0.25">
      <c r="A73" s="24">
        <v>56</v>
      </c>
      <c r="B73" s="36">
        <f t="shared" si="2"/>
        <v>4478368.8514016904</v>
      </c>
      <c r="C73" s="19">
        <f t="shared" si="3"/>
        <v>920001.40714924561</v>
      </c>
      <c r="D73" s="36">
        <f t="shared" si="4"/>
        <v>40305.319662615213</v>
      </c>
      <c r="E73" s="19">
        <f t="shared" si="5"/>
        <v>879696.08748663042</v>
      </c>
      <c r="F73" s="23">
        <f t="shared" si="6"/>
        <v>3598672.7639150601</v>
      </c>
    </row>
    <row r="74" spans="1:7" x14ac:dyDescent="0.25">
      <c r="A74" s="24">
        <v>57</v>
      </c>
      <c r="B74" s="36">
        <f t="shared" si="2"/>
        <v>3598672.7639150601</v>
      </c>
      <c r="C74" s="19">
        <f t="shared" si="3"/>
        <v>920001.40714924561</v>
      </c>
      <c r="D74" s="36">
        <f t="shared" si="4"/>
        <v>32388.054875235539</v>
      </c>
      <c r="E74" s="19">
        <f t="shared" si="5"/>
        <v>887613.35227401007</v>
      </c>
      <c r="F74" s="23">
        <f t="shared" si="6"/>
        <v>2711059.4116410501</v>
      </c>
    </row>
    <row r="75" spans="1:7" x14ac:dyDescent="0.25">
      <c r="A75" s="24">
        <v>58</v>
      </c>
      <c r="B75" s="36">
        <f t="shared" si="2"/>
        <v>2711059.4116410501</v>
      </c>
      <c r="C75" s="19">
        <f t="shared" si="3"/>
        <v>920001.40714924561</v>
      </c>
      <c r="D75" s="36">
        <f t="shared" si="4"/>
        <v>24399.534704769449</v>
      </c>
      <c r="E75" s="19">
        <f t="shared" si="5"/>
        <v>895601.87244447612</v>
      </c>
      <c r="F75" s="23">
        <f t="shared" si="6"/>
        <v>1815457.5391965741</v>
      </c>
    </row>
    <row r="76" spans="1:7" x14ac:dyDescent="0.25">
      <c r="A76" s="24">
        <v>59</v>
      </c>
      <c r="B76" s="36">
        <f t="shared" si="2"/>
        <v>1815457.5391965741</v>
      </c>
      <c r="C76" s="19">
        <f t="shared" si="3"/>
        <v>920001.40714924561</v>
      </c>
      <c r="D76" s="36">
        <f t="shared" si="4"/>
        <v>16339.117852769166</v>
      </c>
      <c r="E76" s="19">
        <f t="shared" si="5"/>
        <v>903662.2892964764</v>
      </c>
      <c r="F76" s="23">
        <f t="shared" si="6"/>
        <v>911795.24990009773</v>
      </c>
    </row>
    <row r="77" spans="1:7" x14ac:dyDescent="0.25">
      <c r="A77" s="24">
        <v>60</v>
      </c>
      <c r="B77" s="36">
        <f t="shared" si="2"/>
        <v>911795.24990009773</v>
      </c>
      <c r="C77" s="19">
        <f t="shared" si="3"/>
        <v>920001.40714924561</v>
      </c>
      <c r="D77" s="36">
        <f t="shared" si="4"/>
        <v>8206.1572491008792</v>
      </c>
      <c r="E77" s="19">
        <f t="shared" si="5"/>
        <v>911795.24990014476</v>
      </c>
      <c r="F77" s="23">
        <f t="shared" si="6"/>
        <v>-4.7031790018081665E-8</v>
      </c>
    </row>
    <row r="80" spans="1:7" x14ac:dyDescent="0.25">
      <c r="A80" s="137" t="s">
        <v>180</v>
      </c>
      <c r="B80" s="20" t="s">
        <v>83</v>
      </c>
      <c r="D80" s="23"/>
      <c r="E80" s="23"/>
      <c r="F80" s="23"/>
      <c r="G80" s="23"/>
    </row>
    <row r="81" spans="1:6" x14ac:dyDescent="0.25">
      <c r="A81" s="124" t="s">
        <v>179</v>
      </c>
      <c r="B81" s="4"/>
    </row>
    <row r="82" spans="1:6" x14ac:dyDescent="0.25">
      <c r="A82" s="141">
        <f>SUM(D18:D29)</f>
        <v>4261902.5876980191</v>
      </c>
      <c r="B82" s="123">
        <v>1</v>
      </c>
    </row>
    <row r="83" spans="1:6" x14ac:dyDescent="0.25">
      <c r="A83" s="141">
        <f>SUM(D30:D41)</f>
        <v>3492521.0369023392</v>
      </c>
      <c r="B83" s="123">
        <v>2</v>
      </c>
    </row>
    <row r="84" spans="1:6" x14ac:dyDescent="0.25">
      <c r="A84" s="141">
        <f>SUM(D42:D53)</f>
        <v>2635807.2363581844</v>
      </c>
      <c r="B84" s="123">
        <v>3</v>
      </c>
    </row>
    <row r="85" spans="1:6" x14ac:dyDescent="0.25">
      <c r="A85" s="141">
        <f>SUM(D54:D65)</f>
        <v>1681848.1307833705</v>
      </c>
      <c r="B85" s="123">
        <v>4</v>
      </c>
    </row>
    <row r="86" spans="1:6" x14ac:dyDescent="0.25">
      <c r="A86" s="142">
        <f>SUM(D66:D77)</f>
        <v>619605.43721280433</v>
      </c>
      <c r="B86" s="71">
        <v>5</v>
      </c>
    </row>
    <row r="87" spans="1:6" x14ac:dyDescent="0.25">
      <c r="A87" s="24"/>
      <c r="B87" s="24"/>
      <c r="C87" s="24"/>
      <c r="D87" s="24"/>
      <c r="E87" s="24"/>
      <c r="F87" s="24"/>
    </row>
  </sheetData>
  <mergeCells count="1">
    <mergeCell ref="A15:F15"/>
  </mergeCells>
  <phoneticPr fontId="5" type="noConversion"/>
  <pageMargins left="0.7" right="0.7" top="0.75" bottom="0.75" header="0.3" footer="0.3"/>
  <pageSetup orientation="portrait" r:id="rId1"/>
  <ignoredErrors>
    <ignoredError sqref="F17" calculatedColumn="1"/>
  </ignoredErrors>
  <tableParts count="3"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25"/>
  <sheetViews>
    <sheetView topLeftCell="A12" workbookViewId="0">
      <selection activeCell="G32" sqref="G32"/>
    </sheetView>
  </sheetViews>
  <sheetFormatPr baseColWidth="10" defaultRowHeight="15" x14ac:dyDescent="0.25"/>
  <cols>
    <col min="1" max="1" width="20.140625" bestFit="1" customWidth="1"/>
    <col min="3" max="3" width="19.140625" bestFit="1" customWidth="1"/>
    <col min="4" max="4" width="13.7109375" customWidth="1"/>
    <col min="5" max="5" width="22.85546875" bestFit="1" customWidth="1"/>
  </cols>
  <sheetData>
    <row r="2" spans="1:5" x14ac:dyDescent="0.25">
      <c r="A2" s="34" t="s">
        <v>138</v>
      </c>
      <c r="B2" s="34" t="s">
        <v>136</v>
      </c>
      <c r="C2" s="34" t="s">
        <v>135</v>
      </c>
      <c r="D2" s="34" t="s">
        <v>133</v>
      </c>
      <c r="E2" s="34" t="s">
        <v>134</v>
      </c>
    </row>
    <row r="3" spans="1:5" x14ac:dyDescent="0.25">
      <c r="A3" s="38" t="s">
        <v>8</v>
      </c>
      <c r="B3" s="39"/>
      <c r="C3" s="40">
        <f>B4</f>
        <v>1379400</v>
      </c>
      <c r="D3" s="40"/>
      <c r="E3" s="38"/>
    </row>
    <row r="4" spans="1:5" x14ac:dyDescent="0.25">
      <c r="A4" s="34">
        <v>1</v>
      </c>
      <c r="B4" s="200">
        <f>SUM(inversiones!D45:D46)</f>
        <v>1379400</v>
      </c>
      <c r="C4" s="3">
        <f>C3-D4</f>
        <v>1103520</v>
      </c>
      <c r="D4" s="3">
        <f>$B$25</f>
        <v>275880</v>
      </c>
      <c r="E4" s="3">
        <f>E3+D4</f>
        <v>275880</v>
      </c>
    </row>
    <row r="5" spans="1:5" x14ac:dyDescent="0.25">
      <c r="A5" s="34">
        <v>2</v>
      </c>
      <c r="B5" s="201"/>
      <c r="C5" s="3">
        <f>C4-D5</f>
        <v>827640</v>
      </c>
      <c r="D5" s="3">
        <f>$B$25</f>
        <v>275880</v>
      </c>
      <c r="E5" s="3">
        <f>E4+D5</f>
        <v>551760</v>
      </c>
    </row>
    <row r="6" spans="1:5" ht="15.75" customHeight="1" x14ac:dyDescent="0.25">
      <c r="A6" s="34">
        <v>3</v>
      </c>
      <c r="B6" s="201"/>
      <c r="C6" s="3">
        <f t="shared" ref="C6:C8" si="0">C5-D6</f>
        <v>551760</v>
      </c>
      <c r="D6" s="3">
        <f>$B$25</f>
        <v>275880</v>
      </c>
      <c r="E6" s="3">
        <f t="shared" ref="E6:E8" si="1">E5+D6</f>
        <v>827640</v>
      </c>
    </row>
    <row r="7" spans="1:5" ht="15.75" customHeight="1" x14ac:dyDescent="0.25">
      <c r="A7" s="34">
        <v>4</v>
      </c>
      <c r="B7" s="201"/>
      <c r="C7" s="3">
        <f t="shared" si="0"/>
        <v>275880</v>
      </c>
      <c r="D7" s="3">
        <f>$B$25</f>
        <v>275880</v>
      </c>
      <c r="E7" s="3">
        <f t="shared" si="1"/>
        <v>1103520</v>
      </c>
    </row>
    <row r="8" spans="1:5" x14ac:dyDescent="0.25">
      <c r="A8" s="34">
        <v>5</v>
      </c>
      <c r="B8" s="202"/>
      <c r="C8" s="3">
        <f t="shared" si="0"/>
        <v>0</v>
      </c>
      <c r="D8" s="3">
        <f>$B$25</f>
        <v>275880</v>
      </c>
      <c r="E8" s="3">
        <f t="shared" si="1"/>
        <v>1379400</v>
      </c>
    </row>
    <row r="9" spans="1:5" x14ac:dyDescent="0.25">
      <c r="A9" s="38" t="s">
        <v>190</v>
      </c>
      <c r="B9" s="39"/>
      <c r="C9" s="40">
        <f>B10</f>
        <v>5129000</v>
      </c>
      <c r="D9" s="38"/>
      <c r="E9" s="38"/>
    </row>
    <row r="10" spans="1:5" x14ac:dyDescent="0.25">
      <c r="A10" s="34">
        <v>1</v>
      </c>
      <c r="B10" s="200">
        <f>SUM(inversiones!D43:D44)</f>
        <v>5129000</v>
      </c>
      <c r="C10" s="3">
        <f>C9-D10</f>
        <v>4103200</v>
      </c>
      <c r="D10" s="3">
        <f>$C$25</f>
        <v>1025800</v>
      </c>
      <c r="E10" s="3">
        <f>E9+D10</f>
        <v>1025800</v>
      </c>
    </row>
    <row r="11" spans="1:5" x14ac:dyDescent="0.25">
      <c r="A11" s="34">
        <v>2</v>
      </c>
      <c r="B11" s="201"/>
      <c r="C11" s="3">
        <f t="shared" ref="C11:C14" si="2">C10-D11</f>
        <v>3077400</v>
      </c>
      <c r="D11" s="3">
        <f>$C$25</f>
        <v>1025800</v>
      </c>
      <c r="E11" s="3">
        <f t="shared" ref="E11:E14" si="3">E10+D11</f>
        <v>2051600</v>
      </c>
    </row>
    <row r="12" spans="1:5" x14ac:dyDescent="0.25">
      <c r="A12" s="34">
        <v>3</v>
      </c>
      <c r="B12" s="201"/>
      <c r="C12" s="3">
        <f t="shared" si="2"/>
        <v>2051600</v>
      </c>
      <c r="D12" s="3">
        <f>$C$25</f>
        <v>1025800</v>
      </c>
      <c r="E12" s="3">
        <f t="shared" si="3"/>
        <v>3077400</v>
      </c>
    </row>
    <row r="13" spans="1:5" x14ac:dyDescent="0.25">
      <c r="A13" s="34">
        <v>4</v>
      </c>
      <c r="B13" s="201"/>
      <c r="C13" s="3">
        <f t="shared" si="2"/>
        <v>1025800</v>
      </c>
      <c r="D13" s="3">
        <f>$C$25</f>
        <v>1025800</v>
      </c>
      <c r="E13" s="3">
        <f t="shared" si="3"/>
        <v>4103200</v>
      </c>
    </row>
    <row r="14" spans="1:5" x14ac:dyDescent="0.25">
      <c r="A14" s="34">
        <v>5</v>
      </c>
      <c r="B14" s="202"/>
      <c r="C14" s="3">
        <f t="shared" si="2"/>
        <v>0</v>
      </c>
      <c r="D14" s="3">
        <f>$C$25</f>
        <v>1025800</v>
      </c>
      <c r="E14" s="3">
        <f t="shared" si="3"/>
        <v>5129000</v>
      </c>
    </row>
    <row r="15" spans="1:5" x14ac:dyDescent="0.25">
      <c r="A15" s="38" t="s">
        <v>46</v>
      </c>
      <c r="B15" s="39"/>
      <c r="C15" s="40">
        <f>B16</f>
        <v>36000000</v>
      </c>
      <c r="D15" s="38"/>
      <c r="E15" s="38"/>
    </row>
    <row r="16" spans="1:5" x14ac:dyDescent="0.25">
      <c r="A16" s="34">
        <v>1</v>
      </c>
      <c r="B16" s="200">
        <f>inversiones!D47</f>
        <v>36000000</v>
      </c>
      <c r="C16" s="3">
        <f>C15-D16</f>
        <v>32400000</v>
      </c>
      <c r="D16" s="3">
        <f>$D$25</f>
        <v>3600000</v>
      </c>
      <c r="E16" s="3">
        <f>E15+D16</f>
        <v>3600000</v>
      </c>
    </row>
    <row r="17" spans="1:5" x14ac:dyDescent="0.25">
      <c r="A17" s="34">
        <v>2</v>
      </c>
      <c r="B17" s="201"/>
      <c r="C17" s="3">
        <f t="shared" ref="C17:C20" si="4">C16-D17</f>
        <v>28800000</v>
      </c>
      <c r="D17" s="3">
        <f>$D$25</f>
        <v>3600000</v>
      </c>
      <c r="E17" s="3">
        <f t="shared" ref="E17:E20" si="5">E16+D17</f>
        <v>7200000</v>
      </c>
    </row>
    <row r="18" spans="1:5" x14ac:dyDescent="0.25">
      <c r="A18" s="34">
        <v>3</v>
      </c>
      <c r="B18" s="201"/>
      <c r="C18" s="3">
        <f t="shared" si="4"/>
        <v>25200000</v>
      </c>
      <c r="D18" s="3">
        <f>$D$25</f>
        <v>3600000</v>
      </c>
      <c r="E18" s="3">
        <f t="shared" si="5"/>
        <v>10800000</v>
      </c>
    </row>
    <row r="19" spans="1:5" x14ac:dyDescent="0.25">
      <c r="A19" s="34">
        <v>4</v>
      </c>
      <c r="B19" s="201"/>
      <c r="C19" s="3">
        <f t="shared" si="4"/>
        <v>21600000</v>
      </c>
      <c r="D19" s="3">
        <f>$D$25</f>
        <v>3600000</v>
      </c>
      <c r="E19" s="3">
        <f t="shared" si="5"/>
        <v>14400000</v>
      </c>
    </row>
    <row r="20" spans="1:5" ht="13.5" customHeight="1" x14ac:dyDescent="0.25">
      <c r="A20" s="34">
        <v>5</v>
      </c>
      <c r="B20" s="202"/>
      <c r="C20" s="3">
        <f t="shared" si="4"/>
        <v>18000000</v>
      </c>
      <c r="D20" s="3">
        <f>$D$25</f>
        <v>3600000</v>
      </c>
      <c r="E20" s="3">
        <f t="shared" si="5"/>
        <v>18000000</v>
      </c>
    </row>
    <row r="22" spans="1:5" x14ac:dyDescent="0.25">
      <c r="A22" s="122" t="s">
        <v>144</v>
      </c>
      <c r="B22" s="122" t="s">
        <v>162</v>
      </c>
      <c r="C22" s="122" t="s">
        <v>190</v>
      </c>
      <c r="D22" s="122" t="s">
        <v>18</v>
      </c>
    </row>
    <row r="23" spans="1:5" x14ac:dyDescent="0.25">
      <c r="A23" s="1" t="s">
        <v>136</v>
      </c>
      <c r="B23" s="5">
        <f>B4</f>
        <v>1379400</v>
      </c>
      <c r="C23" s="5">
        <f>B10</f>
        <v>5129000</v>
      </c>
      <c r="D23" s="5">
        <f>B16</f>
        <v>36000000</v>
      </c>
    </row>
    <row r="24" spans="1:5" x14ac:dyDescent="0.25">
      <c r="A24" s="1" t="s">
        <v>137</v>
      </c>
      <c r="B24" s="1">
        <v>5</v>
      </c>
      <c r="C24" s="1">
        <v>5</v>
      </c>
      <c r="D24" s="1">
        <v>10</v>
      </c>
    </row>
    <row r="25" spans="1:5" x14ac:dyDescent="0.25">
      <c r="A25" s="1" t="s">
        <v>133</v>
      </c>
      <c r="B25" s="5">
        <f>B23/B24</f>
        <v>275880</v>
      </c>
      <c r="C25" s="5">
        <f>C23/C24</f>
        <v>1025800</v>
      </c>
      <c r="D25" s="5">
        <f>D23/D24</f>
        <v>3600000</v>
      </c>
      <c r="E25" s="25">
        <f>+SUM(B25:D25)</f>
        <v>4901680</v>
      </c>
    </row>
  </sheetData>
  <mergeCells count="3">
    <mergeCell ref="B4:B8"/>
    <mergeCell ref="B10:B14"/>
    <mergeCell ref="B16:B20"/>
  </mergeCells>
  <pageMargins left="0.7" right="0.7" top="0.75" bottom="0.75" header="0.3" footer="0.3"/>
  <ignoredErrors>
    <ignoredError sqref="C9 C1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9"/>
  <sheetViews>
    <sheetView workbookViewId="0">
      <selection activeCell="C2" sqref="C2"/>
    </sheetView>
  </sheetViews>
  <sheetFormatPr baseColWidth="10" defaultRowHeight="15" x14ac:dyDescent="0.25"/>
  <cols>
    <col min="1" max="1" width="20.85546875" bestFit="1" customWidth="1"/>
    <col min="2" max="2" width="15.140625" bestFit="1" customWidth="1"/>
    <col min="3" max="3" width="15.28515625" bestFit="1" customWidth="1"/>
    <col min="4" max="4" width="20.28515625" bestFit="1" customWidth="1"/>
    <col min="5" max="5" width="20.85546875" bestFit="1" customWidth="1"/>
    <col min="6" max="6" width="22.5703125" bestFit="1" customWidth="1"/>
    <col min="7" max="7" width="19.5703125" bestFit="1" customWidth="1"/>
    <col min="9" max="10" width="13.140625" bestFit="1" customWidth="1"/>
    <col min="11" max="11" width="19.5703125" bestFit="1" customWidth="1"/>
  </cols>
  <sheetData>
    <row r="1" spans="1:11" x14ac:dyDescent="0.25">
      <c r="B1">
        <v>9</v>
      </c>
      <c r="C1">
        <v>12</v>
      </c>
      <c r="D1">
        <v>17</v>
      </c>
      <c r="E1">
        <v>19</v>
      </c>
      <c r="F1">
        <v>25</v>
      </c>
    </row>
    <row r="2" spans="1:11" x14ac:dyDescent="0.25">
      <c r="A2" t="s">
        <v>85</v>
      </c>
      <c r="B2" s="23">
        <f>'Presupuesto de ingresos'!C6</f>
        <v>98074666.666666672</v>
      </c>
      <c r="C2" s="23">
        <f>'Presupuesto de ingresos'!D6</f>
        <v>143701318.66666663</v>
      </c>
      <c r="D2" s="23">
        <f>'Presupuesto de ingresos'!E6</f>
        <v>230872294.63733327</v>
      </c>
      <c r="E2" s="23">
        <f>'Presupuesto de ingresos'!F6</f>
        <v>265146601.87159461</v>
      </c>
      <c r="F2" s="23">
        <f>'Presupuesto de ingresos'!G6</f>
        <v>318373111.68573284</v>
      </c>
    </row>
    <row r="3" spans="1:11" x14ac:dyDescent="0.25">
      <c r="A3" t="s">
        <v>184</v>
      </c>
      <c r="B3" s="23">
        <f>'Presupuesto costos de producció'!C6+'Presupuesto gastos administrati'!C5+'Presupuesto gastos de venta'!C5+('Costos fijos'!$B$6*12)</f>
        <v>128168404.88579094</v>
      </c>
      <c r="C3" s="23">
        <f>'Presupuesto costos de producció'!D6+'Presupuesto gastos administrati'!D5+'Presupuesto gastos de venta'!D5+('Costos fijos'!$B$6*12)</f>
        <v>123653945.68979093</v>
      </c>
      <c r="D3" s="23">
        <f>'Presupuesto costos de producció'!E6+'Presupuesto gastos administrati'!E5+'Presupuesto gastos de venta'!E5+('Costos fijos'!$B$6*12)</f>
        <v>160772073.48271495</v>
      </c>
      <c r="E3" s="23">
        <f>'Presupuesto costos de producció'!F6+'Presupuesto gastos administrati'!F5+'Presupuesto gastos de venta'!F5+('Costos fijos'!$B$6*12)</f>
        <v>165413767.23721954</v>
      </c>
      <c r="F3" s="23">
        <f>'Presupuesto costos de producció'!G6+'Presupuesto gastos administrati'!G5+'Presupuesto gastos de venta'!G5+('Costos fijos'!$B$6*12)</f>
        <v>214724632.9988167</v>
      </c>
      <c r="H3" s="43"/>
      <c r="I3" s="41"/>
      <c r="J3" s="42"/>
      <c r="K3" s="23"/>
    </row>
    <row r="4" spans="1:11" x14ac:dyDescent="0.25">
      <c r="A4" s="151"/>
      <c r="B4" s="23"/>
      <c r="C4" s="23"/>
      <c r="D4" s="23"/>
      <c r="E4" s="23"/>
      <c r="F4" s="23"/>
      <c r="I4" s="41"/>
      <c r="J4" s="42"/>
      <c r="K4" s="23"/>
    </row>
    <row r="5" spans="1:11" x14ac:dyDescent="0.25">
      <c r="B5" s="23"/>
      <c r="C5" s="23"/>
      <c r="D5" s="23"/>
      <c r="E5" s="23"/>
      <c r="F5" s="23"/>
      <c r="H5" s="43"/>
      <c r="I5" s="41"/>
      <c r="J5" s="42"/>
      <c r="K5" s="23"/>
    </row>
    <row r="6" spans="1:11" x14ac:dyDescent="0.25">
      <c r="I6" s="41"/>
      <c r="J6" s="42"/>
      <c r="K6" s="23"/>
    </row>
    <row r="7" spans="1:11" x14ac:dyDescent="0.25">
      <c r="H7" s="43"/>
      <c r="I7" s="41"/>
      <c r="J7" s="42"/>
      <c r="K7" s="23"/>
    </row>
    <row r="17" spans="1:3" x14ac:dyDescent="0.25">
      <c r="A17" s="23"/>
      <c r="B17" s="23"/>
      <c r="C17" s="23"/>
    </row>
    <row r="18" spans="1:3" x14ac:dyDescent="0.25">
      <c r="A18" s="23"/>
    </row>
    <row r="19" spans="1:3" x14ac:dyDescent="0.25">
      <c r="B19" s="23"/>
    </row>
  </sheetData>
  <phoneticPr fontId="5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I 1 w E U 2 W e s m i k A A A A 9 Q A A A B I A H A B D b 2 5 m a W c v U G F j a 2 F n Z S 5 4 b W w g o h g A K K A U A A A A A A A A A A A A A A A A A A A A A A A A A A A A h Y 9 N D o I w F I S v Q r q n R f y J k k d Z s J V o Y m L c N u U J j V A M L Z a 7 u f B I X k G M o u 5 c z n z f Y u Z + v U H S 1 5 V 3 w d a o R s d k Q g P i o Z Z N r n Q R k 8 4 e / S V J O G y F P I k C v U H W J u p N H p P S 2 n P E m H O O u i l t 2 o K F Q T B h h 2 y 9 k y X W g n x k 9 V / 2 l T Z W a I m E w / 4 1 h o d 0 N a e L 2 T A J 2 N h B p v S X h w N 7 0 p 8 S 0 q 6 y X Y s c j Z 9 u g I 0 R 2 P s C f w B Q S w M E F A A C A A g A I 1 w E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N c B F M o i k e 4 D g A A A B E A A A A T A B w A R m 9 y b X V s Y X M v U 2 V j d G l v b j E u b S C i G A A o o B Q A A A A A A A A A A A A A A A A A A A A A A A A A A A A r T k 0 u y c z P U w i G 0 I b W A F B L A Q I t A B Q A A g A I A C N c B F N l n r J o p A A A A P U A A A A S A A A A A A A A A A A A A A A A A A A A A A B D b 2 5 m a W c v U G F j a 2 F n Z S 5 4 b W x Q S w E C L Q A U A A I A C A A j X A R T D 8 r p q 6 Q A A A D p A A A A E w A A A A A A A A A A A A A A A A D w A A A A W 0 N v b n R l b n R f V H l w Z X N d L n h t b F B L A Q I t A B Q A A g A I A C N c B F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G V i F W 1 Q e Q S I S C l J u G O a D Z A A A A A A I A A A A A A B B m A A A A A Q A A I A A A A K L V i z / r 1 7 + v T O t / 4 U A J w x A Z d q j w 6 2 4 y I z / v t P f R W 6 i U A A A A A A 6 A A A A A A g A A I A A A A F P v J s i h 7 H 2 Z 8 E M Y k U N 7 A G p n u a 0 d 6 q i I B 6 o T J I L R I T E a U A A A A L U k s l l 3 1 S O O I w C l o N e l 9 K X h 2 x k q n F Q 8 V L w P C Q C i G s N N t P i U S w u G N K s R j S J 7 G y K m x 7 M Q G / C B t q 3 r 1 P 9 q y 6 y y J v 8 u s 9 B J W F 2 L w 2 R i f U C n 0 o w x Q A A A A K W H N t h W n 5 A H S o T A r S p 9 v m v W f 4 l c U C M s y j x 5 w 4 r N A L e X a F O V 7 Q T U + m r n a 1 N c M i l P h 3 B v f s W c W I D V t 8 3 e 3 D e V 3 L g = < / D a t a M a s h u p > 
</file>

<file path=customXml/itemProps1.xml><?xml version="1.0" encoding="utf-8"?>
<ds:datastoreItem xmlns:ds="http://schemas.openxmlformats.org/officeDocument/2006/customXml" ds:itemID="{4638EEE2-E890-4EF0-80B2-52EC15AB456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</vt:i4>
      </vt:variant>
    </vt:vector>
  </HeadingPairs>
  <TitlesOfParts>
    <vt:vector size="24" baseType="lpstr">
      <vt:lpstr>inversiones</vt:lpstr>
      <vt:lpstr>Costos de producción</vt:lpstr>
      <vt:lpstr>Gastos de administración</vt:lpstr>
      <vt:lpstr>Gastos de venta</vt:lpstr>
      <vt:lpstr>Costos fijos</vt:lpstr>
      <vt:lpstr>Costos variables</vt:lpstr>
      <vt:lpstr>Amortizaciones</vt:lpstr>
      <vt:lpstr>Depreciación</vt:lpstr>
      <vt:lpstr>Punto de equilibrio</vt:lpstr>
      <vt:lpstr>Presupuesto costos de producció</vt:lpstr>
      <vt:lpstr>Presupuesto gastos administrati</vt:lpstr>
      <vt:lpstr>Presupuesto gastos de venta</vt:lpstr>
      <vt:lpstr>Presupuesto de ingresos</vt:lpstr>
      <vt:lpstr>Margen de contribución SGA</vt:lpstr>
      <vt:lpstr>Margen de contribución VEA</vt:lpstr>
      <vt:lpstr>Estado de resultados</vt:lpstr>
      <vt:lpstr>Flujo de efectivo</vt:lpstr>
      <vt:lpstr>Balance general</vt:lpstr>
      <vt:lpstr>Capital de trabajo</vt:lpstr>
      <vt:lpstr>Indicadores</vt:lpstr>
      <vt:lpstr>Análisis de sensibilidad</vt:lpstr>
      <vt:lpstr>ER AS</vt:lpstr>
      <vt:lpstr>FE AS</vt:lpstr>
      <vt:lpstr>añosmc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Andrea</cp:lastModifiedBy>
  <dcterms:created xsi:type="dcterms:W3CDTF">2020-10-17T19:24:08Z</dcterms:created>
  <dcterms:modified xsi:type="dcterms:W3CDTF">2021-10-21T16:21:24Z</dcterms:modified>
</cp:coreProperties>
</file>