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410ED54-FC21-476E-B5FB-222B9CEBCA9E}" xr6:coauthVersionLast="36" xr6:coauthVersionMax="36" xr10:uidLastSave="{00000000-0000-0000-0000-000000000000}"/>
  <bookViews>
    <workbookView xWindow="0" yWindow="0" windowWidth="20490" windowHeight="7545" activeTab="3" xr2:uid="{0FD621F8-64C9-40F0-B0C7-A2FEA6C42CE0}"/>
  </bookViews>
  <sheets>
    <sheet name="diseño statdgraf" sheetId="7" r:id="rId1"/>
    <sheet name="curva de calibracion " sheetId="1" r:id="rId2"/>
    <sheet name="punto de carga cero" sheetId="11" r:id="rId3"/>
    <sheet name="cinetica de adsorción 0,3g" sheetId="13" r:id="rId4"/>
    <sheet name="isotermas coque activado 0,3g" sheetId="12" r:id="rId5"/>
    <sheet name="isotermas de coque sin acti 0,3" sheetId="14" r:id="rId6"/>
    <sheet name="parametros" sheetId="17" r:id="rId7"/>
    <sheet name="isotermas de carbon activado" sheetId="9" r:id="rId8"/>
    <sheet name="cinetica de adsorción 0,3g (2)" sheetId="15" r:id="rId9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5" l="1"/>
  <c r="M6" i="13" l="1"/>
  <c r="N11" i="13"/>
  <c r="P11" i="13" s="1"/>
  <c r="R11" i="13"/>
  <c r="G6" i="12"/>
  <c r="Q11" i="13" l="1"/>
  <c r="L13" i="15"/>
  <c r="K13" i="15"/>
  <c r="M13" i="15" s="1"/>
  <c r="O8" i="15" s="1"/>
  <c r="L12" i="15"/>
  <c r="K12" i="15"/>
  <c r="M12" i="15" s="1"/>
  <c r="L11" i="15"/>
  <c r="K11" i="15"/>
  <c r="M11" i="15" s="1"/>
  <c r="N10" i="15"/>
  <c r="Q10" i="15" s="1"/>
  <c r="L10" i="15"/>
  <c r="K10" i="15"/>
  <c r="M10" i="15" s="1"/>
  <c r="E10" i="15"/>
  <c r="N9" i="15"/>
  <c r="R9" i="15" s="1"/>
  <c r="L9" i="15"/>
  <c r="K9" i="15"/>
  <c r="M9" i="15" s="1"/>
  <c r="E9" i="15"/>
  <c r="C9" i="15"/>
  <c r="Q8" i="15"/>
  <c r="N8" i="15"/>
  <c r="P8" i="15" s="1"/>
  <c r="M8" i="15"/>
  <c r="L8" i="15"/>
  <c r="K8" i="15"/>
  <c r="E8" i="15"/>
  <c r="N7" i="15"/>
  <c r="Q7" i="15" s="1"/>
  <c r="L7" i="15"/>
  <c r="K7" i="15"/>
  <c r="M7" i="15" s="1"/>
  <c r="E7" i="15"/>
  <c r="N6" i="15"/>
  <c r="R6" i="15" s="1"/>
  <c r="L6" i="15"/>
  <c r="K6" i="15"/>
  <c r="M6" i="15" s="1"/>
  <c r="E6" i="15"/>
  <c r="C6" i="15"/>
  <c r="M11" i="14"/>
  <c r="M10" i="14"/>
  <c r="M9" i="14"/>
  <c r="L9" i="14"/>
  <c r="M8" i="14"/>
  <c r="L8" i="14"/>
  <c r="M7" i="14"/>
  <c r="L7" i="14"/>
  <c r="M6" i="14"/>
  <c r="L6" i="14"/>
  <c r="M6" i="12"/>
  <c r="K11" i="14"/>
  <c r="L11" i="14" s="1"/>
  <c r="E11" i="14"/>
  <c r="C11" i="14"/>
  <c r="K10" i="14"/>
  <c r="L10" i="14" s="1"/>
  <c r="E10" i="14"/>
  <c r="J10" i="14" s="1"/>
  <c r="C10" i="14"/>
  <c r="K9" i="14"/>
  <c r="E9" i="14"/>
  <c r="J9" i="14" s="1"/>
  <c r="C9" i="14"/>
  <c r="K8" i="14"/>
  <c r="E8" i="14"/>
  <c r="J8" i="14" s="1"/>
  <c r="C8" i="14"/>
  <c r="K7" i="14"/>
  <c r="E7" i="14"/>
  <c r="J7" i="14" s="1"/>
  <c r="C7" i="14"/>
  <c r="K6" i="14"/>
  <c r="E6" i="14"/>
  <c r="J6" i="14" s="1"/>
  <c r="C6" i="14"/>
  <c r="O7" i="15" l="1"/>
  <c r="O9" i="15"/>
  <c r="P9" i="15"/>
  <c r="P6" i="15"/>
  <c r="R7" i="15"/>
  <c r="R8" i="15"/>
  <c r="Q6" i="15"/>
  <c r="P7" i="15"/>
  <c r="Q9" i="15"/>
  <c r="P10" i="15"/>
  <c r="R10" i="15"/>
  <c r="F8" i="14"/>
  <c r="F6" i="14"/>
  <c r="G6" i="14" s="1"/>
  <c r="F9" i="14"/>
  <c r="G9" i="14" s="1"/>
  <c r="F7" i="14"/>
  <c r="H7" i="14" s="1"/>
  <c r="F11" i="14"/>
  <c r="H11" i="14" s="1"/>
  <c r="F10" i="14"/>
  <c r="G10" i="14" s="1"/>
  <c r="G8" i="14"/>
  <c r="H8" i="14"/>
  <c r="I8" i="14"/>
  <c r="I9" i="14"/>
  <c r="I10" i="14"/>
  <c r="I11" i="14"/>
  <c r="I6" i="14"/>
  <c r="I7" i="14"/>
  <c r="J11" i="14"/>
  <c r="L10" i="13"/>
  <c r="L13" i="13"/>
  <c r="K13" i="13"/>
  <c r="M13" i="13" s="1"/>
  <c r="L12" i="13"/>
  <c r="K12" i="13"/>
  <c r="M12" i="13" s="1"/>
  <c r="L11" i="13"/>
  <c r="K11" i="13"/>
  <c r="M11" i="13" s="1"/>
  <c r="Q10" i="13"/>
  <c r="N10" i="13"/>
  <c r="K10" i="13"/>
  <c r="M10" i="13" s="1"/>
  <c r="E10" i="13"/>
  <c r="N9" i="13"/>
  <c r="Q9" i="13" s="1"/>
  <c r="L9" i="13"/>
  <c r="K9" i="13"/>
  <c r="M9" i="13" s="1"/>
  <c r="E9" i="13"/>
  <c r="C9" i="13"/>
  <c r="Q8" i="13"/>
  <c r="N8" i="13"/>
  <c r="R8" i="13" s="1"/>
  <c r="L8" i="13"/>
  <c r="K8" i="13"/>
  <c r="M8" i="13" s="1"/>
  <c r="P8" i="13" s="1"/>
  <c r="E8" i="13"/>
  <c r="Q7" i="13"/>
  <c r="N7" i="13"/>
  <c r="M7" i="13"/>
  <c r="L7" i="13"/>
  <c r="K7" i="13"/>
  <c r="E7" i="13"/>
  <c r="N6" i="13"/>
  <c r="Q6" i="13" s="1"/>
  <c r="L6" i="13"/>
  <c r="K6" i="13"/>
  <c r="E6" i="13"/>
  <c r="C6" i="13"/>
  <c r="M11" i="12"/>
  <c r="K11" i="12"/>
  <c r="L11" i="12" s="1"/>
  <c r="E11" i="12"/>
  <c r="C11" i="12"/>
  <c r="M10" i="12"/>
  <c r="K10" i="12"/>
  <c r="L10" i="12" s="1"/>
  <c r="E10" i="12"/>
  <c r="I10" i="12" s="1"/>
  <c r="C10" i="12"/>
  <c r="M9" i="12"/>
  <c r="K9" i="12"/>
  <c r="L9" i="12" s="1"/>
  <c r="E9" i="12"/>
  <c r="J9" i="12" s="1"/>
  <c r="C9" i="12"/>
  <c r="M8" i="12"/>
  <c r="K8" i="12"/>
  <c r="L8" i="12" s="1"/>
  <c r="E8" i="12"/>
  <c r="I8" i="12" s="1"/>
  <c r="C8" i="12"/>
  <c r="M7" i="12"/>
  <c r="K7" i="12"/>
  <c r="L7" i="12" s="1"/>
  <c r="E7" i="12"/>
  <c r="J7" i="12" s="1"/>
  <c r="C7" i="12"/>
  <c r="K6" i="12"/>
  <c r="L6" i="12" s="1"/>
  <c r="E6" i="12"/>
  <c r="I6" i="12" s="1"/>
  <c r="C6" i="12"/>
  <c r="H6" i="14" l="1"/>
  <c r="H9" i="14"/>
  <c r="G7" i="14"/>
  <c r="G11" i="14"/>
  <c r="H10" i="14"/>
  <c r="O10" i="13"/>
  <c r="P7" i="13"/>
  <c r="P10" i="13"/>
  <c r="O8" i="13"/>
  <c r="O7" i="13"/>
  <c r="O9" i="13"/>
  <c r="O6" i="13"/>
  <c r="R6" i="13"/>
  <c r="R9" i="13"/>
  <c r="R7" i="13"/>
  <c r="R10" i="13"/>
  <c r="P6" i="13"/>
  <c r="P9" i="13"/>
  <c r="F7" i="12"/>
  <c r="H7" i="12" s="1"/>
  <c r="F9" i="12"/>
  <c r="H9" i="12" s="1"/>
  <c r="F11" i="12"/>
  <c r="H11" i="12" s="1"/>
  <c r="G7" i="12"/>
  <c r="F6" i="12"/>
  <c r="H6" i="12" s="1"/>
  <c r="J6" i="12"/>
  <c r="F8" i="12"/>
  <c r="H8" i="12" s="1"/>
  <c r="J8" i="12"/>
  <c r="F10" i="12"/>
  <c r="H10" i="12" s="1"/>
  <c r="J10" i="12"/>
  <c r="I7" i="12"/>
  <c r="I9" i="12"/>
  <c r="I11" i="12"/>
  <c r="J11" i="12"/>
  <c r="G10" i="12" l="1"/>
  <c r="G9" i="12"/>
  <c r="G11" i="12"/>
  <c r="G8" i="12"/>
  <c r="K7" i="9" l="1"/>
  <c r="K8" i="9"/>
  <c r="K9" i="9"/>
  <c r="K10" i="9"/>
  <c r="K11" i="9"/>
  <c r="K6" i="9"/>
  <c r="E11" i="9" l="1"/>
  <c r="J11" i="9" s="1"/>
  <c r="C11" i="9"/>
  <c r="E10" i="9"/>
  <c r="I10" i="9" s="1"/>
  <c r="C10" i="9"/>
  <c r="E9" i="9"/>
  <c r="C9" i="9"/>
  <c r="E8" i="9"/>
  <c r="J8" i="9" s="1"/>
  <c r="C8" i="9"/>
  <c r="E7" i="9"/>
  <c r="J7" i="9" s="1"/>
  <c r="C7" i="9"/>
  <c r="E6" i="9"/>
  <c r="I6" i="9" s="1"/>
  <c r="C6" i="9"/>
  <c r="F9" i="9" l="1"/>
  <c r="H9" i="9" s="1"/>
  <c r="F7" i="9"/>
  <c r="J6" i="9"/>
  <c r="F10" i="9"/>
  <c r="H10" i="9" s="1"/>
  <c r="F6" i="9"/>
  <c r="H6" i="9" s="1"/>
  <c r="F8" i="9"/>
  <c r="H8" i="9" s="1"/>
  <c r="J10" i="9"/>
  <c r="F11" i="9"/>
  <c r="H11" i="9" s="1"/>
  <c r="H7" i="9"/>
  <c r="G7" i="9"/>
  <c r="I9" i="9"/>
  <c r="I8" i="9"/>
  <c r="J9" i="9"/>
  <c r="I11" i="9"/>
  <c r="I7" i="9"/>
  <c r="G11" i="9" l="1"/>
  <c r="G10" i="9"/>
  <c r="G9" i="9"/>
  <c r="G8" i="9"/>
  <c r="G6" i="9"/>
</calcChain>
</file>

<file path=xl/sharedStrings.xml><?xml version="1.0" encoding="utf-8"?>
<sst xmlns="http://schemas.openxmlformats.org/spreadsheetml/2006/main" count="137" uniqueCount="69">
  <si>
    <t xml:space="preserve">Absorbancia </t>
  </si>
  <si>
    <t>concentracion</t>
  </si>
  <si>
    <t>Volumen de solucion(L)</t>
  </si>
  <si>
    <t>Cantidad coque(g)</t>
  </si>
  <si>
    <t>Ce equilibrio (mg/L)</t>
  </si>
  <si>
    <t xml:space="preserve"> C0 inicial (mg/L)</t>
  </si>
  <si>
    <t xml:space="preserve"> C0 inicial (g/L)</t>
  </si>
  <si>
    <t>Ce equilibrio (g/L)</t>
  </si>
  <si>
    <t>q (mg/g)</t>
  </si>
  <si>
    <t>Ce/q</t>
  </si>
  <si>
    <t>log(q)</t>
  </si>
  <si>
    <t>log(Ce)</t>
  </si>
  <si>
    <t>ln(Ce)</t>
  </si>
  <si>
    <t>ph</t>
  </si>
  <si>
    <t>tiempo</t>
  </si>
  <si>
    <t>dosis</t>
  </si>
  <si>
    <t>%</t>
  </si>
  <si>
    <t>coque Activado</t>
  </si>
  <si>
    <t xml:space="preserve">Coque sin Activar </t>
  </si>
  <si>
    <t>Carbon Activado</t>
  </si>
  <si>
    <t>qe</t>
  </si>
  <si>
    <t>V</t>
  </si>
  <si>
    <t>M</t>
  </si>
  <si>
    <t>PH</t>
  </si>
  <si>
    <t>Log(qe-q)</t>
  </si>
  <si>
    <t>t/qt</t>
  </si>
  <si>
    <t>ln(t)</t>
  </si>
  <si>
    <t>T^0,5</t>
  </si>
  <si>
    <t>tiempo(h)</t>
  </si>
  <si>
    <t>tiempo(min)</t>
  </si>
  <si>
    <t>Ce(g/L)</t>
  </si>
  <si>
    <t>Ce(mg/L)</t>
  </si>
  <si>
    <t>PH final</t>
  </si>
  <si>
    <t xml:space="preserve">gramos de cobre </t>
  </si>
  <si>
    <t>cobre adsorbidos g</t>
  </si>
  <si>
    <t>PH inicial real</t>
  </si>
  <si>
    <t xml:space="preserve">PH inicial  teorico </t>
  </si>
  <si>
    <t># experimentos</t>
  </si>
  <si>
    <t xml:space="preserve">Modelo </t>
  </si>
  <si>
    <t>Parametro</t>
  </si>
  <si>
    <t>Langmuir</t>
  </si>
  <si>
    <t>Freundlich</t>
  </si>
  <si>
    <t>Temkin</t>
  </si>
  <si>
    <t>Lineal</t>
  </si>
  <si>
    <t>R2</t>
  </si>
  <si>
    <t>n</t>
  </si>
  <si>
    <t>Adsorbente</t>
  </si>
  <si>
    <t>coque activado</t>
  </si>
  <si>
    <t xml:space="preserve">coque sin activar </t>
  </si>
  <si>
    <t>carbon activado</t>
  </si>
  <si>
    <t>B</t>
  </si>
  <si>
    <t>Kd (L/mg)</t>
  </si>
  <si>
    <t>q0 (mg/g)</t>
  </si>
  <si>
    <t>KL(L/mg)</t>
  </si>
  <si>
    <t>Kf(mg/g)</t>
  </si>
  <si>
    <t>A(L/mg)</t>
  </si>
  <si>
    <t>Parámetros de los modelos cinéticos</t>
  </si>
  <si>
    <t>Primer orden</t>
  </si>
  <si>
    <t>Segundo orden</t>
  </si>
  <si>
    <t>Elovich</t>
  </si>
  <si>
    <t xml:space="preserve">Modelos </t>
  </si>
  <si>
    <t xml:space="preserve">Parametros </t>
  </si>
  <si>
    <t xml:space="preserve">             qe(mg/g)</t>
  </si>
  <si>
    <t>K1(min-1)</t>
  </si>
  <si>
    <t xml:space="preserve">Intra-particula  </t>
  </si>
  <si>
    <t>K2(g mg-1min-1 )</t>
  </si>
  <si>
    <t>alpha(mg g-1 min-1)</t>
  </si>
  <si>
    <t>beta(g/mg)</t>
  </si>
  <si>
    <t>Kd(mg g min-1)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</si>
</sst>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/>
    <xf numFmtId="0" fontId="0" fillId="0" borderId="1" xfId="0" applyFill="1" applyBorder="1"/>
    <xf numFmtId="0" fontId="0" fillId="0" borderId="3" xfId="0" applyFill="1" applyBorder="1"/>
    <xf numFmtId="0" fontId="0" fillId="2" borderId="3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6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165" fontId="0" fillId="0" borderId="1" xfId="0" applyNumberFormat="1" applyFill="1" applyBorder="1"/>
    <xf numFmtId="0" fontId="1" fillId="0" borderId="1" xfId="0" applyFont="1" applyBorder="1" applyAlignment="1"/>
    <xf numFmtId="0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059011373578302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'curva de calibracion '!$C$4:$C$11</c:f>
              <c:numCache>
                <c:formatCode>General</c:formatCode>
                <c:ptCount val="8"/>
                <c:pt idx="1">
                  <c:v>0.127</c:v>
                </c:pt>
                <c:pt idx="2">
                  <c:v>0.25</c:v>
                </c:pt>
                <c:pt idx="3">
                  <c:v>0.63</c:v>
                </c:pt>
                <c:pt idx="4">
                  <c:v>0.89</c:v>
                </c:pt>
                <c:pt idx="5">
                  <c:v>1.27</c:v>
                </c:pt>
                <c:pt idx="6">
                  <c:v>1.52</c:v>
                </c:pt>
                <c:pt idx="7">
                  <c:v>1.9</c:v>
                </c:pt>
              </c:numCache>
            </c:numRef>
          </c:xVal>
          <c:yVal>
            <c:numRef>
              <c:f>'curva de calibracion '!$B$4:$B$11</c:f>
              <c:numCache>
                <c:formatCode>General</c:formatCode>
                <c:ptCount val="8"/>
                <c:pt idx="1">
                  <c:v>0.158</c:v>
                </c:pt>
                <c:pt idx="2">
                  <c:v>0.30599999999999999</c:v>
                </c:pt>
                <c:pt idx="3">
                  <c:v>0.78300000000000003</c:v>
                </c:pt>
                <c:pt idx="4">
                  <c:v>1.103</c:v>
                </c:pt>
                <c:pt idx="5">
                  <c:v>1.579</c:v>
                </c:pt>
                <c:pt idx="6">
                  <c:v>1.8839999999999999</c:v>
                </c:pt>
                <c:pt idx="7">
                  <c:v>2.3679999999999999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16-48B4-BFCD-819D3DCAE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3128991"/>
        <c:axId val="1847691855"/>
      </c:scatterChart>
      <c:valAx>
        <c:axId val="1843128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7691855"/>
        <c:crosses val="autoZero"/>
        <c:crossBetween val="midCat"/>
      </c:valAx>
      <c:valAx>
        <c:axId val="18476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3128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</a:t>
            </a:r>
            <a:r>
              <a:rPr lang="es-CO" baseline="0"/>
              <a:t> de Langmuir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95304024496938"/>
                  <c:y val="2.879447360746573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coque activado 0,3g'!$E$6:$E$11</c:f>
              <c:numCache>
                <c:formatCode>General</c:formatCode>
                <c:ptCount val="6"/>
                <c:pt idx="0">
                  <c:v>52.8</c:v>
                </c:pt>
                <c:pt idx="1">
                  <c:v>212.4</c:v>
                </c:pt>
                <c:pt idx="2">
                  <c:v>540</c:v>
                </c:pt>
                <c:pt idx="3">
                  <c:v>888</c:v>
                </c:pt>
                <c:pt idx="4">
                  <c:v>1208.3999999999999</c:v>
                </c:pt>
                <c:pt idx="5">
                  <c:v>1520</c:v>
                </c:pt>
              </c:numCache>
            </c:numRef>
          </c:xVal>
          <c:yVal>
            <c:numRef>
              <c:f>'isotermas coque activado 0,3g'!$G$6:$G$11</c:f>
              <c:numCache>
                <c:formatCode>General</c:formatCode>
                <c:ptCount val="6"/>
                <c:pt idx="0">
                  <c:v>0.70840787119856885</c:v>
                </c:pt>
                <c:pt idx="1">
                  <c:v>1.6180802437785677</c:v>
                </c:pt>
                <c:pt idx="2">
                  <c:v>3.375</c:v>
                </c:pt>
                <c:pt idx="3">
                  <c:v>4.7913669064748197</c:v>
                </c:pt>
                <c:pt idx="4">
                  <c:v>5.6135026323939279</c:v>
                </c:pt>
                <c:pt idx="5">
                  <c:v>6.1621621621621614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5F-44AE-9B9C-CD4A3E7CE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706943"/>
        <c:axId val="658094751"/>
      </c:scatterChart>
      <c:valAx>
        <c:axId val="580706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58094751"/>
        <c:crosses val="autoZero"/>
        <c:crossBetween val="midCat"/>
      </c:valAx>
      <c:valAx>
        <c:axId val="65809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Ce/q</a:t>
                </a:r>
                <a:r>
                  <a:rPr lang="es-CO" baseline="0"/>
                  <a:t> (g/L)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0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</a:t>
            </a:r>
            <a:r>
              <a:rPr lang="es-CO" baseline="0"/>
              <a:t> de </a:t>
            </a:r>
            <a:r>
              <a:rPr lang="es-CO" sz="1400" b="0" i="0" u="none" strike="noStrike" baseline="0"/>
              <a:t>Freundlich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375008002048525"/>
                  <c:y val="0.158758297193514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coque activado 0,3g'!$I$6:$I$11</c:f>
              <c:numCache>
                <c:formatCode>General</c:formatCode>
                <c:ptCount val="6"/>
                <c:pt idx="0">
                  <c:v>1.7226339225338123</c:v>
                </c:pt>
                <c:pt idx="1">
                  <c:v>2.3271545124094315</c:v>
                </c:pt>
                <c:pt idx="2">
                  <c:v>2.7323937598229686</c:v>
                </c:pt>
                <c:pt idx="3">
                  <c:v>2.9484129657786009</c:v>
                </c:pt>
                <c:pt idx="4">
                  <c:v>3.0822107166012427</c:v>
                </c:pt>
                <c:pt idx="5">
                  <c:v>3.1818435879447726</c:v>
                </c:pt>
              </c:numCache>
            </c:numRef>
          </c:xVal>
          <c:yVal>
            <c:numRef>
              <c:f>'isotermas coque activado 0,3g'!$H$6:$H$11</c:f>
              <c:numCache>
                <c:formatCode>General</c:formatCode>
                <c:ptCount val="6"/>
                <c:pt idx="0">
                  <c:v>1.8723505444947233</c:v>
                </c:pt>
                <c:pt idx="1">
                  <c:v>2.1181544570824369</c:v>
                </c:pt>
                <c:pt idx="2">
                  <c:v>2.2041199826559246</c:v>
                </c:pt>
                <c:pt idx="3">
                  <c:v>2.2679535368623949</c:v>
                </c:pt>
                <c:pt idx="4">
                  <c:v>2.3329767859614803</c:v>
                </c:pt>
                <c:pt idx="5">
                  <c:v>2.3921104650113136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4C-4A1D-B7DC-5ED8F677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88783"/>
        <c:axId val="666848015"/>
      </c:scatterChart>
      <c:valAx>
        <c:axId val="661488783"/>
        <c:scaling>
          <c:orientation val="minMax"/>
          <c:max val="3.4"/>
          <c:min val="1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Log(Ce)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848015"/>
        <c:crosses val="autoZero"/>
        <c:crossBetween val="midCat"/>
      </c:valAx>
      <c:valAx>
        <c:axId val="666848015"/>
        <c:scaling>
          <c:orientation val="minMax"/>
          <c:max val="3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Log(q)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1488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</a:t>
            </a:r>
            <a:r>
              <a:rPr lang="es-CO" baseline="0"/>
              <a:t> de Temkin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438730137005479E-4"/>
                  <c:y val="0.253801035287255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coque activado 0,3g'!$J$6:$J$11</c:f>
              <c:numCache>
                <c:formatCode>General</c:formatCode>
                <c:ptCount val="6"/>
                <c:pt idx="0">
                  <c:v>3.9665111907122159</c:v>
                </c:pt>
                <c:pt idx="1">
                  <c:v>5.3584712893677837</c:v>
                </c:pt>
                <c:pt idx="2">
                  <c:v>6.2915691395583204</c:v>
                </c:pt>
                <c:pt idx="3">
                  <c:v>6.7889717429921701</c:v>
                </c:pt>
                <c:pt idx="4">
                  <c:v>7.0970524495125167</c:v>
                </c:pt>
                <c:pt idx="5">
                  <c:v>7.3264656138403224</c:v>
                </c:pt>
              </c:numCache>
            </c:numRef>
          </c:xVal>
          <c:yVal>
            <c:numRef>
              <c:f>'isotermas coque activado 0,3g'!$F$6:$F$11</c:f>
              <c:numCache>
                <c:formatCode>General</c:formatCode>
                <c:ptCount val="6"/>
                <c:pt idx="0">
                  <c:v>74.533333333333331</c:v>
                </c:pt>
                <c:pt idx="1">
                  <c:v>131.26666666666668</c:v>
                </c:pt>
                <c:pt idx="2" formatCode="0.0">
                  <c:v>160</c:v>
                </c:pt>
                <c:pt idx="3">
                  <c:v>185.33333333333334</c:v>
                </c:pt>
                <c:pt idx="4">
                  <c:v>215.26666666666671</c:v>
                </c:pt>
                <c:pt idx="5">
                  <c:v>246.66666666666669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A9-4B12-9937-B88CA6D57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504783"/>
        <c:axId val="658102655"/>
      </c:scatterChart>
      <c:valAx>
        <c:axId val="661504783"/>
        <c:scaling>
          <c:orientation val="minMax"/>
          <c:max val="8"/>
          <c:min val="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Ln(Ce)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58102655"/>
        <c:crosses val="autoZero"/>
        <c:crossBetween val="midCat"/>
      </c:valAx>
      <c:valAx>
        <c:axId val="65810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1504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modelo lineal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944072615923009"/>
                  <c:y val="-2.76221201516477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de coque sin acti 0,3'!$E$6:$E$11</c:f>
              <c:numCache>
                <c:formatCode>General</c:formatCode>
                <c:ptCount val="6"/>
                <c:pt idx="0">
                  <c:v>138</c:v>
                </c:pt>
                <c:pt idx="1">
                  <c:v>376.8</c:v>
                </c:pt>
                <c:pt idx="2">
                  <c:v>700.8</c:v>
                </c:pt>
                <c:pt idx="3">
                  <c:v>1124.4000000000001</c:v>
                </c:pt>
                <c:pt idx="4">
                  <c:v>1678</c:v>
                </c:pt>
                <c:pt idx="5">
                  <c:v>2109</c:v>
                </c:pt>
              </c:numCache>
            </c:numRef>
          </c:xVal>
          <c:yVal>
            <c:numRef>
              <c:f>'isotermas de coque sin acti 0,3'!$F$6:$F$11</c:f>
              <c:numCache>
                <c:formatCode>General</c:formatCode>
                <c:ptCount val="6"/>
                <c:pt idx="0">
                  <c:v>60.333333333333343</c:v>
                </c:pt>
                <c:pt idx="1">
                  <c:v>103.86666666666669</c:v>
                </c:pt>
                <c:pt idx="2" formatCode="0.000000">
                  <c:v>133.20000000000005</c:v>
                </c:pt>
                <c:pt idx="3">
                  <c:v>145.93333333333334</c:v>
                </c:pt>
                <c:pt idx="4">
                  <c:v>137</c:v>
                </c:pt>
                <c:pt idx="5">
                  <c:v>148.50000000000003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66-47B1-B706-967FA2565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502335"/>
        <c:axId val="581093039"/>
      </c:scatterChart>
      <c:valAx>
        <c:axId val="483502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093039"/>
        <c:crosses val="autoZero"/>
        <c:crossBetween val="midCat"/>
      </c:valAx>
      <c:valAx>
        <c:axId val="58109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3502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</a:t>
            </a:r>
            <a:r>
              <a:rPr lang="es-CO" baseline="0"/>
              <a:t> de Langmuir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059120734908142"/>
                  <c:y val="2.7361111111111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de coque sin acti 0,3'!$E$6:$E$11</c:f>
              <c:numCache>
                <c:formatCode>General</c:formatCode>
                <c:ptCount val="6"/>
                <c:pt idx="0">
                  <c:v>138</c:v>
                </c:pt>
                <c:pt idx="1">
                  <c:v>376.8</c:v>
                </c:pt>
                <c:pt idx="2">
                  <c:v>700.8</c:v>
                </c:pt>
                <c:pt idx="3">
                  <c:v>1124.4000000000001</c:v>
                </c:pt>
                <c:pt idx="4">
                  <c:v>1678</c:v>
                </c:pt>
                <c:pt idx="5">
                  <c:v>2109</c:v>
                </c:pt>
              </c:numCache>
            </c:numRef>
          </c:xVal>
          <c:yVal>
            <c:numRef>
              <c:f>'isotermas de coque sin acti 0,3'!$G$6:$G$11</c:f>
              <c:numCache>
                <c:formatCode>General</c:formatCode>
                <c:ptCount val="6"/>
                <c:pt idx="0">
                  <c:v>2.2872928176795577</c:v>
                </c:pt>
                <c:pt idx="1">
                  <c:v>3.6277278562259299</c:v>
                </c:pt>
                <c:pt idx="2">
                  <c:v>5.261261261261259</c:v>
                </c:pt>
                <c:pt idx="3">
                  <c:v>7.7048880767473733</c:v>
                </c:pt>
                <c:pt idx="4">
                  <c:v>12.248175182481752</c:v>
                </c:pt>
                <c:pt idx="5">
                  <c:v>14.202020202020199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A3-403A-85E0-7E852D686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706943"/>
        <c:axId val="658094751"/>
      </c:scatterChart>
      <c:valAx>
        <c:axId val="580706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58094751"/>
        <c:crosses val="autoZero"/>
        <c:crossBetween val="midCat"/>
      </c:valAx>
      <c:valAx>
        <c:axId val="65809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Ce/q</a:t>
                </a:r>
                <a:r>
                  <a:rPr lang="es-CO" baseline="0"/>
                  <a:t> (g/L)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0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</a:t>
            </a:r>
            <a:r>
              <a:rPr lang="es-CO" baseline="0"/>
              <a:t> de </a:t>
            </a:r>
            <a:r>
              <a:rPr lang="es-CO" sz="1400" b="0" i="0" u="none" strike="noStrike" baseline="0"/>
              <a:t>Freundlich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308729701470243"/>
          <c:y val="0.16457013209477958"/>
          <c:w val="0.82628256833749436"/>
          <c:h val="0.63841023693490084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9680558222905056E-3"/>
                  <c:y val="0.125798712417412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de coque sin acti 0,3'!$I$6:$I$11</c:f>
              <c:numCache>
                <c:formatCode>General</c:formatCode>
                <c:ptCount val="6"/>
                <c:pt idx="0">
                  <c:v>2.1398790864012365</c:v>
                </c:pt>
                <c:pt idx="1">
                  <c:v>2.5761108941208399</c:v>
                </c:pt>
                <c:pt idx="2">
                  <c:v>2.8455940931600243</c:v>
                </c:pt>
                <c:pt idx="3">
                  <c:v>3.0509208369354033</c:v>
                </c:pt>
                <c:pt idx="4">
                  <c:v>3.2247919564926817</c:v>
                </c:pt>
                <c:pt idx="5">
                  <c:v>3.3240765797394864</c:v>
                </c:pt>
              </c:numCache>
            </c:numRef>
          </c:xVal>
          <c:yVal>
            <c:numRef>
              <c:f>'isotermas de coque sin acti 0,3'!$H$6:$H$11</c:f>
              <c:numCache>
                <c:formatCode>General</c:formatCode>
                <c:ptCount val="6"/>
                <c:pt idx="0">
                  <c:v>1.7805573201495222</c:v>
                </c:pt>
                <c:pt idx="1">
                  <c:v>2.0164761942808647</c:v>
                </c:pt>
                <c:pt idx="2">
                  <c:v>2.1245042248342823</c:v>
                </c:pt>
                <c:pt idx="3">
                  <c:v>2.1641545025122504</c:v>
                </c:pt>
                <c:pt idx="4">
                  <c:v>2.1367205671564067</c:v>
                </c:pt>
                <c:pt idx="5">
                  <c:v>2.171726453653231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36-47B8-AAFA-BBC0CEB68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88783"/>
        <c:axId val="666848015"/>
      </c:scatterChart>
      <c:valAx>
        <c:axId val="661488783"/>
        <c:scaling>
          <c:orientation val="minMax"/>
          <c:max val="3.5"/>
          <c:min val="1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Log(Ce)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848015"/>
        <c:crosses val="autoZero"/>
        <c:crossBetween val="midCat"/>
      </c:valAx>
      <c:valAx>
        <c:axId val="666848015"/>
        <c:scaling>
          <c:orientation val="minMax"/>
          <c:max val="3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Log(q)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1488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</a:t>
            </a:r>
            <a:r>
              <a:rPr lang="es-CO" baseline="0"/>
              <a:t> de Temkin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441229221347331"/>
                  <c:y val="0.29587962962962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de coque sin acti 0,3'!$J$6:$J$11</c:f>
              <c:numCache>
                <c:formatCode>General</c:formatCode>
                <c:ptCount val="6"/>
                <c:pt idx="0">
                  <c:v>4.9272536851572051</c:v>
                </c:pt>
                <c:pt idx="1">
                  <c:v>5.931714542702208</c:v>
                </c:pt>
                <c:pt idx="2">
                  <c:v>6.552222539622182</c:v>
                </c:pt>
                <c:pt idx="3">
                  <c:v>7.0250048390323769</c:v>
                </c:pt>
                <c:pt idx="4">
                  <c:v>7.4253578870271513</c:v>
                </c:pt>
                <c:pt idx="5">
                  <c:v>7.6539691804787742</c:v>
                </c:pt>
              </c:numCache>
            </c:numRef>
          </c:xVal>
          <c:yVal>
            <c:numRef>
              <c:f>'isotermas de coque sin acti 0,3'!$F$6:$F$11</c:f>
              <c:numCache>
                <c:formatCode>General</c:formatCode>
                <c:ptCount val="6"/>
                <c:pt idx="0">
                  <c:v>60.333333333333343</c:v>
                </c:pt>
                <c:pt idx="1">
                  <c:v>103.86666666666669</c:v>
                </c:pt>
                <c:pt idx="2" formatCode="0.000000">
                  <c:v>133.20000000000005</c:v>
                </c:pt>
                <c:pt idx="3">
                  <c:v>145.93333333333334</c:v>
                </c:pt>
                <c:pt idx="4">
                  <c:v>137</c:v>
                </c:pt>
                <c:pt idx="5">
                  <c:v>148.50000000000003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85-444E-BF85-8AF64461D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504783"/>
        <c:axId val="658102655"/>
      </c:scatterChart>
      <c:valAx>
        <c:axId val="661504783"/>
        <c:scaling>
          <c:orientation val="minMax"/>
          <c:max val="8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Ln(Ce)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58102655"/>
        <c:crosses val="autoZero"/>
        <c:crossBetween val="midCat"/>
      </c:valAx>
      <c:valAx>
        <c:axId val="65810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1504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modelo lineal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944072615923009"/>
                  <c:y val="-2.76221201516477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de carbon activado'!$E$6:$E$11</c:f>
              <c:numCache>
                <c:formatCode>General</c:formatCode>
                <c:ptCount val="6"/>
                <c:pt idx="0">
                  <c:v>13.2</c:v>
                </c:pt>
                <c:pt idx="1">
                  <c:v>18</c:v>
                </c:pt>
                <c:pt idx="2">
                  <c:v>30</c:v>
                </c:pt>
                <c:pt idx="3">
                  <c:v>39.6</c:v>
                </c:pt>
                <c:pt idx="4">
                  <c:v>96</c:v>
                </c:pt>
                <c:pt idx="5">
                  <c:v>122.39999999999999</c:v>
                </c:pt>
              </c:numCache>
            </c:numRef>
          </c:xVal>
          <c:yVal>
            <c:numRef>
              <c:f>'isotermas de carbon activado'!$F$6:$F$11</c:f>
              <c:numCache>
                <c:formatCode>General</c:formatCode>
                <c:ptCount val="6"/>
                <c:pt idx="0">
                  <c:v>81.133333333333354</c:v>
                </c:pt>
                <c:pt idx="1">
                  <c:v>163.66666666666669</c:v>
                </c:pt>
                <c:pt idx="2" formatCode="0.000000">
                  <c:v>245</c:v>
                </c:pt>
                <c:pt idx="3">
                  <c:v>326.73333333333341</c:v>
                </c:pt>
                <c:pt idx="4">
                  <c:v>400.66666666666669</c:v>
                </c:pt>
                <c:pt idx="5">
                  <c:v>479.6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38-4C74-8920-8133B2334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502335"/>
        <c:axId val="581093039"/>
      </c:scatterChart>
      <c:valAx>
        <c:axId val="483502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093039"/>
        <c:crosses val="autoZero"/>
        <c:crossBetween val="midCat"/>
      </c:valAx>
      <c:valAx>
        <c:axId val="58109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3502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</a:t>
            </a:r>
            <a:r>
              <a:rPr lang="es-CO" baseline="0"/>
              <a:t> de Langmuir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4581146106736652E-2"/>
                  <c:y val="3.03962525517643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de carbon activado'!$E$7:$E$11</c:f>
              <c:numCache>
                <c:formatCode>General</c:formatCode>
                <c:ptCount val="5"/>
                <c:pt idx="0">
                  <c:v>18</c:v>
                </c:pt>
                <c:pt idx="1">
                  <c:v>30</c:v>
                </c:pt>
                <c:pt idx="2">
                  <c:v>39.6</c:v>
                </c:pt>
                <c:pt idx="3">
                  <c:v>96</c:v>
                </c:pt>
                <c:pt idx="4">
                  <c:v>122.39999999999999</c:v>
                </c:pt>
              </c:numCache>
            </c:numRef>
          </c:xVal>
          <c:yVal>
            <c:numRef>
              <c:f>'isotermas de carbon activado'!$G$7:$G$11</c:f>
              <c:numCache>
                <c:formatCode>General</c:formatCode>
                <c:ptCount val="5"/>
                <c:pt idx="0">
                  <c:v>0.10997963340122198</c:v>
                </c:pt>
                <c:pt idx="1">
                  <c:v>0.12244897959183673</c:v>
                </c:pt>
                <c:pt idx="2">
                  <c:v>0.12119975515200977</c:v>
                </c:pt>
                <c:pt idx="3">
                  <c:v>0.23960066555740431</c:v>
                </c:pt>
                <c:pt idx="4">
                  <c:v>0.25521267723102581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58-41ED-8BCC-7057574F9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706943"/>
        <c:axId val="658094751"/>
      </c:scatterChart>
      <c:valAx>
        <c:axId val="580706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58094751"/>
        <c:crosses val="autoZero"/>
        <c:crossBetween val="midCat"/>
      </c:valAx>
      <c:valAx>
        <c:axId val="65809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Ce/q</a:t>
                </a:r>
                <a:r>
                  <a:rPr lang="es-CO" baseline="0"/>
                  <a:t> (g/L)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0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</a:t>
            </a:r>
            <a:r>
              <a:rPr lang="es-CO" baseline="0"/>
              <a:t> de </a:t>
            </a:r>
            <a:r>
              <a:rPr lang="es-CO" sz="1400" b="0" i="0" u="none" strike="noStrike" baseline="0"/>
              <a:t>Freundlich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297761560292767"/>
                  <c:y val="-3.993343728371571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de carbon activado'!$I$7:$I$11</c:f>
              <c:numCache>
                <c:formatCode>General</c:formatCode>
                <c:ptCount val="5"/>
                <c:pt idx="0">
                  <c:v>1.255272505103306</c:v>
                </c:pt>
                <c:pt idx="1">
                  <c:v>1.4771212547196624</c:v>
                </c:pt>
                <c:pt idx="2">
                  <c:v>1.5976951859255124</c:v>
                </c:pt>
                <c:pt idx="3">
                  <c:v>1.9822712330395684</c:v>
                </c:pt>
                <c:pt idx="4">
                  <c:v>2.0877814178095422</c:v>
                </c:pt>
              </c:numCache>
            </c:numRef>
          </c:xVal>
          <c:yVal>
            <c:numRef>
              <c:f>'isotermas de carbon activado'!$H$7:$H$11</c:f>
              <c:numCache>
                <c:formatCode>General</c:formatCode>
                <c:ptCount val="5"/>
                <c:pt idx="0">
                  <c:v>2.2139602374033061</c:v>
                </c:pt>
                <c:pt idx="1">
                  <c:v>2.3891660843645326</c:v>
                </c:pt>
                <c:pt idx="2">
                  <c:v>2.5141934434569486</c:v>
                </c:pt>
                <c:pt idx="3">
                  <c:v>2.6027832129470583</c:v>
                </c:pt>
                <c:pt idx="4">
                  <c:v>2.6808791744268112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99-4B30-98E9-0B9C70CCE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88783"/>
        <c:axId val="666848015"/>
      </c:scatterChart>
      <c:valAx>
        <c:axId val="661488783"/>
        <c:scaling>
          <c:orientation val="minMax"/>
          <c:max val="2.8"/>
          <c:min val="0.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Log(Ce)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848015"/>
        <c:crosses val="autoZero"/>
        <c:crossBetween val="midCat"/>
      </c:valAx>
      <c:valAx>
        <c:axId val="666848015"/>
        <c:scaling>
          <c:orientation val="minMax"/>
          <c:max val="3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Log(q)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1488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PCC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carga cero'!$B$4:$B$12</c:f>
              <c:numCache>
                <c:formatCode>General</c:formatCode>
                <c:ptCount val="9"/>
                <c:pt idx="0">
                  <c:v>3.15</c:v>
                </c:pt>
                <c:pt idx="1">
                  <c:v>4.05</c:v>
                </c:pt>
                <c:pt idx="2">
                  <c:v>5.2</c:v>
                </c:pt>
                <c:pt idx="3">
                  <c:v>6.24</c:v>
                </c:pt>
                <c:pt idx="4">
                  <c:v>7.2</c:v>
                </c:pt>
                <c:pt idx="5">
                  <c:v>8.6199999999999992</c:v>
                </c:pt>
                <c:pt idx="6">
                  <c:v>9.1999999999999993</c:v>
                </c:pt>
                <c:pt idx="7">
                  <c:v>10.050000000000001</c:v>
                </c:pt>
                <c:pt idx="8">
                  <c:v>11.02</c:v>
                </c:pt>
              </c:numCache>
            </c:numRef>
          </c:xVal>
          <c:yVal>
            <c:numRef>
              <c:f>'punto de carga cero'!$C$4:$C$12</c:f>
              <c:numCache>
                <c:formatCode>General</c:formatCode>
                <c:ptCount val="9"/>
                <c:pt idx="0">
                  <c:v>7.55</c:v>
                </c:pt>
                <c:pt idx="1">
                  <c:v>8.1999999999999993</c:v>
                </c:pt>
                <c:pt idx="2">
                  <c:v>8.1</c:v>
                </c:pt>
                <c:pt idx="3">
                  <c:v>8.15</c:v>
                </c:pt>
                <c:pt idx="4">
                  <c:v>8.1</c:v>
                </c:pt>
                <c:pt idx="5">
                  <c:v>8.23</c:v>
                </c:pt>
                <c:pt idx="6">
                  <c:v>8.02</c:v>
                </c:pt>
                <c:pt idx="7">
                  <c:v>8.15</c:v>
                </c:pt>
                <c:pt idx="8">
                  <c:v>8.56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E7-4844-8072-4916EBD4FD03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'punto de carga cero'!$A$4:$A$12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xVal>
          <c:yVal>
            <c:numRef>
              <c:f>'punto de carga cero'!$A$4:$A$12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E7-4844-8072-4916EBD4F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9538687"/>
        <c:axId val="1608387439"/>
      </c:scatterChart>
      <c:valAx>
        <c:axId val="1609538687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PH inicial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08387439"/>
        <c:crosses val="autoZero"/>
        <c:crossBetween val="midCat"/>
      </c:valAx>
      <c:valAx>
        <c:axId val="1608387439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PH final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09538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</a:t>
            </a:r>
            <a:r>
              <a:rPr lang="es-CO" baseline="0"/>
              <a:t> de Temkin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581233595800525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de carbon activado'!$J$6:$J$11</c:f>
              <c:numCache>
                <c:formatCode>General</c:formatCode>
                <c:ptCount val="6"/>
                <c:pt idx="0">
                  <c:v>2.5802168295923251</c:v>
                </c:pt>
                <c:pt idx="1">
                  <c:v>2.8903717578961645</c:v>
                </c:pt>
                <c:pt idx="2">
                  <c:v>3.4011973816621555</c:v>
                </c:pt>
                <c:pt idx="3">
                  <c:v>3.6788291182604347</c:v>
                </c:pt>
                <c:pt idx="4">
                  <c:v>4.5643481914678361</c:v>
                </c:pt>
                <c:pt idx="5">
                  <c:v>4.8072943700782256</c:v>
                </c:pt>
              </c:numCache>
            </c:numRef>
          </c:xVal>
          <c:yVal>
            <c:numRef>
              <c:f>'isotermas de carbon activado'!$F$6:$F$11</c:f>
              <c:numCache>
                <c:formatCode>General</c:formatCode>
                <c:ptCount val="6"/>
                <c:pt idx="0">
                  <c:v>81.133333333333354</c:v>
                </c:pt>
                <c:pt idx="1">
                  <c:v>163.66666666666669</c:v>
                </c:pt>
                <c:pt idx="2" formatCode="0.000000">
                  <c:v>245</c:v>
                </c:pt>
                <c:pt idx="3">
                  <c:v>326.73333333333341</c:v>
                </c:pt>
                <c:pt idx="4">
                  <c:v>400.66666666666669</c:v>
                </c:pt>
                <c:pt idx="5">
                  <c:v>479.6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A9-4FA5-9A49-11CFD440B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504783"/>
        <c:axId val="658102655"/>
      </c:scatterChart>
      <c:valAx>
        <c:axId val="661504783"/>
        <c:scaling>
          <c:orientation val="minMax"/>
          <c:max val="6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Ln(Ce)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58102655"/>
        <c:crosses val="autoZero"/>
        <c:crossBetween val="midCat"/>
      </c:valAx>
      <c:valAx>
        <c:axId val="65810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1504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PH=10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'cinetica de adsorción 0,3g (2)'!$I$6:$I$13</c:f>
              <c:numCache>
                <c:formatCode>General</c:formatCode>
                <c:ptCount val="8"/>
                <c:pt idx="0">
                  <c:v>0.1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</c:numCache>
            </c:numRef>
          </c:xVal>
          <c:yVal>
            <c:numRef>
              <c:f>'cinetica de adsorción 0,3g (2)'!$M$6:$M$13</c:f>
              <c:numCache>
                <c:formatCode>General</c:formatCode>
                <c:ptCount val="8"/>
                <c:pt idx="0">
                  <c:v>85.866666666666688</c:v>
                </c:pt>
                <c:pt idx="1">
                  <c:v>100.86666666666669</c:v>
                </c:pt>
                <c:pt idx="2">
                  <c:v>111.26666666666668</c:v>
                </c:pt>
                <c:pt idx="3">
                  <c:v>113.86666666666669</c:v>
                </c:pt>
                <c:pt idx="4">
                  <c:v>123.70000000000003</c:v>
                </c:pt>
                <c:pt idx="5">
                  <c:v>125.10000000000001</c:v>
                </c:pt>
                <c:pt idx="6">
                  <c:v>124.06666666666666</c:v>
                </c:pt>
                <c:pt idx="7">
                  <c:v>124.4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7E-4C6A-9489-D2F4FCD14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488320"/>
        <c:axId val="903605472"/>
      </c:scatterChart>
      <c:valAx>
        <c:axId val="87448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3605472"/>
        <c:crosses val="autoZero"/>
        <c:crossBetween val="midCat"/>
      </c:valAx>
      <c:valAx>
        <c:axId val="903605472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qe(mg/g)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4488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Pseudo</a:t>
            </a:r>
            <a:r>
              <a:rPr lang="es-CO" baseline="0"/>
              <a:t> -primer orden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565968888035337E-2"/>
                  <c:y val="2.97899876504563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'cinetica de adsorción 0,3g (2)'!$N$6:$N$10</c:f>
              <c:numCache>
                <c:formatCode>General</c:formatCode>
                <c:ptCount val="5"/>
                <c:pt idx="0">
                  <c:v>6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'cinetica de adsorción 0,3g (2)'!$O$6:$O$10</c:f>
              <c:numCache>
                <c:formatCode>General</c:formatCode>
                <c:ptCount val="5"/>
                <c:pt idx="0">
                  <c:v>1.5778746068094791</c:v>
                </c:pt>
                <c:pt idx="1">
                  <c:v>1.371683446332141</c:v>
                </c:pt>
                <c:pt idx="2">
                  <c:v>1.1183749671059113</c:v>
                </c:pt>
                <c:pt idx="3">
                  <c:v>1.0225658278987406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2A-4AEE-AA4B-CB6601D06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320719"/>
        <c:axId val="1939021663"/>
      </c:scatterChart>
      <c:valAx>
        <c:axId val="20053207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Tíempo(min)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9021663"/>
        <c:crosses val="autoZero"/>
        <c:crossBetween val="midCat"/>
      </c:valAx>
      <c:valAx>
        <c:axId val="193902166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Log(qe-q)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053207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>
                <a:effectLst/>
              </a:rPr>
              <a:t>Intra-particle diffusion model</a:t>
            </a:r>
            <a:endParaRPr lang="es-CO" sz="1800">
              <a:effectLst/>
            </a:endParaRPr>
          </a:p>
        </c:rich>
      </c:tx>
      <c:layout>
        <c:manualLayout>
          <c:xMode val="edge"/>
          <c:yMode val="edge"/>
          <c:x val="0.2338678915135608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124781277340332"/>
                  <c:y val="1.40044473607465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'cinetica de adsorción 0,3g (2)'!$N$6:$N$10</c:f>
              <c:numCache>
                <c:formatCode>General</c:formatCode>
                <c:ptCount val="5"/>
                <c:pt idx="0">
                  <c:v>6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'cinetica de adsorción 0,3g (2)'!$P$6:$P$10</c:f>
              <c:numCache>
                <c:formatCode>General</c:formatCode>
                <c:ptCount val="5"/>
                <c:pt idx="0">
                  <c:v>6.9875776397515507E-2</c:v>
                </c:pt>
                <c:pt idx="1">
                  <c:v>0.14871116986120286</c:v>
                </c:pt>
                <c:pt idx="2">
                  <c:v>0.26962252846015577</c:v>
                </c:pt>
                <c:pt idx="3">
                  <c:v>0.52693208430913341</c:v>
                </c:pt>
                <c:pt idx="4">
                  <c:v>0.97008892481810804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BA-45A2-B76B-51DE579D1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326863"/>
        <c:axId val="2013300767"/>
      </c:scatterChart>
      <c:valAx>
        <c:axId val="1931326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3300767"/>
        <c:crosses val="autoZero"/>
        <c:crossBetween val="midCat"/>
      </c:valAx>
      <c:valAx>
        <c:axId val="201330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t/qt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1326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>
                <a:effectLst/>
              </a:rPr>
              <a:t>Modelo de Elovich</a:t>
            </a:r>
            <a:endParaRPr lang="es-CO" sz="1800">
              <a:effectLst/>
            </a:endParaRPr>
          </a:p>
        </c:rich>
      </c:tx>
      <c:layout>
        <c:manualLayout>
          <c:xMode val="edge"/>
          <c:yMode val="edge"/>
          <c:x val="0.303367048631116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069521797580181"/>
                  <c:y val="1.328922616902088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'cinetica de adsorción 0,3g (2)'!$Q$6:$Q$10</c:f>
              <c:numCache>
                <c:formatCode>General</c:formatCode>
                <c:ptCount val="5"/>
                <c:pt idx="0">
                  <c:v>1.791759469228055</c:v>
                </c:pt>
                <c:pt idx="1">
                  <c:v>2.7080502011022101</c:v>
                </c:pt>
                <c:pt idx="2">
                  <c:v>3.4011973816621555</c:v>
                </c:pt>
                <c:pt idx="3">
                  <c:v>4.0943445622221004</c:v>
                </c:pt>
                <c:pt idx="4">
                  <c:v>4.7874917427820458</c:v>
                </c:pt>
              </c:numCache>
            </c:numRef>
          </c:xVal>
          <c:yVal>
            <c:numRef>
              <c:f>'cinetica de adsorción 0,3g (2)'!$M$6:$M$10</c:f>
              <c:numCache>
                <c:formatCode>General</c:formatCode>
                <c:ptCount val="5"/>
                <c:pt idx="0">
                  <c:v>85.866666666666688</c:v>
                </c:pt>
                <c:pt idx="1">
                  <c:v>100.86666666666669</c:v>
                </c:pt>
                <c:pt idx="2">
                  <c:v>111.26666666666668</c:v>
                </c:pt>
                <c:pt idx="3">
                  <c:v>113.86666666666669</c:v>
                </c:pt>
                <c:pt idx="4">
                  <c:v>123.70000000000003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70-49EE-AF8A-A22A1A095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2797471"/>
        <c:axId val="1939034559"/>
      </c:scatterChart>
      <c:valAx>
        <c:axId val="1842797471"/>
        <c:scaling>
          <c:orientation val="minMax"/>
          <c:min val="1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ln(t)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9034559"/>
        <c:crosses val="autoZero"/>
        <c:crossBetween val="midCat"/>
      </c:valAx>
      <c:valAx>
        <c:axId val="1939034559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2797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Pseudo-segundo</a:t>
            </a:r>
            <a:r>
              <a:rPr lang="es-CO" baseline="0"/>
              <a:t> Orden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25230992467405"/>
                  <c:y val="4.212962962962962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'cinetica de adsorción 0,3g (2)'!$R$6:$R$10</c:f>
              <c:numCache>
                <c:formatCode>General</c:formatCode>
                <c:ptCount val="5"/>
                <c:pt idx="0">
                  <c:v>2.4494897427831779</c:v>
                </c:pt>
                <c:pt idx="1">
                  <c:v>3.872983346207417</c:v>
                </c:pt>
                <c:pt idx="2">
                  <c:v>5.4772255750516612</c:v>
                </c:pt>
                <c:pt idx="3">
                  <c:v>7.745966692414834</c:v>
                </c:pt>
                <c:pt idx="4">
                  <c:v>10.954451150103322</c:v>
                </c:pt>
              </c:numCache>
            </c:numRef>
          </c:xVal>
          <c:yVal>
            <c:numRef>
              <c:f>'cinetica de adsorción 0,3g (2)'!$M$6:$M$10</c:f>
              <c:numCache>
                <c:formatCode>General</c:formatCode>
                <c:ptCount val="5"/>
                <c:pt idx="0">
                  <c:v>85.866666666666688</c:v>
                </c:pt>
                <c:pt idx="1">
                  <c:v>100.86666666666669</c:v>
                </c:pt>
                <c:pt idx="2">
                  <c:v>111.26666666666668</c:v>
                </c:pt>
                <c:pt idx="3">
                  <c:v>113.86666666666669</c:v>
                </c:pt>
                <c:pt idx="4">
                  <c:v>123.70000000000003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93-40CB-93FA-476C13BEF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439151"/>
        <c:axId val="1934270015"/>
      </c:scatterChart>
      <c:valAx>
        <c:axId val="1934439151"/>
        <c:scaling>
          <c:orientation val="minMax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T^0,5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4270015"/>
        <c:crosses val="autoZero"/>
        <c:crossBetween val="midCat"/>
      </c:valAx>
      <c:valAx>
        <c:axId val="1934270015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4439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PH=10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'cinetica de adsorción 0,3g'!$I$6:$I$13</c:f>
              <c:numCache>
                <c:formatCode>General</c:formatCode>
                <c:ptCount val="8"/>
                <c:pt idx="0">
                  <c:v>0.1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</c:numCache>
            </c:numRef>
          </c:xVal>
          <c:yVal>
            <c:numRef>
              <c:f>'cinetica de adsorción 0,3g'!$M$6:$M$13</c:f>
              <c:numCache>
                <c:formatCode>General</c:formatCode>
                <c:ptCount val="8"/>
                <c:pt idx="0">
                  <c:v>85.866666666666688</c:v>
                </c:pt>
                <c:pt idx="1">
                  <c:v>100.86666666666669</c:v>
                </c:pt>
                <c:pt idx="2">
                  <c:v>111.26666666666668</c:v>
                </c:pt>
                <c:pt idx="3">
                  <c:v>123.2</c:v>
                </c:pt>
                <c:pt idx="4">
                  <c:v>136.51666666666668</c:v>
                </c:pt>
                <c:pt idx="5">
                  <c:v>140.88333333333335</c:v>
                </c:pt>
                <c:pt idx="6">
                  <c:v>141.56666666666666</c:v>
                </c:pt>
                <c:pt idx="7">
                  <c:v>141.88333333333333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D4-49D4-89D0-5309370B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488320"/>
        <c:axId val="903605472"/>
      </c:scatterChart>
      <c:valAx>
        <c:axId val="87448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3605472"/>
        <c:crosses val="autoZero"/>
        <c:crossBetween val="midCat"/>
      </c:valAx>
      <c:valAx>
        <c:axId val="903605472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qe(mg/g)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4488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Pseudo</a:t>
            </a:r>
            <a:r>
              <a:rPr lang="es-CO" baseline="0"/>
              <a:t> -primer orden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565968888035337E-2"/>
                  <c:y val="2.97899876504563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'cinetica de adsorción 0,3g'!$N$6:$N$11</c:f>
              <c:numCache>
                <c:formatCode>General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'cinetica de adsorción 0,3g'!$O$6:$O$11</c:f>
              <c:numCache>
                <c:formatCode>General</c:formatCode>
                <c:ptCount val="6"/>
                <c:pt idx="0">
                  <c:v>1.7483172620858336</c:v>
                </c:pt>
                <c:pt idx="1">
                  <c:v>1.6129603633191585</c:v>
                </c:pt>
                <c:pt idx="2">
                  <c:v>1.4859579059221644</c:v>
                </c:pt>
                <c:pt idx="3">
                  <c:v>1.2714543622113292</c:v>
                </c:pt>
                <c:pt idx="4">
                  <c:v>0.72970462131218561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D6-414E-BA86-B4216084D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320719"/>
        <c:axId val="1939021663"/>
      </c:scatterChart>
      <c:valAx>
        <c:axId val="20053207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Tíempo(min)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9021663"/>
        <c:crosses val="autoZero"/>
        <c:crossBetween val="midCat"/>
      </c:valAx>
      <c:valAx>
        <c:axId val="193902166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Log(qe-q)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053207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>
                <a:effectLst/>
              </a:rPr>
              <a:t>Intra-particle diffusion model</a:t>
            </a:r>
            <a:endParaRPr lang="es-CO" sz="1800">
              <a:effectLst/>
            </a:endParaRPr>
          </a:p>
        </c:rich>
      </c:tx>
      <c:layout>
        <c:manualLayout>
          <c:xMode val="edge"/>
          <c:yMode val="edge"/>
          <c:x val="0.2338678915135608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124781277340332"/>
                  <c:y val="1.40044473607465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'cinetica de adsorción 0,3g'!$N$6:$N$11</c:f>
              <c:numCache>
                <c:formatCode>General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'cinetica de adsorción 0,3g'!$P$6:$P$11</c:f>
              <c:numCache>
                <c:formatCode>General</c:formatCode>
                <c:ptCount val="6"/>
                <c:pt idx="0">
                  <c:v>6.9875776397515507E-2</c:v>
                </c:pt>
                <c:pt idx="1">
                  <c:v>0.14871116986120286</c:v>
                </c:pt>
                <c:pt idx="2">
                  <c:v>0.26962252846015577</c:v>
                </c:pt>
                <c:pt idx="3">
                  <c:v>0.48701298701298701</c:v>
                </c:pt>
                <c:pt idx="4">
                  <c:v>0.87901355145891824</c:v>
                </c:pt>
                <c:pt idx="5">
                  <c:v>1.0647107535786109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DF-4AAB-B788-F9483811C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326863"/>
        <c:axId val="2013300767"/>
      </c:scatterChart>
      <c:valAx>
        <c:axId val="1931326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3300767"/>
        <c:crosses val="autoZero"/>
        <c:crossBetween val="midCat"/>
      </c:valAx>
      <c:valAx>
        <c:axId val="201330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t/qt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1326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>
                <a:effectLst/>
              </a:rPr>
              <a:t>Modelo de Elovich</a:t>
            </a:r>
            <a:endParaRPr lang="es-CO" sz="1800">
              <a:effectLst/>
            </a:endParaRPr>
          </a:p>
        </c:rich>
      </c:tx>
      <c:layout>
        <c:manualLayout>
          <c:xMode val="edge"/>
          <c:yMode val="edge"/>
          <c:x val="0.303367048631116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069521797580181"/>
                  <c:y val="1.328922616902088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'cinetica de adsorción 0,3g'!$Q$6:$Q$11</c:f>
              <c:numCache>
                <c:formatCode>General</c:formatCode>
                <c:ptCount val="6"/>
                <c:pt idx="0">
                  <c:v>1.791759469228055</c:v>
                </c:pt>
                <c:pt idx="1">
                  <c:v>2.7080502011022101</c:v>
                </c:pt>
                <c:pt idx="2">
                  <c:v>3.4011973816621555</c:v>
                </c:pt>
                <c:pt idx="3">
                  <c:v>4.0943445622221004</c:v>
                </c:pt>
                <c:pt idx="4">
                  <c:v>4.7874917427820458</c:v>
                </c:pt>
                <c:pt idx="5">
                  <c:v>5.0106352940962555</c:v>
                </c:pt>
              </c:numCache>
            </c:numRef>
          </c:xVal>
          <c:yVal>
            <c:numRef>
              <c:f>'cinetica de adsorción 0,3g'!$M$6:$M$11</c:f>
              <c:numCache>
                <c:formatCode>General</c:formatCode>
                <c:ptCount val="6"/>
                <c:pt idx="0">
                  <c:v>85.866666666666688</c:v>
                </c:pt>
                <c:pt idx="1">
                  <c:v>100.86666666666669</c:v>
                </c:pt>
                <c:pt idx="2">
                  <c:v>111.26666666666668</c:v>
                </c:pt>
                <c:pt idx="3">
                  <c:v>123.2</c:v>
                </c:pt>
                <c:pt idx="4">
                  <c:v>136.51666666666668</c:v>
                </c:pt>
                <c:pt idx="5">
                  <c:v>140.88333333333335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05-4FFA-8E5A-961615EE1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2797471"/>
        <c:axId val="1939034559"/>
      </c:scatterChart>
      <c:valAx>
        <c:axId val="1842797471"/>
        <c:scaling>
          <c:orientation val="minMax"/>
          <c:min val="1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ln(t)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9034559"/>
        <c:crosses val="autoZero"/>
        <c:crossBetween val="midCat"/>
      </c:valAx>
      <c:valAx>
        <c:axId val="1939034559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2797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Pseudo-segundo</a:t>
            </a:r>
            <a:r>
              <a:rPr lang="es-CO" baseline="0"/>
              <a:t> Orden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25230992467405"/>
                  <c:y val="4.212962962962962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'cinetica de adsorción 0,3g'!$R$6:$R$11</c:f>
              <c:numCache>
                <c:formatCode>General</c:formatCode>
                <c:ptCount val="6"/>
                <c:pt idx="0">
                  <c:v>2.4494897427831779</c:v>
                </c:pt>
                <c:pt idx="1">
                  <c:v>3.872983346207417</c:v>
                </c:pt>
                <c:pt idx="2">
                  <c:v>5.4772255750516612</c:v>
                </c:pt>
                <c:pt idx="3">
                  <c:v>7.745966692414834</c:v>
                </c:pt>
                <c:pt idx="4">
                  <c:v>10.954451150103322</c:v>
                </c:pt>
                <c:pt idx="5">
                  <c:v>12.24744871391589</c:v>
                </c:pt>
              </c:numCache>
            </c:numRef>
          </c:xVal>
          <c:yVal>
            <c:numRef>
              <c:f>'cinetica de adsorción 0,3g'!$M$6:$M$11</c:f>
              <c:numCache>
                <c:formatCode>General</c:formatCode>
                <c:ptCount val="6"/>
                <c:pt idx="0">
                  <c:v>85.866666666666688</c:v>
                </c:pt>
                <c:pt idx="1">
                  <c:v>100.86666666666669</c:v>
                </c:pt>
                <c:pt idx="2">
                  <c:v>111.26666666666668</c:v>
                </c:pt>
                <c:pt idx="3">
                  <c:v>123.2</c:v>
                </c:pt>
                <c:pt idx="4">
                  <c:v>136.51666666666668</c:v>
                </c:pt>
                <c:pt idx="5">
                  <c:v>140.88333333333335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300-4C99-A530-1E4F9D0B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439151"/>
        <c:axId val="1934270015"/>
      </c:scatterChart>
      <c:valAx>
        <c:axId val="1934439151"/>
        <c:scaling>
          <c:orientation val="minMax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T^0,5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4270015"/>
        <c:crosses val="autoZero"/>
        <c:crossBetween val="midCat"/>
      </c:valAx>
      <c:valAx>
        <c:axId val="1934270015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4439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qt(mg/g)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'cinetica de adsorción 0,3g'!$I$6:$I$13</c:f>
              <c:numCache>
                <c:formatCode>General</c:formatCode>
                <c:ptCount val="8"/>
                <c:pt idx="0">
                  <c:v>0.1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</c:numCache>
            </c:numRef>
          </c:xVal>
          <c:yVal>
            <c:numRef>
              <c:f>'cinetica de adsorción 0,3g'!$M$6:$M$13</c:f>
              <c:numCache>
                <c:formatCode>General</c:formatCode>
                <c:ptCount val="8"/>
                <c:pt idx="0">
                  <c:v>85.866666666666688</c:v>
                </c:pt>
                <c:pt idx="1">
                  <c:v>100.86666666666669</c:v>
                </c:pt>
                <c:pt idx="2">
                  <c:v>111.26666666666668</c:v>
                </c:pt>
                <c:pt idx="3">
                  <c:v>123.2</c:v>
                </c:pt>
                <c:pt idx="4">
                  <c:v>136.51666666666668</c:v>
                </c:pt>
                <c:pt idx="5">
                  <c:v>140.88333333333335</c:v>
                </c:pt>
                <c:pt idx="6">
                  <c:v>141.56666666666666</c:v>
                </c:pt>
                <c:pt idx="7">
                  <c:v>141.88333333333333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1-4D3A-B8BB-DB117F76CEF1}"/>
            </c:ext>
          </c:extLst>
        </c:ser>
        <c:ser>
          <c:idx val="2"/>
          <c:order val="2"/>
          <c:tx>
            <c:v>te(h)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'cinetica de adsorción 0,3g'!$T$5:$T$13</c:f>
              <c:numCache>
                <c:formatCode>General</c:formatCode>
                <c:ptCount val="9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</c:numCache>
            </c:numRef>
          </c:xVal>
          <c:yVal>
            <c:numRef>
              <c:f>'cinetica de adsorción 0,3g'!$U$5:$U$13</c:f>
              <c:numCache>
                <c:formatCode>General</c:formatCode>
                <c:ptCount val="9"/>
                <c:pt idx="0">
                  <c:v>50</c:v>
                </c:pt>
                <c:pt idx="1">
                  <c:v>85.866666666666688</c:v>
                </c:pt>
                <c:pt idx="2">
                  <c:v>100.86666666666669</c:v>
                </c:pt>
                <c:pt idx="3">
                  <c:v>111.26666666666668</c:v>
                </c:pt>
                <c:pt idx="4">
                  <c:v>123.2</c:v>
                </c:pt>
                <c:pt idx="5">
                  <c:v>136.51666666666668</c:v>
                </c:pt>
                <c:pt idx="6">
                  <c:v>140.88333333333335</c:v>
                </c:pt>
                <c:pt idx="7">
                  <c:v>141.56666666666666</c:v>
                </c:pt>
                <c:pt idx="8">
                  <c:v>141.88333333333333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E01-4D3A-B8BB-DB117F76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488320"/>
        <c:axId val="903605472"/>
      </c:scatterChart>
      <c:scatterChart>
        <c:scatterStyle val="smoothMarker"/>
        <c:varyColors val="0"/>
        <c:ser>
          <c:idx val="1"/>
          <c:order val="1"/>
          <c:tx>
            <c:v>Ct(mg/L)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'cinetica de adsorción 0,3g'!$I$6:$I$13</c:f>
              <c:numCache>
                <c:formatCode>General</c:formatCode>
                <c:ptCount val="8"/>
                <c:pt idx="0">
                  <c:v>0.1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</c:numCache>
            </c:numRef>
          </c:xVal>
          <c:yVal>
            <c:numRef>
              <c:f>'cinetica de adsorción 0,3g'!$K$6:$K$13</c:f>
              <c:numCache>
                <c:formatCode>General</c:formatCode>
                <c:ptCount val="8"/>
                <c:pt idx="0">
                  <c:v>484.8</c:v>
                </c:pt>
                <c:pt idx="1">
                  <c:v>394.8</c:v>
                </c:pt>
                <c:pt idx="2">
                  <c:v>332.4</c:v>
                </c:pt>
                <c:pt idx="3">
                  <c:v>260.79999999999995</c:v>
                </c:pt>
                <c:pt idx="4">
                  <c:v>180.9</c:v>
                </c:pt>
                <c:pt idx="5">
                  <c:v>154.70000000000002</c:v>
                </c:pt>
                <c:pt idx="6">
                  <c:v>150.60000000000002</c:v>
                </c:pt>
                <c:pt idx="7">
                  <c:v>148.69999999999999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E01-4D3A-B8BB-DB117F76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38335"/>
        <c:axId val="135120863"/>
      </c:scatterChart>
      <c:valAx>
        <c:axId val="87448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Tiempo(horas)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3605472"/>
        <c:crosses val="autoZero"/>
        <c:crossBetween val="midCat"/>
      </c:valAx>
      <c:valAx>
        <c:axId val="903605472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qe(mg/g)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4488320"/>
        <c:crosses val="autoZero"/>
        <c:crossBetween val="midCat"/>
      </c:valAx>
      <c:valAx>
        <c:axId val="1351208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138335"/>
        <c:crosses val="max"/>
        <c:crossBetween val="midCat"/>
      </c:valAx>
      <c:valAx>
        <c:axId val="1351383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1208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16204212430898"/>
          <c:y val="0.29993169123090385"/>
          <c:w val="0.16154141775447156"/>
          <c:h val="0.31036476209704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modelo lineal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944072615923009"/>
                  <c:y val="-2.76221201516477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'isotermas coque activado 0,3g'!$E$6:$E$11</c:f>
              <c:numCache>
                <c:formatCode>General</c:formatCode>
                <c:ptCount val="6"/>
                <c:pt idx="0">
                  <c:v>52.8</c:v>
                </c:pt>
                <c:pt idx="1">
                  <c:v>212.4</c:v>
                </c:pt>
                <c:pt idx="2">
                  <c:v>540</c:v>
                </c:pt>
                <c:pt idx="3">
                  <c:v>888</c:v>
                </c:pt>
                <c:pt idx="4">
                  <c:v>1208.3999999999999</c:v>
                </c:pt>
                <c:pt idx="5">
                  <c:v>1520</c:v>
                </c:pt>
              </c:numCache>
            </c:numRef>
          </c:xVal>
          <c:yVal>
            <c:numRef>
              <c:f>'isotermas coque activado 0,3g'!$F$6:$F$11</c:f>
              <c:numCache>
                <c:formatCode>General</c:formatCode>
                <c:ptCount val="6"/>
                <c:pt idx="0">
                  <c:v>74.533333333333331</c:v>
                </c:pt>
                <c:pt idx="1">
                  <c:v>131.26666666666668</c:v>
                </c:pt>
                <c:pt idx="2" formatCode="0.0">
                  <c:v>160</c:v>
                </c:pt>
                <c:pt idx="3">
                  <c:v>185.33333333333334</c:v>
                </c:pt>
                <c:pt idx="4">
                  <c:v>215.26666666666671</c:v>
                </c:pt>
                <c:pt idx="5">
                  <c:v>246.66666666666669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F2-46C7-9AB9-D2CC902E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502335"/>
        <c:axId val="581093039"/>
      </c:scatterChart>
      <c:valAx>
        <c:axId val="483502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093039"/>
        <c:crosses val="autoZero"/>
        <c:crossBetween val="midCat"/>
      </c:valAx>
      <c:valAx>
        <c:axId val="58109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q(mg/g)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3502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</xdr:row>
      <xdr:rowOff>157162</xdr:rowOff>
    </xdr:from>
    <xdr:to>
      <xdr:col>10</xdr:col>
      <xdr:colOff>352425</xdr:colOff>
      <xdr:row>17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C70CAAA-8234-45C8-8944-A0C1C64A1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119062</xdr:rowOff>
    </xdr:from>
    <xdr:to>
      <xdr:col>10</xdr:col>
      <xdr:colOff>333374</xdr:colOff>
      <xdr:row>17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26580-FD4C-4DC2-82FB-6516B784E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15</xdr:row>
      <xdr:rowOff>14287</xdr:rowOff>
    </xdr:from>
    <xdr:to>
      <xdr:col>6</xdr:col>
      <xdr:colOff>514350</xdr:colOff>
      <xdr:row>29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D668E4-C4C9-4197-8AA6-4F4BE3286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15</xdr:row>
      <xdr:rowOff>47625</xdr:rowOff>
    </xdr:from>
    <xdr:to>
      <xdr:col>13</xdr:col>
      <xdr:colOff>533400</xdr:colOff>
      <xdr:row>30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503E1D-FC75-41B5-B88E-ABBB8CDE7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447675</xdr:colOff>
      <xdr:row>31</xdr:row>
      <xdr:rowOff>33337</xdr:rowOff>
    </xdr:from>
    <xdr:to>
      <xdr:col>6</xdr:col>
      <xdr:colOff>457200</xdr:colOff>
      <xdr:row>45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5AB313F-9625-400D-AB9D-43318E7DB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628650</xdr:colOff>
      <xdr:row>31</xdr:row>
      <xdr:rowOff>4762</xdr:rowOff>
    </xdr:from>
    <xdr:to>
      <xdr:col>13</xdr:col>
      <xdr:colOff>742950</xdr:colOff>
      <xdr:row>46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E29FF7B-C34A-4260-A636-55944F4D1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609600</xdr:colOff>
      <xdr:row>15</xdr:row>
      <xdr:rowOff>23812</xdr:rowOff>
    </xdr:from>
    <xdr:to>
      <xdr:col>19</xdr:col>
      <xdr:colOff>609600</xdr:colOff>
      <xdr:row>29</xdr:row>
      <xdr:rowOff>100012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B4F7029-4BF0-4DBF-9C8E-4F9F31DFF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552449</xdr:colOff>
      <xdr:row>0</xdr:row>
      <xdr:rowOff>19050</xdr:rowOff>
    </xdr:from>
    <xdr:to>
      <xdr:col>29</xdr:col>
      <xdr:colOff>152400</xdr:colOff>
      <xdr:row>15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A03A3D6-D9BC-48EA-B651-36CB06796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90487</xdr:rowOff>
    </xdr:from>
    <xdr:to>
      <xdr:col>3</xdr:col>
      <xdr:colOff>1085850</xdr:colOff>
      <xdr:row>30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4211E2-00C5-4B07-B492-7E638A13A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1190625</xdr:colOff>
      <xdr:row>16</xdr:row>
      <xdr:rowOff>80962</xdr:rowOff>
    </xdr:from>
    <xdr:to>
      <xdr:col>9</xdr:col>
      <xdr:colOff>200025</xdr:colOff>
      <xdr:row>30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A4B350-67D2-4070-BAF7-943047339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523875</xdr:colOff>
      <xdr:row>16</xdr:row>
      <xdr:rowOff>100011</xdr:rowOff>
    </xdr:from>
    <xdr:to>
      <xdr:col>15</xdr:col>
      <xdr:colOff>638175</xdr:colOff>
      <xdr:row>31</xdr:row>
      <xdr:rowOff>104774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C7AB05C-6700-49DD-BC4D-3CE9B8514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142875</xdr:colOff>
      <xdr:row>31</xdr:row>
      <xdr:rowOff>61912</xdr:rowOff>
    </xdr:from>
    <xdr:to>
      <xdr:col>7</xdr:col>
      <xdr:colOff>676275</xdr:colOff>
      <xdr:row>45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865F0E-E9F8-483E-9CA4-4B4226245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90487</xdr:rowOff>
    </xdr:from>
    <xdr:to>
      <xdr:col>3</xdr:col>
      <xdr:colOff>1085850</xdr:colOff>
      <xdr:row>30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7E851F-14BF-43BC-B077-908D9A95E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1190625</xdr:colOff>
      <xdr:row>16</xdr:row>
      <xdr:rowOff>80962</xdr:rowOff>
    </xdr:from>
    <xdr:to>
      <xdr:col>9</xdr:col>
      <xdr:colOff>200025</xdr:colOff>
      <xdr:row>30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0F1737-BE9C-4997-8E3D-8306C672D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523875</xdr:colOff>
      <xdr:row>16</xdr:row>
      <xdr:rowOff>100011</xdr:rowOff>
    </xdr:from>
    <xdr:to>
      <xdr:col>15</xdr:col>
      <xdr:colOff>638175</xdr:colOff>
      <xdr:row>31</xdr:row>
      <xdr:rowOff>104774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629C0D-B50C-41EF-BF6F-E63F4E7FA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142875</xdr:colOff>
      <xdr:row>31</xdr:row>
      <xdr:rowOff>61912</xdr:rowOff>
    </xdr:from>
    <xdr:to>
      <xdr:col>7</xdr:col>
      <xdr:colOff>676275</xdr:colOff>
      <xdr:row>45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B57CB19-2053-4B77-B8BE-9C687B7BE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90487</xdr:rowOff>
    </xdr:from>
    <xdr:to>
      <xdr:col>3</xdr:col>
      <xdr:colOff>1085850</xdr:colOff>
      <xdr:row>30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C5B28E-9C30-43B3-A5FB-BD9260A76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1190625</xdr:colOff>
      <xdr:row>16</xdr:row>
      <xdr:rowOff>80962</xdr:rowOff>
    </xdr:from>
    <xdr:to>
      <xdr:col>9</xdr:col>
      <xdr:colOff>200025</xdr:colOff>
      <xdr:row>30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D7A2078-554D-43DB-B27A-CBAB09AB0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523875</xdr:colOff>
      <xdr:row>16</xdr:row>
      <xdr:rowOff>100011</xdr:rowOff>
    </xdr:from>
    <xdr:to>
      <xdr:col>15</xdr:col>
      <xdr:colOff>638175</xdr:colOff>
      <xdr:row>31</xdr:row>
      <xdr:rowOff>104774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D988B0-3499-45CB-A5BC-A1F61B8B9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142875</xdr:colOff>
      <xdr:row>31</xdr:row>
      <xdr:rowOff>61912</xdr:rowOff>
    </xdr:from>
    <xdr:to>
      <xdr:col>7</xdr:col>
      <xdr:colOff>676275</xdr:colOff>
      <xdr:row>45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40A136-9217-4A3F-AAAA-41D8D24DC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15</xdr:row>
      <xdr:rowOff>14287</xdr:rowOff>
    </xdr:from>
    <xdr:to>
      <xdr:col>6</xdr:col>
      <xdr:colOff>514350</xdr:colOff>
      <xdr:row>29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8678D1-C46B-4BEF-9845-5060B3340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15</xdr:row>
      <xdr:rowOff>47625</xdr:rowOff>
    </xdr:from>
    <xdr:to>
      <xdr:col>13</xdr:col>
      <xdr:colOff>533400</xdr:colOff>
      <xdr:row>30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4FC7A7-89DE-4641-A31E-063C8D9CD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447675</xdr:colOff>
      <xdr:row>31</xdr:row>
      <xdr:rowOff>33337</xdr:rowOff>
    </xdr:from>
    <xdr:to>
      <xdr:col>6</xdr:col>
      <xdr:colOff>457200</xdr:colOff>
      <xdr:row>45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D3D7122-C0BD-4DF5-A928-63B692F4F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628650</xdr:colOff>
      <xdr:row>31</xdr:row>
      <xdr:rowOff>4762</xdr:rowOff>
    </xdr:from>
    <xdr:to>
      <xdr:col>13</xdr:col>
      <xdr:colOff>742950</xdr:colOff>
      <xdr:row>46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1226CD-1901-4A50-83B7-D528D4334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609600</xdr:colOff>
      <xdr:row>15</xdr:row>
      <xdr:rowOff>23812</xdr:rowOff>
    </xdr:from>
    <xdr:to>
      <xdr:col>19</xdr:col>
      <xdr:colOff>609600</xdr:colOff>
      <xdr:row>29</xdr:row>
      <xdr:rowOff>100012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2308F9-67FF-405B-896C-EBD14D523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E4D3-2601-42EE-8EE6-107D5DC987A1}">
  <dimension ref="B3:F41"/>
  <sheetViews>
    <sheetView workbookViewId="0">
      <selection activeCell="I10" sqref="I10"/>
    </sheetView>
  </sheetViews>
  <sheetFormatPr baseColWidth="10" defaultRowHeight="15" x14ac:dyDescent="0.25"/>
  <cols>
    <col min="2" max="2" width="14.85546875" bestFit="1" customWidth="1"/>
  </cols>
  <sheetData>
    <row r="3" spans="2:6" x14ac:dyDescent="0.25">
      <c r="B3" s="3" t="s">
        <v>37</v>
      </c>
      <c r="C3" s="5" t="s">
        <v>13</v>
      </c>
      <c r="D3" s="5" t="s">
        <v>14</v>
      </c>
      <c r="E3" s="5" t="s">
        <v>15</v>
      </c>
      <c r="F3" s="5" t="s">
        <v>16</v>
      </c>
    </row>
    <row r="4" spans="2:6" x14ac:dyDescent="0.25">
      <c r="B4" s="11">
        <v>1</v>
      </c>
      <c r="C4" s="11">
        <v>6</v>
      </c>
      <c r="D4" s="11">
        <v>0.5</v>
      </c>
      <c r="E4" s="11">
        <v>0.1</v>
      </c>
      <c r="F4" s="3">
        <v>57</v>
      </c>
    </row>
    <row r="5" spans="2:6" x14ac:dyDescent="0.25">
      <c r="B5" s="11">
        <v>2</v>
      </c>
      <c r="C5" s="11">
        <v>10</v>
      </c>
      <c r="D5" s="11">
        <v>0.5</v>
      </c>
      <c r="E5" s="11">
        <v>0.1</v>
      </c>
      <c r="F5" s="3">
        <v>61</v>
      </c>
    </row>
    <row r="6" spans="2:6" x14ac:dyDescent="0.25">
      <c r="B6" s="11">
        <v>3</v>
      </c>
      <c r="C6" s="11">
        <v>6</v>
      </c>
      <c r="D6" s="11">
        <v>3.5</v>
      </c>
      <c r="E6" s="11">
        <v>0.1</v>
      </c>
      <c r="F6" s="3">
        <v>47</v>
      </c>
    </row>
    <row r="7" spans="2:6" x14ac:dyDescent="0.25">
      <c r="B7" s="11">
        <v>4</v>
      </c>
      <c r="C7" s="11">
        <v>10</v>
      </c>
      <c r="D7" s="11">
        <v>3.5</v>
      </c>
      <c r="E7" s="11">
        <v>0.1</v>
      </c>
      <c r="F7" s="3">
        <v>89</v>
      </c>
    </row>
    <row r="8" spans="2:6" x14ac:dyDescent="0.25">
      <c r="B8" s="11">
        <v>5</v>
      </c>
      <c r="C8" s="11">
        <v>6</v>
      </c>
      <c r="D8" s="11">
        <v>0.5</v>
      </c>
      <c r="E8" s="11">
        <v>0.5</v>
      </c>
      <c r="F8" s="3">
        <v>62</v>
      </c>
    </row>
    <row r="9" spans="2:6" x14ac:dyDescent="0.25">
      <c r="B9" s="11">
        <v>6</v>
      </c>
      <c r="C9" s="11">
        <v>10</v>
      </c>
      <c r="D9" s="11">
        <v>0.5</v>
      </c>
      <c r="E9" s="11">
        <v>0.5</v>
      </c>
      <c r="F9" s="3">
        <v>78</v>
      </c>
    </row>
    <row r="10" spans="2:6" x14ac:dyDescent="0.25">
      <c r="B10" s="11">
        <v>7</v>
      </c>
      <c r="C10" s="11">
        <v>6</v>
      </c>
      <c r="D10" s="11">
        <v>3.5</v>
      </c>
      <c r="E10" s="11">
        <v>0.5</v>
      </c>
      <c r="F10" s="3">
        <v>56</v>
      </c>
    </row>
    <row r="11" spans="2:6" x14ac:dyDescent="0.25">
      <c r="B11" s="11">
        <v>8</v>
      </c>
      <c r="C11" s="11">
        <v>10</v>
      </c>
      <c r="D11" s="11">
        <v>3.5</v>
      </c>
      <c r="E11" s="11">
        <v>0.5</v>
      </c>
      <c r="F11" s="3">
        <v>66</v>
      </c>
    </row>
    <row r="12" spans="2:6" x14ac:dyDescent="0.25">
      <c r="B12" s="11">
        <v>9</v>
      </c>
      <c r="C12" s="12">
        <v>6</v>
      </c>
      <c r="D12" s="12">
        <v>2</v>
      </c>
      <c r="E12" s="12">
        <v>0.3</v>
      </c>
      <c r="F12" s="4">
        <v>46</v>
      </c>
    </row>
    <row r="13" spans="2:6" x14ac:dyDescent="0.25">
      <c r="B13" s="11">
        <v>10</v>
      </c>
      <c r="C13" s="12">
        <v>10</v>
      </c>
      <c r="D13" s="12">
        <v>2</v>
      </c>
      <c r="E13" s="12">
        <v>0.3</v>
      </c>
      <c r="F13" s="4">
        <v>88</v>
      </c>
    </row>
    <row r="14" spans="2:6" x14ac:dyDescent="0.25">
      <c r="B14" s="11">
        <v>11</v>
      </c>
      <c r="C14" s="12">
        <v>8</v>
      </c>
      <c r="D14" s="12">
        <v>0.5</v>
      </c>
      <c r="E14" s="12">
        <v>0.3</v>
      </c>
      <c r="F14" s="4">
        <v>97</v>
      </c>
    </row>
    <row r="15" spans="2:6" x14ac:dyDescent="0.25">
      <c r="B15" s="11">
        <v>12</v>
      </c>
      <c r="C15" s="12">
        <v>8</v>
      </c>
      <c r="D15" s="12">
        <v>3.5</v>
      </c>
      <c r="E15" s="12">
        <v>0.3</v>
      </c>
      <c r="F15" s="4">
        <v>98</v>
      </c>
    </row>
    <row r="16" spans="2:6" x14ac:dyDescent="0.25">
      <c r="B16" s="11">
        <v>13</v>
      </c>
      <c r="C16" s="12">
        <v>8</v>
      </c>
      <c r="D16" s="12">
        <v>2</v>
      </c>
      <c r="E16" s="12">
        <v>0.1</v>
      </c>
      <c r="F16" s="4">
        <v>98</v>
      </c>
    </row>
    <row r="17" spans="2:6" x14ac:dyDescent="0.25">
      <c r="B17" s="11">
        <v>14</v>
      </c>
      <c r="C17" s="12">
        <v>8</v>
      </c>
      <c r="D17" s="12">
        <v>2</v>
      </c>
      <c r="E17" s="12">
        <v>0.5</v>
      </c>
      <c r="F17" s="4">
        <v>99</v>
      </c>
    </row>
    <row r="18" spans="2:6" x14ac:dyDescent="0.25">
      <c r="B18" s="11">
        <v>15</v>
      </c>
      <c r="C18" s="11">
        <v>8</v>
      </c>
      <c r="D18" s="11">
        <v>2</v>
      </c>
      <c r="E18" s="11">
        <v>0.3</v>
      </c>
      <c r="F18" s="3">
        <v>98</v>
      </c>
    </row>
    <row r="19" spans="2:6" x14ac:dyDescent="0.25">
      <c r="B19" s="11">
        <v>16</v>
      </c>
      <c r="C19" s="11">
        <v>8</v>
      </c>
      <c r="D19" s="11">
        <v>2</v>
      </c>
      <c r="E19" s="11">
        <v>0.3</v>
      </c>
      <c r="F19" s="3">
        <v>98</v>
      </c>
    </row>
    <row r="20" spans="2:6" x14ac:dyDescent="0.25">
      <c r="B20" s="11">
        <v>17</v>
      </c>
      <c r="C20" s="11">
        <v>8</v>
      </c>
      <c r="D20" s="11">
        <v>2</v>
      </c>
      <c r="E20" s="11">
        <v>0.3</v>
      </c>
      <c r="F20" s="3">
        <v>97</v>
      </c>
    </row>
    <row r="21" spans="2:6" x14ac:dyDescent="0.25">
      <c r="B21" s="11">
        <v>18</v>
      </c>
      <c r="C21" s="11">
        <v>8</v>
      </c>
      <c r="D21" s="11">
        <v>2</v>
      </c>
      <c r="E21" s="11">
        <v>0.3</v>
      </c>
      <c r="F21" s="3">
        <v>97</v>
      </c>
    </row>
    <row r="22" spans="2:6" x14ac:dyDescent="0.25">
      <c r="B22" s="11">
        <v>19</v>
      </c>
      <c r="C22" s="11">
        <v>8</v>
      </c>
      <c r="D22" s="11">
        <v>2</v>
      </c>
      <c r="E22" s="11">
        <v>0.3</v>
      </c>
      <c r="F22" s="3">
        <v>98</v>
      </c>
    </row>
    <row r="23" spans="2:6" x14ac:dyDescent="0.25">
      <c r="B23" s="11">
        <v>20</v>
      </c>
      <c r="C23" s="11">
        <v>6</v>
      </c>
      <c r="D23" s="11">
        <v>0.5</v>
      </c>
      <c r="E23" s="11">
        <v>0.1</v>
      </c>
      <c r="F23" s="3">
        <v>60</v>
      </c>
    </row>
    <row r="24" spans="2:6" x14ac:dyDescent="0.25">
      <c r="B24" s="11">
        <v>21</v>
      </c>
      <c r="C24" s="11">
        <v>10</v>
      </c>
      <c r="D24" s="11">
        <v>0.5</v>
      </c>
      <c r="E24" s="11">
        <v>0.1</v>
      </c>
      <c r="F24" s="3">
        <v>67</v>
      </c>
    </row>
    <row r="25" spans="2:6" x14ac:dyDescent="0.25">
      <c r="B25" s="11">
        <v>22</v>
      </c>
      <c r="C25" s="11">
        <v>6</v>
      </c>
      <c r="D25" s="11">
        <v>3.5</v>
      </c>
      <c r="E25" s="11">
        <v>0.1</v>
      </c>
      <c r="F25" s="3">
        <v>55</v>
      </c>
    </row>
    <row r="26" spans="2:6" x14ac:dyDescent="0.25">
      <c r="B26" s="11">
        <v>23</v>
      </c>
      <c r="C26" s="11">
        <v>10</v>
      </c>
      <c r="D26" s="11">
        <v>3.5</v>
      </c>
      <c r="E26" s="11">
        <v>0.1</v>
      </c>
      <c r="F26" s="3">
        <v>86</v>
      </c>
    </row>
    <row r="27" spans="2:6" x14ac:dyDescent="0.25">
      <c r="B27" s="11">
        <v>24</v>
      </c>
      <c r="C27" s="11">
        <v>6</v>
      </c>
      <c r="D27" s="11">
        <v>0.5</v>
      </c>
      <c r="E27" s="11">
        <v>0.5</v>
      </c>
      <c r="F27" s="3">
        <v>62</v>
      </c>
    </row>
    <row r="28" spans="2:6" x14ac:dyDescent="0.25">
      <c r="B28" s="11">
        <v>25</v>
      </c>
      <c r="C28" s="11">
        <v>10</v>
      </c>
      <c r="D28" s="11">
        <v>0.5</v>
      </c>
      <c r="E28" s="11">
        <v>0.5</v>
      </c>
      <c r="F28" s="3">
        <v>74</v>
      </c>
    </row>
    <row r="29" spans="2:6" x14ac:dyDescent="0.25">
      <c r="B29" s="11">
        <v>26</v>
      </c>
      <c r="C29" s="11">
        <v>6</v>
      </c>
      <c r="D29" s="11">
        <v>3.5</v>
      </c>
      <c r="E29" s="11">
        <v>0.5</v>
      </c>
      <c r="F29" s="3">
        <v>61</v>
      </c>
    </row>
    <row r="30" spans="2:6" x14ac:dyDescent="0.25">
      <c r="B30" s="11">
        <v>27</v>
      </c>
      <c r="C30" s="11">
        <v>10</v>
      </c>
      <c r="D30" s="11">
        <v>3.5</v>
      </c>
      <c r="E30" s="11">
        <v>0.5</v>
      </c>
      <c r="F30" s="3">
        <v>65</v>
      </c>
    </row>
    <row r="31" spans="2:6" x14ac:dyDescent="0.25">
      <c r="B31" s="11">
        <v>28</v>
      </c>
      <c r="C31" s="12">
        <v>6</v>
      </c>
      <c r="D31" s="12">
        <v>2</v>
      </c>
      <c r="E31" s="12">
        <v>0.3</v>
      </c>
      <c r="F31" s="4">
        <v>47</v>
      </c>
    </row>
    <row r="32" spans="2:6" x14ac:dyDescent="0.25">
      <c r="B32" s="11">
        <v>29</v>
      </c>
      <c r="C32" s="12">
        <v>10</v>
      </c>
      <c r="D32" s="12">
        <v>2</v>
      </c>
      <c r="E32" s="12">
        <v>0.3</v>
      </c>
      <c r="F32" s="4">
        <v>84</v>
      </c>
    </row>
    <row r="33" spans="2:6" x14ac:dyDescent="0.25">
      <c r="B33" s="11">
        <v>30</v>
      </c>
      <c r="C33" s="12">
        <v>8</v>
      </c>
      <c r="D33" s="12">
        <v>0.5</v>
      </c>
      <c r="E33" s="12">
        <v>0.3</v>
      </c>
      <c r="F33" s="4">
        <v>95</v>
      </c>
    </row>
    <row r="34" spans="2:6" x14ac:dyDescent="0.25">
      <c r="B34" s="11">
        <v>31</v>
      </c>
      <c r="C34" s="12">
        <v>8</v>
      </c>
      <c r="D34" s="12">
        <v>3.5</v>
      </c>
      <c r="E34" s="12">
        <v>0.3</v>
      </c>
      <c r="F34" s="4">
        <v>98</v>
      </c>
    </row>
    <row r="35" spans="2:6" x14ac:dyDescent="0.25">
      <c r="B35" s="11">
        <v>32</v>
      </c>
      <c r="C35" s="12">
        <v>8</v>
      </c>
      <c r="D35" s="12">
        <v>2</v>
      </c>
      <c r="E35" s="12">
        <v>0.1</v>
      </c>
      <c r="F35" s="4">
        <v>97</v>
      </c>
    </row>
    <row r="36" spans="2:6" x14ac:dyDescent="0.25">
      <c r="B36" s="11">
        <v>33</v>
      </c>
      <c r="C36" s="12">
        <v>8</v>
      </c>
      <c r="D36" s="12">
        <v>2</v>
      </c>
      <c r="E36" s="12">
        <v>0.5</v>
      </c>
      <c r="F36" s="4">
        <v>99</v>
      </c>
    </row>
    <row r="37" spans="2:6" x14ac:dyDescent="0.25">
      <c r="B37" s="11">
        <v>34</v>
      </c>
      <c r="C37" s="11">
        <v>8</v>
      </c>
      <c r="D37" s="11">
        <v>2</v>
      </c>
      <c r="E37" s="11">
        <v>0.3</v>
      </c>
      <c r="F37" s="3">
        <v>97</v>
      </c>
    </row>
    <row r="38" spans="2:6" x14ac:dyDescent="0.25">
      <c r="B38" s="11">
        <v>35</v>
      </c>
      <c r="C38" s="11">
        <v>8</v>
      </c>
      <c r="D38" s="11">
        <v>2</v>
      </c>
      <c r="E38" s="11">
        <v>0.3</v>
      </c>
      <c r="F38" s="3">
        <v>98</v>
      </c>
    </row>
    <row r="39" spans="2:6" x14ac:dyDescent="0.25">
      <c r="B39" s="11">
        <v>36</v>
      </c>
      <c r="C39" s="11">
        <v>8</v>
      </c>
      <c r="D39" s="11">
        <v>2</v>
      </c>
      <c r="E39" s="11">
        <v>0.3</v>
      </c>
      <c r="F39" s="3">
        <v>97</v>
      </c>
    </row>
    <row r="40" spans="2:6" x14ac:dyDescent="0.25">
      <c r="B40" s="11">
        <v>37</v>
      </c>
      <c r="C40" s="11">
        <v>8</v>
      </c>
      <c r="D40" s="11">
        <v>2</v>
      </c>
      <c r="E40" s="11">
        <v>0.3</v>
      </c>
      <c r="F40" s="3">
        <v>98</v>
      </c>
    </row>
    <row r="41" spans="2:6" x14ac:dyDescent="0.25">
      <c r="B41" s="11">
        <v>38</v>
      </c>
      <c r="C41" s="11">
        <v>8</v>
      </c>
      <c r="D41" s="11">
        <v>2</v>
      </c>
      <c r="E41" s="11">
        <v>0.3</v>
      </c>
      <c r="F41" s="3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AB69D-1B2C-4FFB-9904-C9F5C04A253B}">
  <dimension ref="B3:C12"/>
  <sheetViews>
    <sheetView workbookViewId="0">
      <selection activeCell="C20" sqref="C20"/>
    </sheetView>
  </sheetViews>
  <sheetFormatPr baseColWidth="10" defaultRowHeight="15" x14ac:dyDescent="0.25"/>
  <cols>
    <col min="3" max="3" width="13.42578125" customWidth="1"/>
  </cols>
  <sheetData>
    <row r="3" spans="2:3" x14ac:dyDescent="0.25">
      <c r="B3" t="s">
        <v>0</v>
      </c>
      <c r="C3" t="s">
        <v>1</v>
      </c>
    </row>
    <row r="5" spans="2:3" x14ac:dyDescent="0.25">
      <c r="B5">
        <v>0.158</v>
      </c>
      <c r="C5">
        <v>0.127</v>
      </c>
    </row>
    <row r="6" spans="2:3" x14ac:dyDescent="0.25">
      <c r="B6">
        <v>0.30599999999999999</v>
      </c>
      <c r="C6">
        <v>0.25</v>
      </c>
    </row>
    <row r="7" spans="2:3" x14ac:dyDescent="0.25">
      <c r="B7">
        <v>0.78300000000000003</v>
      </c>
      <c r="C7">
        <v>0.63</v>
      </c>
    </row>
    <row r="8" spans="2:3" x14ac:dyDescent="0.25">
      <c r="B8">
        <v>1.103</v>
      </c>
      <c r="C8">
        <v>0.89</v>
      </c>
    </row>
    <row r="9" spans="2:3" x14ac:dyDescent="0.25">
      <c r="B9">
        <v>1.579</v>
      </c>
      <c r="C9">
        <v>1.27</v>
      </c>
    </row>
    <row r="10" spans="2:3" x14ac:dyDescent="0.25">
      <c r="B10">
        <v>1.8839999999999999</v>
      </c>
      <c r="C10">
        <v>1.52</v>
      </c>
    </row>
    <row r="11" spans="2:3" x14ac:dyDescent="0.25">
      <c r="B11">
        <v>2.3679999999999999</v>
      </c>
      <c r="C11">
        <v>1.9</v>
      </c>
    </row>
    <row r="12" spans="2:3" x14ac:dyDescent="0.25">
      <c r="B12">
        <v>2.4129999999999998</v>
      </c>
      <c r="C12">
        <v>2.54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A818-49E7-469C-888B-4C5F8ED42DBA}">
  <dimension ref="A3:C12"/>
  <sheetViews>
    <sheetView workbookViewId="0">
      <selection activeCell="A3" sqref="A3:C12"/>
    </sheetView>
  </sheetViews>
  <sheetFormatPr baseColWidth="10" defaultRowHeight="15" x14ac:dyDescent="0.25"/>
  <cols>
    <col min="1" max="1" width="15.7109375" customWidth="1"/>
    <col min="2" max="2" width="13" bestFit="1" customWidth="1"/>
  </cols>
  <sheetData>
    <row r="3" spans="1:3" x14ac:dyDescent="0.25">
      <c r="A3" s="11" t="s">
        <v>36</v>
      </c>
      <c r="B3" s="11" t="s">
        <v>35</v>
      </c>
      <c r="C3" s="11" t="s">
        <v>32</v>
      </c>
    </row>
    <row r="4" spans="1:3" x14ac:dyDescent="0.25">
      <c r="A4" s="11">
        <v>3</v>
      </c>
      <c r="B4" s="11">
        <v>3.15</v>
      </c>
      <c r="C4" s="11">
        <v>7.55</v>
      </c>
    </row>
    <row r="5" spans="1:3" x14ac:dyDescent="0.25">
      <c r="A5" s="11">
        <v>4</v>
      </c>
      <c r="B5" s="11">
        <v>4.05</v>
      </c>
      <c r="C5" s="11">
        <v>8.1999999999999993</v>
      </c>
    </row>
    <row r="6" spans="1:3" x14ac:dyDescent="0.25">
      <c r="A6" s="11">
        <v>5</v>
      </c>
      <c r="B6" s="11">
        <v>5.2</v>
      </c>
      <c r="C6" s="11">
        <v>8.1</v>
      </c>
    </row>
    <row r="7" spans="1:3" x14ac:dyDescent="0.25">
      <c r="A7" s="11">
        <v>6</v>
      </c>
      <c r="B7" s="11">
        <v>6.24</v>
      </c>
      <c r="C7" s="11">
        <v>8.15</v>
      </c>
    </row>
    <row r="8" spans="1:3" x14ac:dyDescent="0.25">
      <c r="A8" s="11">
        <v>7</v>
      </c>
      <c r="B8" s="11">
        <v>7.2</v>
      </c>
      <c r="C8" s="11">
        <v>8.1</v>
      </c>
    </row>
    <row r="9" spans="1:3" x14ac:dyDescent="0.25">
      <c r="A9" s="11">
        <v>8</v>
      </c>
      <c r="B9" s="11">
        <v>8.6199999999999992</v>
      </c>
      <c r="C9" s="11">
        <v>8.23</v>
      </c>
    </row>
    <row r="10" spans="1:3" x14ac:dyDescent="0.25">
      <c r="A10" s="11">
        <v>9</v>
      </c>
      <c r="B10" s="11">
        <v>9.1999999999999993</v>
      </c>
      <c r="C10" s="11">
        <v>8.02</v>
      </c>
    </row>
    <row r="11" spans="1:3" x14ac:dyDescent="0.25">
      <c r="A11" s="11">
        <v>10</v>
      </c>
      <c r="B11" s="11">
        <v>10.050000000000001</v>
      </c>
      <c r="C11" s="11">
        <v>8.15</v>
      </c>
    </row>
    <row r="12" spans="1:3" x14ac:dyDescent="0.25">
      <c r="A12" s="11">
        <v>11</v>
      </c>
      <c r="B12" s="11">
        <v>11.02</v>
      </c>
      <c r="C12" s="11">
        <v>8.56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BD25-0931-46B7-BC63-2F6A1462A099}">
  <dimension ref="B2:Y29"/>
  <sheetViews>
    <sheetView tabSelected="1" topLeftCell="B1" workbookViewId="0">
      <selection activeCell="H9" sqref="H9"/>
    </sheetView>
  </sheetViews>
  <sheetFormatPr baseColWidth="10" defaultRowHeight="15" x14ac:dyDescent="0.25"/>
  <cols>
    <col min="6" max="6" width="11.28515625" customWidth="1"/>
    <col min="14" max="14" width="13.140625" customWidth="1"/>
    <col min="23" max="23" width="20.140625" bestFit="1" customWidth="1"/>
    <col min="24" max="24" width="18.85546875" bestFit="1" customWidth="1"/>
  </cols>
  <sheetData>
    <row r="2" spans="2:21" x14ac:dyDescent="0.25">
      <c r="B2" s="3" t="s">
        <v>23</v>
      </c>
      <c r="C2" s="3">
        <v>8</v>
      </c>
      <c r="D2" s="3" t="s">
        <v>23</v>
      </c>
      <c r="E2" s="3">
        <v>8</v>
      </c>
      <c r="I2" s="3" t="s">
        <v>23</v>
      </c>
      <c r="J2" s="3">
        <v>10</v>
      </c>
    </row>
    <row r="3" spans="2:21" x14ac:dyDescent="0.25">
      <c r="B3" s="3" t="s">
        <v>21</v>
      </c>
      <c r="C3" s="3">
        <v>0.05</v>
      </c>
      <c r="D3" s="3" t="s">
        <v>21</v>
      </c>
      <c r="E3" s="3">
        <v>0.05</v>
      </c>
      <c r="I3" s="3" t="s">
        <v>21</v>
      </c>
      <c r="J3" s="3">
        <v>0.05</v>
      </c>
    </row>
    <row r="4" spans="2:21" x14ac:dyDescent="0.25">
      <c r="B4" s="3" t="s">
        <v>22</v>
      </c>
      <c r="C4" s="3">
        <v>0.1</v>
      </c>
      <c r="D4" s="3" t="s">
        <v>22</v>
      </c>
      <c r="E4" s="3">
        <v>0.3</v>
      </c>
      <c r="I4" s="3" t="s">
        <v>22</v>
      </c>
      <c r="J4" s="7">
        <v>0.3</v>
      </c>
    </row>
    <row r="5" spans="2:21" x14ac:dyDescent="0.25">
      <c r="B5" s="3" t="s">
        <v>14</v>
      </c>
      <c r="C5" s="3" t="s">
        <v>20</v>
      </c>
      <c r="D5" s="3" t="s">
        <v>14</v>
      </c>
      <c r="E5" s="3" t="s">
        <v>20</v>
      </c>
      <c r="I5" s="3" t="s">
        <v>28</v>
      </c>
      <c r="J5" s="3" t="s">
        <v>30</v>
      </c>
      <c r="K5" s="3" t="s">
        <v>31</v>
      </c>
      <c r="L5" s="8" t="s">
        <v>16</v>
      </c>
      <c r="M5" s="3" t="s">
        <v>20</v>
      </c>
      <c r="N5" s="3" t="s">
        <v>29</v>
      </c>
      <c r="O5" s="3" t="s">
        <v>24</v>
      </c>
      <c r="P5" s="3" t="s">
        <v>25</v>
      </c>
      <c r="Q5" s="3" t="s">
        <v>26</v>
      </c>
      <c r="R5" s="3" t="s">
        <v>27</v>
      </c>
      <c r="T5">
        <v>2.5</v>
      </c>
      <c r="U5">
        <v>50</v>
      </c>
    </row>
    <row r="6" spans="2:21" x14ac:dyDescent="0.25">
      <c r="B6" s="3">
        <v>0.1</v>
      </c>
      <c r="C6" s="3">
        <f>$C$3*(1000-54)/$C$4</f>
        <v>473</v>
      </c>
      <c r="D6" s="3">
        <v>0.1</v>
      </c>
      <c r="E6" s="3">
        <f>$E$3*(1000-55.2)/$E$4</f>
        <v>157.46666666666667</v>
      </c>
      <c r="I6" s="3">
        <v>0.1</v>
      </c>
      <c r="J6" s="4">
        <v>0.48480000000000001</v>
      </c>
      <c r="K6" s="3">
        <f>J6*1000</f>
        <v>484.8</v>
      </c>
      <c r="L6" s="3">
        <f>(1-J6)/1*100</f>
        <v>51.519999999999996</v>
      </c>
      <c r="M6" s="3">
        <f>$J$3*(1000-K6)/$J$4</f>
        <v>85.866666666666688</v>
      </c>
      <c r="N6" s="3">
        <f t="shared" ref="N6:N11" si="0">I6*60</f>
        <v>6</v>
      </c>
      <c r="O6" s="3">
        <f>LOG10($M$13-M6)</f>
        <v>1.7483172620858336</v>
      </c>
      <c r="P6" s="3">
        <f>N6/M6</f>
        <v>6.9875776397515507E-2</v>
      </c>
      <c r="Q6" s="3">
        <f>LN(N6)</f>
        <v>1.791759469228055</v>
      </c>
      <c r="R6" s="3">
        <f>N6^(0.5)</f>
        <v>2.4494897427831779</v>
      </c>
      <c r="T6">
        <v>2.5</v>
      </c>
      <c r="U6">
        <v>85.866666666666688</v>
      </c>
    </row>
    <row r="7" spans="2:21" x14ac:dyDescent="0.25">
      <c r="B7" s="3">
        <v>0.25</v>
      </c>
      <c r="C7" s="3">
        <v>483.8</v>
      </c>
      <c r="D7" s="3">
        <v>0.25</v>
      </c>
      <c r="E7" s="3">
        <f>$E$3*(1000-25.2)/$E$4</f>
        <v>162.46666666666667</v>
      </c>
      <c r="I7" s="3">
        <v>0.25</v>
      </c>
      <c r="J7" s="4">
        <v>0.39479999999999998</v>
      </c>
      <c r="K7" s="3">
        <f t="shared" ref="K7:K9" si="1">J7*1000</f>
        <v>394.8</v>
      </c>
      <c r="L7" s="3">
        <f t="shared" ref="L7:L9" si="2">(1-J7)/1*100</f>
        <v>60.519999999999996</v>
      </c>
      <c r="M7" s="3">
        <f>$J$3*(1000-K7)/$J$4</f>
        <v>100.86666666666669</v>
      </c>
      <c r="N7" s="3">
        <f t="shared" si="0"/>
        <v>15</v>
      </c>
      <c r="O7" s="3">
        <f>LOG10($M$13-M7)</f>
        <v>1.6129603633191585</v>
      </c>
      <c r="P7" s="3">
        <f t="shared" ref="P7:P10" si="3">N7/M7</f>
        <v>0.14871116986120286</v>
      </c>
      <c r="Q7" s="3">
        <f t="shared" ref="Q7:Q10" si="4">LN(N7)</f>
        <v>2.7080502011022101</v>
      </c>
      <c r="R7" s="3">
        <f t="shared" ref="R7:R10" si="5">N7^(0.5)</f>
        <v>3.872983346207417</v>
      </c>
      <c r="T7">
        <v>2.5</v>
      </c>
      <c r="U7">
        <v>100.86666666666669</v>
      </c>
    </row>
    <row r="8" spans="2:21" x14ac:dyDescent="0.25">
      <c r="B8" s="3">
        <v>0.5</v>
      </c>
      <c r="C8" s="3">
        <v>487.4</v>
      </c>
      <c r="D8" s="3">
        <v>0.5</v>
      </c>
      <c r="E8" s="3">
        <f>$E$3*(1000-26.4)/$E$4</f>
        <v>162.26666666666671</v>
      </c>
      <c r="I8" s="3">
        <v>0.5</v>
      </c>
      <c r="J8" s="4">
        <v>0.33239999999999997</v>
      </c>
      <c r="K8" s="3">
        <f t="shared" si="1"/>
        <v>332.4</v>
      </c>
      <c r="L8" s="3">
        <f t="shared" si="2"/>
        <v>66.759999999999991</v>
      </c>
      <c r="M8" s="3">
        <f>$J$3*(1000-K8)/$J$4</f>
        <v>111.26666666666668</v>
      </c>
      <c r="N8" s="3">
        <f t="shared" si="0"/>
        <v>30</v>
      </c>
      <c r="O8" s="3">
        <f>LOG10($M$13-M8)</f>
        <v>1.4859579059221644</v>
      </c>
      <c r="P8" s="3">
        <f t="shared" si="3"/>
        <v>0.26962252846015577</v>
      </c>
      <c r="Q8" s="3">
        <f t="shared" si="4"/>
        <v>3.4011973816621555</v>
      </c>
      <c r="R8" s="3">
        <f t="shared" si="5"/>
        <v>5.4772255750516612</v>
      </c>
      <c r="T8">
        <v>2.5</v>
      </c>
      <c r="U8">
        <v>111.26666666666668</v>
      </c>
    </row>
    <row r="9" spans="2:21" x14ac:dyDescent="0.25">
      <c r="B9" s="3">
        <v>2</v>
      </c>
      <c r="C9" s="3">
        <f>$C$3*(1000-21.6)/$C$4</f>
        <v>489.2</v>
      </c>
      <c r="D9" s="3">
        <v>2</v>
      </c>
      <c r="E9" s="3">
        <f>$E$3*(1000-15)/$E$4</f>
        <v>164.16666666666669</v>
      </c>
      <c r="I9" s="9">
        <v>1</v>
      </c>
      <c r="J9" s="10">
        <v>0.26079999999999998</v>
      </c>
      <c r="K9" s="3">
        <f t="shared" si="1"/>
        <v>260.79999999999995</v>
      </c>
      <c r="L9" s="3">
        <f t="shared" si="2"/>
        <v>73.92</v>
      </c>
      <c r="M9" s="3">
        <f>$J$3*(1000-K9)/$J$4</f>
        <v>123.2</v>
      </c>
      <c r="N9" s="3">
        <f t="shared" si="0"/>
        <v>60</v>
      </c>
      <c r="O9" s="3">
        <f>LOG10($M$13-M9)</f>
        <v>1.2714543622113292</v>
      </c>
      <c r="P9" s="3">
        <f t="shared" si="3"/>
        <v>0.48701298701298701</v>
      </c>
      <c r="Q9" s="3">
        <f t="shared" si="4"/>
        <v>4.0943445622221004</v>
      </c>
      <c r="R9" s="3">
        <f t="shared" si="5"/>
        <v>7.745966692414834</v>
      </c>
      <c r="T9">
        <v>2.5</v>
      </c>
      <c r="U9">
        <v>123.2</v>
      </c>
    </row>
    <row r="10" spans="2:21" x14ac:dyDescent="0.25">
      <c r="D10" s="3">
        <v>3.5</v>
      </c>
      <c r="E10" s="3">
        <f>$E$3*(1000-19.2)/$E$4</f>
        <v>163.46666666666667</v>
      </c>
      <c r="I10" s="3">
        <v>2</v>
      </c>
      <c r="J10" s="4">
        <v>0.18090000000000001</v>
      </c>
      <c r="K10" s="3">
        <f>J10*1000</f>
        <v>180.9</v>
      </c>
      <c r="L10" s="3">
        <f>(1-J10)/1*100</f>
        <v>81.91</v>
      </c>
      <c r="M10" s="3">
        <f>$J$3*(1000-K10)/$J$4</f>
        <v>136.51666666666668</v>
      </c>
      <c r="N10" s="3">
        <f t="shared" si="0"/>
        <v>120</v>
      </c>
      <c r="O10" s="3">
        <f>LOG10($M$13-M10)</f>
        <v>0.72970462131218561</v>
      </c>
      <c r="P10" s="3">
        <f t="shared" si="3"/>
        <v>0.87901355145891824</v>
      </c>
      <c r="Q10" s="3">
        <f t="shared" si="4"/>
        <v>4.7874917427820458</v>
      </c>
      <c r="R10" s="3">
        <f t="shared" si="5"/>
        <v>10.954451150103322</v>
      </c>
      <c r="T10">
        <v>2.5</v>
      </c>
      <c r="U10">
        <v>136.51666666666668</v>
      </c>
    </row>
    <row r="11" spans="2:21" x14ac:dyDescent="0.25">
      <c r="I11" s="8">
        <v>2.5</v>
      </c>
      <c r="J11" s="4">
        <v>0.1547</v>
      </c>
      <c r="K11" s="3">
        <f t="shared" ref="K11:K12" si="6">J11*1000</f>
        <v>154.70000000000002</v>
      </c>
      <c r="L11" s="3">
        <f t="shared" ref="L11:L12" si="7">(1-J11)/1*100</f>
        <v>84.53</v>
      </c>
      <c r="M11" s="3">
        <f t="shared" ref="M11:M12" si="8">$J$3*(1000-K11)/$J$4</f>
        <v>140.88333333333335</v>
      </c>
      <c r="N11" s="3">
        <f t="shared" si="0"/>
        <v>150</v>
      </c>
      <c r="O11" s="3">
        <v>0</v>
      </c>
      <c r="P11" s="3">
        <f t="shared" ref="P11" si="9">N11/M11</f>
        <v>1.0647107535786109</v>
      </c>
      <c r="Q11" s="3">
        <f t="shared" ref="Q11" si="10">LN(N11)</f>
        <v>5.0106352940962555</v>
      </c>
      <c r="R11" s="3">
        <f t="shared" ref="R11" si="11">N11^(0.5)</f>
        <v>12.24744871391589</v>
      </c>
      <c r="T11">
        <v>2.5</v>
      </c>
      <c r="U11">
        <v>140.88333333333335</v>
      </c>
    </row>
    <row r="12" spans="2:21" x14ac:dyDescent="0.25">
      <c r="I12" s="8">
        <v>3</v>
      </c>
      <c r="J12" s="4">
        <v>0.15060000000000001</v>
      </c>
      <c r="K12" s="3">
        <f t="shared" si="6"/>
        <v>150.60000000000002</v>
      </c>
      <c r="L12" s="3">
        <f t="shared" si="7"/>
        <v>84.94</v>
      </c>
      <c r="M12" s="3">
        <f t="shared" si="8"/>
        <v>141.56666666666666</v>
      </c>
      <c r="T12">
        <v>2.5</v>
      </c>
      <c r="U12">
        <v>141.56666666666666</v>
      </c>
    </row>
    <row r="13" spans="2:21" x14ac:dyDescent="0.25">
      <c r="I13" s="3">
        <v>3.5</v>
      </c>
      <c r="J13" s="4">
        <v>0.1487</v>
      </c>
      <c r="K13" s="3">
        <f>J13*1000</f>
        <v>148.69999999999999</v>
      </c>
      <c r="L13" s="3">
        <f>(1-J13)/1*100</f>
        <v>85.13</v>
      </c>
      <c r="M13" s="3">
        <f>$J$3*(1000-K13)/$J$4</f>
        <v>141.88333333333333</v>
      </c>
      <c r="T13">
        <v>2.5</v>
      </c>
      <c r="U13">
        <v>141.88333333333333</v>
      </c>
    </row>
    <row r="18" spans="23:25" x14ac:dyDescent="0.25">
      <c r="W18" s="27" t="s">
        <v>56</v>
      </c>
      <c r="X18" s="28"/>
      <c r="Y18" s="28"/>
    </row>
    <row r="19" spans="23:25" x14ac:dyDescent="0.25">
      <c r="W19" s="23" t="s">
        <v>62</v>
      </c>
      <c r="X19" s="29">
        <v>140.80000000000001</v>
      </c>
      <c r="Y19" s="30"/>
    </row>
    <row r="20" spans="23:25" x14ac:dyDescent="0.25">
      <c r="W20" s="18" t="s">
        <v>60</v>
      </c>
      <c r="X20" s="29" t="s">
        <v>61</v>
      </c>
      <c r="Y20" s="30"/>
    </row>
    <row r="21" spans="23:25" x14ac:dyDescent="0.25">
      <c r="W21" s="31" t="s">
        <v>57</v>
      </c>
      <c r="X21" s="3" t="s">
        <v>63</v>
      </c>
      <c r="Y21" s="19">
        <v>2.5000000000000001E-2</v>
      </c>
    </row>
    <row r="22" spans="23:25" x14ac:dyDescent="0.25">
      <c r="W22" s="32"/>
      <c r="X22" s="3" t="s">
        <v>44</v>
      </c>
      <c r="Y22" s="19">
        <v>0.99580000000000002</v>
      </c>
    </row>
    <row r="23" spans="23:25" x14ac:dyDescent="0.25">
      <c r="W23" s="31" t="s">
        <v>58</v>
      </c>
      <c r="X23" s="3" t="s">
        <v>65</v>
      </c>
      <c r="Y23" s="24">
        <v>0.36</v>
      </c>
    </row>
    <row r="24" spans="23:25" x14ac:dyDescent="0.25">
      <c r="W24" s="32"/>
      <c r="X24" s="3" t="s">
        <v>44</v>
      </c>
      <c r="Y24" s="19">
        <v>0.96679999999999999</v>
      </c>
    </row>
    <row r="25" spans="23:25" x14ac:dyDescent="0.25">
      <c r="W25" s="31" t="s">
        <v>59</v>
      </c>
      <c r="X25" s="3" t="s">
        <v>66</v>
      </c>
      <c r="Y25" s="19">
        <v>1.44</v>
      </c>
    </row>
    <row r="26" spans="23:25" x14ac:dyDescent="0.25">
      <c r="W26" s="33"/>
      <c r="X26" s="3" t="s">
        <v>67</v>
      </c>
      <c r="Y26" s="19">
        <v>5.8000000000000003E-2</v>
      </c>
    </row>
    <row r="27" spans="23:25" x14ac:dyDescent="0.25">
      <c r="W27" s="32"/>
      <c r="X27" s="3" t="s">
        <v>44</v>
      </c>
      <c r="Y27" s="19">
        <v>0.998</v>
      </c>
    </row>
    <row r="28" spans="23:25" x14ac:dyDescent="0.25">
      <c r="W28" s="31" t="s">
        <v>64</v>
      </c>
      <c r="X28" s="3" t="s">
        <v>68</v>
      </c>
      <c r="Y28" s="19">
        <v>7.0000000000000001E-3</v>
      </c>
    </row>
    <row r="29" spans="23:25" x14ac:dyDescent="0.25">
      <c r="W29" s="32"/>
      <c r="X29" s="3" t="s">
        <v>44</v>
      </c>
      <c r="Y29" s="19">
        <v>0.998</v>
      </c>
    </row>
  </sheetData>
  <mergeCells count="7">
    <mergeCell ref="W18:Y18"/>
    <mergeCell ref="X19:Y19"/>
    <mergeCell ref="W28:W29"/>
    <mergeCell ref="W25:W27"/>
    <mergeCell ref="W23:W24"/>
    <mergeCell ref="X20:Y20"/>
    <mergeCell ref="W21:W2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E713-A340-4623-B88C-607A3482BA91}">
  <dimension ref="B2:M11"/>
  <sheetViews>
    <sheetView zoomScale="115" zoomScaleNormal="115" workbookViewId="0">
      <selection activeCell="H15" sqref="H15"/>
    </sheetView>
  </sheetViews>
  <sheetFormatPr baseColWidth="10" defaultRowHeight="15" x14ac:dyDescent="0.25"/>
  <cols>
    <col min="2" max="2" width="26.42578125" customWidth="1"/>
    <col min="3" max="3" width="19" customWidth="1"/>
    <col min="4" max="5" width="18.85546875" bestFit="1" customWidth="1"/>
    <col min="6" max="6" width="10.28515625" customWidth="1"/>
    <col min="12" max="12" width="17.7109375" bestFit="1" customWidth="1"/>
    <col min="13" max="13" width="14.5703125" customWidth="1"/>
  </cols>
  <sheetData>
    <row r="2" spans="2:13" x14ac:dyDescent="0.25">
      <c r="B2" s="3" t="s">
        <v>2</v>
      </c>
      <c r="C2" s="3">
        <v>0.05</v>
      </c>
    </row>
    <row r="3" spans="2:13" x14ac:dyDescent="0.25">
      <c r="B3" s="3" t="s">
        <v>3</v>
      </c>
      <c r="C3" s="3">
        <v>0.3</v>
      </c>
    </row>
    <row r="4" spans="2:13" x14ac:dyDescent="0.25">
      <c r="E4" s="25" t="s">
        <v>17</v>
      </c>
      <c r="F4" s="26"/>
      <c r="G4" s="26"/>
      <c r="H4" s="26"/>
      <c r="I4" s="26"/>
      <c r="J4" s="26"/>
      <c r="K4" s="26"/>
    </row>
    <row r="5" spans="2:13" x14ac:dyDescent="0.25">
      <c r="B5" s="8" t="s">
        <v>6</v>
      </c>
      <c r="C5" s="8" t="s">
        <v>5</v>
      </c>
      <c r="D5" s="8" t="s">
        <v>7</v>
      </c>
      <c r="E5" s="8" t="s">
        <v>4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20" t="s">
        <v>16</v>
      </c>
      <c r="L5" s="8" t="s">
        <v>34</v>
      </c>
      <c r="M5" s="8" t="s">
        <v>33</v>
      </c>
    </row>
    <row r="6" spans="2:13" x14ac:dyDescent="0.25">
      <c r="B6" s="8">
        <v>0.5</v>
      </c>
      <c r="C6" s="8">
        <f t="shared" ref="C6:C11" si="0">B6*1000</f>
        <v>500</v>
      </c>
      <c r="D6" s="8">
        <v>5.28E-2</v>
      </c>
      <c r="E6" s="8">
        <f t="shared" ref="E6:E11" si="1">D6*1000</f>
        <v>52.8</v>
      </c>
      <c r="F6" s="8">
        <f t="shared" ref="F6:F11" si="2">(C6-E6)*$C$2/$C$3</f>
        <v>74.533333333333331</v>
      </c>
      <c r="G6" s="8">
        <f>E6/F6</f>
        <v>0.70840787119856885</v>
      </c>
      <c r="H6" s="8">
        <f t="shared" ref="H6:H11" si="3">LOG10(F6)</f>
        <v>1.8723505444947233</v>
      </c>
      <c r="I6" s="8">
        <f t="shared" ref="I6:I11" si="4">LOG10(E6)</f>
        <v>1.7226339225338123</v>
      </c>
      <c r="J6" s="8">
        <f t="shared" ref="J6:J11" si="5">LN(E6)</f>
        <v>3.9665111907122159</v>
      </c>
      <c r="K6" s="8">
        <f>(B6-D6)/B6*100</f>
        <v>89.44</v>
      </c>
      <c r="L6" s="8">
        <f>B6*$C$2*K6/100</f>
        <v>2.2360000000000001E-2</v>
      </c>
      <c r="M6" s="8">
        <f>B6*$C$2</f>
        <v>2.5000000000000001E-2</v>
      </c>
    </row>
    <row r="7" spans="2:13" x14ac:dyDescent="0.25">
      <c r="B7" s="8">
        <v>1</v>
      </c>
      <c r="C7" s="8">
        <f t="shared" si="0"/>
        <v>1000</v>
      </c>
      <c r="D7" s="8">
        <v>0.21240000000000001</v>
      </c>
      <c r="E7" s="8">
        <f t="shared" si="1"/>
        <v>212.4</v>
      </c>
      <c r="F7" s="8">
        <f t="shared" si="2"/>
        <v>131.26666666666668</v>
      </c>
      <c r="G7" s="8">
        <f t="shared" ref="G7:G11" si="6">E7/F7</f>
        <v>1.6180802437785677</v>
      </c>
      <c r="H7" s="8">
        <f t="shared" si="3"/>
        <v>2.1181544570824369</v>
      </c>
      <c r="I7" s="8">
        <f t="shared" si="4"/>
        <v>2.3271545124094315</v>
      </c>
      <c r="J7" s="8">
        <f t="shared" si="5"/>
        <v>5.3584712893677837</v>
      </c>
      <c r="K7" s="8">
        <f t="shared" ref="K7:K11" si="7">(B7-D7)/B7*100</f>
        <v>78.759999999999991</v>
      </c>
      <c r="L7" s="8">
        <f t="shared" ref="L7:L11" si="8">B7*$C$2*K7/100</f>
        <v>3.9379999999999998E-2</v>
      </c>
      <c r="M7" s="8">
        <f t="shared" ref="M7:M11" si="9">B7*$C$2</f>
        <v>0.05</v>
      </c>
    </row>
    <row r="8" spans="2:13" x14ac:dyDescent="0.25">
      <c r="B8" s="8">
        <v>1.5</v>
      </c>
      <c r="C8" s="8">
        <f t="shared" si="0"/>
        <v>1500</v>
      </c>
      <c r="D8" s="8">
        <v>0.54</v>
      </c>
      <c r="E8" s="8">
        <f t="shared" si="1"/>
        <v>540</v>
      </c>
      <c r="F8" s="22">
        <f t="shared" si="2"/>
        <v>160</v>
      </c>
      <c r="G8" s="8">
        <f t="shared" si="6"/>
        <v>3.375</v>
      </c>
      <c r="H8" s="8">
        <f t="shared" si="3"/>
        <v>2.2041199826559246</v>
      </c>
      <c r="I8" s="8">
        <f t="shared" si="4"/>
        <v>2.7323937598229686</v>
      </c>
      <c r="J8" s="8">
        <f t="shared" si="5"/>
        <v>6.2915691395583204</v>
      </c>
      <c r="K8" s="8">
        <f t="shared" si="7"/>
        <v>64</v>
      </c>
      <c r="L8" s="8">
        <f t="shared" si="8"/>
        <v>4.8000000000000008E-2</v>
      </c>
      <c r="M8" s="8">
        <f t="shared" si="9"/>
        <v>7.5000000000000011E-2</v>
      </c>
    </row>
    <row r="9" spans="2:13" x14ac:dyDescent="0.25">
      <c r="B9" s="8">
        <v>2</v>
      </c>
      <c r="C9" s="8">
        <f t="shared" si="0"/>
        <v>2000</v>
      </c>
      <c r="D9" s="8">
        <v>0.88800000000000001</v>
      </c>
      <c r="E9" s="8">
        <f t="shared" si="1"/>
        <v>888</v>
      </c>
      <c r="F9" s="8">
        <f t="shared" si="2"/>
        <v>185.33333333333334</v>
      </c>
      <c r="G9" s="8">
        <f t="shared" si="6"/>
        <v>4.7913669064748197</v>
      </c>
      <c r="H9" s="8">
        <f t="shared" si="3"/>
        <v>2.2679535368623949</v>
      </c>
      <c r="I9" s="8">
        <f t="shared" si="4"/>
        <v>2.9484129657786009</v>
      </c>
      <c r="J9" s="8">
        <f t="shared" si="5"/>
        <v>6.7889717429921701</v>
      </c>
      <c r="K9" s="8">
        <f t="shared" si="7"/>
        <v>55.600000000000009</v>
      </c>
      <c r="L9" s="8">
        <f t="shared" si="8"/>
        <v>5.5600000000000011E-2</v>
      </c>
      <c r="M9" s="8">
        <f t="shared" si="9"/>
        <v>0.1</v>
      </c>
    </row>
    <row r="10" spans="2:13" x14ac:dyDescent="0.25">
      <c r="B10" s="8">
        <v>2.5</v>
      </c>
      <c r="C10" s="8">
        <f t="shared" si="0"/>
        <v>2500</v>
      </c>
      <c r="D10" s="8">
        <v>1.2083999999999999</v>
      </c>
      <c r="E10" s="8">
        <f t="shared" si="1"/>
        <v>1208.3999999999999</v>
      </c>
      <c r="F10" s="8">
        <f t="shared" si="2"/>
        <v>215.26666666666671</v>
      </c>
      <c r="G10" s="8">
        <f t="shared" si="6"/>
        <v>5.6135026323939279</v>
      </c>
      <c r="H10" s="8">
        <f t="shared" si="3"/>
        <v>2.3329767859614803</v>
      </c>
      <c r="I10" s="8">
        <f t="shared" si="4"/>
        <v>3.0822107166012427</v>
      </c>
      <c r="J10" s="8">
        <f t="shared" si="5"/>
        <v>7.0970524495125167</v>
      </c>
      <c r="K10" s="8">
        <f t="shared" si="7"/>
        <v>51.664000000000001</v>
      </c>
      <c r="L10" s="8">
        <f t="shared" si="8"/>
        <v>6.4579999999999999E-2</v>
      </c>
      <c r="M10" s="8">
        <f t="shared" si="9"/>
        <v>0.125</v>
      </c>
    </row>
    <row r="11" spans="2:13" x14ac:dyDescent="0.25">
      <c r="B11" s="8">
        <v>3</v>
      </c>
      <c r="C11" s="8">
        <f t="shared" si="0"/>
        <v>3000</v>
      </c>
      <c r="D11" s="8">
        <v>1.52</v>
      </c>
      <c r="E11" s="8">
        <f t="shared" si="1"/>
        <v>1520</v>
      </c>
      <c r="F11" s="8">
        <f t="shared" si="2"/>
        <v>246.66666666666669</v>
      </c>
      <c r="G11" s="8">
        <f t="shared" si="6"/>
        <v>6.1621621621621614</v>
      </c>
      <c r="H11" s="8">
        <f t="shared" si="3"/>
        <v>2.3921104650113136</v>
      </c>
      <c r="I11" s="8">
        <f t="shared" si="4"/>
        <v>3.1818435879447726</v>
      </c>
      <c r="J11" s="8">
        <f t="shared" si="5"/>
        <v>7.3264656138403224</v>
      </c>
      <c r="K11" s="8">
        <f t="shared" si="7"/>
        <v>49.333333333333336</v>
      </c>
      <c r="L11" s="8">
        <f t="shared" si="8"/>
        <v>7.400000000000001E-2</v>
      </c>
      <c r="M11" s="8">
        <f t="shared" si="9"/>
        <v>0.15000000000000002</v>
      </c>
    </row>
  </sheetData>
  <mergeCells count="1">
    <mergeCell ref="E4:K4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5A58-0D6E-4C5B-9F9A-9A2DEE4FE04F}">
  <dimension ref="B2:M11"/>
  <sheetViews>
    <sheetView topLeftCell="A4" workbookViewId="0">
      <selection activeCell="I13" sqref="I13"/>
    </sheetView>
  </sheetViews>
  <sheetFormatPr baseColWidth="10" defaultRowHeight="15" x14ac:dyDescent="0.25"/>
  <cols>
    <col min="2" max="2" width="26.42578125" customWidth="1"/>
    <col min="3" max="3" width="19" customWidth="1"/>
    <col min="4" max="5" width="18.85546875" bestFit="1" customWidth="1"/>
    <col min="12" max="12" width="17.7109375" bestFit="1" customWidth="1"/>
    <col min="13" max="13" width="15.140625" customWidth="1"/>
  </cols>
  <sheetData>
    <row r="2" spans="2:13" x14ac:dyDescent="0.25">
      <c r="B2" s="3" t="s">
        <v>2</v>
      </c>
      <c r="C2" s="3">
        <v>0.05</v>
      </c>
    </row>
    <row r="3" spans="2:13" x14ac:dyDescent="0.25">
      <c r="B3" s="3" t="s">
        <v>3</v>
      </c>
      <c r="C3" s="3">
        <v>0.3</v>
      </c>
    </row>
    <row r="4" spans="2:13" x14ac:dyDescent="0.25">
      <c r="E4" s="25" t="s">
        <v>18</v>
      </c>
      <c r="F4" s="26"/>
      <c r="G4" s="26"/>
      <c r="H4" s="26"/>
      <c r="I4" s="26"/>
      <c r="J4" s="26"/>
      <c r="K4" s="26"/>
    </row>
    <row r="5" spans="2:13" x14ac:dyDescent="0.25">
      <c r="B5" s="8" t="s">
        <v>6</v>
      </c>
      <c r="C5" s="8" t="s">
        <v>5</v>
      </c>
      <c r="D5" s="8" t="s">
        <v>7</v>
      </c>
      <c r="E5" s="8" t="s">
        <v>4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20" t="s">
        <v>16</v>
      </c>
      <c r="L5" s="8" t="s">
        <v>34</v>
      </c>
      <c r="M5" s="8" t="s">
        <v>33</v>
      </c>
    </row>
    <row r="6" spans="2:13" x14ac:dyDescent="0.25">
      <c r="B6" s="8">
        <v>0.5</v>
      </c>
      <c r="C6" s="8">
        <f>B6*1000</f>
        <v>500</v>
      </c>
      <c r="D6" s="8">
        <v>0.13800000000000001</v>
      </c>
      <c r="E6" s="8">
        <f>D6*1000</f>
        <v>138</v>
      </c>
      <c r="F6" s="8">
        <f>(C6-E6)*$C$2/$C$3</f>
        <v>60.333333333333343</v>
      </c>
      <c r="G6" s="8">
        <f>E6/F6</f>
        <v>2.2872928176795577</v>
      </c>
      <c r="H6" s="8">
        <f>LOG10(F6)</f>
        <v>1.7805573201495222</v>
      </c>
      <c r="I6" s="8">
        <f>LOG10(E6)</f>
        <v>2.1398790864012365</v>
      </c>
      <c r="J6" s="8">
        <f>LN(E6)</f>
        <v>4.9272536851572051</v>
      </c>
      <c r="K6" s="8">
        <f>(B6-D6)/B6*100</f>
        <v>72.399999999999991</v>
      </c>
      <c r="L6" s="8">
        <f>B6*$C$2*K6/100</f>
        <v>1.8099999999999998E-2</v>
      </c>
      <c r="M6" s="8">
        <f>B6*$C$2</f>
        <v>2.5000000000000001E-2</v>
      </c>
    </row>
    <row r="7" spans="2:13" x14ac:dyDescent="0.25">
      <c r="B7" s="8">
        <v>1</v>
      </c>
      <c r="C7" s="8">
        <f t="shared" ref="C7:C11" si="0">B7*1000</f>
        <v>1000</v>
      </c>
      <c r="D7" s="8">
        <v>0.37680000000000002</v>
      </c>
      <c r="E7" s="8">
        <f t="shared" ref="E7:E11" si="1">D7*1000</f>
        <v>376.8</v>
      </c>
      <c r="F7" s="8">
        <f t="shared" ref="F7:F11" si="2">(C7-E7)*$C$2/$C$3</f>
        <v>103.86666666666669</v>
      </c>
      <c r="G7" s="8">
        <f t="shared" ref="G7:G11" si="3">E7/F7</f>
        <v>3.6277278562259299</v>
      </c>
      <c r="H7" s="8">
        <f t="shared" ref="H7:H11" si="4">LOG10(F7)</f>
        <v>2.0164761942808647</v>
      </c>
      <c r="I7" s="8">
        <f t="shared" ref="I7:I11" si="5">LOG10(E7)</f>
        <v>2.5761108941208399</v>
      </c>
      <c r="J7" s="8">
        <f t="shared" ref="J7:J11" si="6">LN(E7)</f>
        <v>5.931714542702208</v>
      </c>
      <c r="K7" s="8">
        <f t="shared" ref="K7:K11" si="7">(B7-D7)/B7*100</f>
        <v>62.32</v>
      </c>
      <c r="L7" s="8">
        <f t="shared" ref="L7:L11" si="8">B7*$C$2*K7/100</f>
        <v>3.116E-2</v>
      </c>
      <c r="M7" s="8">
        <f t="shared" ref="M7:M11" si="9">B7*$C$2</f>
        <v>0.05</v>
      </c>
    </row>
    <row r="8" spans="2:13" x14ac:dyDescent="0.25">
      <c r="B8" s="8">
        <v>1.5</v>
      </c>
      <c r="C8" s="8">
        <f t="shared" si="0"/>
        <v>1500</v>
      </c>
      <c r="D8" s="8">
        <v>0.70079999999999998</v>
      </c>
      <c r="E8" s="8">
        <f t="shared" si="1"/>
        <v>700.8</v>
      </c>
      <c r="F8" s="21">
        <f t="shared" si="2"/>
        <v>133.20000000000005</v>
      </c>
      <c r="G8" s="8">
        <f t="shared" si="3"/>
        <v>5.261261261261259</v>
      </c>
      <c r="H8" s="8">
        <f t="shared" si="4"/>
        <v>2.1245042248342823</v>
      </c>
      <c r="I8" s="8">
        <f t="shared" si="5"/>
        <v>2.8455940931600243</v>
      </c>
      <c r="J8" s="8">
        <f t="shared" si="6"/>
        <v>6.552222539622182</v>
      </c>
      <c r="K8" s="8">
        <f t="shared" si="7"/>
        <v>53.280000000000008</v>
      </c>
      <c r="L8" s="8">
        <f t="shared" si="8"/>
        <v>3.9960000000000016E-2</v>
      </c>
      <c r="M8" s="8">
        <f t="shared" si="9"/>
        <v>7.5000000000000011E-2</v>
      </c>
    </row>
    <row r="9" spans="2:13" x14ac:dyDescent="0.25">
      <c r="B9" s="8">
        <v>2</v>
      </c>
      <c r="C9" s="8">
        <f t="shared" si="0"/>
        <v>2000</v>
      </c>
      <c r="D9" s="8">
        <v>1.1244000000000001</v>
      </c>
      <c r="E9" s="8">
        <f>D9*1000</f>
        <v>1124.4000000000001</v>
      </c>
      <c r="F9" s="8">
        <f t="shared" si="2"/>
        <v>145.93333333333334</v>
      </c>
      <c r="G9" s="8">
        <f t="shared" si="3"/>
        <v>7.7048880767473733</v>
      </c>
      <c r="H9" s="8">
        <f t="shared" si="4"/>
        <v>2.1641545025122504</v>
      </c>
      <c r="I9" s="8">
        <f t="shared" si="5"/>
        <v>3.0509208369354033</v>
      </c>
      <c r="J9" s="8">
        <f t="shared" si="6"/>
        <v>7.0250048390323769</v>
      </c>
      <c r="K9" s="8">
        <f t="shared" si="7"/>
        <v>43.779999999999994</v>
      </c>
      <c r="L9" s="8">
        <f t="shared" si="8"/>
        <v>4.3779999999999993E-2</v>
      </c>
      <c r="M9" s="8">
        <f t="shared" si="9"/>
        <v>0.1</v>
      </c>
    </row>
    <row r="10" spans="2:13" x14ac:dyDescent="0.25">
      <c r="B10" s="8">
        <v>2.5</v>
      </c>
      <c r="C10" s="8">
        <f t="shared" si="0"/>
        <v>2500</v>
      </c>
      <c r="D10" s="8">
        <v>1.6779999999999999</v>
      </c>
      <c r="E10" s="8">
        <f>D10*1000</f>
        <v>1678</v>
      </c>
      <c r="F10" s="8">
        <f t="shared" si="2"/>
        <v>137</v>
      </c>
      <c r="G10" s="8">
        <f t="shared" si="3"/>
        <v>12.248175182481752</v>
      </c>
      <c r="H10" s="8">
        <f t="shared" si="4"/>
        <v>2.1367205671564067</v>
      </c>
      <c r="I10" s="8">
        <f t="shared" si="5"/>
        <v>3.2247919564926817</v>
      </c>
      <c r="J10" s="8">
        <f t="shared" si="6"/>
        <v>7.4253578870271513</v>
      </c>
      <c r="K10" s="8">
        <f t="shared" si="7"/>
        <v>32.880000000000003</v>
      </c>
      <c r="L10" s="8">
        <f t="shared" si="8"/>
        <v>4.1100000000000005E-2</v>
      </c>
      <c r="M10" s="8">
        <f t="shared" si="9"/>
        <v>0.125</v>
      </c>
    </row>
    <row r="11" spans="2:13" x14ac:dyDescent="0.25">
      <c r="B11" s="8">
        <v>3</v>
      </c>
      <c r="C11" s="8">
        <f t="shared" si="0"/>
        <v>3000</v>
      </c>
      <c r="D11" s="8">
        <v>2.109</v>
      </c>
      <c r="E11" s="8">
        <f t="shared" si="1"/>
        <v>2109</v>
      </c>
      <c r="F11" s="8">
        <f t="shared" si="2"/>
        <v>148.50000000000003</v>
      </c>
      <c r="G11" s="8">
        <f t="shared" si="3"/>
        <v>14.202020202020199</v>
      </c>
      <c r="H11" s="8">
        <f t="shared" si="4"/>
        <v>2.171726453653231</v>
      </c>
      <c r="I11" s="8">
        <f t="shared" si="5"/>
        <v>3.3240765797394864</v>
      </c>
      <c r="J11" s="8">
        <f t="shared" si="6"/>
        <v>7.6539691804787742</v>
      </c>
      <c r="K11" s="8">
        <f t="shared" si="7"/>
        <v>29.7</v>
      </c>
      <c r="L11" s="8">
        <f t="shared" si="8"/>
        <v>4.4550000000000006E-2</v>
      </c>
      <c r="M11" s="8">
        <f t="shared" si="9"/>
        <v>0.15000000000000002</v>
      </c>
    </row>
  </sheetData>
  <mergeCells count="1">
    <mergeCell ref="E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47FD9-0931-479F-B08A-72E0B1CA785F}">
  <dimension ref="C3:H15"/>
  <sheetViews>
    <sheetView workbookViewId="0">
      <selection activeCell="H18" sqref="H18"/>
    </sheetView>
  </sheetViews>
  <sheetFormatPr baseColWidth="10" defaultRowHeight="15" x14ac:dyDescent="0.25"/>
  <cols>
    <col min="4" max="4" width="10.28515625" bestFit="1" customWidth="1"/>
    <col min="5" max="5" width="14.28515625" bestFit="1" customWidth="1"/>
    <col min="6" max="6" width="16.28515625" bestFit="1" customWidth="1"/>
    <col min="7" max="7" width="14.85546875" bestFit="1" customWidth="1"/>
  </cols>
  <sheetData>
    <row r="3" spans="3:8" x14ac:dyDescent="0.25">
      <c r="C3" s="37" t="s">
        <v>38</v>
      </c>
      <c r="D3" s="37" t="s">
        <v>39</v>
      </c>
      <c r="E3" s="27" t="s">
        <v>46</v>
      </c>
      <c r="F3" s="27"/>
      <c r="G3" s="27"/>
      <c r="H3" s="13"/>
    </row>
    <row r="4" spans="3:8" x14ac:dyDescent="0.25">
      <c r="C4" s="38"/>
      <c r="D4" s="38"/>
      <c r="E4" s="15" t="s">
        <v>47</v>
      </c>
      <c r="F4" s="15" t="s">
        <v>48</v>
      </c>
      <c r="G4" s="15" t="s">
        <v>49</v>
      </c>
    </row>
    <row r="5" spans="3:8" x14ac:dyDescent="0.25">
      <c r="C5" s="34" t="s">
        <v>43</v>
      </c>
      <c r="D5" s="14" t="s">
        <v>51</v>
      </c>
      <c r="E5" s="16">
        <v>0.10440000000000001</v>
      </c>
      <c r="F5" s="16">
        <v>3.5499999999999997E-2</v>
      </c>
      <c r="G5" s="16">
        <v>3.0646300000000002</v>
      </c>
    </row>
    <row r="6" spans="3:8" x14ac:dyDescent="0.25">
      <c r="C6" s="36"/>
      <c r="D6" s="14" t="s">
        <v>44</v>
      </c>
      <c r="E6" s="16">
        <v>0.94810000000000005</v>
      </c>
      <c r="F6" s="16">
        <v>0.63929999999999998</v>
      </c>
      <c r="G6" s="16">
        <v>0.86260000000000003</v>
      </c>
    </row>
    <row r="7" spans="3:8" x14ac:dyDescent="0.25">
      <c r="C7" s="34" t="s">
        <v>40</v>
      </c>
      <c r="D7" s="14" t="s">
        <v>52</v>
      </c>
      <c r="E7" s="16">
        <v>263.14999999999998</v>
      </c>
      <c r="F7" s="16">
        <v>161.29</v>
      </c>
      <c r="G7" s="16">
        <v>666.66</v>
      </c>
    </row>
    <row r="8" spans="3:8" x14ac:dyDescent="0.25">
      <c r="C8" s="35"/>
      <c r="D8" s="14" t="s">
        <v>53</v>
      </c>
      <c r="E8" s="16">
        <v>4.1000000000000003E-3</v>
      </c>
      <c r="F8" s="16">
        <v>5.1999999999999998E-3</v>
      </c>
      <c r="G8" s="16">
        <v>0.02</v>
      </c>
    </row>
    <row r="9" spans="3:8" x14ac:dyDescent="0.25">
      <c r="C9" s="36"/>
      <c r="D9" s="14" t="s">
        <v>44</v>
      </c>
      <c r="E9" s="16">
        <v>0.96360000000000001</v>
      </c>
      <c r="F9" s="16">
        <v>0.99329999999999996</v>
      </c>
      <c r="G9" s="16">
        <v>0.96950000000000003</v>
      </c>
    </row>
    <row r="10" spans="3:8" x14ac:dyDescent="0.25">
      <c r="C10" s="34" t="s">
        <v>41</v>
      </c>
      <c r="D10" s="14" t="s">
        <v>54</v>
      </c>
      <c r="E10" s="17">
        <v>20.28</v>
      </c>
      <c r="F10" s="17">
        <v>14.38</v>
      </c>
      <c r="G10" s="17">
        <v>42.08</v>
      </c>
    </row>
    <row r="11" spans="3:8" x14ac:dyDescent="0.25">
      <c r="C11" s="35"/>
      <c r="D11" s="14" t="s">
        <v>45</v>
      </c>
      <c r="E11" s="17">
        <v>2.99</v>
      </c>
      <c r="F11" s="17">
        <v>3.15</v>
      </c>
      <c r="G11" s="17">
        <v>1.96</v>
      </c>
    </row>
    <row r="12" spans="3:8" x14ac:dyDescent="0.25">
      <c r="C12" s="36"/>
      <c r="D12" s="14" t="s">
        <v>44</v>
      </c>
      <c r="E12" s="16">
        <v>0.98519999999999996</v>
      </c>
      <c r="F12" s="16">
        <v>0.876</v>
      </c>
      <c r="G12" s="16">
        <v>0.9304</v>
      </c>
    </row>
    <row r="13" spans="3:8" x14ac:dyDescent="0.25">
      <c r="C13" s="34" t="s">
        <v>42</v>
      </c>
      <c r="D13" s="14" t="s">
        <v>55</v>
      </c>
      <c r="E13" s="16">
        <v>7.8600000000000003E-2</v>
      </c>
      <c r="F13" s="16">
        <v>6.4000000000000001E-2</v>
      </c>
      <c r="G13" s="16">
        <v>0.14399999999999999</v>
      </c>
    </row>
    <row r="14" spans="3:8" x14ac:dyDescent="0.25">
      <c r="C14" s="35"/>
      <c r="D14" s="14" t="s">
        <v>50</v>
      </c>
      <c r="E14" s="16">
        <v>46.957000000000001</v>
      </c>
      <c r="F14" s="16">
        <v>31.652000000000001</v>
      </c>
      <c r="G14" s="16">
        <v>164.78</v>
      </c>
    </row>
    <row r="15" spans="3:8" x14ac:dyDescent="0.25">
      <c r="C15" s="36"/>
      <c r="D15" s="14" t="s">
        <v>44</v>
      </c>
      <c r="E15" s="16">
        <v>0.94689999999999996</v>
      </c>
      <c r="F15" s="16">
        <v>0.90839999999999999</v>
      </c>
      <c r="G15" s="16">
        <v>0.96989999999999998</v>
      </c>
    </row>
  </sheetData>
  <mergeCells count="7">
    <mergeCell ref="C13:C15"/>
    <mergeCell ref="E3:G3"/>
    <mergeCell ref="C3:C4"/>
    <mergeCell ref="D3:D4"/>
    <mergeCell ref="C5:C6"/>
    <mergeCell ref="C7:C9"/>
    <mergeCell ref="C10:C12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36CB0-59D9-4D49-B05B-FCE2D19DCC44}">
  <dimension ref="B2:K11"/>
  <sheetViews>
    <sheetView topLeftCell="B25" workbookViewId="0">
      <selection activeCell="F13" sqref="F13"/>
    </sheetView>
  </sheetViews>
  <sheetFormatPr baseColWidth="10" defaultRowHeight="15" x14ac:dyDescent="0.25"/>
  <cols>
    <col min="2" max="2" width="26.42578125" customWidth="1"/>
    <col min="3" max="3" width="19" customWidth="1"/>
    <col min="4" max="5" width="18.85546875" bestFit="1" customWidth="1"/>
  </cols>
  <sheetData>
    <row r="2" spans="2:11" x14ac:dyDescent="0.25">
      <c r="B2" t="s">
        <v>2</v>
      </c>
      <c r="C2">
        <v>0.05</v>
      </c>
    </row>
    <row r="3" spans="2:11" x14ac:dyDescent="0.25">
      <c r="B3" t="s">
        <v>3</v>
      </c>
      <c r="C3">
        <v>0.3</v>
      </c>
    </row>
    <row r="4" spans="2:11" x14ac:dyDescent="0.25">
      <c r="E4" s="28" t="s">
        <v>19</v>
      </c>
      <c r="F4" s="28"/>
      <c r="G4" s="28"/>
      <c r="H4" s="28"/>
      <c r="I4" s="28"/>
      <c r="J4" s="28"/>
      <c r="K4" s="28"/>
    </row>
    <row r="5" spans="2:11" x14ac:dyDescent="0.25">
      <c r="B5" t="s">
        <v>6</v>
      </c>
      <c r="C5" s="1" t="s">
        <v>5</v>
      </c>
      <c r="D5" t="s">
        <v>7</v>
      </c>
      <c r="E5" s="1" t="s">
        <v>4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6" t="s">
        <v>16</v>
      </c>
    </row>
    <row r="6" spans="2:11" x14ac:dyDescent="0.25">
      <c r="B6">
        <v>0.5</v>
      </c>
      <c r="C6" s="1">
        <f t="shared" ref="C6:C11" si="0">B6*1000</f>
        <v>500</v>
      </c>
      <c r="D6">
        <v>1.32E-2</v>
      </c>
      <c r="E6" s="1">
        <f t="shared" ref="E6:E11" si="1">D6*1000</f>
        <v>13.2</v>
      </c>
      <c r="F6" s="1">
        <f t="shared" ref="F6:F11" si="2">(C6-E6)*$C$2/$C$3</f>
        <v>81.133333333333354</v>
      </c>
      <c r="G6" s="1">
        <f t="shared" ref="G6:G11" si="3">E6/F6</f>
        <v>0.16269515201314702</v>
      </c>
      <c r="H6" s="1">
        <f t="shared" ref="H6:H11" si="4">LOG10(F6)</f>
        <v>1.9091993191743839</v>
      </c>
      <c r="I6" s="1">
        <f t="shared" ref="I6:I11" si="5">LOG10(E6)</f>
        <v>1.1205739312058498</v>
      </c>
      <c r="J6" s="1">
        <f t="shared" ref="J6:J11" si="6">LN(E6)</f>
        <v>2.5802168295923251</v>
      </c>
      <c r="K6" s="3">
        <f>(1-D6)/1*100</f>
        <v>98.68</v>
      </c>
    </row>
    <row r="7" spans="2:11" x14ac:dyDescent="0.25">
      <c r="B7">
        <v>1</v>
      </c>
      <c r="C7" s="1">
        <f t="shared" si="0"/>
        <v>1000</v>
      </c>
      <c r="D7">
        <v>1.7999999999999999E-2</v>
      </c>
      <c r="E7" s="1">
        <f t="shared" si="1"/>
        <v>18</v>
      </c>
      <c r="F7" s="1">
        <f t="shared" si="2"/>
        <v>163.66666666666669</v>
      </c>
      <c r="G7" s="1">
        <f t="shared" si="3"/>
        <v>0.10997963340122198</v>
      </c>
      <c r="H7" s="1">
        <f t="shared" si="4"/>
        <v>2.2139602374033061</v>
      </c>
      <c r="I7" s="1">
        <f t="shared" si="5"/>
        <v>1.255272505103306</v>
      </c>
      <c r="J7" s="1">
        <f t="shared" si="6"/>
        <v>2.8903717578961645</v>
      </c>
      <c r="K7" s="3">
        <f t="shared" ref="K7:K11" si="7">(1-D7)/1*100</f>
        <v>98.2</v>
      </c>
    </row>
    <row r="8" spans="2:11" x14ac:dyDescent="0.25">
      <c r="B8">
        <v>1.5</v>
      </c>
      <c r="C8" s="1">
        <f t="shared" si="0"/>
        <v>1500</v>
      </c>
      <c r="D8">
        <v>0.03</v>
      </c>
      <c r="E8" s="1">
        <f t="shared" si="1"/>
        <v>30</v>
      </c>
      <c r="F8" s="2">
        <f t="shared" si="2"/>
        <v>245</v>
      </c>
      <c r="G8" s="1">
        <f t="shared" si="3"/>
        <v>0.12244897959183673</v>
      </c>
      <c r="H8" s="1">
        <f t="shared" si="4"/>
        <v>2.3891660843645326</v>
      </c>
      <c r="I8" s="1">
        <f t="shared" si="5"/>
        <v>1.4771212547196624</v>
      </c>
      <c r="J8" s="1">
        <f t="shared" si="6"/>
        <v>3.4011973816621555</v>
      </c>
      <c r="K8" s="3">
        <f t="shared" si="7"/>
        <v>97</v>
      </c>
    </row>
    <row r="9" spans="2:11" x14ac:dyDescent="0.25">
      <c r="B9">
        <v>2</v>
      </c>
      <c r="C9" s="1">
        <f t="shared" si="0"/>
        <v>2000</v>
      </c>
      <c r="D9">
        <v>3.9600000000000003E-2</v>
      </c>
      <c r="E9" s="1">
        <f t="shared" si="1"/>
        <v>39.6</v>
      </c>
      <c r="F9" s="1">
        <f t="shared" si="2"/>
        <v>326.73333333333341</v>
      </c>
      <c r="G9" s="1">
        <f t="shared" si="3"/>
        <v>0.12119975515200977</v>
      </c>
      <c r="H9" s="1">
        <f t="shared" si="4"/>
        <v>2.5141934434569486</v>
      </c>
      <c r="I9" s="1">
        <f t="shared" si="5"/>
        <v>1.5976951859255124</v>
      </c>
      <c r="J9" s="1">
        <f t="shared" si="6"/>
        <v>3.6788291182604347</v>
      </c>
      <c r="K9" s="3">
        <f t="shared" si="7"/>
        <v>96.04</v>
      </c>
    </row>
    <row r="10" spans="2:11" x14ac:dyDescent="0.25">
      <c r="B10">
        <v>2.5</v>
      </c>
      <c r="C10" s="1">
        <f t="shared" si="0"/>
        <v>2500</v>
      </c>
      <c r="D10">
        <v>9.6000000000000002E-2</v>
      </c>
      <c r="E10" s="1">
        <f t="shared" si="1"/>
        <v>96</v>
      </c>
      <c r="F10" s="1">
        <f t="shared" si="2"/>
        <v>400.66666666666669</v>
      </c>
      <c r="G10" s="1">
        <f t="shared" si="3"/>
        <v>0.23960066555740431</v>
      </c>
      <c r="H10" s="1">
        <f t="shared" si="4"/>
        <v>2.6027832129470583</v>
      </c>
      <c r="I10" s="1">
        <f t="shared" si="5"/>
        <v>1.9822712330395684</v>
      </c>
      <c r="J10" s="1">
        <f t="shared" si="6"/>
        <v>4.5643481914678361</v>
      </c>
      <c r="K10" s="3">
        <f t="shared" si="7"/>
        <v>90.4</v>
      </c>
    </row>
    <row r="11" spans="2:11" x14ac:dyDescent="0.25">
      <c r="B11">
        <v>3</v>
      </c>
      <c r="C11" s="1">
        <f t="shared" si="0"/>
        <v>3000</v>
      </c>
      <c r="D11">
        <v>0.12239999999999999</v>
      </c>
      <c r="E11" s="1">
        <f t="shared" si="1"/>
        <v>122.39999999999999</v>
      </c>
      <c r="F11" s="1">
        <f t="shared" si="2"/>
        <v>479.6</v>
      </c>
      <c r="G11" s="1">
        <f t="shared" si="3"/>
        <v>0.25521267723102581</v>
      </c>
      <c r="H11" s="1">
        <f t="shared" si="4"/>
        <v>2.6808791744268112</v>
      </c>
      <c r="I11" s="1">
        <f t="shared" si="5"/>
        <v>2.0877814178095422</v>
      </c>
      <c r="J11" s="1">
        <f t="shared" si="6"/>
        <v>4.8072943700782256</v>
      </c>
      <c r="K11" s="3">
        <f t="shared" si="7"/>
        <v>87.76</v>
      </c>
    </row>
  </sheetData>
  <mergeCells count="1">
    <mergeCell ref="E4:K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AC62-4496-41BD-825F-205B7DF1965C}">
  <dimension ref="B2:R13"/>
  <sheetViews>
    <sheetView topLeftCell="A27" workbookViewId="0">
      <selection activeCell="O11" sqref="O11"/>
    </sheetView>
  </sheetViews>
  <sheetFormatPr baseColWidth="10" defaultRowHeight="15" x14ac:dyDescent="0.25"/>
  <cols>
    <col min="6" max="6" width="11.28515625" customWidth="1"/>
    <col min="14" max="14" width="13.140625" customWidth="1"/>
  </cols>
  <sheetData>
    <row r="2" spans="2:18" x14ac:dyDescent="0.25">
      <c r="B2" s="3" t="s">
        <v>23</v>
      </c>
      <c r="C2" s="3">
        <v>8</v>
      </c>
      <c r="D2" s="3" t="s">
        <v>23</v>
      </c>
      <c r="E2" s="3">
        <v>8</v>
      </c>
      <c r="I2" s="3" t="s">
        <v>23</v>
      </c>
      <c r="J2" s="3">
        <v>10</v>
      </c>
    </row>
    <row r="3" spans="2:18" x14ac:dyDescent="0.25">
      <c r="B3" s="3" t="s">
        <v>21</v>
      </c>
      <c r="C3" s="3">
        <v>0.05</v>
      </c>
      <c r="D3" s="3" t="s">
        <v>21</v>
      </c>
      <c r="E3" s="3">
        <v>0.05</v>
      </c>
      <c r="I3" s="3" t="s">
        <v>21</v>
      </c>
      <c r="J3" s="3">
        <v>0.05</v>
      </c>
    </row>
    <row r="4" spans="2:18" x14ac:dyDescent="0.25">
      <c r="B4" s="3" t="s">
        <v>22</v>
      </c>
      <c r="C4" s="3">
        <v>0.1</v>
      </c>
      <c r="D4" s="3" t="s">
        <v>22</v>
      </c>
      <c r="E4" s="3">
        <v>0.3</v>
      </c>
      <c r="I4" s="3" t="s">
        <v>22</v>
      </c>
      <c r="J4" s="7">
        <v>0.3</v>
      </c>
    </row>
    <row r="5" spans="2:18" x14ac:dyDescent="0.25">
      <c r="B5" s="3" t="s">
        <v>14</v>
      </c>
      <c r="C5" s="3" t="s">
        <v>20</v>
      </c>
      <c r="D5" s="3" t="s">
        <v>14</v>
      </c>
      <c r="E5" s="3" t="s">
        <v>20</v>
      </c>
      <c r="I5" s="3" t="s">
        <v>28</v>
      </c>
      <c r="J5" s="3" t="s">
        <v>30</v>
      </c>
      <c r="K5" s="3" t="s">
        <v>31</v>
      </c>
      <c r="L5" s="8" t="s">
        <v>16</v>
      </c>
      <c r="M5" s="3" t="s">
        <v>20</v>
      </c>
      <c r="N5" s="3" t="s">
        <v>29</v>
      </c>
      <c r="O5" s="3" t="s">
        <v>24</v>
      </c>
      <c r="P5" s="3" t="s">
        <v>25</v>
      </c>
      <c r="Q5" s="3" t="s">
        <v>26</v>
      </c>
      <c r="R5" s="3" t="s">
        <v>27</v>
      </c>
    </row>
    <row r="6" spans="2:18" x14ac:dyDescent="0.25">
      <c r="B6" s="3">
        <v>0.1</v>
      </c>
      <c r="C6" s="3">
        <f>$C$3*(1000-54)/$C$4</f>
        <v>473</v>
      </c>
      <c r="D6" s="3">
        <v>0.1</v>
      </c>
      <c r="E6" s="3">
        <f>$E$3*(1000-55.2)/$E$4</f>
        <v>157.46666666666667</v>
      </c>
      <c r="I6" s="3">
        <v>0.1</v>
      </c>
      <c r="J6" s="4">
        <v>0.48480000000000001</v>
      </c>
      <c r="K6" s="3">
        <f>J6*1000</f>
        <v>484.8</v>
      </c>
      <c r="L6" s="3">
        <f>(1-J6)/1*100</f>
        <v>51.519999999999996</v>
      </c>
      <c r="M6" s="3">
        <f>$J$3*(1000-K6)/$J$4</f>
        <v>85.866666666666688</v>
      </c>
      <c r="N6" s="3">
        <f>I6*60</f>
        <v>6</v>
      </c>
      <c r="O6" s="3">
        <f>LOG10($M$10-M6)</f>
        <v>1.5778746068094791</v>
      </c>
      <c r="P6" s="3">
        <f>N6/M6</f>
        <v>6.9875776397515507E-2</v>
      </c>
      <c r="Q6" s="3">
        <f>LN(N6)</f>
        <v>1.791759469228055</v>
      </c>
      <c r="R6" s="3">
        <f>N6^(0.5)</f>
        <v>2.4494897427831779</v>
      </c>
    </row>
    <row r="7" spans="2:18" x14ac:dyDescent="0.25">
      <c r="B7" s="3">
        <v>0.25</v>
      </c>
      <c r="C7" s="3">
        <v>483.8</v>
      </c>
      <c r="D7" s="3">
        <v>0.25</v>
      </c>
      <c r="E7" s="3">
        <f>$E$3*(1000-25.2)/$E$4</f>
        <v>162.46666666666667</v>
      </c>
      <c r="I7" s="3">
        <v>0.25</v>
      </c>
      <c r="J7" s="4">
        <v>0.39479999999999998</v>
      </c>
      <c r="K7" s="3">
        <f t="shared" ref="K7:K9" si="0">J7*1000</f>
        <v>394.8</v>
      </c>
      <c r="L7" s="3">
        <f t="shared" ref="L7:L9" si="1">(1-J7)/1*100</f>
        <v>60.519999999999996</v>
      </c>
      <c r="M7" s="3">
        <f>$J$3*(1000-K7)/$J$4</f>
        <v>100.86666666666669</v>
      </c>
      <c r="N7" s="3">
        <f>I7*60</f>
        <v>15</v>
      </c>
      <c r="O7" s="3">
        <f>LOG10($M$13-M7)</f>
        <v>1.371683446332141</v>
      </c>
      <c r="P7" s="3">
        <f t="shared" ref="P7:P10" si="2">N7/M7</f>
        <v>0.14871116986120286</v>
      </c>
      <c r="Q7" s="3">
        <f t="shared" ref="Q7:Q10" si="3">LN(N7)</f>
        <v>2.7080502011022101</v>
      </c>
      <c r="R7" s="3">
        <f t="shared" ref="R7:R10" si="4">N7^(0.5)</f>
        <v>3.872983346207417</v>
      </c>
    </row>
    <row r="8" spans="2:18" x14ac:dyDescent="0.25">
      <c r="B8" s="3">
        <v>0.5</v>
      </c>
      <c r="C8" s="3">
        <v>487.4</v>
      </c>
      <c r="D8" s="3">
        <v>0.5</v>
      </c>
      <c r="E8" s="3">
        <f>$E$3*(1000-26.4)/$E$4</f>
        <v>162.26666666666671</v>
      </c>
      <c r="I8" s="3">
        <v>0.5</v>
      </c>
      <c r="J8" s="4">
        <v>0.33239999999999997</v>
      </c>
      <c r="K8" s="3">
        <f t="shared" si="0"/>
        <v>332.4</v>
      </c>
      <c r="L8" s="3">
        <f t="shared" si="1"/>
        <v>66.759999999999991</v>
      </c>
      <c r="M8" s="3">
        <f>$J$3*(1000-K8)/$J$4</f>
        <v>111.26666666666668</v>
      </c>
      <c r="N8" s="3">
        <f>I8*60</f>
        <v>30</v>
      </c>
      <c r="O8" s="3">
        <f>LOG10($M$13-M8)</f>
        <v>1.1183749671059113</v>
      </c>
      <c r="P8" s="3">
        <f t="shared" si="2"/>
        <v>0.26962252846015577</v>
      </c>
      <c r="Q8" s="3">
        <f t="shared" si="3"/>
        <v>3.4011973816621555</v>
      </c>
      <c r="R8" s="3">
        <f t="shared" si="4"/>
        <v>5.4772255750516612</v>
      </c>
    </row>
    <row r="9" spans="2:18" x14ac:dyDescent="0.25">
      <c r="B9" s="3">
        <v>2</v>
      </c>
      <c r="C9" s="3">
        <f>$C$3*(1000-21.6)/$C$4</f>
        <v>489.2</v>
      </c>
      <c r="D9" s="3">
        <v>2</v>
      </c>
      <c r="E9" s="3">
        <f>$E$3*(1000-15)/$E$4</f>
        <v>164.16666666666669</v>
      </c>
      <c r="I9" s="9">
        <v>1</v>
      </c>
      <c r="J9" s="10">
        <v>0.31680000000000003</v>
      </c>
      <c r="K9" s="3">
        <f t="shared" si="0"/>
        <v>316.8</v>
      </c>
      <c r="L9" s="3">
        <f t="shared" si="1"/>
        <v>68.320000000000007</v>
      </c>
      <c r="M9" s="3">
        <f>$J$3*(1000-K9)/$J$4</f>
        <v>113.86666666666669</v>
      </c>
      <c r="N9" s="3">
        <f>I9*60</f>
        <v>60</v>
      </c>
      <c r="O9" s="3">
        <f>LOG10($M$13-M9)</f>
        <v>1.0225658278987406</v>
      </c>
      <c r="P9" s="3">
        <f t="shared" si="2"/>
        <v>0.52693208430913341</v>
      </c>
      <c r="Q9" s="3">
        <f t="shared" si="3"/>
        <v>4.0943445622221004</v>
      </c>
      <c r="R9" s="3">
        <f t="shared" si="4"/>
        <v>7.745966692414834</v>
      </c>
    </row>
    <row r="10" spans="2:18" x14ac:dyDescent="0.25">
      <c r="D10" s="3">
        <v>3.5</v>
      </c>
      <c r="E10" s="3">
        <f>$E$3*(1000-19.2)/$E$4</f>
        <v>163.46666666666667</v>
      </c>
      <c r="I10" s="3">
        <v>2</v>
      </c>
      <c r="J10" s="4">
        <v>0.25779999999999997</v>
      </c>
      <c r="K10" s="3">
        <f>J10*1000</f>
        <v>257.79999999999995</v>
      </c>
      <c r="L10" s="3">
        <f>(1-J10)/1*100</f>
        <v>74.22</v>
      </c>
      <c r="M10" s="3">
        <f>$J$3*(1000-K10)/$J$4</f>
        <v>123.70000000000003</v>
      </c>
      <c r="N10" s="3">
        <f>I10*60</f>
        <v>120</v>
      </c>
      <c r="O10" s="3">
        <v>0</v>
      </c>
      <c r="P10" s="3">
        <f t="shared" si="2"/>
        <v>0.97008892481810804</v>
      </c>
      <c r="Q10" s="3">
        <f t="shared" si="3"/>
        <v>4.7874917427820458</v>
      </c>
      <c r="R10" s="3">
        <f t="shared" si="4"/>
        <v>10.954451150103322</v>
      </c>
    </row>
    <row r="11" spans="2:18" x14ac:dyDescent="0.25">
      <c r="I11" s="8">
        <v>2.5</v>
      </c>
      <c r="J11" s="4">
        <v>0.24940000000000001</v>
      </c>
      <c r="K11" s="3">
        <f t="shared" ref="K11:K12" si="5">J11*1000</f>
        <v>249.4</v>
      </c>
      <c r="L11" s="3">
        <f t="shared" ref="L11:L12" si="6">(1-J11)/1*100</f>
        <v>75.059999999999988</v>
      </c>
      <c r="M11" s="3">
        <f t="shared" ref="M11:M12" si="7">$J$3*(1000-K11)/$J$4</f>
        <v>125.10000000000001</v>
      </c>
    </row>
    <row r="12" spans="2:18" x14ac:dyDescent="0.25">
      <c r="I12" s="8">
        <v>3</v>
      </c>
      <c r="J12" s="4">
        <v>0.25559999999999999</v>
      </c>
      <c r="K12" s="3">
        <f t="shared" si="5"/>
        <v>255.6</v>
      </c>
      <c r="L12" s="3">
        <f t="shared" si="6"/>
        <v>74.44</v>
      </c>
      <c r="M12" s="3">
        <f t="shared" si="7"/>
        <v>124.06666666666666</v>
      </c>
    </row>
    <row r="13" spans="2:18" x14ac:dyDescent="0.25">
      <c r="I13" s="3">
        <v>3.5</v>
      </c>
      <c r="J13" s="4">
        <v>0.25359999999999999</v>
      </c>
      <c r="K13" s="3">
        <f>J13*1000</f>
        <v>253.6</v>
      </c>
      <c r="L13" s="3">
        <f>(1-J13)/1*100</f>
        <v>74.64</v>
      </c>
      <c r="M13" s="3">
        <f>$J$3*(1000-K13)/$J$4</f>
        <v>124.4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diseño statdgraf</vt:lpstr>
      <vt:lpstr>curva de calibracion </vt:lpstr>
      <vt:lpstr>punto de carga cero</vt:lpstr>
      <vt:lpstr>cinetica de adsorción 0,3g</vt:lpstr>
      <vt:lpstr>isotermas coque activado 0,3g</vt:lpstr>
      <vt:lpstr>isotermas de coque sin acti 0,3</vt:lpstr>
      <vt:lpstr>parametros</vt:lpstr>
      <vt:lpstr>isotermas de carbon activado</vt:lpstr>
      <vt:lpstr>cinetica de adsorción 0,3g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2021-08-04T17:25:10Z</dcterms:created>
  <dcterms:modified xsi:type="dcterms:W3CDTF">2021-10-27T22:23:05Z</dcterms:modified>
</cp:coreProperties>
</file>