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aseoa-my.sharepoint.com/personal/albernal_interaseo_com_co/Documents/EESP/Monografía/Versiones/Versión final/"/>
    </mc:Choice>
  </mc:AlternateContent>
  <xr:revisionPtr revIDLastSave="14" documentId="11_A7FA389CDA1B6C5CC766FAF63DD175B1D2527B7F" xr6:coauthVersionLast="47" xr6:coauthVersionMax="47" xr10:uidLastSave="{779824C1-BA4C-490F-A8AE-CF7F984A6A88}"/>
  <bookViews>
    <workbookView xWindow="-120" yWindow="-120" windowWidth="20730" windowHeight="11160" xr2:uid="{00000000-000D-0000-FFFF-FFFF00000000}"/>
  </bookViews>
  <sheets>
    <sheet name="Análisis financiero" sheetId="4" r:id="rId1"/>
    <sheet name="Hoja1" sheetId="5" r:id="rId2"/>
  </sheets>
  <definedNames>
    <definedName name="FC_0" localSheetId="0">'Análisis financiero'!$G$386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9" i="4" l="1"/>
  <c r="E267" i="4"/>
  <c r="I338" i="4"/>
  <c r="E348" i="4"/>
  <c r="D355" i="4" l="1"/>
  <c r="D335" i="4"/>
  <c r="H108" i="4" l="1"/>
  <c r="I108" i="4" s="1"/>
  <c r="F107" i="4"/>
  <c r="H107" i="4" s="1"/>
  <c r="I107" i="4" s="1"/>
  <c r="D59" i="4"/>
  <c r="D68" i="4"/>
  <c r="I109" i="4" l="1"/>
  <c r="H109" i="4"/>
  <c r="F109" i="4"/>
  <c r="D181" i="4"/>
  <c r="M6" i="4"/>
  <c r="D192" i="4"/>
  <c r="J63" i="5"/>
  <c r="D185" i="4" l="1"/>
  <c r="D269" i="4"/>
  <c r="D270" i="4" l="1"/>
  <c r="E265" i="4"/>
  <c r="F265" i="4" s="1"/>
  <c r="G265" i="4" s="1"/>
  <c r="H265" i="4" s="1"/>
  <c r="I265" i="4" s="1"/>
  <c r="B63" i="5"/>
  <c r="D184" i="4" l="1"/>
  <c r="N63" i="5"/>
  <c r="E12" i="4"/>
  <c r="E16" i="4"/>
  <c r="E15" i="4"/>
  <c r="F15" i="4" s="1"/>
  <c r="H15" i="4" s="1"/>
  <c r="E11" i="4"/>
  <c r="E14" i="4"/>
  <c r="E13" i="4"/>
  <c r="D186" i="4" l="1"/>
  <c r="F11" i="4"/>
  <c r="F12" i="4"/>
  <c r="H12" i="4" s="1"/>
  <c r="F13" i="4"/>
  <c r="H13" i="4" s="1"/>
  <c r="F14" i="4"/>
  <c r="H14" i="4" s="1"/>
  <c r="F16" i="4"/>
  <c r="H16" i="4" s="1"/>
  <c r="F17" i="4"/>
  <c r="H17" i="4" s="1"/>
  <c r="F19" i="4"/>
  <c r="F21" i="4"/>
  <c r="F22" i="4"/>
  <c r="F24" i="4"/>
  <c r="F26" i="4"/>
  <c r="F32" i="4"/>
  <c r="E33" i="4"/>
  <c r="F33" i="4" s="1"/>
  <c r="F40" i="4"/>
  <c r="F41" i="4"/>
  <c r="F42" i="4"/>
  <c r="F44" i="4"/>
  <c r="E55" i="4"/>
  <c r="E278" i="4" s="1"/>
  <c r="F278" i="4" s="1"/>
  <c r="G278" i="4" s="1"/>
  <c r="H278" i="4" s="1"/>
  <c r="I278" i="4" s="1"/>
  <c r="E56" i="4"/>
  <c r="E279" i="4" s="1"/>
  <c r="F279" i="4" s="1"/>
  <c r="G279" i="4" s="1"/>
  <c r="H279" i="4" s="1"/>
  <c r="I279" i="4" s="1"/>
  <c r="E57" i="4"/>
  <c r="E280" i="4" s="1"/>
  <c r="E58" i="4"/>
  <c r="E281" i="4" s="1"/>
  <c r="F281" i="4" s="1"/>
  <c r="G281" i="4" s="1"/>
  <c r="H281" i="4" s="1"/>
  <c r="I281" i="4" s="1"/>
  <c r="E290" i="4"/>
  <c r="F290" i="4" s="1"/>
  <c r="G290" i="4" s="1"/>
  <c r="H290" i="4" s="1"/>
  <c r="I290" i="4" s="1"/>
  <c r="E75" i="4"/>
  <c r="E297" i="4" s="1"/>
  <c r="F297" i="4" s="1"/>
  <c r="D79" i="4"/>
  <c r="E79" i="4" s="1"/>
  <c r="E304" i="4" s="1"/>
  <c r="I86" i="4"/>
  <c r="J86" i="4"/>
  <c r="K86" i="4"/>
  <c r="L86" i="4"/>
  <c r="M86" i="4"/>
  <c r="N86" i="4"/>
  <c r="O86" i="4"/>
  <c r="P86" i="4" s="1"/>
  <c r="I87" i="4"/>
  <c r="J87" i="4"/>
  <c r="K87" i="4"/>
  <c r="L87" i="4"/>
  <c r="M87" i="4"/>
  <c r="N87" i="4"/>
  <c r="O87" i="4"/>
  <c r="P87" i="4" s="1"/>
  <c r="I88" i="4"/>
  <c r="J88" i="4"/>
  <c r="K88" i="4"/>
  <c r="L88" i="4"/>
  <c r="M88" i="4"/>
  <c r="N88" i="4"/>
  <c r="O88" i="4"/>
  <c r="P88" i="4" s="1"/>
  <c r="I89" i="4"/>
  <c r="J89" i="4"/>
  <c r="K89" i="4"/>
  <c r="L89" i="4"/>
  <c r="M89" i="4"/>
  <c r="N89" i="4"/>
  <c r="O89" i="4"/>
  <c r="P89" i="4" s="1"/>
  <c r="I90" i="4"/>
  <c r="J90" i="4"/>
  <c r="K90" i="4"/>
  <c r="L90" i="4"/>
  <c r="M90" i="4"/>
  <c r="N90" i="4"/>
  <c r="O90" i="4"/>
  <c r="P90" i="4" s="1"/>
  <c r="F97" i="4"/>
  <c r="H97" i="4" s="1"/>
  <c r="H98" i="4"/>
  <c r="I98" i="4" s="1"/>
  <c r="H99" i="4"/>
  <c r="I99" i="4" s="1"/>
  <c r="H100" i="4"/>
  <c r="I100" i="4" s="1"/>
  <c r="H101" i="4"/>
  <c r="I101" i="4" s="1"/>
  <c r="E170" i="4"/>
  <c r="F170" i="4" s="1"/>
  <c r="G170" i="4" s="1"/>
  <c r="H170" i="4" s="1"/>
  <c r="D173" i="4"/>
  <c r="F210" i="4"/>
  <c r="G210" i="4" s="1"/>
  <c r="D211" i="4"/>
  <c r="F211" i="4" s="1"/>
  <c r="G211" i="4" s="1"/>
  <c r="E219" i="4"/>
  <c r="F219" i="4" s="1"/>
  <c r="E239" i="4"/>
  <c r="F239" i="4"/>
  <c r="G239" i="4"/>
  <c r="H239" i="4"/>
  <c r="I239" i="4"/>
  <c r="E244" i="4"/>
  <c r="F244" i="4" s="1"/>
  <c r="G244" i="4" s="1"/>
  <c r="H244" i="4" s="1"/>
  <c r="I244" i="4" s="1"/>
  <c r="E246" i="4"/>
  <c r="F246" i="4"/>
  <c r="G246" i="4"/>
  <c r="H246" i="4"/>
  <c r="I246" i="4"/>
  <c r="E252" i="4"/>
  <c r="F252" i="4" s="1"/>
  <c r="G252" i="4" s="1"/>
  <c r="H252" i="4" s="1"/>
  <c r="I252" i="4" s="1"/>
  <c r="E254" i="4"/>
  <c r="F254" i="4"/>
  <c r="G254" i="4"/>
  <c r="H254" i="4"/>
  <c r="I254" i="4"/>
  <c r="E282" i="4"/>
  <c r="F282" i="4" s="1"/>
  <c r="G282" i="4" s="1"/>
  <c r="H282" i="4" s="1"/>
  <c r="I282" i="4" s="1"/>
  <c r="D358" i="4"/>
  <c r="H19" i="4" l="1"/>
  <c r="D148" i="4"/>
  <c r="E149" i="4" s="1"/>
  <c r="H24" i="4"/>
  <c r="H11" i="4"/>
  <c r="D140" i="4"/>
  <c r="D132" i="4"/>
  <c r="E133" i="4" s="1"/>
  <c r="D124" i="4"/>
  <c r="F27" i="4"/>
  <c r="D116" i="4"/>
  <c r="F34" i="4"/>
  <c r="Q86" i="4"/>
  <c r="R86" i="4" s="1"/>
  <c r="Q87" i="4"/>
  <c r="R87" i="4" s="1"/>
  <c r="S87" i="4" s="1"/>
  <c r="Q90" i="4"/>
  <c r="R90" i="4" s="1"/>
  <c r="Q89" i="4"/>
  <c r="R89" i="4" s="1"/>
  <c r="S89" i="4" s="1"/>
  <c r="F280" i="4"/>
  <c r="G280" i="4" s="1"/>
  <c r="H280" i="4" s="1"/>
  <c r="I280" i="4" s="1"/>
  <c r="F304" i="4"/>
  <c r="E305" i="4"/>
  <c r="E320" i="4" s="1"/>
  <c r="G297" i="4"/>
  <c r="F228" i="4"/>
  <c r="G219" i="4"/>
  <c r="I170" i="4"/>
  <c r="Q88" i="4"/>
  <c r="R88" i="4" s="1"/>
  <c r="S88" i="4" s="1"/>
  <c r="I97" i="4"/>
  <c r="I102" i="4" s="1"/>
  <c r="H102" i="4"/>
  <c r="E228" i="4"/>
  <c r="F102" i="4"/>
  <c r="E171" i="4"/>
  <c r="E325" i="4" s="1"/>
  <c r="E338" i="4" s="1"/>
  <c r="D360" i="4" l="1"/>
  <c r="D339" i="4"/>
  <c r="E125" i="4"/>
  <c r="E126" i="4" s="1"/>
  <c r="D69" i="4"/>
  <c r="F45" i="4"/>
  <c r="F46" i="4" s="1"/>
  <c r="E117" i="4"/>
  <c r="S86" i="4"/>
  <c r="G269" i="4" s="1"/>
  <c r="D67" i="4"/>
  <c r="H27" i="4"/>
  <c r="I328" i="4" s="1"/>
  <c r="E141" i="4"/>
  <c r="D156" i="4"/>
  <c r="E157" i="4" s="1"/>
  <c r="E172" i="4"/>
  <c r="E173" i="4" s="1"/>
  <c r="F171" i="4" s="1"/>
  <c r="E266" i="4"/>
  <c r="F266" i="4"/>
  <c r="D60" i="4"/>
  <c r="E60" i="4" s="1"/>
  <c r="S90" i="4"/>
  <c r="H297" i="4"/>
  <c r="E150" i="4"/>
  <c r="E151" i="4" s="1"/>
  <c r="F149" i="4"/>
  <c r="F305" i="4"/>
  <c r="F320" i="4" s="1"/>
  <c r="G304" i="4"/>
  <c r="R91" i="4"/>
  <c r="F133" i="4"/>
  <c r="E134" i="4"/>
  <c r="E135" i="4" s="1"/>
  <c r="G228" i="4"/>
  <c r="H219" i="4"/>
  <c r="F125" i="4" l="1"/>
  <c r="G125" i="4" s="1"/>
  <c r="H125" i="4" s="1"/>
  <c r="I125" i="4" s="1"/>
  <c r="E322" i="4"/>
  <c r="F117" i="4"/>
  <c r="E118" i="4"/>
  <c r="E269" i="4"/>
  <c r="F269" i="4"/>
  <c r="H269" i="4"/>
  <c r="S91" i="4"/>
  <c r="E142" i="4"/>
  <c r="E143" i="4" s="1"/>
  <c r="F141" i="4"/>
  <c r="F172" i="4"/>
  <c r="F173" i="4" s="1"/>
  <c r="G171" i="4" s="1"/>
  <c r="F325" i="4"/>
  <c r="F338" i="4" s="1"/>
  <c r="E158" i="4"/>
  <c r="E159" i="4" s="1"/>
  <c r="E323" i="4"/>
  <c r="E357" i="4" s="1"/>
  <c r="F157" i="4"/>
  <c r="D259" i="4"/>
  <c r="D260" i="4" s="1"/>
  <c r="D340" i="4" s="1"/>
  <c r="D342" i="4" s="1"/>
  <c r="D361" i="4"/>
  <c r="D363" i="4" s="1"/>
  <c r="E359" i="4"/>
  <c r="G266" i="4"/>
  <c r="D61" i="4"/>
  <c r="D202" i="4" s="1"/>
  <c r="E283" i="4"/>
  <c r="E61" i="4"/>
  <c r="G149" i="4"/>
  <c r="F150" i="4"/>
  <c r="F151" i="4" s="1"/>
  <c r="G289" i="4"/>
  <c r="H289" i="4"/>
  <c r="I289" i="4"/>
  <c r="D70" i="4"/>
  <c r="D201" i="4" s="1"/>
  <c r="E289" i="4"/>
  <c r="F289" i="4"/>
  <c r="E291" i="4"/>
  <c r="F291" i="4" s="1"/>
  <c r="G291" i="4" s="1"/>
  <c r="H291" i="4" s="1"/>
  <c r="I291" i="4" s="1"/>
  <c r="E249" i="4"/>
  <c r="G133" i="4"/>
  <c r="F134" i="4"/>
  <c r="F135" i="4" s="1"/>
  <c r="D235" i="4"/>
  <c r="F48" i="4"/>
  <c r="H228" i="4"/>
  <c r="I219" i="4"/>
  <c r="I228" i="4" s="1"/>
  <c r="I297" i="4"/>
  <c r="I269" i="4" s="1"/>
  <c r="G305" i="4"/>
  <c r="G320" i="4" s="1"/>
  <c r="H304" i="4"/>
  <c r="F126" i="4"/>
  <c r="E127" i="4"/>
  <c r="E336" i="4" l="1"/>
  <c r="E356" i="4"/>
  <c r="F118" i="4"/>
  <c r="F119" i="4" s="1"/>
  <c r="G117" i="4"/>
  <c r="G322" i="4" s="1"/>
  <c r="G356" i="4" s="1"/>
  <c r="F322" i="4"/>
  <c r="F356" i="4" s="1"/>
  <c r="E337" i="4"/>
  <c r="E119" i="4"/>
  <c r="F142" i="4"/>
  <c r="F143" i="4" s="1"/>
  <c r="G141" i="4"/>
  <c r="D364" i="4"/>
  <c r="D343" i="4"/>
  <c r="F158" i="4"/>
  <c r="F159" i="4" s="1"/>
  <c r="G172" i="4"/>
  <c r="G173" i="4" s="1"/>
  <c r="H171" i="4" s="1"/>
  <c r="G325" i="4"/>
  <c r="G338" i="4" s="1"/>
  <c r="G157" i="4"/>
  <c r="F323" i="4"/>
  <c r="F357" i="4" s="1"/>
  <c r="I266" i="4"/>
  <c r="H266" i="4"/>
  <c r="G292" i="4"/>
  <c r="G317" i="4" s="1"/>
  <c r="F292" i="4"/>
  <c r="F317" i="4" s="1"/>
  <c r="E292" i="4"/>
  <c r="E317" i="4" s="1"/>
  <c r="I292" i="4"/>
  <c r="I317" i="4" s="1"/>
  <c r="F283" i="4"/>
  <c r="G283" i="4" s="1"/>
  <c r="H283" i="4" s="1"/>
  <c r="I283" i="4" s="1"/>
  <c r="E284" i="4"/>
  <c r="H305" i="4"/>
  <c r="H320" i="4" s="1"/>
  <c r="I304" i="4"/>
  <c r="I305" i="4" s="1"/>
  <c r="I320" i="4" s="1"/>
  <c r="H292" i="4"/>
  <c r="H317" i="4" s="1"/>
  <c r="H149" i="4"/>
  <c r="G150" i="4"/>
  <c r="G151" i="4" s="1"/>
  <c r="H133" i="4"/>
  <c r="G134" i="4"/>
  <c r="G135" i="4" s="1"/>
  <c r="E250" i="4"/>
  <c r="F249" i="4"/>
  <c r="G126" i="4"/>
  <c r="F127" i="4"/>
  <c r="G336" i="4" l="1"/>
  <c r="F336" i="4"/>
  <c r="F337" i="4"/>
  <c r="G118" i="4"/>
  <c r="H117" i="4"/>
  <c r="I117" i="4" s="1"/>
  <c r="G142" i="4"/>
  <c r="G143" i="4" s="1"/>
  <c r="H141" i="4"/>
  <c r="H157" i="4"/>
  <c r="G323" i="4"/>
  <c r="G357" i="4" s="1"/>
  <c r="H172" i="4"/>
  <c r="H173" i="4" s="1"/>
  <c r="I171" i="4" s="1"/>
  <c r="H325" i="4"/>
  <c r="H338" i="4" s="1"/>
  <c r="F284" i="4"/>
  <c r="E318" i="4"/>
  <c r="G158" i="4"/>
  <c r="D193" i="4"/>
  <c r="D183" i="4" s="1"/>
  <c r="I133" i="4"/>
  <c r="H134" i="4"/>
  <c r="H135" i="4" s="1"/>
  <c r="I149" i="4"/>
  <c r="H150" i="4"/>
  <c r="H151" i="4" s="1"/>
  <c r="G119" i="4"/>
  <c r="G127" i="4"/>
  <c r="H126" i="4"/>
  <c r="F250" i="4"/>
  <c r="G249" i="4"/>
  <c r="F359" i="4"/>
  <c r="H118" i="4" l="1"/>
  <c r="I118" i="4" s="1"/>
  <c r="I119" i="4" s="1"/>
  <c r="H142" i="4"/>
  <c r="H143" i="4" s="1"/>
  <c r="G337" i="4"/>
  <c r="H322" i="4"/>
  <c r="H356" i="4" s="1"/>
  <c r="I141" i="4"/>
  <c r="H158" i="4"/>
  <c r="I157" i="4"/>
  <c r="I323" i="4" s="1"/>
  <c r="I357" i="4" s="1"/>
  <c r="H323" i="4"/>
  <c r="H357" i="4" s="1"/>
  <c r="I172" i="4"/>
  <c r="I173" i="4" s="1"/>
  <c r="I325" i="4"/>
  <c r="G159" i="4"/>
  <c r="G284" i="4"/>
  <c r="F318" i="4"/>
  <c r="D188" i="4"/>
  <c r="D189" i="4" s="1"/>
  <c r="D366" i="4" s="1"/>
  <c r="I126" i="4"/>
  <c r="I127" i="4" s="1"/>
  <c r="H127" i="4"/>
  <c r="G250" i="4"/>
  <c r="H249" i="4"/>
  <c r="I150" i="4"/>
  <c r="I151" i="4" s="1"/>
  <c r="I134" i="4"/>
  <c r="I135" i="4" s="1"/>
  <c r="H119" i="4" l="1"/>
  <c r="I142" i="4"/>
  <c r="I143" i="4" s="1"/>
  <c r="I322" i="4"/>
  <c r="I356" i="4" s="1"/>
  <c r="H337" i="4"/>
  <c r="H336" i="4"/>
  <c r="I337" i="4"/>
  <c r="I158" i="4"/>
  <c r="I159" i="4" s="1"/>
  <c r="H159" i="4"/>
  <c r="H284" i="4"/>
  <c r="G318" i="4"/>
  <c r="D196" i="4"/>
  <c r="D345" i="4" s="1"/>
  <c r="D203" i="4"/>
  <c r="G201" i="4" s="1"/>
  <c r="H250" i="4"/>
  <c r="I249" i="4"/>
  <c r="I250" i="4" s="1"/>
  <c r="G359" i="4"/>
  <c r="I336" i="4" l="1"/>
  <c r="I284" i="4"/>
  <c r="I318" i="4" s="1"/>
  <c r="H318" i="4"/>
  <c r="E229" i="4"/>
  <c r="E316" i="4" l="1"/>
  <c r="E230" i="4"/>
  <c r="F229" i="4"/>
  <c r="F267" i="4" s="1"/>
  <c r="H359" i="4"/>
  <c r="E270" i="4" l="1"/>
  <c r="F270" i="4"/>
  <c r="F316" i="4"/>
  <c r="E298" i="4"/>
  <c r="E299" i="4" s="1"/>
  <c r="E319" i="4" s="1"/>
  <c r="E315" i="4"/>
  <c r="E242" i="4"/>
  <c r="G229" i="4"/>
  <c r="G267" i="4" s="1"/>
  <c r="F230" i="4"/>
  <c r="F315" i="4" s="1"/>
  <c r="I359" i="4"/>
  <c r="G270" i="4" l="1"/>
  <c r="G316" i="4"/>
  <c r="E321" i="4"/>
  <c r="E324" i="4" s="1"/>
  <c r="F298" i="4"/>
  <c r="F299" i="4" s="1"/>
  <c r="F319" i="4" s="1"/>
  <c r="F321" i="4" s="1"/>
  <c r="F324" i="4" s="1"/>
  <c r="F242" i="4"/>
  <c r="G230" i="4"/>
  <c r="H229" i="4"/>
  <c r="H267" i="4" s="1"/>
  <c r="E259" i="4"/>
  <c r="E260" i="4" s="1"/>
  <c r="G298" i="4" l="1"/>
  <c r="G299" i="4" s="1"/>
  <c r="G319" i="4" s="1"/>
  <c r="G315" i="4"/>
  <c r="E340" i="4"/>
  <c r="H316" i="4"/>
  <c r="I229" i="4"/>
  <c r="I267" i="4" s="1"/>
  <c r="F259" i="4"/>
  <c r="F260" i="4" s="1"/>
  <c r="H230" i="4"/>
  <c r="H315" i="4" s="1"/>
  <c r="G242" i="4"/>
  <c r="G321" i="4" l="1"/>
  <c r="G324" i="4" s="1"/>
  <c r="E361" i="4"/>
  <c r="F340" i="4"/>
  <c r="H270" i="4"/>
  <c r="H298" i="4"/>
  <c r="H299" i="4" s="1"/>
  <c r="H319" i="4" s="1"/>
  <c r="H321" i="4" s="1"/>
  <c r="H324" i="4" s="1"/>
  <c r="H242" i="4"/>
  <c r="G259" i="4"/>
  <c r="G260" i="4" s="1"/>
  <c r="I316" i="4"/>
  <c r="I230" i="4"/>
  <c r="I315" i="4" s="1"/>
  <c r="F361" i="4" l="1"/>
  <c r="G340" i="4"/>
  <c r="I242" i="4"/>
  <c r="I298" i="4"/>
  <c r="I299" i="4" s="1"/>
  <c r="I319" i="4" s="1"/>
  <c r="I321" i="4" s="1"/>
  <c r="I324" i="4" s="1"/>
  <c r="I270" i="4"/>
  <c r="H259" i="4"/>
  <c r="H260" i="4" s="1"/>
  <c r="G361" i="4" l="1"/>
  <c r="H340" i="4"/>
  <c r="H361" i="4" s="1"/>
  <c r="I259" i="4"/>
  <c r="I261" i="4" l="1"/>
  <c r="I260" i="4"/>
  <c r="I340" i="4" s="1"/>
  <c r="I341" i="4" s="1"/>
  <c r="I361" i="4" l="1"/>
  <c r="I362" i="4" s="1"/>
  <c r="E326" i="4" l="1"/>
  <c r="E327" i="4" l="1"/>
  <c r="E329" i="4" s="1"/>
  <c r="E335" i="4" s="1"/>
  <c r="E342" i="4" s="1"/>
  <c r="E343" i="4" l="1"/>
  <c r="E344" i="4" s="1"/>
  <c r="E355" i="4"/>
  <c r="E363" i="4" s="1"/>
  <c r="E364" i="4" l="1"/>
  <c r="E365" i="4" s="1"/>
  <c r="G326" i="4"/>
  <c r="F326" i="4"/>
  <c r="I326" i="4"/>
  <c r="H326" i="4"/>
  <c r="I327" i="4" l="1"/>
  <c r="I329" i="4" s="1"/>
  <c r="F327" i="4"/>
  <c r="F329" i="4" s="1"/>
  <c r="H327" i="4"/>
  <c r="H329" i="4" s="1"/>
  <c r="G327" i="4"/>
  <c r="G329" i="4" s="1"/>
  <c r="G335" i="4" l="1"/>
  <c r="G342" i="4" s="1"/>
  <c r="G343" i="4" s="1"/>
  <c r="G355" i="4"/>
  <c r="G363" i="4" s="1"/>
  <c r="G364" i="4" s="1"/>
  <c r="H335" i="4"/>
  <c r="H355" i="4"/>
  <c r="H363" i="4" s="1"/>
  <c r="H364" i="4" s="1"/>
  <c r="F335" i="4"/>
  <c r="F342" i="4" s="1"/>
  <c r="F355" i="4"/>
  <c r="F363" i="4" s="1"/>
  <c r="I335" i="4"/>
  <c r="I342" i="4" s="1"/>
  <c r="I343" i="4" s="1"/>
  <c r="I355" i="4"/>
  <c r="I363" i="4" s="1"/>
  <c r="H342" i="4" l="1"/>
  <c r="H343" i="4" s="1"/>
  <c r="D368" i="4"/>
  <c r="D367" i="4"/>
  <c r="F364" i="4"/>
  <c r="I364" i="4"/>
  <c r="F343" i="4"/>
  <c r="F344" i="4" s="1"/>
  <c r="D346" i="4" l="1"/>
  <c r="D347" i="4"/>
  <c r="F365" i="4"/>
  <c r="G365" i="4" s="1"/>
  <c r="G344" i="4"/>
  <c r="H344" i="4" s="1"/>
  <c r="I344" i="4" l="1"/>
  <c r="D349" i="4" s="1"/>
  <c r="D348" i="4"/>
  <c r="H365" i="4"/>
  <c r="I365" i="4" l="1"/>
  <c r="D370" i="4" s="1"/>
  <c r="D3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Alejandra Bernal Villarreal</author>
    <author>egmx</author>
  </authors>
  <commentList>
    <comment ref="E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$ 36.000</t>
        </r>
        <r>
          <rPr>
            <sz val="9"/>
            <color indexed="81"/>
            <rFont val="Tahoma"/>
            <family val="2"/>
          </rPr>
          <t xml:space="preserve"> registro de la matrícula mercantil, de acuerdo al monto de los activos
</t>
        </r>
        <r>
          <rPr>
            <b/>
            <sz val="9"/>
            <color indexed="81"/>
            <rFont val="Tahoma"/>
            <family val="2"/>
          </rPr>
          <t>$ 139.650</t>
        </r>
        <r>
          <rPr>
            <sz val="9"/>
            <color indexed="81"/>
            <rFont val="Tahoma"/>
            <family val="2"/>
          </rPr>
          <t xml:space="preserve"> matrícula de establecimientos de comercio (con descuento del 5% por se Mipyme)
</t>
        </r>
        <r>
          <rPr>
            <b/>
            <sz val="9"/>
            <color indexed="81"/>
            <rFont val="Tahoma"/>
            <family val="2"/>
          </rPr>
          <t xml:space="preserve">$6.200 </t>
        </r>
        <r>
          <rPr>
            <sz val="9"/>
            <color indexed="81"/>
            <rFont val="Tahoma"/>
            <family val="2"/>
          </rPr>
          <t>Formulario para el Registro Mercantil
Fuente: Tatrifas del registro mercantil año 2021 - Cámara de Comecio de Medelín</t>
        </r>
      </text>
    </comment>
    <comment ref="D68" authorId="0" shapeId="0" xr:uid="{00000000-0006-0000-0100-000002000000}">
      <text>
        <r>
          <rPr>
            <sz val="9"/>
            <color indexed="81"/>
            <rFont val="Tahoma"/>
            <family val="2"/>
          </rPr>
          <t>Se estima rechazos sobre la materia prima del 5%, los cuales se compensan con el material donados por instituciones que generan el material posconsumo.</t>
        </r>
      </text>
    </comment>
    <comment ref="D6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$ 60 </t>
        </r>
        <r>
          <rPr>
            <sz val="9"/>
            <color indexed="81"/>
            <rFont val="Tahoma"/>
            <family val="2"/>
          </rPr>
          <t xml:space="preserve">empaque
</t>
        </r>
        <r>
          <rPr>
            <b/>
            <sz val="9"/>
            <color indexed="81"/>
            <rFont val="Tahoma"/>
            <family val="2"/>
          </rPr>
          <t xml:space="preserve">$37 </t>
        </r>
        <r>
          <rPr>
            <sz val="9"/>
            <color indexed="81"/>
            <rFont val="Tahoma"/>
            <family val="2"/>
          </rPr>
          <t xml:space="preserve">dotación - uniformes
</t>
        </r>
        <r>
          <rPr>
            <b/>
            <sz val="9"/>
            <color indexed="81"/>
            <rFont val="Tahoma"/>
            <family val="2"/>
          </rPr>
          <t xml:space="preserve">$16 • </t>
        </r>
        <r>
          <rPr>
            <sz val="9"/>
            <color indexed="81"/>
            <rFont val="Tahoma"/>
            <family val="2"/>
          </rPr>
          <t xml:space="preserve">Aditivos químicos de lavado (NAOH) 
</t>
        </r>
      </text>
    </comment>
    <comment ref="D75" authorId="0" shapeId="0" xr:uid="{00000000-0006-0000-0100-000004000000}">
      <text>
        <r>
          <rPr>
            <sz val="9"/>
            <color indexed="81"/>
            <rFont val="Tahoma"/>
            <family val="2"/>
          </rPr>
          <t>Se incluye plan de celular por valor mensual de $65.000</t>
        </r>
      </text>
    </comment>
    <comment ref="D76" authorId="0" shapeId="0" xr:uid="{00000000-0006-0000-0100-000005000000}">
      <text>
        <r>
          <rPr>
            <sz val="9"/>
            <color indexed="81"/>
            <rFont val="Tahoma"/>
            <family val="2"/>
          </rPr>
          <t>corresponde a la comisión por venta</t>
        </r>
      </text>
    </comment>
    <comment ref="D79" authorId="0" shapeId="0" xr:uid="{00000000-0006-0000-0100-000006000000}">
      <text>
        <r>
          <rPr>
            <sz val="9"/>
            <color indexed="81"/>
            <rFont val="Tahoma"/>
            <family val="2"/>
          </rPr>
          <t>Se incluye plan de celular por valor mensual de</t>
        </r>
        <r>
          <rPr>
            <b/>
            <sz val="9"/>
            <color indexed="81"/>
            <rFont val="Tahoma"/>
            <family val="2"/>
          </rPr>
          <t xml:space="preserve"> $65.000
$134.000 </t>
        </r>
        <r>
          <rPr>
            <sz val="9"/>
            <color indexed="81"/>
            <rFont val="Tahoma"/>
            <family val="2"/>
          </rPr>
          <t>papelería y otros</t>
        </r>
      </text>
    </comment>
    <comment ref="J85" authorId="0" shapeId="0" xr:uid="{00000000-0006-0000-0100-000007000000}">
      <text>
        <r>
          <rPr>
            <sz val="9"/>
            <color indexed="81"/>
            <rFont val="Tahoma"/>
            <family val="2"/>
          </rPr>
          <t>Riesgo 3.</t>
        </r>
      </text>
    </comment>
    <comment ref="I115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egmx:</t>
        </r>
        <r>
          <rPr>
            <sz val="9"/>
            <color indexed="81"/>
            <rFont val="Tahoma"/>
            <family val="2"/>
          </rPr>
          <t xml:space="preserve">
Se venderan los activos en el a;o 5</t>
        </r>
      </text>
    </comment>
  </commentList>
</comments>
</file>

<file path=xl/sharedStrings.xml><?xml version="1.0" encoding="utf-8"?>
<sst xmlns="http://schemas.openxmlformats.org/spreadsheetml/2006/main" count="353" uniqueCount="260">
  <si>
    <t>Precio</t>
  </si>
  <si>
    <t>Deuda</t>
  </si>
  <si>
    <t>WACC</t>
  </si>
  <si>
    <t>Capital propio</t>
  </si>
  <si>
    <t>Flujo de caja del proyecto</t>
  </si>
  <si>
    <t>Gastos de administración</t>
  </si>
  <si>
    <t>Año</t>
  </si>
  <si>
    <t>Volumen</t>
  </si>
  <si>
    <t>Ventas totales</t>
  </si>
  <si>
    <t>Amortización de diferidos</t>
  </si>
  <si>
    <t>Pago en cuota fija</t>
  </si>
  <si>
    <t>Periodo</t>
  </si>
  <si>
    <t>Préstamos</t>
  </si>
  <si>
    <t xml:space="preserve">Cuota </t>
  </si>
  <si>
    <t>Interés</t>
  </si>
  <si>
    <t xml:space="preserve">Amortización o abono a capital  </t>
  </si>
  <si>
    <t xml:space="preserve">Saldo </t>
  </si>
  <si>
    <t>Crédito</t>
  </si>
  <si>
    <t>Ventas (+)</t>
  </si>
  <si>
    <t>Costos variables (-)</t>
  </si>
  <si>
    <t>Costos fijos (-)</t>
  </si>
  <si>
    <t>Gastos administración  (-)</t>
  </si>
  <si>
    <t>Amortización diferidos  (-)</t>
  </si>
  <si>
    <t>Utilidad neta</t>
  </si>
  <si>
    <t>VPN</t>
  </si>
  <si>
    <t>TIR</t>
  </si>
  <si>
    <t>FINANCIACIÓN</t>
  </si>
  <si>
    <t xml:space="preserve">Vida útil </t>
  </si>
  <si>
    <t xml:space="preserve">años </t>
  </si>
  <si>
    <t xml:space="preserve">Periodo </t>
  </si>
  <si>
    <t xml:space="preserve">Costo </t>
  </si>
  <si>
    <t xml:space="preserve">Gasto depreciación </t>
  </si>
  <si>
    <t xml:space="preserve">Depreciación acumulada </t>
  </si>
  <si>
    <t xml:space="preserve">Valor en libro </t>
  </si>
  <si>
    <t>Valor en libro</t>
  </si>
  <si>
    <t>DEPRECIACIONES Y AMORTIZACIONES</t>
  </si>
  <si>
    <t>FLUJO DE CAJA DEL INVERSIONISTA</t>
  </si>
  <si>
    <t>FLUJO DE CAJA DEL PROYECTO</t>
  </si>
  <si>
    <t>Gastos de ventas (-)</t>
  </si>
  <si>
    <t>Impuestos directos (-)</t>
  </si>
  <si>
    <t>Adecuación instalaciones</t>
  </si>
  <si>
    <t>Constitución empresa</t>
  </si>
  <si>
    <t>EBITDA</t>
  </si>
  <si>
    <t>EBIT</t>
  </si>
  <si>
    <t>INVERSIONES</t>
  </si>
  <si>
    <t>Cantidad</t>
  </si>
  <si>
    <t xml:space="preserve">Costo Pesos </t>
  </si>
  <si>
    <t>Total Pesos</t>
  </si>
  <si>
    <t>Báscula electrónica</t>
  </si>
  <si>
    <t>Lavadora Manual</t>
  </si>
  <si>
    <t>Centrifugadora</t>
  </si>
  <si>
    <t>Tableros de Control</t>
  </si>
  <si>
    <t>Carretillas</t>
  </si>
  <si>
    <t>Vehículos</t>
  </si>
  <si>
    <t>Camioneta</t>
  </si>
  <si>
    <t>Equipo de computo</t>
  </si>
  <si>
    <t>Empaques y Herramientas</t>
  </si>
  <si>
    <t>Maquinaria y equipos</t>
  </si>
  <si>
    <t>Activo</t>
  </si>
  <si>
    <t>Total</t>
  </si>
  <si>
    <t>Equipo de oficina</t>
  </si>
  <si>
    <t>ACTIVOS FIJOS</t>
  </si>
  <si>
    <t>ACTIVOS DIFERIDOS</t>
  </si>
  <si>
    <t>CAPITAL DE TRABAJO</t>
  </si>
  <si>
    <t>Caja</t>
  </si>
  <si>
    <t>Compra de materia prima mes 1</t>
  </si>
  <si>
    <t>TOTAL INVERSIONES</t>
  </si>
  <si>
    <t>Muebles y enseres</t>
  </si>
  <si>
    <t>Pago arriendo mes 1</t>
  </si>
  <si>
    <t>COSTOS Y GASTOS</t>
  </si>
  <si>
    <t>COSTOS FIJOS</t>
  </si>
  <si>
    <t>Alquiler</t>
  </si>
  <si>
    <t>Servicios públicos</t>
  </si>
  <si>
    <t>MES</t>
  </si>
  <si>
    <t>AÑO</t>
  </si>
  <si>
    <t>COSTOS VARIABLES</t>
  </si>
  <si>
    <t>Unidad</t>
  </si>
  <si>
    <t>Costo Mano de Obra</t>
  </si>
  <si>
    <t>Materia Prima</t>
  </si>
  <si>
    <t>Costos Indirectos</t>
  </si>
  <si>
    <t>Total costos fijos</t>
  </si>
  <si>
    <t>Total costos variables</t>
  </si>
  <si>
    <t>GASTOS VENTAS</t>
  </si>
  <si>
    <t>Gastos de ventas fijos</t>
  </si>
  <si>
    <t>GASTOS ADMINISTRACIÓN</t>
  </si>
  <si>
    <t>Gastos de ventas variables</t>
  </si>
  <si>
    <t>COSTO PERSONAL</t>
  </si>
  <si>
    <t>Personal operativo</t>
  </si>
  <si>
    <t>Cargo</t>
  </si>
  <si>
    <t>Operarios de la planta</t>
  </si>
  <si>
    <t>Cant</t>
  </si>
  <si>
    <t>Salario</t>
  </si>
  <si>
    <t>Auxilio de transporte</t>
  </si>
  <si>
    <t>Salario total devengado</t>
  </si>
  <si>
    <t>ARL</t>
  </si>
  <si>
    <t>Dscto AFP</t>
  </si>
  <si>
    <t>Prima</t>
  </si>
  <si>
    <t>Vacaciones</t>
  </si>
  <si>
    <t>Cesantias</t>
  </si>
  <si>
    <t>Caja compensacion</t>
  </si>
  <si>
    <t>Int cesantias</t>
  </si>
  <si>
    <t>Presupuesto mes por empleado</t>
  </si>
  <si>
    <t>Total Presupuesto mes</t>
  </si>
  <si>
    <t>Auxilio movilidad</t>
  </si>
  <si>
    <t>Personal administrativo</t>
  </si>
  <si>
    <t>Clasificación</t>
  </si>
  <si>
    <t>Supervisor</t>
  </si>
  <si>
    <t>Gerente</t>
  </si>
  <si>
    <t>Cordinador ventas y distribución</t>
  </si>
  <si>
    <t>Elementos de Seguridad</t>
  </si>
  <si>
    <t xml:space="preserve">Valor </t>
  </si>
  <si>
    <t>Rotación / Año</t>
  </si>
  <si>
    <t>Costo / Mes</t>
  </si>
  <si>
    <t xml:space="preserve">Costo / Mes </t>
  </si>
  <si>
    <t>Guantes Nitrilo Negro</t>
  </si>
  <si>
    <t>Gafas de seguridad</t>
  </si>
  <si>
    <t>Mascarillas</t>
  </si>
  <si>
    <t xml:space="preserve">Protectores auditivos inserción </t>
  </si>
  <si>
    <t xml:space="preserve">Total Elementos de seguridad </t>
  </si>
  <si>
    <t>Costo / Año</t>
  </si>
  <si>
    <t>Total costo personal</t>
  </si>
  <si>
    <t>Total Presupuesto año</t>
  </si>
  <si>
    <t>No. Empleados</t>
  </si>
  <si>
    <t>Overol</t>
  </si>
  <si>
    <t>Compra bolsas mes 1</t>
  </si>
  <si>
    <t>Producción estimada mes</t>
  </si>
  <si>
    <t>Dotación - uniformes mes 1</t>
  </si>
  <si>
    <t>Celular</t>
  </si>
  <si>
    <t>INFORMACIÓN INICIAL</t>
  </si>
  <si>
    <t>ANALISIS FINANCIERO</t>
  </si>
  <si>
    <t>Gastos de personal</t>
  </si>
  <si>
    <t>Equipos de cómputo y comunicación</t>
  </si>
  <si>
    <t>Valor residual</t>
  </si>
  <si>
    <t>Vida útil (años)</t>
  </si>
  <si>
    <t>PROYECCIÓN DEMANDA</t>
  </si>
  <si>
    <t>Examenes médicos</t>
  </si>
  <si>
    <t>Aditivos químicos de lavado (NAOH) 20kg</t>
  </si>
  <si>
    <t>Gasolina vehículo</t>
  </si>
  <si>
    <t>Repuestos-Mtto Maquinaria</t>
  </si>
  <si>
    <t>Prespuesto llantas vehículo</t>
  </si>
  <si>
    <t>SEGMENTACIÓN</t>
  </si>
  <si>
    <t>Demanda</t>
  </si>
  <si>
    <t>No. Empresas</t>
  </si>
  <si>
    <t>Total ton/año</t>
  </si>
  <si>
    <t>Demanda potencial</t>
  </si>
  <si>
    <t>Demanda objetivo</t>
  </si>
  <si>
    <t>Demanda atendida</t>
  </si>
  <si>
    <t>Hojuelas de plástico</t>
  </si>
  <si>
    <t>Crecimiento anual</t>
  </si>
  <si>
    <t>Inflación</t>
  </si>
  <si>
    <t>PROYECCIÓN DE LA DEMANDA (paquetes de 10 kg)</t>
  </si>
  <si>
    <t>Precio de venta</t>
  </si>
  <si>
    <t>PRESUPUESTO DE VENTAS</t>
  </si>
  <si>
    <t>Tasa interes</t>
  </si>
  <si>
    <t>periodos</t>
  </si>
  <si>
    <t>Contado</t>
  </si>
  <si>
    <t>Días año</t>
  </si>
  <si>
    <t>Cuentas por cobrar</t>
  </si>
  <si>
    <t>Politica de Comercial Ventas</t>
  </si>
  <si>
    <t>Días</t>
  </si>
  <si>
    <t>Cuentas por pagar</t>
  </si>
  <si>
    <t>Politica de Pagos a Proveedores</t>
  </si>
  <si>
    <t>Valor base</t>
  </si>
  <si>
    <t>Politica de Inventarios</t>
  </si>
  <si>
    <t>Justo a Tiempo</t>
  </si>
  <si>
    <t>Inventario</t>
  </si>
  <si>
    <t>Utilidad antes de impuestos</t>
  </si>
  <si>
    <t>ESTADO DE RESULTADOS</t>
  </si>
  <si>
    <t>COSTO FIJO</t>
  </si>
  <si>
    <t>PROYECCIONES</t>
  </si>
  <si>
    <t>Incremento salario administrativos</t>
  </si>
  <si>
    <t>Incremento salario mínimo</t>
  </si>
  <si>
    <t>Total Costo fijo</t>
  </si>
  <si>
    <t>COSTO VARIABLE</t>
  </si>
  <si>
    <t>GASTO VENTAS</t>
  </si>
  <si>
    <t>Total gasto ventas</t>
  </si>
  <si>
    <t>GASTO ADMINISTRACIÓN</t>
  </si>
  <si>
    <t>Total gasto administración</t>
  </si>
  <si>
    <t>Gastos financieros (-)</t>
  </si>
  <si>
    <t>Amortización diferidos  (+)</t>
  </si>
  <si>
    <t>Depreciaciones (+)</t>
  </si>
  <si>
    <t>Inversiones (-)</t>
  </si>
  <si>
    <t>Capital trabajo</t>
  </si>
  <si>
    <t>Prestamos (+)</t>
  </si>
  <si>
    <t>Pago a capital (amortizacion capital) (-)</t>
  </si>
  <si>
    <t>PRI</t>
  </si>
  <si>
    <t>Flujo de caja acumulado</t>
  </si>
  <si>
    <t>Relación Beneficio-costo</t>
  </si>
  <si>
    <t>Promedio kg/mes</t>
  </si>
  <si>
    <t>Total kg/mes</t>
  </si>
  <si>
    <t>Molino de martillos</t>
  </si>
  <si>
    <t>Secadora de gas</t>
  </si>
  <si>
    <t>Costo unitario</t>
  </si>
  <si>
    <t>Costo Total</t>
  </si>
  <si>
    <t>Rf</t>
  </si>
  <si>
    <t>Rm</t>
  </si>
  <si>
    <t>Fuente: https://www.macrotrends.net/2016/10-year-treasury-bond-rate-yield-chart</t>
  </si>
  <si>
    <t>10-Year Treasury - Historical Annual Yield Data</t>
  </si>
  <si>
    <t>Year</t>
  </si>
  <si>
    <t>Average Yield</t>
  </si>
  <si>
    <t>Year Open</t>
  </si>
  <si>
    <t>Year High</t>
  </si>
  <si>
    <t>Year Low</t>
  </si>
  <si>
    <t>Year Close</t>
  </si>
  <si>
    <t>Annual
% Change</t>
  </si>
  <si>
    <t>Promedio</t>
  </si>
  <si>
    <t>Yield</t>
  </si>
  <si>
    <t>kw</t>
  </si>
  <si>
    <t>vkw</t>
  </si>
  <si>
    <t>rkw</t>
  </si>
  <si>
    <t>ESTIMACIÓN DEL PRECIO</t>
  </si>
  <si>
    <t>Costos variables</t>
  </si>
  <si>
    <t>Rentabilidad esperada</t>
  </si>
  <si>
    <t>PRESUPUESTO MEZCLA DE MERCADOS</t>
  </si>
  <si>
    <t>Empaque</t>
  </si>
  <si>
    <t>Descuentos</t>
  </si>
  <si>
    <t>Publicidad</t>
  </si>
  <si>
    <t>Logística</t>
  </si>
  <si>
    <t>Item</t>
  </si>
  <si>
    <t>Total mezcla de mercados</t>
  </si>
  <si>
    <t>Descuentos (-)</t>
  </si>
  <si>
    <t>Ítem</t>
  </si>
  <si>
    <t>Variable</t>
  </si>
  <si>
    <t>Valor</t>
  </si>
  <si>
    <t>Costo de la deuda</t>
  </si>
  <si>
    <t>t</t>
  </si>
  <si>
    <t>Kd COP$ ai</t>
  </si>
  <si>
    <t>Costo del Equity</t>
  </si>
  <si>
    <t>B desapalancado</t>
  </si>
  <si>
    <t>B apalancado Equity</t>
  </si>
  <si>
    <t>E(Rm-Rf)</t>
  </si>
  <si>
    <t>Riesgo País Ajustado Rp</t>
  </si>
  <si>
    <t>Otros parámetros</t>
  </si>
  <si>
    <t>Wd</t>
  </si>
  <si>
    <t>We</t>
  </si>
  <si>
    <t>Inflación Colombia</t>
  </si>
  <si>
    <t>Inflación USA</t>
  </si>
  <si>
    <t>S&amp;P 500 Index - Historical Annual Returns</t>
  </si>
  <si>
    <t>Ke US$</t>
  </si>
  <si>
    <t>Ke COP$</t>
  </si>
  <si>
    <t>Kd COP$ di</t>
  </si>
  <si>
    <t>Wacc COP$</t>
  </si>
  <si>
    <t>Capital de trabajo para iniciar</t>
  </si>
  <si>
    <t>Capital trabajo (+/-)</t>
  </si>
  <si>
    <t>Recuperación del Capital de trabajo (+)</t>
  </si>
  <si>
    <t>vpfc</t>
  </si>
  <si>
    <t>Gastos financieros (+)</t>
  </si>
  <si>
    <t>Conductor</t>
  </si>
  <si>
    <t>Dotación - Uniformes Operación</t>
  </si>
  <si>
    <t>Dotación - Uniformes conductor</t>
  </si>
  <si>
    <t>Precio calculado</t>
  </si>
  <si>
    <t>Valor residual (+)</t>
  </si>
  <si>
    <t>Depreciación (-)</t>
  </si>
  <si>
    <t>Costos fijos asociados a la operación</t>
  </si>
  <si>
    <t>Predio tomado</t>
  </si>
  <si>
    <t>La recuperación de la inversión es en el año 4 en el mes 4</t>
  </si>
  <si>
    <t>Ke</t>
  </si>
  <si>
    <t>La recuperación de la inversión es en el año 4 en el mes 5</t>
  </si>
  <si>
    <t>Por cada peso que invierto se obtiene 1,89 pesos de más</t>
  </si>
  <si>
    <t>Flujo de caja del Inversionista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</si>
</sst>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#,##0"/>
    <numFmt numFmtId="168" formatCode="_-* #,##0.00_-;\-* #,##0.00_-;_-* &quot;-&quot;_-;_-@_-"/>
    <numFmt numFmtId="169" formatCode="0.0%"/>
    <numFmt numFmtId="170" formatCode="_-&quot;$&quot;* #,##0.00_-;\-&quot;$&quot;* #,##0.00_-;_-&quot;$&quot;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444444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2060"/>
      <name val="Times New Roman"/>
      <family val="1"/>
    </font>
    <font>
      <b/>
      <sz val="11"/>
      <name val="Times New Roman"/>
      <family val="1"/>
    </font>
    <font>
      <b/>
      <sz val="11"/>
      <color theme="4" tint="-0.499984740745262"/>
      <name val="Times New Roman"/>
      <family val="1"/>
    </font>
    <font>
      <sz val="11"/>
      <color theme="4" tint="-0.499984740745262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double">
        <color theme="4" tint="-0.249977111117893"/>
      </bottom>
      <diagonal/>
    </border>
    <border>
      <left/>
      <right/>
      <top/>
      <bottom style="dotted">
        <color theme="4" tint="-0.249977111117893"/>
      </bottom>
      <diagonal/>
    </border>
    <border>
      <left/>
      <right/>
      <top style="double">
        <color theme="4" tint="-0.249977111117893"/>
      </top>
      <bottom/>
      <diagonal/>
    </border>
    <border>
      <left style="dotted">
        <color theme="4" tint="-0.249977111117893"/>
      </left>
      <right/>
      <top style="dotted">
        <color theme="4" tint="-0.249977111117893"/>
      </top>
      <bottom style="dotted">
        <color theme="4" tint="-0.249977111117893"/>
      </bottom>
      <diagonal/>
    </border>
    <border>
      <left/>
      <right/>
      <top style="dotted">
        <color theme="4" tint="-0.249977111117893"/>
      </top>
      <bottom style="dotted">
        <color theme="4" tint="-0.249977111117893"/>
      </bottom>
      <diagonal/>
    </border>
    <border>
      <left/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/>
      <right/>
      <top style="thin">
        <color theme="4" tint="-0.249977111117893"/>
      </top>
      <bottom style="double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medium">
        <color rgb="FFDDDDDD"/>
      </top>
      <bottom style="thick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44" fontId="5" fillId="0" borderId="8" xfId="0" applyNumberFormat="1" applyFont="1" applyBorder="1"/>
    <xf numFmtId="44" fontId="5" fillId="0" borderId="0" xfId="0" applyNumberFormat="1" applyFont="1" applyBorder="1"/>
    <xf numFmtId="44" fontId="5" fillId="0" borderId="1" xfId="0" applyNumberFormat="1" applyFont="1" applyBorder="1"/>
    <xf numFmtId="0" fontId="10" fillId="0" borderId="12" xfId="0" applyFont="1" applyBorder="1" applyAlignment="1">
      <alignment horizontal="center" vertical="top" wrapText="1"/>
    </xf>
    <xf numFmtId="10" fontId="10" fillId="0" borderId="12" xfId="0" applyNumberFormat="1" applyFont="1" applyBorder="1" applyAlignment="1">
      <alignment horizontal="center" vertical="top" wrapText="1"/>
    </xf>
    <xf numFmtId="10" fontId="11" fillId="0" borderId="12" xfId="0" applyNumberFormat="1" applyFont="1" applyBorder="1" applyAlignment="1">
      <alignment horizontal="center" vertical="top" wrapText="1"/>
    </xf>
    <xf numFmtId="10" fontId="8" fillId="0" borderId="12" xfId="0" applyNumberFormat="1" applyFont="1" applyBorder="1" applyAlignment="1">
      <alignment horizontal="center" vertical="top" wrapText="1"/>
    </xf>
    <xf numFmtId="10" fontId="9" fillId="0" borderId="12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12" xfId="0" applyFont="1" applyBorder="1" applyAlignment="1">
      <alignment vertical="top" wrapText="1"/>
    </xf>
    <xf numFmtId="4" fontId="9" fillId="0" borderId="12" xfId="0" applyNumberFormat="1" applyFont="1" applyBorder="1" applyAlignment="1">
      <alignment horizontal="center" vertical="top" wrapText="1"/>
    </xf>
    <xf numFmtId="0" fontId="3" fillId="0" borderId="0" xfId="0" applyFont="1" applyAlignment="1"/>
    <xf numFmtId="14" fontId="10" fillId="0" borderId="12" xfId="0" applyNumberFormat="1" applyFont="1" applyBorder="1" applyAlignment="1">
      <alignment horizontal="center" vertical="top" wrapText="1"/>
    </xf>
    <xf numFmtId="168" fontId="10" fillId="0" borderId="12" xfId="3" applyNumberFormat="1" applyFont="1" applyBorder="1" applyAlignment="1">
      <alignment horizontal="center" vertical="top" wrapText="1"/>
    </xf>
    <xf numFmtId="0" fontId="13" fillId="0" borderId="0" xfId="0" applyFont="1"/>
    <xf numFmtId="0" fontId="14" fillId="0" borderId="0" xfId="4" applyFont="1"/>
    <xf numFmtId="0" fontId="16" fillId="4" borderId="0" xfId="0" applyFont="1" applyFill="1" applyBorder="1"/>
    <xf numFmtId="0" fontId="13" fillId="4" borderId="0" xfId="0" applyFont="1" applyFill="1"/>
    <xf numFmtId="10" fontId="16" fillId="4" borderId="0" xfId="0" applyNumberFormat="1" applyFont="1" applyFill="1" applyBorder="1"/>
    <xf numFmtId="0" fontId="14" fillId="0" borderId="0" xfId="4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/>
    <xf numFmtId="10" fontId="12" fillId="0" borderId="0" xfId="0" applyNumberFormat="1" applyFont="1"/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8" xfId="0" applyFont="1" applyBorder="1"/>
    <xf numFmtId="0" fontId="13" fillId="0" borderId="0" xfId="0" applyFont="1" applyBorder="1" applyAlignment="1">
      <alignment horizontal="center"/>
    </xf>
    <xf numFmtId="42" fontId="12" fillId="0" borderId="8" xfId="0" applyNumberFormat="1" applyFont="1" applyBorder="1"/>
    <xf numFmtId="41" fontId="13" fillId="0" borderId="0" xfId="3" applyFont="1" applyBorder="1"/>
    <xf numFmtId="167" fontId="13" fillId="0" borderId="0" xfId="1" applyNumberFormat="1" applyFont="1" applyBorder="1"/>
    <xf numFmtId="42" fontId="13" fillId="0" borderId="0" xfId="0" applyNumberFormat="1" applyFont="1" applyBorder="1"/>
    <xf numFmtId="42" fontId="13" fillId="0" borderId="0" xfId="1" applyFont="1"/>
    <xf numFmtId="167" fontId="13" fillId="0" borderId="0" xfId="0" applyNumberFormat="1" applyFont="1" applyBorder="1"/>
    <xf numFmtId="41" fontId="13" fillId="3" borderId="0" xfId="3" applyFont="1" applyFill="1" applyBorder="1"/>
    <xf numFmtId="167" fontId="13" fillId="3" borderId="0" xfId="1" applyNumberFormat="1" applyFont="1" applyFill="1" applyBorder="1"/>
    <xf numFmtId="42" fontId="13" fillId="0" borderId="0" xfId="1" applyFont="1" applyBorder="1"/>
    <xf numFmtId="41" fontId="13" fillId="0" borderId="0" xfId="3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1" fontId="13" fillId="0" borderId="1" xfId="3" applyFont="1" applyBorder="1"/>
    <xf numFmtId="167" fontId="13" fillId="0" borderId="1" xfId="1" applyNumberFormat="1" applyFont="1" applyBorder="1"/>
    <xf numFmtId="42" fontId="13" fillId="0" borderId="1" xfId="1" applyFont="1" applyBorder="1"/>
    <xf numFmtId="0" fontId="19" fillId="0" borderId="0" xfId="0" applyFont="1" applyBorder="1"/>
    <xf numFmtId="167" fontId="19" fillId="0" borderId="0" xfId="0" applyNumberFormat="1" applyFont="1" applyBorder="1"/>
    <xf numFmtId="167" fontId="18" fillId="0" borderId="0" xfId="0" applyNumberFormat="1" applyFont="1" applyBorder="1"/>
    <xf numFmtId="0" fontId="13" fillId="0" borderId="1" xfId="0" applyFont="1" applyBorder="1"/>
    <xf numFmtId="0" fontId="16" fillId="0" borderId="0" xfId="0" applyFont="1" applyBorder="1"/>
    <xf numFmtId="42" fontId="16" fillId="0" borderId="0" xfId="0" applyNumberFormat="1" applyFont="1" applyBorder="1"/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left"/>
    </xf>
    <xf numFmtId="167" fontId="13" fillId="0" borderId="0" xfId="1" applyNumberFormat="1" applyFont="1" applyFill="1" applyBorder="1"/>
    <xf numFmtId="42" fontId="13" fillId="0" borderId="0" xfId="0" applyNumberFormat="1" applyFont="1"/>
    <xf numFmtId="44" fontId="13" fillId="0" borderId="0" xfId="0" applyNumberFormat="1" applyFont="1"/>
    <xf numFmtId="10" fontId="13" fillId="0" borderId="0" xfId="0" applyNumberFormat="1" applyFont="1"/>
    <xf numFmtId="167" fontId="13" fillId="0" borderId="1" xfId="1" applyNumberFormat="1" applyFont="1" applyFill="1" applyBorder="1"/>
    <xf numFmtId="167" fontId="16" fillId="0" borderId="0" xfId="0" applyNumberFormat="1" applyFont="1" applyFill="1"/>
    <xf numFmtId="167" fontId="16" fillId="0" borderId="0" xfId="0" applyNumberFormat="1" applyFont="1"/>
    <xf numFmtId="0" fontId="13" fillId="0" borderId="0" xfId="0" applyFont="1" applyBorder="1" applyAlignment="1">
      <alignment horizontal="left"/>
    </xf>
    <xf numFmtId="0" fontId="13" fillId="0" borderId="0" xfId="0" applyFont="1" applyFill="1"/>
    <xf numFmtId="41" fontId="13" fillId="0" borderId="0" xfId="3" applyFont="1" applyFill="1"/>
    <xf numFmtId="0" fontId="16" fillId="0" borderId="0" xfId="0" applyFont="1" applyFill="1" applyAlignment="1">
      <alignment horizontal="center"/>
    </xf>
    <xf numFmtId="0" fontId="13" fillId="0" borderId="8" xfId="0" applyFont="1" applyFill="1" applyBorder="1"/>
    <xf numFmtId="0" fontId="16" fillId="0" borderId="2" xfId="0" applyFont="1" applyBorder="1" applyAlignment="1">
      <alignment horizontal="center"/>
    </xf>
    <xf numFmtId="9" fontId="13" fillId="0" borderId="0" xfId="0" applyNumberFormat="1" applyFont="1"/>
    <xf numFmtId="0" fontId="13" fillId="0" borderId="2" xfId="0" applyFont="1" applyBorder="1"/>
    <xf numFmtId="0" fontId="16" fillId="0" borderId="0" xfId="0" applyFont="1" applyBorder="1" applyAlignment="1">
      <alignment horizontal="center" vertical="center"/>
    </xf>
    <xf numFmtId="10" fontId="16" fillId="0" borderId="0" xfId="2" applyNumberFormat="1" applyFont="1" applyBorder="1" applyAlignment="1">
      <alignment horizontal="center" vertical="center"/>
    </xf>
    <xf numFmtId="42" fontId="13" fillId="0" borderId="8" xfId="1" applyFont="1" applyBorder="1"/>
    <xf numFmtId="42" fontId="13" fillId="0" borderId="8" xfId="0" applyNumberFormat="1" applyFont="1" applyBorder="1"/>
    <xf numFmtId="44" fontId="13" fillId="0" borderId="8" xfId="0" applyNumberFormat="1" applyFont="1" applyBorder="1"/>
    <xf numFmtId="44" fontId="12" fillId="0" borderId="8" xfId="0" applyNumberFormat="1" applyFont="1" applyBorder="1"/>
    <xf numFmtId="44" fontId="13" fillId="0" borderId="0" xfId="0" applyNumberFormat="1" applyFont="1" applyBorder="1"/>
    <xf numFmtId="44" fontId="12" fillId="0" borderId="0" xfId="0" applyNumberFormat="1" applyFont="1" applyBorder="1"/>
    <xf numFmtId="42" fontId="13" fillId="0" borderId="1" xfId="0" applyNumberFormat="1" applyFont="1" applyBorder="1"/>
    <xf numFmtId="44" fontId="13" fillId="0" borderId="1" xfId="0" applyNumberFormat="1" applyFont="1" applyBorder="1"/>
    <xf numFmtId="44" fontId="12" fillId="0" borderId="1" xfId="0" applyNumberFormat="1" applyFont="1" applyBorder="1"/>
    <xf numFmtId="0" fontId="16" fillId="0" borderId="0" xfId="0" applyFont="1" applyAlignment="1">
      <alignment horizontal="center"/>
    </xf>
    <xf numFmtId="41" fontId="13" fillId="0" borderId="8" xfId="3" applyFont="1" applyBorder="1"/>
    <xf numFmtId="0" fontId="16" fillId="0" borderId="0" xfId="0" applyFont="1"/>
    <xf numFmtId="42" fontId="16" fillId="0" borderId="0" xfId="0" applyNumberFormat="1" applyFont="1"/>
    <xf numFmtId="0" fontId="20" fillId="0" borderId="0" xfId="0" applyFont="1" applyBorder="1"/>
    <xf numFmtId="0" fontId="16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/>
    <xf numFmtId="0" fontId="16" fillId="0" borderId="0" xfId="0" applyFont="1" applyBorder="1" applyAlignment="1">
      <alignment horizontal="right"/>
    </xf>
    <xf numFmtId="0" fontId="20" fillId="0" borderId="8" xfId="0" applyFont="1" applyFill="1" applyBorder="1"/>
    <xf numFmtId="42" fontId="20" fillId="0" borderId="8" xfId="1" applyFont="1" applyFill="1" applyBorder="1"/>
    <xf numFmtId="42" fontId="20" fillId="0" borderId="0" xfId="1" applyFont="1" applyFill="1" applyBorder="1"/>
    <xf numFmtId="0" fontId="20" fillId="0" borderId="1" xfId="0" applyFont="1" applyFill="1" applyBorder="1"/>
    <xf numFmtId="42" fontId="20" fillId="0" borderId="1" xfId="1" applyFont="1" applyFill="1" applyBorder="1"/>
    <xf numFmtId="42" fontId="16" fillId="0" borderId="0" xfId="1" applyFont="1" applyFill="1" applyBorder="1"/>
    <xf numFmtId="42" fontId="13" fillId="0" borderId="8" xfId="0" applyNumberFormat="1" applyFont="1" applyFill="1" applyBorder="1"/>
    <xf numFmtId="10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1" fontId="16" fillId="0" borderId="0" xfId="3" applyFont="1" applyFill="1" applyBorder="1" applyAlignment="1">
      <alignment horizontal="left"/>
    </xf>
    <xf numFmtId="42" fontId="16" fillId="0" borderId="0" xfId="1" applyFont="1" applyBorder="1"/>
    <xf numFmtId="168" fontId="13" fillId="0" borderId="0" xfId="3" applyNumberFormat="1" applyFont="1" applyBorder="1"/>
    <xf numFmtId="10" fontId="13" fillId="0" borderId="0" xfId="0" applyNumberFormat="1" applyFont="1" applyBorder="1"/>
    <xf numFmtId="10" fontId="13" fillId="0" borderId="0" xfId="2" applyNumberFormat="1" applyFont="1" applyFill="1" applyAlignment="1">
      <alignment horizontal="left"/>
    </xf>
    <xf numFmtId="10" fontId="13" fillId="0" borderId="0" xfId="2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67" fontId="13" fillId="0" borderId="0" xfId="0" applyNumberFormat="1" applyFont="1" applyBorder="1" applyAlignment="1">
      <alignment horizontal="center"/>
    </xf>
    <xf numFmtId="10" fontId="20" fillId="0" borderId="0" xfId="2" applyNumberFormat="1" applyFont="1" applyFill="1" applyBorder="1" applyAlignment="1">
      <alignment horizontal="center"/>
    </xf>
    <xf numFmtId="169" fontId="20" fillId="0" borderId="0" xfId="2" applyNumberFormat="1" applyFont="1" applyFill="1" applyBorder="1" applyAlignment="1">
      <alignment horizontal="center"/>
    </xf>
    <xf numFmtId="0" fontId="21" fillId="0" borderId="0" xfId="0" applyFont="1"/>
    <xf numFmtId="166" fontId="20" fillId="0" borderId="8" xfId="5" applyNumberFormat="1" applyFont="1" applyFill="1" applyBorder="1"/>
    <xf numFmtId="166" fontId="13" fillId="0" borderId="0" xfId="5" applyNumberFormat="1" applyFont="1" applyFill="1"/>
    <xf numFmtId="41" fontId="13" fillId="0" borderId="0" xfId="0" applyNumberFormat="1" applyFont="1"/>
    <xf numFmtId="0" fontId="22" fillId="0" borderId="0" xfId="0" applyFont="1"/>
    <xf numFmtId="9" fontId="13" fillId="0" borderId="0" xfId="0" applyNumberFormat="1" applyFont="1" applyFill="1"/>
    <xf numFmtId="41" fontId="20" fillId="0" borderId="8" xfId="3" applyFont="1" applyFill="1" applyBorder="1"/>
    <xf numFmtId="41" fontId="20" fillId="0" borderId="0" xfId="3" applyFont="1" applyFill="1" applyBorder="1"/>
    <xf numFmtId="0" fontId="22" fillId="0" borderId="0" xfId="0" applyFont="1" applyBorder="1"/>
    <xf numFmtId="42" fontId="22" fillId="0" borderId="0" xfId="1" applyFont="1" applyBorder="1"/>
    <xf numFmtId="41" fontId="13" fillId="0" borderId="8" xfId="3" applyFont="1" applyBorder="1" applyAlignment="1"/>
    <xf numFmtId="42" fontId="13" fillId="0" borderId="1" xfId="1" applyFont="1" applyBorder="1" applyAlignment="1">
      <alignment horizontal="right"/>
    </xf>
    <xf numFmtId="42" fontId="16" fillId="0" borderId="0" xfId="1" applyFont="1" applyBorder="1" applyAlignment="1">
      <alignment horizontal="right"/>
    </xf>
    <xf numFmtId="42" fontId="12" fillId="0" borderId="0" xfId="1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9" fontId="13" fillId="0" borderId="0" xfId="2" applyFont="1" applyBorder="1" applyAlignment="1">
      <alignment horizontal="right"/>
    </xf>
    <xf numFmtId="0" fontId="13" fillId="0" borderId="0" xfId="0" applyFont="1" applyBorder="1" applyAlignment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42" fontId="16" fillId="0" borderId="0" xfId="0" applyNumberFormat="1" applyFont="1" applyAlignment="1"/>
    <xf numFmtId="0" fontId="20" fillId="0" borderId="8" xfId="0" applyFont="1" applyBorder="1"/>
    <xf numFmtId="9" fontId="20" fillId="0" borderId="8" xfId="0" applyNumberFormat="1" applyFont="1" applyBorder="1"/>
    <xf numFmtId="9" fontId="20" fillId="0" borderId="8" xfId="2" applyFont="1" applyBorder="1"/>
    <xf numFmtId="9" fontId="20" fillId="0" borderId="0" xfId="0" applyNumberFormat="1" applyFont="1" applyBorder="1"/>
    <xf numFmtId="9" fontId="20" fillId="0" borderId="0" xfId="2" applyFont="1" applyBorder="1"/>
    <xf numFmtId="0" fontId="20" fillId="0" borderId="7" xfId="0" applyFont="1" applyBorder="1"/>
    <xf numFmtId="42" fontId="20" fillId="0" borderId="7" xfId="0" applyNumberFormat="1" applyFont="1" applyBorder="1"/>
    <xf numFmtId="42" fontId="20" fillId="0" borderId="7" xfId="1" applyFont="1" applyBorder="1"/>
    <xf numFmtId="0" fontId="20" fillId="0" borderId="1" xfId="0" applyFont="1" applyBorder="1"/>
    <xf numFmtId="42" fontId="16" fillId="0" borderId="0" xfId="1" applyFont="1"/>
    <xf numFmtId="167" fontId="16" fillId="0" borderId="0" xfId="1" applyNumberFormat="1" applyFont="1"/>
    <xf numFmtId="167" fontId="13" fillId="0" borderId="0" xfId="0" applyNumberFormat="1" applyFont="1"/>
    <xf numFmtId="42" fontId="12" fillId="0" borderId="0" xfId="0" applyNumberFormat="1" applyFont="1"/>
    <xf numFmtId="167" fontId="13" fillId="0" borderId="0" xfId="1" applyNumberFormat="1" applyFont="1"/>
    <xf numFmtId="167" fontId="13" fillId="0" borderId="1" xfId="0" applyNumberFormat="1" applyFont="1" applyBorder="1"/>
    <xf numFmtId="167" fontId="13" fillId="0" borderId="1" xfId="1" applyNumberFormat="1" applyFont="1" applyBorder="1" applyAlignment="1">
      <alignment horizontal="right"/>
    </xf>
    <xf numFmtId="165" fontId="13" fillId="0" borderId="8" xfId="6" applyNumberFormat="1" applyFont="1" applyBorder="1"/>
    <xf numFmtId="0" fontId="13" fillId="0" borderId="7" xfId="0" applyFont="1" applyBorder="1"/>
    <xf numFmtId="42" fontId="13" fillId="0" borderId="7" xfId="0" applyNumberFormat="1" applyFont="1" applyBorder="1"/>
    <xf numFmtId="165" fontId="13" fillId="0" borderId="7" xfId="6" applyNumberFormat="1" applyFont="1" applyBorder="1"/>
    <xf numFmtId="0" fontId="16" fillId="0" borderId="0" xfId="0" applyFont="1" applyBorder="1" applyAlignment="1">
      <alignment horizontal="center"/>
    </xf>
    <xf numFmtId="0" fontId="13" fillId="0" borderId="10" xfId="0" applyFont="1" applyBorder="1"/>
    <xf numFmtId="0" fontId="22" fillId="0" borderId="9" xfId="0" applyFont="1" applyBorder="1"/>
    <xf numFmtId="42" fontId="16" fillId="0" borderId="0" xfId="0" applyNumberFormat="1" applyFont="1" applyFill="1" applyBorder="1"/>
    <xf numFmtId="0" fontId="22" fillId="0" borderId="9" xfId="0" applyFont="1" applyFill="1" applyBorder="1"/>
    <xf numFmtId="165" fontId="22" fillId="0" borderId="0" xfId="6" applyNumberFormat="1" applyFont="1" applyFill="1" applyBorder="1"/>
    <xf numFmtId="9" fontId="13" fillId="0" borderId="0" xfId="0" applyNumberFormat="1" applyFont="1" applyBorder="1"/>
    <xf numFmtId="43" fontId="13" fillId="0" borderId="0" xfId="5" applyFont="1" applyBorder="1"/>
    <xf numFmtId="10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67" fontId="20" fillId="0" borderId="0" xfId="1" applyNumberFormat="1" applyFont="1" applyFill="1" applyBorder="1"/>
    <xf numFmtId="0" fontId="20" fillId="0" borderId="0" xfId="0" applyFont="1" applyFill="1" applyBorder="1" applyAlignment="1">
      <alignment horizontal="center"/>
    </xf>
    <xf numFmtId="42" fontId="20" fillId="0" borderId="0" xfId="0" applyNumberFormat="1" applyFont="1" applyFill="1" applyBorder="1"/>
    <xf numFmtId="0" fontId="13" fillId="0" borderId="8" xfId="0" applyFont="1" applyBorder="1" applyAlignment="1">
      <alignment horizontal="center"/>
    </xf>
    <xf numFmtId="0" fontId="16" fillId="0" borderId="0" xfId="0" applyFont="1" applyFill="1"/>
    <xf numFmtId="10" fontId="16" fillId="0" borderId="0" xfId="0" applyNumberFormat="1" applyFont="1" applyFill="1" applyBorder="1" applyAlignment="1">
      <alignment horizontal="center"/>
    </xf>
    <xf numFmtId="10" fontId="16" fillId="0" borderId="0" xfId="7" applyNumberFormat="1" applyFont="1" applyFill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43" fontId="13" fillId="0" borderId="0" xfId="0" applyNumberFormat="1" applyFont="1"/>
    <xf numFmtId="9" fontId="13" fillId="0" borderId="0" xfId="2" applyFont="1" applyBorder="1"/>
    <xf numFmtId="41" fontId="13" fillId="0" borderId="1" xfId="3" applyFont="1" applyFill="1" applyBorder="1"/>
    <xf numFmtId="0" fontId="19" fillId="0" borderId="0" xfId="0" applyFont="1" applyFill="1" applyBorder="1"/>
    <xf numFmtId="167" fontId="19" fillId="0" borderId="0" xfId="0" applyNumberFormat="1" applyFont="1" applyFill="1" applyBorder="1"/>
    <xf numFmtId="167" fontId="18" fillId="0" borderId="0" xfId="0" applyNumberFormat="1" applyFont="1" applyFill="1" applyBorder="1"/>
    <xf numFmtId="0" fontId="13" fillId="0" borderId="0" xfId="0" applyFont="1" applyFill="1" applyBorder="1"/>
    <xf numFmtId="170" fontId="13" fillId="0" borderId="0" xfId="1" applyNumberFormat="1" applyFont="1"/>
    <xf numFmtId="167" fontId="13" fillId="0" borderId="0" xfId="0" applyNumberFormat="1" applyFont="1" applyFill="1" applyBorder="1"/>
    <xf numFmtId="0" fontId="16" fillId="0" borderId="0" xfId="0" applyFont="1" applyFill="1" applyAlignment="1"/>
    <xf numFmtId="42" fontId="16" fillId="0" borderId="0" xfId="1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10" fontId="13" fillId="0" borderId="0" xfId="0" applyNumberFormat="1" applyFont="1" applyFill="1" applyBorder="1"/>
    <xf numFmtId="167" fontId="13" fillId="0" borderId="0" xfId="0" applyNumberFormat="1" applyFont="1" applyFill="1"/>
    <xf numFmtId="167" fontId="13" fillId="0" borderId="0" xfId="1" applyNumberFormat="1" applyFont="1" applyFill="1"/>
    <xf numFmtId="9" fontId="13" fillId="0" borderId="8" xfId="2" applyFont="1" applyFill="1" applyBorder="1" applyAlignment="1">
      <alignment horizontal="right"/>
    </xf>
    <xf numFmtId="167" fontId="13" fillId="0" borderId="8" xfId="0" applyNumberFormat="1" applyFont="1" applyBorder="1"/>
    <xf numFmtId="167" fontId="13" fillId="0" borderId="10" xfId="0" applyNumberFormat="1" applyFont="1" applyBorder="1"/>
    <xf numFmtId="167" fontId="16" fillId="0" borderId="9" xfId="0" applyNumberFormat="1" applyFont="1" applyBorder="1"/>
    <xf numFmtId="167" fontId="16" fillId="0" borderId="9" xfId="0" applyNumberFormat="1" applyFont="1" applyFill="1" applyBorder="1"/>
    <xf numFmtId="167" fontId="13" fillId="0" borderId="0" xfId="6" applyNumberFormat="1" applyFont="1" applyBorder="1"/>
    <xf numFmtId="0" fontId="20" fillId="0" borderId="0" xfId="0" applyFont="1" applyFill="1" applyAlignment="1"/>
    <xf numFmtId="42" fontId="20" fillId="0" borderId="0" xfId="1" applyFont="1" applyFill="1" applyAlignment="1">
      <alignment horizontal="left"/>
    </xf>
    <xf numFmtId="167" fontId="16" fillId="0" borderId="9" xfId="6" applyNumberFormat="1" applyFont="1" applyFill="1" applyBorder="1"/>
    <xf numFmtId="167" fontId="20" fillId="0" borderId="0" xfId="6" applyNumberFormat="1" applyFont="1" applyFill="1" applyBorder="1"/>
    <xf numFmtId="167" fontId="16" fillId="0" borderId="0" xfId="6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5" fillId="2" borderId="0" xfId="4" applyFont="1" applyFill="1" applyBorder="1" applyAlignment="1">
      <alignment horizontal="center"/>
    </xf>
    <xf numFmtId="0" fontId="20" fillId="0" borderId="8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5" fillId="2" borderId="4" xfId="4" applyFont="1" applyFill="1" applyBorder="1" applyAlignment="1">
      <alignment horizontal="center"/>
    </xf>
    <xf numFmtId="0" fontId="15" fillId="2" borderId="5" xfId="4" applyFont="1" applyFill="1" applyBorder="1" applyAlignment="1">
      <alignment horizontal="center"/>
    </xf>
    <xf numFmtId="0" fontId="15" fillId="2" borderId="6" xfId="4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3" fillId="0" borderId="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68" fontId="13" fillId="0" borderId="0" xfId="3" applyNumberFormat="1" applyFont="1" applyFill="1" applyBorder="1"/>
    <xf numFmtId="43" fontId="13" fillId="0" borderId="0" xfId="5" applyFont="1" applyFill="1" applyBorder="1"/>
  </cellXfs>
  <cellStyles count="8">
    <cellStyle name="20% - Énfasis1" xfId="7" builtinId="30"/>
    <cellStyle name="Hipervínculo" xfId="4" builtinId="8"/>
    <cellStyle name="Millares" xfId="5" builtinId="3"/>
    <cellStyle name="Millares [0]" xfId="3" builtinId="6"/>
    <cellStyle name="Moneda" xfId="6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99"/>
  <sheetViews>
    <sheetView showGridLines="0" tabSelected="1" zoomScale="90" zoomScaleNormal="90" workbookViewId="0">
      <selection activeCell="E16" sqref="E16"/>
    </sheetView>
  </sheetViews>
  <sheetFormatPr baseColWidth="10" defaultRowHeight="15" x14ac:dyDescent="0.25"/>
  <cols>
    <col min="1" max="1" width="1.5703125" customWidth="1"/>
    <col min="2" max="9" width="17.7109375" style="21" customWidth="1"/>
    <col min="10" max="12" width="15.7109375" style="21" customWidth="1"/>
    <col min="13" max="15" width="13.42578125" style="21" bestFit="1" customWidth="1"/>
    <col min="16" max="16" width="12.28515625" style="21" bestFit="1" customWidth="1"/>
    <col min="17" max="17" width="29.5703125" style="21" bestFit="1" customWidth="1"/>
    <col min="18" max="18" width="21.42578125" style="21" bestFit="1" customWidth="1"/>
    <col min="19" max="19" width="20.85546875" bestFit="1" customWidth="1"/>
  </cols>
  <sheetData>
    <row r="1" spans="2:19" x14ac:dyDescent="0.25">
      <c r="S1" s="2"/>
    </row>
    <row r="2" spans="2:19" x14ac:dyDescent="0.25">
      <c r="B2" s="219" t="s">
        <v>128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1"/>
    </row>
    <row r="3" spans="2:19" x14ac:dyDescent="0.25">
      <c r="B3" s="22"/>
      <c r="S3" s="2"/>
    </row>
    <row r="4" spans="2:19" x14ac:dyDescent="0.25">
      <c r="B4" s="22"/>
      <c r="S4" s="2"/>
    </row>
    <row r="5" spans="2:19" x14ac:dyDescent="0.25">
      <c r="B5" s="209" t="s">
        <v>44</v>
      </c>
      <c r="C5" s="210"/>
      <c r="D5" s="210"/>
      <c r="E5" s="210"/>
      <c r="F5" s="210"/>
      <c r="G5" s="210"/>
      <c r="H5" s="211"/>
      <c r="K5" s="23" t="s">
        <v>149</v>
      </c>
      <c r="L5" s="24"/>
      <c r="M5" s="25">
        <v>0.03</v>
      </c>
      <c r="S5" s="2"/>
    </row>
    <row r="6" spans="2:19" x14ac:dyDescent="0.25">
      <c r="B6" s="26"/>
      <c r="C6" s="27"/>
      <c r="D6" s="27"/>
      <c r="E6" s="27"/>
      <c r="F6" s="27"/>
      <c r="G6" s="27"/>
      <c r="H6" s="27"/>
      <c r="I6" s="27"/>
      <c r="J6" s="27"/>
      <c r="K6" s="28" t="s">
        <v>170</v>
      </c>
      <c r="L6" s="29"/>
      <c r="M6" s="30">
        <f>M7/2</f>
        <v>2.5000000000000001E-2</v>
      </c>
      <c r="S6" s="2"/>
    </row>
    <row r="7" spans="2:19" x14ac:dyDescent="0.25">
      <c r="B7" s="225" t="s">
        <v>61</v>
      </c>
      <c r="C7" s="225"/>
      <c r="D7" s="225"/>
      <c r="E7" s="225"/>
      <c r="F7" s="225"/>
      <c r="G7" s="27"/>
      <c r="H7" s="27"/>
      <c r="I7" s="27"/>
      <c r="J7" s="27"/>
      <c r="K7" s="29" t="s">
        <v>171</v>
      </c>
      <c r="L7" s="29"/>
      <c r="M7" s="30">
        <v>0.05</v>
      </c>
      <c r="S7" s="2"/>
    </row>
    <row r="8" spans="2:19" ht="7.5" customHeight="1" x14ac:dyDescent="0.25">
      <c r="B8" s="31"/>
      <c r="C8" s="27"/>
      <c r="D8" s="27"/>
      <c r="E8" s="27"/>
      <c r="S8" s="2"/>
    </row>
    <row r="9" spans="2:19" x14ac:dyDescent="0.25">
      <c r="B9" s="225" t="s">
        <v>58</v>
      </c>
      <c r="C9" s="225"/>
      <c r="D9" s="32" t="s">
        <v>45</v>
      </c>
      <c r="E9" s="32" t="s">
        <v>192</v>
      </c>
      <c r="F9" s="32" t="s">
        <v>193</v>
      </c>
      <c r="G9" s="33" t="s">
        <v>133</v>
      </c>
      <c r="H9" s="33" t="s">
        <v>132</v>
      </c>
      <c r="I9" s="27"/>
      <c r="J9" s="27"/>
      <c r="K9" s="27"/>
      <c r="S9" s="2"/>
    </row>
    <row r="10" spans="2:19" x14ac:dyDescent="0.25">
      <c r="B10" s="231" t="s">
        <v>57</v>
      </c>
      <c r="C10" s="231"/>
      <c r="D10" s="34"/>
      <c r="E10" s="34"/>
      <c r="F10" s="34"/>
      <c r="G10" s="35">
        <v>10</v>
      </c>
      <c r="H10" s="36"/>
      <c r="I10" s="27"/>
      <c r="J10" s="27"/>
      <c r="K10" s="27"/>
      <c r="S10" s="2"/>
    </row>
    <row r="11" spans="2:19" x14ac:dyDescent="0.25">
      <c r="B11" s="203" t="s">
        <v>190</v>
      </c>
      <c r="C11" s="203"/>
      <c r="D11" s="37">
        <v>1</v>
      </c>
      <c r="E11" s="38">
        <f>23800000+1000000</f>
        <v>24800000</v>
      </c>
      <c r="F11" s="38">
        <f t="shared" ref="F11:F17" si="0">D11*E11</f>
        <v>24800000</v>
      </c>
      <c r="G11" s="35"/>
      <c r="H11" s="39">
        <f t="shared" ref="H11:H17" si="1">F11-(F11/$G$10*5)</f>
        <v>12400000</v>
      </c>
      <c r="I11" s="27"/>
      <c r="J11" s="27"/>
      <c r="K11" s="27"/>
      <c r="S11" s="2"/>
    </row>
    <row r="12" spans="2:19" x14ac:dyDescent="0.25">
      <c r="B12" s="203" t="s">
        <v>48</v>
      </c>
      <c r="C12" s="203"/>
      <c r="D12" s="37">
        <v>1</v>
      </c>
      <c r="E12" s="38">
        <f>400000+100000</f>
        <v>500000</v>
      </c>
      <c r="F12" s="38">
        <f t="shared" si="0"/>
        <v>500000</v>
      </c>
      <c r="G12" s="35"/>
      <c r="H12" s="39">
        <f t="shared" si="1"/>
        <v>250000</v>
      </c>
      <c r="I12" s="27"/>
      <c r="J12" s="27"/>
      <c r="K12" s="27"/>
      <c r="S12" s="2"/>
    </row>
    <row r="13" spans="2:19" x14ac:dyDescent="0.25">
      <c r="B13" s="203" t="s">
        <v>49</v>
      </c>
      <c r="C13" s="203"/>
      <c r="D13" s="37">
        <v>1</v>
      </c>
      <c r="E13" s="38">
        <f>19040000+1000000</f>
        <v>20040000</v>
      </c>
      <c r="F13" s="38">
        <f t="shared" si="0"/>
        <v>20040000</v>
      </c>
      <c r="G13" s="35"/>
      <c r="H13" s="39">
        <f t="shared" si="1"/>
        <v>10020000</v>
      </c>
      <c r="I13" s="27"/>
      <c r="J13" s="27"/>
      <c r="K13" s="27"/>
      <c r="S13" s="2"/>
    </row>
    <row r="14" spans="2:19" x14ac:dyDescent="0.25">
      <c r="B14" s="203" t="s">
        <v>50</v>
      </c>
      <c r="C14" s="203"/>
      <c r="D14" s="37">
        <v>1</v>
      </c>
      <c r="E14" s="38">
        <f>10710000+500000</f>
        <v>11210000</v>
      </c>
      <c r="F14" s="38">
        <f t="shared" si="0"/>
        <v>11210000</v>
      </c>
      <c r="G14" s="35"/>
      <c r="H14" s="39">
        <f t="shared" si="1"/>
        <v>5605000</v>
      </c>
      <c r="I14" s="27"/>
      <c r="J14" s="27"/>
      <c r="K14" s="27"/>
      <c r="S14" s="2"/>
    </row>
    <row r="15" spans="2:19" x14ac:dyDescent="0.25">
      <c r="B15" s="240" t="s">
        <v>191</v>
      </c>
      <c r="C15" s="240"/>
      <c r="D15" s="120">
        <v>2</v>
      </c>
      <c r="E15" s="164">
        <f>4500000+1200000</f>
        <v>5700000</v>
      </c>
      <c r="F15" s="164">
        <f t="shared" si="0"/>
        <v>11400000</v>
      </c>
      <c r="G15" s="165"/>
      <c r="H15" s="166">
        <f t="shared" si="1"/>
        <v>5700000</v>
      </c>
      <c r="I15" s="27"/>
      <c r="J15" s="27"/>
      <c r="K15" s="27"/>
      <c r="S15" s="2"/>
    </row>
    <row r="16" spans="2:19" x14ac:dyDescent="0.25">
      <c r="B16" s="203" t="s">
        <v>51</v>
      </c>
      <c r="C16" s="203"/>
      <c r="D16" s="37">
        <v>2</v>
      </c>
      <c r="E16" s="38">
        <f>5000000+100000</f>
        <v>5100000</v>
      </c>
      <c r="F16" s="38">
        <f t="shared" si="0"/>
        <v>10200000</v>
      </c>
      <c r="G16" s="35"/>
      <c r="H16" s="39">
        <f t="shared" si="1"/>
        <v>5100000</v>
      </c>
      <c r="I16" s="27"/>
      <c r="J16" s="27"/>
      <c r="K16" s="27"/>
      <c r="M16" s="40"/>
      <c r="S16" s="2"/>
    </row>
    <row r="17" spans="2:19" x14ac:dyDescent="0.25">
      <c r="B17" s="203" t="s">
        <v>52</v>
      </c>
      <c r="C17" s="203"/>
      <c r="D17" s="37">
        <v>2</v>
      </c>
      <c r="E17" s="38">
        <v>220000</v>
      </c>
      <c r="F17" s="38">
        <f t="shared" si="0"/>
        <v>440000</v>
      </c>
      <c r="G17" s="35"/>
      <c r="H17" s="39">
        <f t="shared" si="1"/>
        <v>220000</v>
      </c>
      <c r="I17" s="27"/>
      <c r="J17" s="27"/>
      <c r="K17" s="27"/>
      <c r="S17" s="2"/>
    </row>
    <row r="18" spans="2:19" x14ac:dyDescent="0.25">
      <c r="B18" s="232" t="s">
        <v>53</v>
      </c>
      <c r="C18" s="232"/>
      <c r="D18" s="37"/>
      <c r="E18" s="41"/>
      <c r="F18" s="41"/>
      <c r="G18" s="35">
        <v>10</v>
      </c>
      <c r="H18" s="27"/>
      <c r="I18" s="27"/>
      <c r="J18" s="27"/>
      <c r="K18" s="27"/>
      <c r="M18" s="40"/>
      <c r="S18" s="2"/>
    </row>
    <row r="19" spans="2:19" x14ac:dyDescent="0.25">
      <c r="B19" s="203" t="s">
        <v>54</v>
      </c>
      <c r="C19" s="203"/>
      <c r="D19" s="42">
        <v>1</v>
      </c>
      <c r="E19" s="43">
        <v>18000000</v>
      </c>
      <c r="F19" s="38">
        <f>D19*E19</f>
        <v>18000000</v>
      </c>
      <c r="G19" s="35"/>
      <c r="H19" s="39">
        <f>F19-(F19/$G$18*5)</f>
        <v>9000000</v>
      </c>
      <c r="I19" s="27"/>
      <c r="J19" s="27"/>
      <c r="K19" s="27"/>
      <c r="S19" s="2"/>
    </row>
    <row r="20" spans="2:19" x14ac:dyDescent="0.25">
      <c r="B20" s="232" t="s">
        <v>60</v>
      </c>
      <c r="C20" s="232"/>
      <c r="D20" s="37"/>
      <c r="E20" s="41"/>
      <c r="F20" s="41"/>
      <c r="G20" s="35">
        <v>5</v>
      </c>
      <c r="H20" s="27"/>
      <c r="I20" s="27"/>
      <c r="J20" s="27"/>
      <c r="K20" s="27"/>
      <c r="S20" s="2"/>
    </row>
    <row r="21" spans="2:19" x14ac:dyDescent="0.25">
      <c r="B21" s="203" t="s">
        <v>55</v>
      </c>
      <c r="C21" s="203"/>
      <c r="D21" s="37">
        <v>2</v>
      </c>
      <c r="E21" s="38">
        <v>2000000</v>
      </c>
      <c r="F21" s="38">
        <f>D21*E21</f>
        <v>4000000</v>
      </c>
      <c r="G21" s="35"/>
      <c r="H21" s="44">
        <v>0</v>
      </c>
      <c r="I21" s="27"/>
      <c r="J21" s="27"/>
      <c r="K21" s="27"/>
      <c r="S21" s="2"/>
    </row>
    <row r="22" spans="2:19" x14ac:dyDescent="0.25">
      <c r="B22" s="203" t="s">
        <v>127</v>
      </c>
      <c r="C22" s="203"/>
      <c r="D22" s="45">
        <v>2</v>
      </c>
      <c r="E22" s="38">
        <v>1000000</v>
      </c>
      <c r="F22" s="38">
        <f>D22*E22</f>
        <v>2000000</v>
      </c>
      <c r="G22" s="46"/>
      <c r="H22" s="44">
        <v>0</v>
      </c>
      <c r="I22" s="27"/>
      <c r="J22" s="27"/>
      <c r="K22" s="27"/>
      <c r="S22" s="2"/>
    </row>
    <row r="23" spans="2:19" x14ac:dyDescent="0.25">
      <c r="B23" s="241" t="s">
        <v>67</v>
      </c>
      <c r="C23" s="241"/>
      <c r="D23" s="45"/>
      <c r="E23" s="38"/>
      <c r="F23" s="38"/>
      <c r="G23" s="35">
        <v>10</v>
      </c>
      <c r="I23" s="27"/>
      <c r="J23" s="27"/>
      <c r="K23" s="27"/>
      <c r="S23" s="2"/>
    </row>
    <row r="24" spans="2:19" x14ac:dyDescent="0.25">
      <c r="B24" s="203" t="s">
        <v>67</v>
      </c>
      <c r="C24" s="203"/>
      <c r="D24" s="37">
        <v>1</v>
      </c>
      <c r="E24" s="38">
        <v>2000000</v>
      </c>
      <c r="F24" s="38">
        <f>D24*E24</f>
        <v>2000000</v>
      </c>
      <c r="G24" s="47"/>
      <c r="H24" s="39">
        <f>F24-(F24/$G$23*5)</f>
        <v>1000000</v>
      </c>
      <c r="I24" s="27"/>
      <c r="J24" s="27"/>
      <c r="K24" s="27"/>
      <c r="S24" s="2"/>
    </row>
    <row r="25" spans="2:19" x14ac:dyDescent="0.25">
      <c r="B25" s="232" t="s">
        <v>56</v>
      </c>
      <c r="C25" s="232"/>
      <c r="D25" s="37"/>
      <c r="E25" s="41"/>
      <c r="F25" s="41"/>
      <c r="G25" s="46">
        <v>5</v>
      </c>
      <c r="H25" s="27"/>
      <c r="I25" s="27"/>
      <c r="J25" s="27"/>
      <c r="K25" s="27"/>
      <c r="S25" s="2"/>
    </row>
    <row r="26" spans="2:19" ht="15.75" thickBot="1" x14ac:dyDescent="0.3">
      <c r="B26" s="200" t="s">
        <v>56</v>
      </c>
      <c r="C26" s="200"/>
      <c r="D26" s="48">
        <v>1</v>
      </c>
      <c r="E26" s="49">
        <v>1500000</v>
      </c>
      <c r="F26" s="49">
        <f>D26*E26</f>
        <v>1500000</v>
      </c>
      <c r="G26" s="35"/>
      <c r="H26" s="50">
        <v>0</v>
      </c>
      <c r="I26" s="27"/>
      <c r="J26" s="27"/>
      <c r="K26" s="27"/>
      <c r="S26" s="2"/>
    </row>
    <row r="27" spans="2:19" ht="15.75" thickTop="1" x14ac:dyDescent="0.25">
      <c r="B27" s="233" t="s">
        <v>59</v>
      </c>
      <c r="C27" s="233"/>
      <c r="D27" s="51"/>
      <c r="E27" s="52"/>
      <c r="F27" s="53">
        <f>SUM(F11:F26)</f>
        <v>106090000</v>
      </c>
      <c r="G27" s="27"/>
      <c r="H27" s="39">
        <f>SUM(H10:H26)</f>
        <v>49295000</v>
      </c>
      <c r="I27" s="27"/>
      <c r="J27" s="27"/>
      <c r="K27" s="27"/>
      <c r="S27" s="2"/>
    </row>
    <row r="28" spans="2:19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S28" s="2"/>
    </row>
    <row r="29" spans="2:19" x14ac:dyDescent="0.25">
      <c r="B29" s="225" t="s">
        <v>62</v>
      </c>
      <c r="C29" s="225"/>
      <c r="D29" s="225"/>
      <c r="E29" s="225"/>
      <c r="F29" s="225"/>
      <c r="G29" s="27"/>
      <c r="H29" s="27"/>
      <c r="I29" s="27"/>
      <c r="J29" s="27"/>
      <c r="K29" s="27"/>
      <c r="S29" s="2"/>
    </row>
    <row r="30" spans="2:19" ht="7.5" customHeight="1" x14ac:dyDescent="0.25">
      <c r="B30" s="31"/>
      <c r="C30" s="27"/>
      <c r="D30" s="27"/>
      <c r="E30" s="27"/>
      <c r="S30" s="2"/>
    </row>
    <row r="31" spans="2:19" x14ac:dyDescent="0.25">
      <c r="B31" s="225" t="s">
        <v>58</v>
      </c>
      <c r="C31" s="225"/>
      <c r="D31" s="32" t="s">
        <v>45</v>
      </c>
      <c r="E31" s="32" t="s">
        <v>46</v>
      </c>
      <c r="F31" s="32" t="s">
        <v>47</v>
      </c>
      <c r="G31" s="27"/>
      <c r="H31" s="27"/>
      <c r="I31" s="27"/>
      <c r="J31" s="27"/>
      <c r="K31" s="27"/>
      <c r="S31" s="2"/>
    </row>
    <row r="32" spans="2:19" x14ac:dyDescent="0.25">
      <c r="B32" s="203" t="s">
        <v>40</v>
      </c>
      <c r="C32" s="203"/>
      <c r="D32" s="27">
        <v>1</v>
      </c>
      <c r="E32" s="38">
        <v>1800000</v>
      </c>
      <c r="F32" s="38">
        <f>D32*E32</f>
        <v>1800000</v>
      </c>
      <c r="G32" s="27"/>
      <c r="H32" s="27"/>
      <c r="I32" s="27"/>
      <c r="J32" s="27"/>
      <c r="K32" s="27"/>
      <c r="S32" s="2"/>
    </row>
    <row r="33" spans="2:19" ht="15.75" thickBot="1" x14ac:dyDescent="0.3">
      <c r="B33" s="200" t="s">
        <v>41</v>
      </c>
      <c r="C33" s="200"/>
      <c r="D33" s="54">
        <v>1</v>
      </c>
      <c r="E33" s="49">
        <f>139650+36000+6200*2</f>
        <v>188050</v>
      </c>
      <c r="F33" s="49">
        <f>D33*E33</f>
        <v>188050</v>
      </c>
      <c r="G33" s="27"/>
      <c r="H33" s="27"/>
      <c r="I33" s="27"/>
      <c r="J33" s="27"/>
      <c r="K33" s="27"/>
      <c r="S33" s="2"/>
    </row>
    <row r="34" spans="2:19" ht="15.75" thickTop="1" x14ac:dyDescent="0.25">
      <c r="B34" s="233" t="s">
        <v>59</v>
      </c>
      <c r="C34" s="233"/>
      <c r="D34" s="51"/>
      <c r="E34" s="52"/>
      <c r="F34" s="53">
        <f>SUM(F32:F33)</f>
        <v>1988050</v>
      </c>
      <c r="G34" s="27"/>
      <c r="H34" s="27"/>
      <c r="I34" s="27"/>
      <c r="J34" s="27"/>
      <c r="K34" s="27"/>
      <c r="S34" s="2"/>
    </row>
    <row r="35" spans="2:19" x14ac:dyDescent="0.25">
      <c r="B35" s="26"/>
      <c r="C35" s="27"/>
      <c r="D35" s="27"/>
      <c r="E35" s="27"/>
      <c r="F35" s="27"/>
      <c r="G35" s="27"/>
      <c r="H35" s="27"/>
      <c r="I35" s="27"/>
      <c r="J35" s="27"/>
      <c r="K35" s="27"/>
      <c r="S35" s="2"/>
    </row>
    <row r="36" spans="2:19" x14ac:dyDescent="0.25">
      <c r="B36" s="225" t="s">
        <v>63</v>
      </c>
      <c r="C36" s="225"/>
      <c r="D36" s="225"/>
      <c r="E36" s="225"/>
      <c r="F36" s="225"/>
      <c r="G36" s="27"/>
      <c r="H36" s="27"/>
      <c r="I36" s="27"/>
      <c r="J36" s="27"/>
      <c r="K36" s="27"/>
      <c r="S36" s="2"/>
    </row>
    <row r="37" spans="2:19" ht="7.5" customHeight="1" x14ac:dyDescent="0.25">
      <c r="B37" s="31"/>
      <c r="C37" s="27"/>
      <c r="D37" s="27"/>
      <c r="E37" s="27"/>
      <c r="S37" s="2"/>
    </row>
    <row r="38" spans="2:19" x14ac:dyDescent="0.25">
      <c r="B38" s="225" t="s">
        <v>58</v>
      </c>
      <c r="C38" s="225"/>
      <c r="D38" s="32" t="s">
        <v>45</v>
      </c>
      <c r="E38" s="32" t="s">
        <v>192</v>
      </c>
      <c r="F38" s="32" t="s">
        <v>193</v>
      </c>
      <c r="G38" s="27"/>
      <c r="H38" s="27"/>
      <c r="I38" s="27"/>
      <c r="J38" s="27"/>
      <c r="K38" s="27"/>
      <c r="S38" s="2"/>
    </row>
    <row r="39" spans="2:19" x14ac:dyDescent="0.25">
      <c r="B39" s="231" t="s">
        <v>64</v>
      </c>
      <c r="C39" s="231"/>
      <c r="D39" s="34"/>
      <c r="E39" s="34"/>
      <c r="F39" s="34"/>
      <c r="G39" s="27"/>
      <c r="H39" s="27"/>
      <c r="I39" s="27"/>
      <c r="J39" s="27"/>
      <c r="K39" s="27"/>
      <c r="S39" s="2"/>
    </row>
    <row r="40" spans="2:19" x14ac:dyDescent="0.25">
      <c r="B40" s="203" t="s">
        <v>68</v>
      </c>
      <c r="C40" s="203"/>
      <c r="D40" s="37">
        <v>1</v>
      </c>
      <c r="E40" s="38">
        <v>2800000</v>
      </c>
      <c r="F40" s="38">
        <f>D40*E40</f>
        <v>2800000</v>
      </c>
      <c r="G40" s="27"/>
      <c r="H40" s="27"/>
      <c r="I40" s="27"/>
      <c r="J40" s="27"/>
      <c r="K40" s="27"/>
      <c r="S40" s="2"/>
    </row>
    <row r="41" spans="2:19" x14ac:dyDescent="0.25">
      <c r="B41" s="203" t="s">
        <v>65</v>
      </c>
      <c r="C41" s="203"/>
      <c r="D41" s="37">
        <v>52500</v>
      </c>
      <c r="E41" s="38">
        <v>460.95853121542774</v>
      </c>
      <c r="F41" s="38">
        <f>D41*E41</f>
        <v>24200322.888809957</v>
      </c>
      <c r="G41" s="27"/>
      <c r="H41" s="27"/>
      <c r="I41" s="27"/>
      <c r="J41" s="27"/>
      <c r="K41" s="27"/>
      <c r="S41" s="2"/>
    </row>
    <row r="42" spans="2:19" x14ac:dyDescent="0.25">
      <c r="B42" s="203" t="s">
        <v>124</v>
      </c>
      <c r="C42" s="203"/>
      <c r="D42" s="37">
        <v>5000</v>
      </c>
      <c r="E42" s="38">
        <v>60</v>
      </c>
      <c r="F42" s="38">
        <f>D42*E42</f>
        <v>300000</v>
      </c>
      <c r="G42" s="27"/>
      <c r="H42" s="27"/>
      <c r="I42" s="27"/>
      <c r="J42" s="27"/>
      <c r="K42" s="27"/>
      <c r="S42" s="2"/>
    </row>
    <row r="43" spans="2:19" x14ac:dyDescent="0.25">
      <c r="B43" s="203" t="s">
        <v>136</v>
      </c>
      <c r="C43" s="203"/>
      <c r="D43" s="37"/>
      <c r="E43" s="38"/>
      <c r="F43" s="38">
        <v>1120000</v>
      </c>
      <c r="G43" s="41"/>
      <c r="H43" s="39"/>
      <c r="I43" s="27"/>
      <c r="J43" s="27"/>
      <c r="K43" s="27"/>
      <c r="S43" s="2"/>
    </row>
    <row r="44" spans="2:19" x14ac:dyDescent="0.25">
      <c r="B44" s="203" t="s">
        <v>135</v>
      </c>
      <c r="C44" s="203"/>
      <c r="D44" s="45">
        <v>7</v>
      </c>
      <c r="E44" s="59">
        <v>30000</v>
      </c>
      <c r="F44" s="59">
        <f>E44*D44</f>
        <v>210000</v>
      </c>
      <c r="G44" s="27"/>
      <c r="H44" s="27"/>
      <c r="I44" s="27"/>
      <c r="J44" s="27"/>
      <c r="K44" s="27"/>
      <c r="S44" s="2"/>
    </row>
    <row r="45" spans="2:19" ht="15.75" thickBot="1" x14ac:dyDescent="0.3">
      <c r="B45" s="200" t="s">
        <v>126</v>
      </c>
      <c r="C45" s="200"/>
      <c r="D45" s="174">
        <v>5</v>
      </c>
      <c r="E45" s="63"/>
      <c r="F45" s="63">
        <f>H102+H109</f>
        <v>313828</v>
      </c>
      <c r="G45" s="27"/>
      <c r="H45" s="27"/>
      <c r="I45" s="27"/>
      <c r="J45" s="27"/>
      <c r="K45" s="27"/>
      <c r="S45" s="2"/>
    </row>
    <row r="46" spans="2:19" ht="15.75" thickTop="1" x14ac:dyDescent="0.25">
      <c r="B46" s="233" t="s">
        <v>59</v>
      </c>
      <c r="C46" s="233"/>
      <c r="D46" s="175"/>
      <c r="E46" s="176"/>
      <c r="F46" s="177">
        <f>SUM(F39:F45)</f>
        <v>28944150.888809957</v>
      </c>
      <c r="G46" s="27"/>
      <c r="H46" s="27"/>
      <c r="I46" s="27"/>
      <c r="J46" s="27"/>
      <c r="K46" s="27"/>
      <c r="S46" s="2"/>
    </row>
    <row r="47" spans="2:19" x14ac:dyDescent="0.25">
      <c r="B47" s="27"/>
      <c r="C47" s="27"/>
      <c r="D47" s="178"/>
      <c r="E47" s="178"/>
      <c r="F47" s="178"/>
      <c r="G47" s="27"/>
      <c r="H47" s="27"/>
      <c r="I47" s="27"/>
      <c r="J47" s="27"/>
      <c r="K47" s="27"/>
      <c r="S47" s="2"/>
    </row>
    <row r="48" spans="2:19" x14ac:dyDescent="0.25">
      <c r="B48" s="55" t="s">
        <v>66</v>
      </c>
      <c r="C48" s="27"/>
      <c r="D48" s="27"/>
      <c r="E48" s="27"/>
      <c r="F48" s="56">
        <f>F27+F34+F46</f>
        <v>137022200.88880995</v>
      </c>
      <c r="G48" s="27"/>
      <c r="H48" s="27"/>
      <c r="I48" s="27"/>
      <c r="J48" s="27"/>
      <c r="K48" s="27"/>
      <c r="S48" s="2"/>
    </row>
    <row r="49" spans="2:19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7"/>
      <c r="S49" s="2"/>
    </row>
    <row r="50" spans="2:19" x14ac:dyDescent="0.25">
      <c r="B50" s="22"/>
      <c r="S50" s="2"/>
    </row>
    <row r="51" spans="2:19" x14ac:dyDescent="0.25">
      <c r="B51" s="209" t="s">
        <v>69</v>
      </c>
      <c r="C51" s="210"/>
      <c r="D51" s="210"/>
      <c r="E51" s="210"/>
      <c r="F51" s="210"/>
      <c r="G51" s="210"/>
      <c r="H51" s="210"/>
      <c r="I51" s="211"/>
      <c r="S51" s="2"/>
    </row>
    <row r="52" spans="2:19" x14ac:dyDescent="0.25">
      <c r="B52" s="22"/>
      <c r="S52" s="2"/>
    </row>
    <row r="53" spans="2:19" x14ac:dyDescent="0.25">
      <c r="B53" s="207" t="s">
        <v>70</v>
      </c>
      <c r="C53" s="207"/>
      <c r="D53" s="57" t="s">
        <v>73</v>
      </c>
      <c r="E53" s="57" t="s">
        <v>74</v>
      </c>
      <c r="S53" s="2"/>
    </row>
    <row r="54" spans="2:19" ht="7.5" customHeight="1" x14ac:dyDescent="0.25">
      <c r="B54" s="58"/>
      <c r="C54" s="34"/>
      <c r="D54" s="34"/>
      <c r="E54" s="34"/>
      <c r="S54" s="2"/>
    </row>
    <row r="55" spans="2:19" x14ac:dyDescent="0.25">
      <c r="B55" s="203" t="s">
        <v>71</v>
      </c>
      <c r="C55" s="203"/>
      <c r="D55" s="59">
        <v>2800000</v>
      </c>
      <c r="E55" s="38">
        <f>D55*12</f>
        <v>33600000</v>
      </c>
      <c r="F55" s="40"/>
      <c r="L55" s="60"/>
      <c r="S55" s="2"/>
    </row>
    <row r="56" spans="2:19" x14ac:dyDescent="0.25">
      <c r="B56" s="203" t="s">
        <v>72</v>
      </c>
      <c r="C56" s="203"/>
      <c r="D56" s="59">
        <v>1500000</v>
      </c>
      <c r="E56" s="38">
        <f>D56*12</f>
        <v>18000000</v>
      </c>
      <c r="F56" s="40"/>
      <c r="L56" s="61"/>
      <c r="S56" s="2"/>
    </row>
    <row r="57" spans="2:19" x14ac:dyDescent="0.25">
      <c r="B57" s="203" t="s">
        <v>138</v>
      </c>
      <c r="C57" s="203"/>
      <c r="D57" s="59">
        <v>225000</v>
      </c>
      <c r="E57" s="38">
        <f>D57*12</f>
        <v>2700000</v>
      </c>
      <c r="F57" s="40"/>
      <c r="L57" s="60"/>
      <c r="S57" s="2"/>
    </row>
    <row r="58" spans="2:19" x14ac:dyDescent="0.25">
      <c r="B58" s="203" t="s">
        <v>137</v>
      </c>
      <c r="C58" s="203"/>
      <c r="D58" s="59">
        <v>186743.80799999999</v>
      </c>
      <c r="E58" s="38">
        <f>D58*12</f>
        <v>2240925.696</v>
      </c>
      <c r="F58" s="40"/>
      <c r="L58" s="62"/>
      <c r="S58" s="2"/>
    </row>
    <row r="59" spans="2:19" x14ac:dyDescent="0.25">
      <c r="B59" s="203" t="s">
        <v>139</v>
      </c>
      <c r="C59" s="203"/>
      <c r="D59" s="59">
        <f>E59/12</f>
        <v>120000</v>
      </c>
      <c r="E59" s="38">
        <v>1440000</v>
      </c>
      <c r="F59" s="40"/>
      <c r="S59" s="2"/>
    </row>
    <row r="60" spans="2:19" ht="15.75" thickBot="1" x14ac:dyDescent="0.3">
      <c r="B60" s="200" t="s">
        <v>130</v>
      </c>
      <c r="C60" s="200"/>
      <c r="D60" s="63">
        <f>R90+R89</f>
        <v>6990081.7065120004</v>
      </c>
      <c r="E60" s="49">
        <f>D60*12</f>
        <v>83880980.478144005</v>
      </c>
      <c r="F60" s="40"/>
      <c r="S60" s="2"/>
    </row>
    <row r="61" spans="2:19" ht="15.75" thickTop="1" x14ac:dyDescent="0.25">
      <c r="B61" s="207" t="s">
        <v>80</v>
      </c>
      <c r="C61" s="207"/>
      <c r="D61" s="64">
        <f>SUM(D55:D60)</f>
        <v>11821825.514512001</v>
      </c>
      <c r="E61" s="65">
        <f>SUM(E55:E60)</f>
        <v>141861906.174144</v>
      </c>
      <c r="F61" s="40"/>
      <c r="G61" s="179"/>
      <c r="S61" s="2"/>
    </row>
    <row r="62" spans="2:19" x14ac:dyDescent="0.25">
      <c r="B62" s="66"/>
      <c r="C62" s="66"/>
      <c r="D62" s="67"/>
      <c r="E62" s="40"/>
      <c r="F62" s="40"/>
      <c r="S62" s="2"/>
    </row>
    <row r="63" spans="2:19" x14ac:dyDescent="0.25">
      <c r="B63" s="66" t="s">
        <v>125</v>
      </c>
      <c r="C63" s="66"/>
      <c r="D63" s="68">
        <v>5000</v>
      </c>
      <c r="E63" s="40"/>
      <c r="F63"/>
      <c r="G63" s="172"/>
      <c r="S63" s="2"/>
    </row>
    <row r="64" spans="2:19" ht="5.25" customHeight="1" x14ac:dyDescent="0.25">
      <c r="B64" s="66"/>
      <c r="C64" s="66"/>
      <c r="D64" s="67"/>
      <c r="E64" s="40"/>
      <c r="F64" s="40"/>
      <c r="S64" s="2"/>
    </row>
    <row r="65" spans="2:19" x14ac:dyDescent="0.25">
      <c r="B65" s="207" t="s">
        <v>75</v>
      </c>
      <c r="C65" s="207"/>
      <c r="D65" s="69" t="s">
        <v>76</v>
      </c>
      <c r="E65" s="40"/>
      <c r="F65" s="40"/>
      <c r="S65" s="2"/>
    </row>
    <row r="66" spans="2:19" ht="7.5" customHeight="1" x14ac:dyDescent="0.25">
      <c r="B66" s="58"/>
      <c r="C66" s="34"/>
      <c r="D66" s="70"/>
      <c r="S66" s="2"/>
    </row>
    <row r="67" spans="2:19" x14ac:dyDescent="0.25">
      <c r="B67" s="203" t="s">
        <v>77</v>
      </c>
      <c r="C67" s="203"/>
      <c r="D67" s="59">
        <f>(R86+R87+R88)/D63</f>
        <v>1680.7857065119999</v>
      </c>
      <c r="E67" s="40"/>
      <c r="F67" s="40"/>
      <c r="S67" s="2"/>
    </row>
    <row r="68" spans="2:19" x14ac:dyDescent="0.25">
      <c r="B68" s="203" t="s">
        <v>78</v>
      </c>
      <c r="C68" s="203"/>
      <c r="D68" s="59">
        <f>885*10</f>
        <v>8850</v>
      </c>
      <c r="E68" s="40"/>
      <c r="F68" s="40"/>
      <c r="S68" s="2"/>
    </row>
    <row r="69" spans="2:19" ht="15.75" thickBot="1" x14ac:dyDescent="0.3">
      <c r="B69" s="200" t="s">
        <v>79</v>
      </c>
      <c r="C69" s="200"/>
      <c r="D69" s="63">
        <f>60+((H102+H109)/D63)+16</f>
        <v>138.76560000000001</v>
      </c>
      <c r="E69" s="40"/>
      <c r="F69" s="40"/>
      <c r="S69" s="2"/>
    </row>
    <row r="70" spans="2:19" ht="15.75" thickTop="1" x14ac:dyDescent="0.25">
      <c r="B70" s="207" t="s">
        <v>81</v>
      </c>
      <c r="C70" s="207"/>
      <c r="D70" s="64">
        <f>SUM(D67:D69)</f>
        <v>10669.551306512001</v>
      </c>
      <c r="E70" s="60"/>
      <c r="F70" s="40"/>
      <c r="S70" s="2"/>
    </row>
    <row r="71" spans="2:19" x14ac:dyDescent="0.25">
      <c r="B71" s="66"/>
      <c r="C71" s="66"/>
      <c r="E71" s="40"/>
      <c r="F71" s="40"/>
      <c r="S71" s="2"/>
    </row>
    <row r="72" spans="2:19" x14ac:dyDescent="0.25">
      <c r="B72" s="66"/>
      <c r="C72" s="66"/>
      <c r="E72" s="40"/>
      <c r="F72" s="40"/>
      <c r="S72" s="2"/>
    </row>
    <row r="73" spans="2:19" x14ac:dyDescent="0.25">
      <c r="B73" s="208" t="s">
        <v>82</v>
      </c>
      <c r="C73" s="208"/>
      <c r="D73" s="71" t="s">
        <v>73</v>
      </c>
      <c r="E73" s="71" t="s">
        <v>74</v>
      </c>
      <c r="F73" s="40"/>
      <c r="S73" s="2"/>
    </row>
    <row r="74" spans="2:19" ht="7.5" customHeight="1" x14ac:dyDescent="0.25">
      <c r="B74" s="31"/>
      <c r="C74" s="27"/>
      <c r="D74" s="27"/>
      <c r="E74" s="27"/>
      <c r="S74" s="2"/>
    </row>
    <row r="75" spans="2:19" x14ac:dyDescent="0.25">
      <c r="B75" s="203" t="s">
        <v>83</v>
      </c>
      <c r="C75" s="203"/>
      <c r="D75" s="40">
        <v>65000</v>
      </c>
      <c r="E75" s="40">
        <f>D75*12</f>
        <v>780000</v>
      </c>
      <c r="F75" s="40"/>
      <c r="S75" s="2"/>
    </row>
    <row r="76" spans="2:19" x14ac:dyDescent="0.25">
      <c r="B76" s="203" t="s">
        <v>85</v>
      </c>
      <c r="C76" s="203"/>
      <c r="D76" s="72">
        <v>0.02</v>
      </c>
      <c r="E76" s="40"/>
      <c r="F76" s="40"/>
      <c r="S76" s="2"/>
    </row>
    <row r="77" spans="2:19" x14ac:dyDescent="0.25">
      <c r="B77" s="66"/>
      <c r="C77" s="66"/>
      <c r="E77" s="40"/>
      <c r="F77" s="40"/>
      <c r="S77" s="2"/>
    </row>
    <row r="78" spans="2:19" x14ac:dyDescent="0.25">
      <c r="B78" s="208" t="s">
        <v>84</v>
      </c>
      <c r="C78" s="208"/>
      <c r="D78" s="73"/>
      <c r="E78" s="73"/>
      <c r="S78" s="2"/>
    </row>
    <row r="79" spans="2:19" x14ac:dyDescent="0.25">
      <c r="B79" s="222" t="s">
        <v>5</v>
      </c>
      <c r="C79" s="222"/>
      <c r="D79" s="40">
        <f>65000+134000</f>
        <v>199000</v>
      </c>
      <c r="E79" s="40">
        <f>D79*12</f>
        <v>2388000</v>
      </c>
      <c r="S79" s="2"/>
    </row>
    <row r="80" spans="2:19" x14ac:dyDescent="0.25">
      <c r="S80" s="2"/>
    </row>
    <row r="81" spans="2:19" x14ac:dyDescent="0.25">
      <c r="S81" s="2"/>
    </row>
    <row r="82" spans="2:19" x14ac:dyDescent="0.25">
      <c r="B82" s="228" t="s">
        <v>86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30"/>
    </row>
    <row r="83" spans="2:19" x14ac:dyDescent="0.25">
      <c r="S83" s="2"/>
    </row>
    <row r="84" spans="2:19" s="3" customFormat="1" ht="15" customHeight="1" x14ac:dyDescent="0.25">
      <c r="B84" s="212" t="s">
        <v>105</v>
      </c>
      <c r="C84" s="212" t="s">
        <v>88</v>
      </c>
      <c r="D84" s="212"/>
      <c r="E84" s="212" t="s">
        <v>90</v>
      </c>
      <c r="F84" s="212" t="s">
        <v>91</v>
      </c>
      <c r="G84" s="212" t="s">
        <v>103</v>
      </c>
      <c r="H84" s="212" t="s">
        <v>92</v>
      </c>
      <c r="I84" s="212" t="s">
        <v>93</v>
      </c>
      <c r="J84" s="74" t="s">
        <v>94</v>
      </c>
      <c r="K84" s="74" t="s">
        <v>99</v>
      </c>
      <c r="L84" s="74" t="s">
        <v>95</v>
      </c>
      <c r="M84" s="74" t="s">
        <v>96</v>
      </c>
      <c r="N84" s="74" t="s">
        <v>97</v>
      </c>
      <c r="O84" s="74" t="s">
        <v>98</v>
      </c>
      <c r="P84" s="74" t="s">
        <v>100</v>
      </c>
      <c r="Q84" s="212" t="s">
        <v>101</v>
      </c>
      <c r="R84" s="212" t="s">
        <v>102</v>
      </c>
      <c r="S84" s="226" t="s">
        <v>121</v>
      </c>
    </row>
    <row r="85" spans="2:19" s="3" customFormat="1" ht="15" customHeight="1" x14ac:dyDescent="0.25">
      <c r="B85" s="212"/>
      <c r="C85" s="212"/>
      <c r="D85" s="212"/>
      <c r="E85" s="212"/>
      <c r="F85" s="212"/>
      <c r="G85" s="212"/>
      <c r="H85" s="212"/>
      <c r="I85" s="212"/>
      <c r="J85" s="75">
        <v>2.436E-2</v>
      </c>
      <c r="K85" s="75">
        <v>0.04</v>
      </c>
      <c r="L85" s="75">
        <v>0.12</v>
      </c>
      <c r="M85" s="75">
        <v>8.3299999999999999E-2</v>
      </c>
      <c r="N85" s="75">
        <v>4.1700000000000001E-2</v>
      </c>
      <c r="O85" s="75">
        <v>8.3299999999999999E-2</v>
      </c>
      <c r="P85" s="75">
        <v>0.12</v>
      </c>
      <c r="Q85" s="212"/>
      <c r="R85" s="212"/>
      <c r="S85" s="226"/>
    </row>
    <row r="86" spans="2:19" x14ac:dyDescent="0.25">
      <c r="B86" s="234" t="s">
        <v>87</v>
      </c>
      <c r="C86" s="238" t="s">
        <v>247</v>
      </c>
      <c r="D86" s="238"/>
      <c r="E86" s="34">
        <v>1</v>
      </c>
      <c r="F86" s="76">
        <v>1000000</v>
      </c>
      <c r="G86" s="76">
        <v>0</v>
      </c>
      <c r="H86" s="76">
        <v>117172</v>
      </c>
      <c r="I86" s="77">
        <f>F86+G86+H86</f>
        <v>1117172</v>
      </c>
      <c r="J86" s="78">
        <f t="shared" ref="J86:L90" si="2">$F86*J$85</f>
        <v>24360</v>
      </c>
      <c r="K86" s="78">
        <f t="shared" si="2"/>
        <v>40000</v>
      </c>
      <c r="L86" s="78">
        <f t="shared" si="2"/>
        <v>120000</v>
      </c>
      <c r="M86" s="78">
        <f>($F86+$H86)*M$85</f>
        <v>93060.427599999995</v>
      </c>
      <c r="N86" s="78">
        <f>$F86*N$85</f>
        <v>41700</v>
      </c>
      <c r="O86" s="78">
        <f>($F86+$H86)*O$85</f>
        <v>93060.427599999995</v>
      </c>
      <c r="P86" s="78">
        <f>$O86*P$85</f>
        <v>11167.251311999999</v>
      </c>
      <c r="Q86" s="78">
        <f>SUM(I86:P86)</f>
        <v>1540520.1065120001</v>
      </c>
      <c r="R86" s="79">
        <f>E86*Q86</f>
        <v>1540520.1065120001</v>
      </c>
      <c r="S86" s="4">
        <f>R86*12</f>
        <v>18486241.278144002</v>
      </c>
    </row>
    <row r="87" spans="2:19" x14ac:dyDescent="0.25">
      <c r="B87" s="235"/>
      <c r="C87" s="203" t="s">
        <v>89</v>
      </c>
      <c r="D87" s="203"/>
      <c r="E87" s="27">
        <v>3</v>
      </c>
      <c r="F87" s="44">
        <v>1000000</v>
      </c>
      <c r="G87" s="44">
        <v>0</v>
      </c>
      <c r="H87" s="44">
        <v>117172</v>
      </c>
      <c r="I87" s="39">
        <f>F87+G87+H87</f>
        <v>1117172</v>
      </c>
      <c r="J87" s="80">
        <f t="shared" si="2"/>
        <v>24360</v>
      </c>
      <c r="K87" s="80">
        <f t="shared" si="2"/>
        <v>40000</v>
      </c>
      <c r="L87" s="80">
        <f t="shared" si="2"/>
        <v>120000</v>
      </c>
      <c r="M87" s="80">
        <f>($F87+$H87)*M$85</f>
        <v>93060.427599999995</v>
      </c>
      <c r="N87" s="80">
        <f>$F87*N$85</f>
        <v>41700</v>
      </c>
      <c r="O87" s="80">
        <f>($F87+$H87)*O$85</f>
        <v>93060.427599999995</v>
      </c>
      <c r="P87" s="80">
        <f>$O87*P$85</f>
        <v>11167.251311999999</v>
      </c>
      <c r="Q87" s="80">
        <f>SUM(I87:P87)</f>
        <v>1540520.1065120001</v>
      </c>
      <c r="R87" s="81">
        <f>E87*Q87</f>
        <v>4621560.3195360005</v>
      </c>
      <c r="S87" s="5">
        <f>R87*12</f>
        <v>55458723.834432006</v>
      </c>
    </row>
    <row r="88" spans="2:19" x14ac:dyDescent="0.25">
      <c r="B88" s="236" t="s">
        <v>104</v>
      </c>
      <c r="C88" s="27" t="s">
        <v>106</v>
      </c>
      <c r="D88" s="27"/>
      <c r="E88" s="27">
        <v>1</v>
      </c>
      <c r="F88" s="44">
        <v>1500000</v>
      </c>
      <c r="G88" s="44">
        <v>0</v>
      </c>
      <c r="H88" s="44">
        <v>117172</v>
      </c>
      <c r="I88" s="39">
        <f>F88+G88+H88</f>
        <v>1617172</v>
      </c>
      <c r="J88" s="80">
        <f t="shared" si="2"/>
        <v>36540</v>
      </c>
      <c r="K88" s="80">
        <f t="shared" si="2"/>
        <v>60000</v>
      </c>
      <c r="L88" s="80">
        <f t="shared" si="2"/>
        <v>180000</v>
      </c>
      <c r="M88" s="80">
        <f>($F88+$H88)*M$85</f>
        <v>134710.4276</v>
      </c>
      <c r="N88" s="80">
        <f>$F88*N$85</f>
        <v>62550</v>
      </c>
      <c r="O88" s="80">
        <f>($F88+$H88)*O$85</f>
        <v>134710.4276</v>
      </c>
      <c r="P88" s="80">
        <f>$O88*P$85</f>
        <v>16165.251311999999</v>
      </c>
      <c r="Q88" s="80">
        <f>SUM(I88:P88)</f>
        <v>2241848.1065120003</v>
      </c>
      <c r="R88" s="81">
        <f>E88*Q88</f>
        <v>2241848.1065120003</v>
      </c>
      <c r="S88" s="5">
        <f>R88*12</f>
        <v>26902177.278144002</v>
      </c>
    </row>
    <row r="89" spans="2:19" x14ac:dyDescent="0.25">
      <c r="B89" s="236"/>
      <c r="C89" s="27" t="s">
        <v>107</v>
      </c>
      <c r="D89" s="27"/>
      <c r="E89" s="27">
        <v>1</v>
      </c>
      <c r="F89" s="44">
        <v>2800000</v>
      </c>
      <c r="G89" s="44">
        <v>200000</v>
      </c>
      <c r="H89" s="44">
        <v>0</v>
      </c>
      <c r="I89" s="39">
        <f>F89+G89+H89</f>
        <v>3000000</v>
      </c>
      <c r="J89" s="80">
        <f t="shared" si="2"/>
        <v>68208</v>
      </c>
      <c r="K89" s="80">
        <f t="shared" si="2"/>
        <v>112000</v>
      </c>
      <c r="L89" s="80">
        <f t="shared" si="2"/>
        <v>336000</v>
      </c>
      <c r="M89" s="80">
        <f>($F89+$H89)*M$85</f>
        <v>233240</v>
      </c>
      <c r="N89" s="80">
        <f>$F89*N$85</f>
        <v>116760</v>
      </c>
      <c r="O89" s="80">
        <f>($F89+$H89)*O$85</f>
        <v>233240</v>
      </c>
      <c r="P89" s="80">
        <f>$O89*P$85</f>
        <v>27988.799999999999</v>
      </c>
      <c r="Q89" s="80">
        <f>SUM(I89:P89)</f>
        <v>4127436.7999999998</v>
      </c>
      <c r="R89" s="81">
        <f>E89*Q89</f>
        <v>4127436.7999999998</v>
      </c>
      <c r="S89" s="5">
        <f>R89*12</f>
        <v>49529241.599999994</v>
      </c>
    </row>
    <row r="90" spans="2:19" ht="15.75" thickBot="1" x14ac:dyDescent="0.3">
      <c r="B90" s="237"/>
      <c r="C90" s="54" t="s">
        <v>108</v>
      </c>
      <c r="D90" s="54"/>
      <c r="E90" s="54">
        <v>1</v>
      </c>
      <c r="F90" s="50">
        <v>1800000</v>
      </c>
      <c r="G90" s="50">
        <v>200000</v>
      </c>
      <c r="H90" s="50">
        <v>117172</v>
      </c>
      <c r="I90" s="82">
        <f>F90+G90+H90</f>
        <v>2117172</v>
      </c>
      <c r="J90" s="83">
        <f t="shared" si="2"/>
        <v>43848</v>
      </c>
      <c r="K90" s="83">
        <f t="shared" si="2"/>
        <v>72000</v>
      </c>
      <c r="L90" s="83">
        <f t="shared" si="2"/>
        <v>216000</v>
      </c>
      <c r="M90" s="83">
        <f>($F90+$H90)*M$85</f>
        <v>159700.4276</v>
      </c>
      <c r="N90" s="83">
        <f>$F90*N$85</f>
        <v>75060</v>
      </c>
      <c r="O90" s="83">
        <f>($F90+$H90)*O$85</f>
        <v>159700.4276</v>
      </c>
      <c r="P90" s="83">
        <f>$O90*P$85</f>
        <v>19164.051312</v>
      </c>
      <c r="Q90" s="83">
        <f>SUM(I90:P90)</f>
        <v>2862644.9065120001</v>
      </c>
      <c r="R90" s="84">
        <f>E90*Q90</f>
        <v>2862644.9065120001</v>
      </c>
      <c r="S90" s="6">
        <f>R90*12</f>
        <v>34351738.878144003</v>
      </c>
    </row>
    <row r="91" spans="2:19" ht="15.75" thickTop="1" x14ac:dyDescent="0.25">
      <c r="B91" s="223" t="s">
        <v>120</v>
      </c>
      <c r="C91" s="223"/>
      <c r="D91" s="223"/>
      <c r="E91" s="223"/>
      <c r="F91" s="44"/>
      <c r="G91" s="44"/>
      <c r="H91" s="44"/>
      <c r="I91" s="39"/>
      <c r="J91" s="80"/>
      <c r="K91" s="80"/>
      <c r="L91" s="80"/>
      <c r="M91" s="80"/>
      <c r="N91" s="80"/>
      <c r="O91" s="80"/>
      <c r="P91" s="80"/>
      <c r="Q91" s="81"/>
      <c r="R91" s="81">
        <f>SUM(R86:R90)</f>
        <v>15394010.239071999</v>
      </c>
      <c r="S91" s="5">
        <f>SUM(S86:S90)</f>
        <v>184728122.868864</v>
      </c>
    </row>
    <row r="92" spans="2:19" x14ac:dyDescent="0.25">
      <c r="B92" s="22"/>
      <c r="K92" s="61"/>
      <c r="L92" s="61"/>
      <c r="S92" s="2"/>
    </row>
    <row r="93" spans="2:19" x14ac:dyDescent="0.25">
      <c r="B93" s="22"/>
      <c r="S93" s="2"/>
    </row>
    <row r="94" spans="2:19" x14ac:dyDescent="0.25">
      <c r="B94" s="213" t="s">
        <v>248</v>
      </c>
      <c r="C94" s="214"/>
      <c r="D94" s="214"/>
      <c r="E94" s="214"/>
      <c r="F94" s="214"/>
      <c r="G94" s="214"/>
      <c r="H94" s="214"/>
      <c r="I94" s="215"/>
      <c r="S94" s="2"/>
    </row>
    <row r="95" spans="2:19" x14ac:dyDescent="0.25">
      <c r="B95" s="22"/>
      <c r="S95" s="2"/>
    </row>
    <row r="96" spans="2:19" x14ac:dyDescent="0.25">
      <c r="B96" s="227" t="s">
        <v>109</v>
      </c>
      <c r="C96" s="227"/>
      <c r="D96" s="57" t="s">
        <v>110</v>
      </c>
      <c r="E96" s="57" t="s">
        <v>111</v>
      </c>
      <c r="F96" s="57" t="s">
        <v>112</v>
      </c>
      <c r="G96" s="57" t="s">
        <v>122</v>
      </c>
      <c r="H96" s="57" t="s">
        <v>113</v>
      </c>
      <c r="I96" s="57" t="s">
        <v>119</v>
      </c>
      <c r="S96" s="2"/>
    </row>
    <row r="97" spans="2:19" x14ac:dyDescent="0.25">
      <c r="B97" s="34" t="s">
        <v>114</v>
      </c>
      <c r="C97" s="34"/>
      <c r="D97" s="76">
        <v>9000</v>
      </c>
      <c r="E97" s="34">
        <v>24</v>
      </c>
      <c r="F97" s="76">
        <f>((E97/12)*D97)</f>
        <v>18000</v>
      </c>
      <c r="G97" s="86">
        <v>4</v>
      </c>
      <c r="H97" s="76">
        <f>F97*G97</f>
        <v>72000</v>
      </c>
      <c r="I97" s="77">
        <f>H97*12</f>
        <v>864000</v>
      </c>
      <c r="S97" s="2"/>
    </row>
    <row r="98" spans="2:19" x14ac:dyDescent="0.25">
      <c r="B98" s="27" t="s">
        <v>115</v>
      </c>
      <c r="C98" s="27"/>
      <c r="D98" s="44">
        <v>5000</v>
      </c>
      <c r="E98" s="27">
        <v>6</v>
      </c>
      <c r="F98" s="44">
        <v>2500</v>
      </c>
      <c r="G98" s="37">
        <v>4</v>
      </c>
      <c r="H98" s="44">
        <f>F98*G98</f>
        <v>10000</v>
      </c>
      <c r="I98" s="39">
        <f>H98*12</f>
        <v>120000</v>
      </c>
      <c r="S98" s="2"/>
    </row>
    <row r="99" spans="2:19" x14ac:dyDescent="0.25">
      <c r="B99" s="27" t="s">
        <v>116</v>
      </c>
      <c r="C99" s="27"/>
      <c r="D99" s="44">
        <v>3000</v>
      </c>
      <c r="E99" s="27">
        <v>144</v>
      </c>
      <c r="F99" s="44">
        <v>36000</v>
      </c>
      <c r="G99" s="37">
        <v>4</v>
      </c>
      <c r="H99" s="44">
        <f>F99*G99</f>
        <v>144000</v>
      </c>
      <c r="I99" s="39">
        <f>H99*12</f>
        <v>1728000</v>
      </c>
      <c r="S99" s="2"/>
    </row>
    <row r="100" spans="2:19" x14ac:dyDescent="0.25">
      <c r="B100" s="27" t="s">
        <v>117</v>
      </c>
      <c r="C100" s="27"/>
      <c r="D100" s="44">
        <v>1200</v>
      </c>
      <c r="E100" s="27">
        <v>48</v>
      </c>
      <c r="F100" s="44">
        <v>4800</v>
      </c>
      <c r="G100" s="37">
        <v>4</v>
      </c>
      <c r="H100" s="44">
        <f>F100*G100</f>
        <v>19200</v>
      </c>
      <c r="I100" s="39">
        <f>H100*12</f>
        <v>230400</v>
      </c>
      <c r="S100" s="2"/>
    </row>
    <row r="101" spans="2:19" ht="15.75" thickBot="1" x14ac:dyDescent="0.3">
      <c r="B101" s="54" t="s">
        <v>123</v>
      </c>
      <c r="C101" s="54"/>
      <c r="D101" s="50">
        <v>75942</v>
      </c>
      <c r="E101" s="54">
        <v>1</v>
      </c>
      <c r="F101" s="50">
        <v>6328.5</v>
      </c>
      <c r="G101" s="48">
        <v>4</v>
      </c>
      <c r="H101" s="50">
        <f>F101*G101</f>
        <v>25314</v>
      </c>
      <c r="I101" s="82">
        <f>H101*12</f>
        <v>303768</v>
      </c>
      <c r="S101" s="2"/>
    </row>
    <row r="102" spans="2:19" ht="15.75" thickTop="1" x14ac:dyDescent="0.25">
      <c r="B102" s="87" t="s">
        <v>118</v>
      </c>
      <c r="F102" s="88">
        <f>SUM(F97:F101)</f>
        <v>67628.5</v>
      </c>
      <c r="H102" s="88">
        <f>SUM(H97:H101)</f>
        <v>270514</v>
      </c>
      <c r="I102" s="88">
        <f>SUM(I97:I101)</f>
        <v>3246168</v>
      </c>
      <c r="S102" s="2"/>
    </row>
    <row r="103" spans="2:19" x14ac:dyDescent="0.25">
      <c r="B103" s="22"/>
      <c r="S103" s="2"/>
    </row>
    <row r="104" spans="2:19" x14ac:dyDescent="0.25">
      <c r="B104" s="213" t="s">
        <v>249</v>
      </c>
      <c r="C104" s="214"/>
      <c r="D104" s="214"/>
      <c r="E104" s="214"/>
      <c r="F104" s="214"/>
      <c r="G104" s="214"/>
      <c r="H104" s="214"/>
      <c r="I104" s="215"/>
      <c r="S104" s="2"/>
    </row>
    <row r="105" spans="2:19" x14ac:dyDescent="0.25">
      <c r="B105" s="22"/>
      <c r="S105" s="2"/>
    </row>
    <row r="106" spans="2:19" x14ac:dyDescent="0.25">
      <c r="B106" s="227" t="s">
        <v>109</v>
      </c>
      <c r="C106" s="227"/>
      <c r="D106" s="85" t="s">
        <v>110</v>
      </c>
      <c r="E106" s="85" t="s">
        <v>111</v>
      </c>
      <c r="F106" s="85" t="s">
        <v>112</v>
      </c>
      <c r="G106" s="85" t="s">
        <v>122</v>
      </c>
      <c r="H106" s="85" t="s">
        <v>113</v>
      </c>
      <c r="I106" s="85" t="s">
        <v>119</v>
      </c>
      <c r="S106" s="2"/>
    </row>
    <row r="107" spans="2:19" x14ac:dyDescent="0.25">
      <c r="B107" s="34" t="s">
        <v>114</v>
      </c>
      <c r="C107" s="34"/>
      <c r="D107" s="76">
        <v>9000</v>
      </c>
      <c r="E107" s="34">
        <v>24</v>
      </c>
      <c r="F107" s="76">
        <f>((E107/12)*D107)</f>
        <v>18000</v>
      </c>
      <c r="G107" s="86">
        <v>1</v>
      </c>
      <c r="H107" s="76">
        <f>F107*G107</f>
        <v>18000</v>
      </c>
      <c r="I107" s="77">
        <f>H107*12</f>
        <v>216000</v>
      </c>
      <c r="S107" s="2"/>
    </row>
    <row r="108" spans="2:19" ht="15.75" thickBot="1" x14ac:dyDescent="0.3">
      <c r="B108" s="54" t="s">
        <v>123</v>
      </c>
      <c r="C108" s="54"/>
      <c r="D108" s="50">
        <v>75942</v>
      </c>
      <c r="E108" s="54">
        <v>1</v>
      </c>
      <c r="F108" s="50">
        <v>6328.5</v>
      </c>
      <c r="G108" s="48">
        <v>4</v>
      </c>
      <c r="H108" s="50">
        <f>F108*G108</f>
        <v>25314</v>
      </c>
      <c r="I108" s="82">
        <f>H108*12</f>
        <v>303768</v>
      </c>
      <c r="S108" s="2"/>
    </row>
    <row r="109" spans="2:19" ht="15.75" thickTop="1" x14ac:dyDescent="0.25">
      <c r="B109" s="87" t="s">
        <v>118</v>
      </c>
      <c r="F109" s="88">
        <f>SUM(F107:F108)</f>
        <v>24328.5</v>
      </c>
      <c r="H109" s="88">
        <f>SUM(H107:H108)</f>
        <v>43314</v>
      </c>
      <c r="I109" s="88">
        <f>SUM(I107:I108)</f>
        <v>519768</v>
      </c>
      <c r="S109" s="2"/>
    </row>
    <row r="110" spans="2:19" x14ac:dyDescent="0.25">
      <c r="B110" s="22"/>
      <c r="S110" s="2"/>
    </row>
    <row r="111" spans="2:19" x14ac:dyDescent="0.25">
      <c r="B111" s="216" t="s">
        <v>35</v>
      </c>
      <c r="C111" s="217"/>
      <c r="D111" s="217"/>
      <c r="E111" s="217"/>
      <c r="F111" s="217"/>
      <c r="G111" s="217"/>
      <c r="H111" s="217"/>
      <c r="I111" s="218"/>
      <c r="S111" s="2"/>
    </row>
    <row r="112" spans="2:19" x14ac:dyDescent="0.25">
      <c r="B112" s="89"/>
      <c r="C112" s="89"/>
      <c r="D112" s="89"/>
      <c r="E112" s="89"/>
      <c r="F112" s="89"/>
      <c r="G112" s="89"/>
      <c r="H112" s="89"/>
      <c r="I112" s="89"/>
      <c r="S112" s="2"/>
    </row>
    <row r="113" spans="2:19" x14ac:dyDescent="0.25">
      <c r="B113" s="213" t="s">
        <v>57</v>
      </c>
      <c r="C113" s="214"/>
      <c r="D113" s="214"/>
      <c r="E113" s="214"/>
      <c r="F113" s="214"/>
      <c r="G113" s="214"/>
      <c r="H113" s="214"/>
      <c r="I113" s="215"/>
      <c r="S113" s="2"/>
    </row>
    <row r="114" spans="2:19" ht="6.75" customHeight="1" x14ac:dyDescent="0.25">
      <c r="B114" s="90"/>
      <c r="C114" s="91"/>
      <c r="D114" s="92"/>
      <c r="E114" s="93"/>
      <c r="F114" s="93"/>
      <c r="G114" s="93"/>
      <c r="H114" s="93"/>
      <c r="I114" s="93"/>
      <c r="S114" s="2"/>
    </row>
    <row r="115" spans="2:19" x14ac:dyDescent="0.25">
      <c r="B115" s="90" t="s">
        <v>29</v>
      </c>
      <c r="C115" s="91"/>
      <c r="D115" s="92"/>
      <c r="E115" s="93">
        <v>1</v>
      </c>
      <c r="F115" s="93">
        <v>2</v>
      </c>
      <c r="G115" s="93">
        <v>3</v>
      </c>
      <c r="H115" s="93">
        <v>4</v>
      </c>
      <c r="I115" s="93">
        <v>5</v>
      </c>
      <c r="S115" s="2"/>
    </row>
    <row r="116" spans="2:19" x14ac:dyDescent="0.25">
      <c r="B116" s="94" t="s">
        <v>30</v>
      </c>
      <c r="C116" s="94"/>
      <c r="D116" s="95">
        <f>SUM(F11:F17)</f>
        <v>78590000</v>
      </c>
      <c r="E116" s="95"/>
      <c r="F116" s="95"/>
      <c r="G116" s="95"/>
      <c r="H116" s="95"/>
      <c r="I116" s="95"/>
      <c r="S116" s="2"/>
    </row>
    <row r="117" spans="2:19" x14ac:dyDescent="0.25">
      <c r="B117" s="91" t="s">
        <v>31</v>
      </c>
      <c r="C117" s="91"/>
      <c r="D117" s="96"/>
      <c r="E117" s="96">
        <f>(D116-SUM(H11:H17))/5</f>
        <v>7859000</v>
      </c>
      <c r="F117" s="96">
        <f>E117</f>
        <v>7859000</v>
      </c>
      <c r="G117" s="96">
        <f>F117</f>
        <v>7859000</v>
      </c>
      <c r="H117" s="96">
        <f>G117</f>
        <v>7859000</v>
      </c>
      <c r="I117" s="96">
        <f>H117</f>
        <v>7859000</v>
      </c>
      <c r="S117" s="2"/>
    </row>
    <row r="118" spans="2:19" ht="15.75" thickBot="1" x14ac:dyDescent="0.3">
      <c r="B118" s="97" t="s">
        <v>32</v>
      </c>
      <c r="C118" s="97"/>
      <c r="D118" s="98"/>
      <c r="E118" s="98">
        <f>E117</f>
        <v>7859000</v>
      </c>
      <c r="F118" s="98">
        <f>E118+F117</f>
        <v>15718000</v>
      </c>
      <c r="G118" s="98">
        <f>F118+G117</f>
        <v>23577000</v>
      </c>
      <c r="H118" s="98">
        <f>G118+H117</f>
        <v>31436000</v>
      </c>
      <c r="I118" s="98">
        <f>H118+I117</f>
        <v>39295000</v>
      </c>
      <c r="S118" s="2"/>
    </row>
    <row r="119" spans="2:19" ht="15.75" thickTop="1" x14ac:dyDescent="0.25">
      <c r="B119" s="90" t="s">
        <v>33</v>
      </c>
      <c r="C119" s="90"/>
      <c r="D119" s="99"/>
      <c r="E119" s="99">
        <f>$D$116-E118</f>
        <v>70731000</v>
      </c>
      <c r="F119" s="99">
        <f>$D$116-F118</f>
        <v>62872000</v>
      </c>
      <c r="G119" s="99">
        <f>$D$116-G118</f>
        <v>55013000</v>
      </c>
      <c r="H119" s="99">
        <f>$D$116-H118</f>
        <v>47154000</v>
      </c>
      <c r="I119" s="99">
        <f>$D$116-I118</f>
        <v>39295000</v>
      </c>
      <c r="S119" s="2"/>
    </row>
    <row r="120" spans="2:19" x14ac:dyDescent="0.25">
      <c r="B120" s="91"/>
      <c r="C120" s="91"/>
      <c r="D120" s="96"/>
      <c r="E120" s="96"/>
      <c r="F120" s="96"/>
      <c r="G120" s="96"/>
      <c r="H120" s="96"/>
      <c r="I120" s="96"/>
      <c r="S120" s="2"/>
    </row>
    <row r="121" spans="2:19" x14ac:dyDescent="0.25">
      <c r="B121" s="213" t="s">
        <v>53</v>
      </c>
      <c r="C121" s="214"/>
      <c r="D121" s="214"/>
      <c r="E121" s="214"/>
      <c r="F121" s="214"/>
      <c r="G121" s="214"/>
      <c r="H121" s="214"/>
      <c r="I121" s="215"/>
      <c r="S121" s="2"/>
    </row>
    <row r="122" spans="2:19" ht="6.75" customHeight="1" x14ac:dyDescent="0.25">
      <c r="B122" s="90"/>
      <c r="C122" s="91"/>
      <c r="D122" s="92"/>
      <c r="E122" s="93"/>
      <c r="F122" s="93"/>
      <c r="G122" s="93"/>
      <c r="H122" s="93"/>
      <c r="I122" s="93"/>
      <c r="S122" s="2"/>
    </row>
    <row r="123" spans="2:19" x14ac:dyDescent="0.25">
      <c r="B123" s="90" t="s">
        <v>29</v>
      </c>
      <c r="C123" s="91"/>
      <c r="D123" s="92"/>
      <c r="E123" s="93">
        <v>1</v>
      </c>
      <c r="F123" s="93">
        <v>2</v>
      </c>
      <c r="G123" s="93">
        <v>3</v>
      </c>
      <c r="H123" s="93">
        <v>4</v>
      </c>
      <c r="I123" s="93">
        <v>5</v>
      </c>
      <c r="S123" s="2"/>
    </row>
    <row r="124" spans="2:19" x14ac:dyDescent="0.25">
      <c r="B124" s="94" t="s">
        <v>30</v>
      </c>
      <c r="C124" s="94"/>
      <c r="D124" s="100">
        <f>F19</f>
        <v>18000000</v>
      </c>
      <c r="E124" s="95"/>
      <c r="F124" s="95"/>
      <c r="G124" s="95"/>
      <c r="H124" s="95"/>
      <c r="I124" s="95"/>
      <c r="S124" s="2"/>
    </row>
    <row r="125" spans="2:19" x14ac:dyDescent="0.25">
      <c r="B125" s="91" t="s">
        <v>31</v>
      </c>
      <c r="C125" s="91"/>
      <c r="D125" s="96"/>
      <c r="E125" s="44">
        <f>(D124-H19)/5</f>
        <v>1800000</v>
      </c>
      <c r="F125" s="96">
        <f>E125</f>
        <v>1800000</v>
      </c>
      <c r="G125" s="96">
        <f>F125</f>
        <v>1800000</v>
      </c>
      <c r="H125" s="96">
        <f>G125</f>
        <v>1800000</v>
      </c>
      <c r="I125" s="96">
        <f>H125</f>
        <v>1800000</v>
      </c>
      <c r="S125" s="2"/>
    </row>
    <row r="126" spans="2:19" ht="15.75" thickBot="1" x14ac:dyDescent="0.3">
      <c r="B126" s="97" t="s">
        <v>32</v>
      </c>
      <c r="C126" s="97"/>
      <c r="D126" s="98"/>
      <c r="E126" s="98">
        <f>E125</f>
        <v>1800000</v>
      </c>
      <c r="F126" s="98">
        <f>E126+F125</f>
        <v>3600000</v>
      </c>
      <c r="G126" s="98">
        <f>F126+G125</f>
        <v>5400000</v>
      </c>
      <c r="H126" s="98">
        <f>G126+H125</f>
        <v>7200000</v>
      </c>
      <c r="I126" s="98">
        <f>H126+I125</f>
        <v>9000000</v>
      </c>
      <c r="S126" s="2"/>
    </row>
    <row r="127" spans="2:19" ht="15.75" thickTop="1" x14ac:dyDescent="0.25">
      <c r="B127" s="90" t="s">
        <v>33</v>
      </c>
      <c r="C127" s="90"/>
      <c r="D127" s="99"/>
      <c r="E127" s="99">
        <f>$D$124-E126</f>
        <v>16200000</v>
      </c>
      <c r="F127" s="99">
        <f>$D$124-F126</f>
        <v>14400000</v>
      </c>
      <c r="G127" s="99">
        <f>$D$124-G126</f>
        <v>12600000</v>
      </c>
      <c r="H127" s="99">
        <f>$D$124-H126</f>
        <v>10800000</v>
      </c>
      <c r="I127" s="99">
        <f>$D$124-I126</f>
        <v>9000000</v>
      </c>
      <c r="S127" s="2"/>
    </row>
    <row r="128" spans="2:19" x14ac:dyDescent="0.25">
      <c r="B128" s="91"/>
      <c r="C128" s="91"/>
      <c r="D128" s="91"/>
      <c r="E128" s="91"/>
      <c r="F128" s="91"/>
      <c r="G128" s="91"/>
      <c r="H128" s="91"/>
      <c r="I128" s="91"/>
      <c r="S128" s="2"/>
    </row>
    <row r="129" spans="2:19" x14ac:dyDescent="0.25">
      <c r="B129" s="213" t="s">
        <v>131</v>
      </c>
      <c r="C129" s="214"/>
      <c r="D129" s="214" t="s">
        <v>27</v>
      </c>
      <c r="E129" s="214">
        <v>10</v>
      </c>
      <c r="F129" s="214" t="s">
        <v>28</v>
      </c>
      <c r="G129" s="214"/>
      <c r="H129" s="214"/>
      <c r="I129" s="215"/>
      <c r="S129" s="2"/>
    </row>
    <row r="130" spans="2:19" ht="6.75" customHeight="1" x14ac:dyDescent="0.25">
      <c r="B130" s="90"/>
      <c r="C130" s="91"/>
      <c r="D130" s="92"/>
      <c r="E130" s="93"/>
      <c r="F130" s="93"/>
      <c r="G130" s="93"/>
      <c r="H130" s="93"/>
      <c r="I130" s="93"/>
      <c r="S130" s="2"/>
    </row>
    <row r="131" spans="2:19" x14ac:dyDescent="0.25">
      <c r="B131" s="90" t="s">
        <v>29</v>
      </c>
      <c r="C131" s="91"/>
      <c r="D131" s="92"/>
      <c r="E131" s="93">
        <v>1</v>
      </c>
      <c r="F131" s="93">
        <v>2</v>
      </c>
      <c r="G131" s="93">
        <v>3</v>
      </c>
      <c r="H131" s="93">
        <v>4</v>
      </c>
      <c r="I131" s="93">
        <v>5</v>
      </c>
      <c r="S131" s="2"/>
    </row>
    <row r="132" spans="2:19" x14ac:dyDescent="0.25">
      <c r="B132" s="94" t="s">
        <v>30</v>
      </c>
      <c r="C132" s="94"/>
      <c r="D132" s="95">
        <f>F21+F22</f>
        <v>6000000</v>
      </c>
      <c r="E132" s="95"/>
      <c r="F132" s="95"/>
      <c r="G132" s="95"/>
      <c r="H132" s="95"/>
      <c r="I132" s="95"/>
      <c r="S132" s="2"/>
    </row>
    <row r="133" spans="2:19" x14ac:dyDescent="0.25">
      <c r="B133" s="91" t="s">
        <v>31</v>
      </c>
      <c r="C133" s="91"/>
      <c r="D133" s="96"/>
      <c r="E133" s="96">
        <f>(D132-SUM(H21:H22))/5</f>
        <v>1200000</v>
      </c>
      <c r="F133" s="96">
        <f>E133</f>
        <v>1200000</v>
      </c>
      <c r="G133" s="96">
        <f>F133</f>
        <v>1200000</v>
      </c>
      <c r="H133" s="96">
        <f>G133</f>
        <v>1200000</v>
      </c>
      <c r="I133" s="96">
        <f>H133</f>
        <v>1200000</v>
      </c>
      <c r="S133" s="2"/>
    </row>
    <row r="134" spans="2:19" ht="15.75" thickBot="1" x14ac:dyDescent="0.3">
      <c r="B134" s="97" t="s">
        <v>32</v>
      </c>
      <c r="C134" s="97"/>
      <c r="D134" s="98"/>
      <c r="E134" s="98">
        <f>E133</f>
        <v>1200000</v>
      </c>
      <c r="F134" s="98">
        <f>F133+E134</f>
        <v>2400000</v>
      </c>
      <c r="G134" s="98">
        <f>G133+F134</f>
        <v>3600000</v>
      </c>
      <c r="H134" s="98">
        <f>H133+G134</f>
        <v>4800000</v>
      </c>
      <c r="I134" s="98">
        <f>I133+H134</f>
        <v>6000000</v>
      </c>
      <c r="S134" s="2"/>
    </row>
    <row r="135" spans="2:19" ht="15.75" thickTop="1" x14ac:dyDescent="0.25">
      <c r="B135" s="90" t="s">
        <v>33</v>
      </c>
      <c r="C135" s="90"/>
      <c r="D135" s="99"/>
      <c r="E135" s="99">
        <f>$D$132-E134</f>
        <v>4800000</v>
      </c>
      <c r="F135" s="99">
        <f>$D$132-F134</f>
        <v>3600000</v>
      </c>
      <c r="G135" s="99">
        <f>$D$132-G134</f>
        <v>2400000</v>
      </c>
      <c r="H135" s="99">
        <f>$D$132-H134</f>
        <v>1200000</v>
      </c>
      <c r="I135" s="99">
        <f>$D$132-I134</f>
        <v>0</v>
      </c>
      <c r="S135" s="2"/>
    </row>
    <row r="136" spans="2:19" x14ac:dyDescent="0.25">
      <c r="B136" s="91"/>
      <c r="C136" s="91"/>
      <c r="D136" s="91"/>
      <c r="E136" s="91"/>
      <c r="F136" s="91"/>
      <c r="G136" s="91"/>
      <c r="H136" s="91"/>
      <c r="I136" s="91"/>
      <c r="S136" s="2"/>
    </row>
    <row r="137" spans="2:19" x14ac:dyDescent="0.25">
      <c r="B137" s="213" t="s">
        <v>67</v>
      </c>
      <c r="C137" s="214"/>
      <c r="D137" s="214" t="s">
        <v>27</v>
      </c>
      <c r="E137" s="214">
        <v>10</v>
      </c>
      <c r="F137" s="214" t="s">
        <v>28</v>
      </c>
      <c r="G137" s="214"/>
      <c r="H137" s="214"/>
      <c r="I137" s="215"/>
      <c r="S137" s="2"/>
    </row>
    <row r="138" spans="2:19" ht="6.75" customHeight="1" x14ac:dyDescent="0.25">
      <c r="B138" s="90"/>
      <c r="C138" s="91"/>
      <c r="D138" s="92"/>
      <c r="E138" s="93"/>
      <c r="F138" s="93"/>
      <c r="G138" s="93"/>
      <c r="H138" s="93"/>
      <c r="I138" s="93"/>
      <c r="S138" s="2"/>
    </row>
    <row r="139" spans="2:19" x14ac:dyDescent="0.25">
      <c r="B139" s="90" t="s">
        <v>29</v>
      </c>
      <c r="C139" s="91"/>
      <c r="D139" s="92"/>
      <c r="E139" s="93">
        <v>1</v>
      </c>
      <c r="F139" s="93">
        <v>2</v>
      </c>
      <c r="G139" s="93">
        <v>3</v>
      </c>
      <c r="H139" s="93">
        <v>4</v>
      </c>
      <c r="I139" s="93">
        <v>5</v>
      </c>
      <c r="S139" s="2"/>
    </row>
    <row r="140" spans="2:19" x14ac:dyDescent="0.25">
      <c r="B140" s="94" t="s">
        <v>30</v>
      </c>
      <c r="C140" s="94"/>
      <c r="D140" s="95">
        <f>F24</f>
        <v>2000000</v>
      </c>
      <c r="E140" s="95"/>
      <c r="F140" s="95"/>
      <c r="G140" s="95"/>
      <c r="H140" s="95"/>
      <c r="I140" s="95"/>
      <c r="S140" s="2"/>
    </row>
    <row r="141" spans="2:19" x14ac:dyDescent="0.25">
      <c r="B141" s="91" t="s">
        <v>31</v>
      </c>
      <c r="C141" s="91"/>
      <c r="D141" s="96"/>
      <c r="E141" s="44">
        <f>(D140-H24)/5</f>
        <v>200000</v>
      </c>
      <c r="F141" s="96">
        <f>E141</f>
        <v>200000</v>
      </c>
      <c r="G141" s="96">
        <f>F141</f>
        <v>200000</v>
      </c>
      <c r="H141" s="96">
        <f>G141</f>
        <v>200000</v>
      </c>
      <c r="I141" s="96">
        <f>H141</f>
        <v>200000</v>
      </c>
      <c r="S141" s="2"/>
    </row>
    <row r="142" spans="2:19" ht="15.75" thickBot="1" x14ac:dyDescent="0.3">
      <c r="B142" s="97" t="s">
        <v>32</v>
      </c>
      <c r="C142" s="97"/>
      <c r="D142" s="98"/>
      <c r="E142" s="98">
        <f>E141</f>
        <v>200000</v>
      </c>
      <c r="F142" s="98">
        <f>F141+E142</f>
        <v>400000</v>
      </c>
      <c r="G142" s="98">
        <f>G141+F142</f>
        <v>600000</v>
      </c>
      <c r="H142" s="98">
        <f>H141+G142</f>
        <v>800000</v>
      </c>
      <c r="I142" s="98">
        <f>I141+H142</f>
        <v>1000000</v>
      </c>
      <c r="S142" s="2"/>
    </row>
    <row r="143" spans="2:19" ht="15.75" thickTop="1" x14ac:dyDescent="0.25">
      <c r="B143" s="90" t="s">
        <v>33</v>
      </c>
      <c r="C143" s="90"/>
      <c r="D143" s="99"/>
      <c r="E143" s="99">
        <f>$D$140-E142</f>
        <v>1800000</v>
      </c>
      <c r="F143" s="99">
        <f>$D$140-F142</f>
        <v>1600000</v>
      </c>
      <c r="G143" s="99">
        <f>$D$140-G142</f>
        <v>1400000</v>
      </c>
      <c r="H143" s="99">
        <f>$D$140-H142</f>
        <v>1200000</v>
      </c>
      <c r="I143" s="99">
        <f>$D$140-I142</f>
        <v>1000000</v>
      </c>
      <c r="S143" s="2"/>
    </row>
    <row r="144" spans="2:19" x14ac:dyDescent="0.25">
      <c r="B144" s="91"/>
      <c r="C144" s="91"/>
      <c r="D144" s="91"/>
      <c r="E144" s="91"/>
      <c r="F144" s="91"/>
      <c r="G144" s="91"/>
      <c r="H144" s="91"/>
      <c r="I144" s="91"/>
      <c r="S144" s="2"/>
    </row>
    <row r="145" spans="2:19" x14ac:dyDescent="0.25">
      <c r="B145" s="213" t="s">
        <v>56</v>
      </c>
      <c r="C145" s="214"/>
      <c r="D145" s="214" t="s">
        <v>27</v>
      </c>
      <c r="E145" s="214">
        <v>10</v>
      </c>
      <c r="F145" s="214" t="s">
        <v>28</v>
      </c>
      <c r="G145" s="214"/>
      <c r="H145" s="214"/>
      <c r="I145" s="215"/>
      <c r="S145" s="2"/>
    </row>
    <row r="146" spans="2:19" ht="6.75" customHeight="1" x14ac:dyDescent="0.25">
      <c r="B146" s="90"/>
      <c r="C146" s="91"/>
      <c r="D146" s="92"/>
      <c r="E146" s="93"/>
      <c r="F146" s="93"/>
      <c r="G146" s="93"/>
      <c r="H146" s="93"/>
      <c r="I146" s="93"/>
      <c r="S146" s="2"/>
    </row>
    <row r="147" spans="2:19" x14ac:dyDescent="0.25">
      <c r="B147" s="90" t="s">
        <v>29</v>
      </c>
      <c r="C147" s="91"/>
      <c r="D147" s="92"/>
      <c r="E147" s="93">
        <v>1</v>
      </c>
      <c r="F147" s="93">
        <v>2</v>
      </c>
      <c r="G147" s="93">
        <v>3</v>
      </c>
      <c r="H147" s="93">
        <v>4</v>
      </c>
      <c r="I147" s="93">
        <v>5</v>
      </c>
      <c r="S147" s="2"/>
    </row>
    <row r="148" spans="2:19" x14ac:dyDescent="0.25">
      <c r="B148" s="94" t="s">
        <v>30</v>
      </c>
      <c r="C148" s="94"/>
      <c r="D148" s="95">
        <f>F26</f>
        <v>1500000</v>
      </c>
      <c r="E148" s="95"/>
      <c r="F148" s="95"/>
      <c r="G148" s="95"/>
      <c r="H148" s="95"/>
      <c r="I148" s="95"/>
      <c r="S148" s="2"/>
    </row>
    <row r="149" spans="2:19" x14ac:dyDescent="0.25">
      <c r="B149" s="91" t="s">
        <v>31</v>
      </c>
      <c r="C149" s="91"/>
      <c r="D149" s="96"/>
      <c r="E149" s="96">
        <f>(D148-H26)/5</f>
        <v>300000</v>
      </c>
      <c r="F149" s="96">
        <f>E149</f>
        <v>300000</v>
      </c>
      <c r="G149" s="96">
        <f>F149</f>
        <v>300000</v>
      </c>
      <c r="H149" s="96">
        <f>G149</f>
        <v>300000</v>
      </c>
      <c r="I149" s="96">
        <f>H149</f>
        <v>300000</v>
      </c>
      <c r="J149" s="40"/>
      <c r="S149" s="2"/>
    </row>
    <row r="150" spans="2:19" ht="15.75" thickBot="1" x14ac:dyDescent="0.3">
      <c r="B150" s="97" t="s">
        <v>32</v>
      </c>
      <c r="C150" s="97"/>
      <c r="D150" s="98"/>
      <c r="E150" s="98">
        <f>E149</f>
        <v>300000</v>
      </c>
      <c r="F150" s="98">
        <f>F149+E150</f>
        <v>600000</v>
      </c>
      <c r="G150" s="98">
        <f>G149+F150</f>
        <v>900000</v>
      </c>
      <c r="H150" s="98">
        <f>H149+G150</f>
        <v>1200000</v>
      </c>
      <c r="I150" s="98">
        <f>I149+H150</f>
        <v>1500000</v>
      </c>
      <c r="J150" s="40"/>
      <c r="S150" s="2"/>
    </row>
    <row r="151" spans="2:19" ht="15.75" thickTop="1" x14ac:dyDescent="0.25">
      <c r="B151" s="90" t="s">
        <v>33</v>
      </c>
      <c r="C151" s="90"/>
      <c r="D151" s="99"/>
      <c r="E151" s="99">
        <f>$D$148-E150</f>
        <v>1200000</v>
      </c>
      <c r="F151" s="99">
        <f>$D$148-F150</f>
        <v>900000</v>
      </c>
      <c r="G151" s="99">
        <f>$D$148-G150</f>
        <v>600000</v>
      </c>
      <c r="H151" s="99">
        <f>$D$148-H150</f>
        <v>300000</v>
      </c>
      <c r="I151" s="99">
        <f>$D$148-I150</f>
        <v>0</v>
      </c>
      <c r="S151" s="2"/>
    </row>
    <row r="152" spans="2:19" x14ac:dyDescent="0.25">
      <c r="B152" s="91"/>
      <c r="C152" s="91"/>
      <c r="D152" s="91"/>
      <c r="E152" s="91"/>
      <c r="F152" s="91"/>
      <c r="G152" s="91"/>
      <c r="H152" s="91"/>
      <c r="I152" s="91"/>
      <c r="S152" s="2"/>
    </row>
    <row r="153" spans="2:19" x14ac:dyDescent="0.25">
      <c r="B153" s="213" t="s">
        <v>9</v>
      </c>
      <c r="C153" s="214"/>
      <c r="D153" s="214"/>
      <c r="E153" s="214"/>
      <c r="F153" s="214"/>
      <c r="G153" s="214"/>
      <c r="H153" s="214"/>
      <c r="I153" s="215"/>
      <c r="S153" s="2"/>
    </row>
    <row r="154" spans="2:19" ht="6.75" customHeight="1" x14ac:dyDescent="0.25">
      <c r="B154" s="90"/>
      <c r="C154" s="91"/>
      <c r="D154" s="92"/>
      <c r="E154" s="93"/>
      <c r="F154" s="93"/>
      <c r="G154" s="93"/>
      <c r="H154" s="93"/>
      <c r="I154" s="93"/>
      <c r="S154" s="2"/>
    </row>
    <row r="155" spans="2:19" x14ac:dyDescent="0.25">
      <c r="B155" s="90" t="s">
        <v>29</v>
      </c>
      <c r="C155" s="90"/>
      <c r="D155" s="90">
        <v>0</v>
      </c>
      <c r="E155" s="90">
        <v>1</v>
      </c>
      <c r="F155" s="90">
        <v>2</v>
      </c>
      <c r="G155" s="90">
        <v>3</v>
      </c>
      <c r="H155" s="90">
        <v>4</v>
      </c>
      <c r="I155" s="90">
        <v>5</v>
      </c>
      <c r="S155" s="2"/>
    </row>
    <row r="156" spans="2:19" x14ac:dyDescent="0.25">
      <c r="B156" s="94" t="s">
        <v>30</v>
      </c>
      <c r="C156" s="94"/>
      <c r="D156" s="95">
        <f>F34</f>
        <v>1988050</v>
      </c>
      <c r="E156" s="95"/>
      <c r="F156" s="95"/>
      <c r="G156" s="95"/>
      <c r="H156" s="95"/>
      <c r="I156" s="95"/>
      <c r="S156" s="2"/>
    </row>
    <row r="157" spans="2:19" x14ac:dyDescent="0.25">
      <c r="B157" s="91" t="s">
        <v>31</v>
      </c>
      <c r="C157" s="91"/>
      <c r="D157" s="96"/>
      <c r="E157" s="96">
        <f>D156/5</f>
        <v>397610</v>
      </c>
      <c r="F157" s="96">
        <f>E157</f>
        <v>397610</v>
      </c>
      <c r="G157" s="96">
        <f>F157</f>
        <v>397610</v>
      </c>
      <c r="H157" s="96">
        <f>G157</f>
        <v>397610</v>
      </c>
      <c r="I157" s="96">
        <f>H157</f>
        <v>397610</v>
      </c>
      <c r="S157" s="2"/>
    </row>
    <row r="158" spans="2:19" ht="15.75" thickBot="1" x14ac:dyDescent="0.3">
      <c r="B158" s="97" t="s">
        <v>32</v>
      </c>
      <c r="C158" s="97"/>
      <c r="D158" s="98"/>
      <c r="E158" s="98">
        <f>E157</f>
        <v>397610</v>
      </c>
      <c r="F158" s="98">
        <f>E158+F157</f>
        <v>795220</v>
      </c>
      <c r="G158" s="98">
        <f>F158+G157</f>
        <v>1192830</v>
      </c>
      <c r="H158" s="98">
        <f>G158+H157</f>
        <v>1590440</v>
      </c>
      <c r="I158" s="98">
        <f>H158+I157</f>
        <v>1988050</v>
      </c>
      <c r="S158" s="2"/>
    </row>
    <row r="159" spans="2:19" ht="15.75" thickTop="1" x14ac:dyDescent="0.25">
      <c r="B159" s="90" t="s">
        <v>34</v>
      </c>
      <c r="C159" s="90"/>
      <c r="D159" s="99"/>
      <c r="E159" s="99">
        <f>$D$156-E158</f>
        <v>1590440</v>
      </c>
      <c r="F159" s="99">
        <f>$D$156-F158</f>
        <v>1192830</v>
      </c>
      <c r="G159" s="99">
        <f>$D$156-G158</f>
        <v>795220</v>
      </c>
      <c r="H159" s="99">
        <f>$D$156-H158</f>
        <v>397610</v>
      </c>
      <c r="I159" s="99">
        <f>$D$156-I158</f>
        <v>0</v>
      </c>
      <c r="S159" s="2"/>
    </row>
    <row r="160" spans="2:19" x14ac:dyDescent="0.25">
      <c r="B160" s="89"/>
      <c r="C160" s="89"/>
      <c r="D160" s="27"/>
      <c r="E160" s="27"/>
      <c r="F160" s="27"/>
      <c r="G160" s="27"/>
      <c r="H160" s="27"/>
      <c r="I160" s="27"/>
      <c r="S160" s="2"/>
    </row>
    <row r="161" spans="2:19" x14ac:dyDescent="0.25">
      <c r="S161" s="2"/>
    </row>
    <row r="162" spans="2:19" x14ac:dyDescent="0.25">
      <c r="B162" s="216" t="s">
        <v>26</v>
      </c>
      <c r="C162" s="217"/>
      <c r="D162" s="217"/>
      <c r="E162" s="217"/>
      <c r="F162" s="217"/>
      <c r="G162" s="217"/>
      <c r="H162" s="217"/>
      <c r="I162" s="218"/>
      <c r="S162" s="2"/>
    </row>
    <row r="163" spans="2:19" x14ac:dyDescent="0.25">
      <c r="B163" s="27"/>
      <c r="C163" s="27"/>
      <c r="D163" s="27"/>
      <c r="E163" s="27"/>
      <c r="F163" s="27"/>
      <c r="G163" s="27"/>
      <c r="H163" s="27"/>
      <c r="I163" s="27"/>
      <c r="S163" s="2"/>
    </row>
    <row r="164" spans="2:19" x14ac:dyDescent="0.25">
      <c r="B164" s="90" t="s">
        <v>17</v>
      </c>
      <c r="C164" s="204" t="s">
        <v>10</v>
      </c>
      <c r="D164" s="204"/>
      <c r="E164" s="27"/>
      <c r="F164" s="27"/>
      <c r="G164" s="27"/>
      <c r="H164" s="27"/>
      <c r="I164" s="27"/>
      <c r="S164" s="2"/>
    </row>
    <row r="165" spans="2:19" x14ac:dyDescent="0.25">
      <c r="B165" s="90" t="s">
        <v>153</v>
      </c>
      <c r="C165" s="101">
        <v>0.14749999999999999</v>
      </c>
      <c r="D165" s="102"/>
      <c r="E165" s="27"/>
      <c r="F165" s="27"/>
      <c r="G165" s="27"/>
      <c r="H165" s="27"/>
      <c r="I165" s="27"/>
      <c r="S165" s="2"/>
    </row>
    <row r="166" spans="2:19" x14ac:dyDescent="0.25">
      <c r="B166" s="90" t="s">
        <v>154</v>
      </c>
      <c r="C166" s="103">
        <v>5</v>
      </c>
      <c r="D166" s="102"/>
      <c r="E166" s="27"/>
      <c r="F166" s="27"/>
      <c r="G166" s="27"/>
      <c r="H166" s="27"/>
      <c r="I166" s="27"/>
      <c r="S166" s="2"/>
    </row>
    <row r="167" spans="2:19" ht="11.25" customHeight="1" x14ac:dyDescent="0.25">
      <c r="B167" s="28"/>
      <c r="C167" s="28"/>
      <c r="D167" s="28"/>
      <c r="E167" s="28"/>
      <c r="F167" s="28"/>
      <c r="G167" s="28"/>
      <c r="H167" s="28"/>
      <c r="I167" s="27"/>
      <c r="S167" s="2"/>
    </row>
    <row r="168" spans="2:19" x14ac:dyDescent="0.25">
      <c r="B168" s="55" t="s">
        <v>11</v>
      </c>
      <c r="C168" s="28"/>
      <c r="D168" s="93">
        <v>0</v>
      </c>
      <c r="E168" s="93">
        <v>1</v>
      </c>
      <c r="F168" s="93">
        <v>2</v>
      </c>
      <c r="G168" s="93">
        <v>3</v>
      </c>
      <c r="H168" s="93">
        <v>4</v>
      </c>
      <c r="I168" s="93">
        <v>5</v>
      </c>
      <c r="S168" s="2"/>
    </row>
    <row r="169" spans="2:19" x14ac:dyDescent="0.25">
      <c r="B169" s="34" t="s">
        <v>12</v>
      </c>
      <c r="C169" s="34"/>
      <c r="D169" s="77">
        <v>90000000</v>
      </c>
      <c r="E169" s="34"/>
      <c r="F169" s="34"/>
      <c r="G169" s="34"/>
      <c r="H169" s="34"/>
      <c r="I169" s="34"/>
      <c r="S169" s="2"/>
    </row>
    <row r="170" spans="2:19" x14ac:dyDescent="0.25">
      <c r="B170" s="27" t="s">
        <v>13</v>
      </c>
      <c r="C170" s="27"/>
      <c r="D170" s="27"/>
      <c r="E170" s="44">
        <f>-PMT(C165,C166,D169)</f>
        <v>26689653.821770605</v>
      </c>
      <c r="F170" s="44">
        <f>E170</f>
        <v>26689653.821770605</v>
      </c>
      <c r="G170" s="44">
        <f>F170</f>
        <v>26689653.821770605</v>
      </c>
      <c r="H170" s="44">
        <f>G170</f>
        <v>26689653.821770605</v>
      </c>
      <c r="I170" s="44">
        <f>H170</f>
        <v>26689653.821770605</v>
      </c>
      <c r="S170" s="2"/>
    </row>
    <row r="171" spans="2:19" x14ac:dyDescent="0.25">
      <c r="B171" s="27" t="s">
        <v>14</v>
      </c>
      <c r="C171" s="27"/>
      <c r="D171" s="27"/>
      <c r="E171" s="44">
        <f>D173*$C$165</f>
        <v>13275000</v>
      </c>
      <c r="F171" s="44">
        <f>E173*$C$165</f>
        <v>11296338.561288835</v>
      </c>
      <c r="G171" s="44">
        <f>F173*$C$165</f>
        <v>9025824.5603677742</v>
      </c>
      <c r="H171" s="44">
        <f>G173*$C$165</f>
        <v>6420409.7443108568</v>
      </c>
      <c r="I171" s="44">
        <f>H173*$C$165</f>
        <v>3430696.242885544</v>
      </c>
      <c r="S171" s="2"/>
    </row>
    <row r="172" spans="2:19" ht="15.75" thickBot="1" x14ac:dyDescent="0.3">
      <c r="B172" s="54" t="s">
        <v>15</v>
      </c>
      <c r="C172" s="54"/>
      <c r="D172" s="54"/>
      <c r="E172" s="50">
        <f>E170-E171</f>
        <v>13414653.821770605</v>
      </c>
      <c r="F172" s="50">
        <f>F170-F171</f>
        <v>15393315.260481769</v>
      </c>
      <c r="G172" s="50">
        <f>G170-G171</f>
        <v>17663829.26140283</v>
      </c>
      <c r="H172" s="50">
        <f>H170-H171</f>
        <v>20269244.077459749</v>
      </c>
      <c r="I172" s="50">
        <f>I170-I171</f>
        <v>23258957.57888506</v>
      </c>
      <c r="S172" s="2"/>
    </row>
    <row r="173" spans="2:19" ht="15.75" thickTop="1" x14ac:dyDescent="0.25">
      <c r="B173" s="55" t="s">
        <v>16</v>
      </c>
      <c r="C173" s="55"/>
      <c r="D173" s="56">
        <f>D169</f>
        <v>90000000</v>
      </c>
      <c r="E173" s="56">
        <f>D173-E172</f>
        <v>76585346.178229392</v>
      </c>
      <c r="F173" s="104">
        <f>E173-F172</f>
        <v>61192030.917747624</v>
      </c>
      <c r="G173" s="104">
        <f>F173-G172</f>
        <v>43528201.656344794</v>
      </c>
      <c r="H173" s="104">
        <f>G173-H172</f>
        <v>23258957.578885045</v>
      </c>
      <c r="I173" s="104">
        <f>H173-I172</f>
        <v>0</v>
      </c>
      <c r="S173" s="2"/>
    </row>
    <row r="174" spans="2:19" x14ac:dyDescent="0.25">
      <c r="B174" s="27"/>
      <c r="C174" s="27"/>
      <c r="D174" s="27"/>
      <c r="E174" s="27"/>
      <c r="F174" s="27"/>
      <c r="G174" s="27"/>
      <c r="H174" s="27"/>
      <c r="I174" s="27"/>
      <c r="S174" s="2"/>
    </row>
    <row r="175" spans="2:19" x14ac:dyDescent="0.25">
      <c r="B175" s="27"/>
      <c r="C175" s="27"/>
      <c r="D175" s="27"/>
      <c r="E175" s="27"/>
      <c r="F175" s="27"/>
      <c r="G175" s="27"/>
      <c r="H175" s="27"/>
      <c r="I175" s="27"/>
      <c r="S175" s="2"/>
    </row>
    <row r="176" spans="2:19" x14ac:dyDescent="0.25">
      <c r="B176" s="205" t="s">
        <v>2</v>
      </c>
      <c r="C176" s="205"/>
      <c r="D176" s="205"/>
      <c r="E176" s="205"/>
      <c r="F176" s="205"/>
      <c r="G176" s="205"/>
      <c r="H176" s="205"/>
      <c r="I176" s="205"/>
      <c r="S176" s="2"/>
    </row>
    <row r="177" spans="2:19" x14ac:dyDescent="0.25">
      <c r="S177" s="2"/>
    </row>
    <row r="178" spans="2:19" x14ac:dyDescent="0.25">
      <c r="B178" s="32" t="s">
        <v>221</v>
      </c>
      <c r="C178" s="32" t="s">
        <v>222</v>
      </c>
      <c r="D178" s="32" t="s">
        <v>223</v>
      </c>
      <c r="S178" s="2"/>
    </row>
    <row r="179" spans="2:19" x14ac:dyDescent="0.25">
      <c r="B179" s="34" t="s">
        <v>224</v>
      </c>
      <c r="C179" s="34" t="s">
        <v>225</v>
      </c>
      <c r="D179" s="167">
        <v>0.35</v>
      </c>
      <c r="S179" s="2"/>
    </row>
    <row r="180" spans="2:19" x14ac:dyDescent="0.25">
      <c r="C180" s="21" t="s">
        <v>226</v>
      </c>
      <c r="D180" s="108">
        <v>0.14749999999999999</v>
      </c>
      <c r="S180" s="2"/>
    </row>
    <row r="181" spans="2:19" x14ac:dyDescent="0.25">
      <c r="C181" s="168" t="s">
        <v>240</v>
      </c>
      <c r="D181" s="170">
        <f>+D180*(1-D179)</f>
        <v>9.5875000000000002E-2</v>
      </c>
      <c r="S181" s="2"/>
    </row>
    <row r="182" spans="2:19" x14ac:dyDescent="0.25">
      <c r="B182" s="21" t="s">
        <v>227</v>
      </c>
      <c r="C182" s="67" t="s">
        <v>228</v>
      </c>
      <c r="D182" s="163">
        <v>0.95742644868155913</v>
      </c>
      <c r="S182" s="2"/>
    </row>
    <row r="183" spans="2:19" x14ac:dyDescent="0.25">
      <c r="C183" s="67" t="s">
        <v>229</v>
      </c>
      <c r="D183" s="163">
        <f>D182*(IF(D193=0,1,D192/D193*(1-D179)+1))</f>
        <v>2.1504142053565913</v>
      </c>
      <c r="S183" s="2"/>
    </row>
    <row r="184" spans="2:19" x14ac:dyDescent="0.25">
      <c r="C184" s="67" t="s">
        <v>194</v>
      </c>
      <c r="D184" s="162">
        <f>Hoja1!B63</f>
        <v>5.988644067796612E-2</v>
      </c>
      <c r="S184" s="2"/>
    </row>
    <row r="185" spans="2:19" x14ac:dyDescent="0.25">
      <c r="C185" s="67" t="s">
        <v>195</v>
      </c>
      <c r="D185" s="162">
        <f>Hoja1!J63/100</f>
        <v>8.8942372881355924E-2</v>
      </c>
      <c r="S185" s="2"/>
    </row>
    <row r="186" spans="2:19" x14ac:dyDescent="0.25">
      <c r="C186" s="67" t="s">
        <v>230</v>
      </c>
      <c r="D186" s="108">
        <f>+D185-D184</f>
        <v>2.9055932203389805E-2</v>
      </c>
      <c r="S186" s="2"/>
    </row>
    <row r="187" spans="2:19" x14ac:dyDescent="0.25">
      <c r="C187" s="67" t="s">
        <v>231</v>
      </c>
      <c r="D187" s="109">
        <v>2.1724482480000001E-2</v>
      </c>
      <c r="S187" s="2"/>
    </row>
    <row r="188" spans="2:19" x14ac:dyDescent="0.25">
      <c r="C188" s="67" t="s">
        <v>238</v>
      </c>
      <c r="D188" s="108">
        <f>+D184+D186*D183+D187</f>
        <v>0.1440932125180136</v>
      </c>
      <c r="S188" s="2"/>
    </row>
    <row r="189" spans="2:19" x14ac:dyDescent="0.25">
      <c r="C189" s="168" t="s">
        <v>239</v>
      </c>
      <c r="D189" s="169">
        <f>+(1+D188)/(1+D195)*(1+D194)-1</f>
        <v>0.15530981264073929</v>
      </c>
      <c r="S189" s="2"/>
    </row>
    <row r="190" spans="2:19" x14ac:dyDescent="0.25">
      <c r="B190" s="21" t="s">
        <v>232</v>
      </c>
      <c r="C190" s="21" t="s">
        <v>1</v>
      </c>
      <c r="D190" s="110">
        <v>90000000</v>
      </c>
      <c r="S190" s="2"/>
    </row>
    <row r="191" spans="2:19" x14ac:dyDescent="0.25">
      <c r="C191" s="21" t="s">
        <v>3</v>
      </c>
      <c r="D191" s="110">
        <v>46948886.888809949</v>
      </c>
      <c r="S191" s="2"/>
    </row>
    <row r="192" spans="2:19" x14ac:dyDescent="0.25">
      <c r="C192" s="21" t="s">
        <v>233</v>
      </c>
      <c r="D192" s="111">
        <f>D190/(SUM(D190:D191))</f>
        <v>0.65717949261662723</v>
      </c>
      <c r="S192" s="2"/>
    </row>
    <row r="193" spans="2:19" x14ac:dyDescent="0.25">
      <c r="C193" s="21" t="s">
        <v>234</v>
      </c>
      <c r="D193" s="112">
        <f>1-D192</f>
        <v>0.34282050738337277</v>
      </c>
      <c r="S193" s="2"/>
    </row>
    <row r="194" spans="2:19" x14ac:dyDescent="0.25">
      <c r="C194" s="21" t="s">
        <v>235</v>
      </c>
      <c r="D194" s="112">
        <v>0.03</v>
      </c>
      <c r="S194" s="2"/>
    </row>
    <row r="195" spans="2:19" x14ac:dyDescent="0.25">
      <c r="C195" s="21" t="s">
        <v>236</v>
      </c>
      <c r="D195" s="112">
        <v>0.02</v>
      </c>
      <c r="S195" s="2"/>
    </row>
    <row r="196" spans="2:19" ht="15" customHeight="1" x14ac:dyDescent="0.25">
      <c r="B196" s="21" t="s">
        <v>2</v>
      </c>
      <c r="C196" s="87" t="s">
        <v>241</v>
      </c>
      <c r="D196" s="171">
        <f>D181*D192+D189*D193</f>
        <v>0.11625047262573393</v>
      </c>
      <c r="S196" s="2"/>
    </row>
    <row r="197" spans="2:19" x14ac:dyDescent="0.25">
      <c r="D197" s="27"/>
      <c r="S197" s="2"/>
    </row>
    <row r="198" spans="2:19" x14ac:dyDescent="0.25">
      <c r="G198" s="107"/>
      <c r="S198" s="2"/>
    </row>
    <row r="199" spans="2:19" x14ac:dyDescent="0.25">
      <c r="B199" s="216" t="s">
        <v>210</v>
      </c>
      <c r="C199" s="217"/>
      <c r="D199" s="217"/>
      <c r="E199" s="217"/>
      <c r="F199" s="217"/>
      <c r="G199" s="217"/>
      <c r="H199" s="217"/>
      <c r="I199" s="218"/>
      <c r="S199" s="2"/>
    </row>
    <row r="200" spans="2:19" x14ac:dyDescent="0.25">
      <c r="B200" s="27"/>
      <c r="C200" s="27"/>
      <c r="D200" s="27"/>
      <c r="E200" s="27"/>
      <c r="F200" s="27"/>
      <c r="G200" s="27"/>
      <c r="H200" s="27"/>
      <c r="I200" s="27"/>
      <c r="S200" s="2"/>
    </row>
    <row r="201" spans="2:19" x14ac:dyDescent="0.25">
      <c r="B201" s="243" t="s">
        <v>211</v>
      </c>
      <c r="C201" s="243"/>
      <c r="D201" s="180">
        <f>D70</f>
        <v>10669.551306512001</v>
      </c>
      <c r="E201" s="178"/>
      <c r="F201" s="193" t="s">
        <v>250</v>
      </c>
      <c r="G201" s="194">
        <f>(D201+D202)/(1-D203)</f>
        <v>14453.144161152608</v>
      </c>
      <c r="H201" s="27"/>
      <c r="I201" s="27"/>
      <c r="S201" s="2"/>
    </row>
    <row r="202" spans="2:19" x14ac:dyDescent="0.25">
      <c r="B202" s="183" t="s">
        <v>253</v>
      </c>
      <c r="C202" s="183"/>
      <c r="D202" s="180">
        <f>(D61-R89)/D63</f>
        <v>1538.8777429024001</v>
      </c>
      <c r="E202" s="178"/>
      <c r="F202" s="181" t="s">
        <v>254</v>
      </c>
      <c r="G202" s="182">
        <v>14450</v>
      </c>
      <c r="H202" s="173"/>
      <c r="I202" s="27"/>
      <c r="S202" s="2"/>
    </row>
    <row r="203" spans="2:19" x14ac:dyDescent="0.25">
      <c r="B203" s="243" t="s">
        <v>212</v>
      </c>
      <c r="C203" s="243"/>
      <c r="D203" s="184">
        <f>D189</f>
        <v>0.15530981264073929</v>
      </c>
      <c r="E203" s="178"/>
      <c r="F203" s="178"/>
      <c r="G203" s="178"/>
      <c r="H203" s="27"/>
      <c r="I203" s="27"/>
      <c r="S203" s="2"/>
    </row>
    <row r="204" spans="2:19" x14ac:dyDescent="0.25">
      <c r="B204" s="27"/>
      <c r="C204" s="27"/>
      <c r="D204" s="27"/>
      <c r="E204" s="27"/>
      <c r="F204" s="27"/>
      <c r="G204" s="27"/>
      <c r="H204" s="27"/>
      <c r="I204" s="27"/>
      <c r="S204" s="2"/>
    </row>
    <row r="205" spans="2:19" x14ac:dyDescent="0.25">
      <c r="B205" s="216" t="s">
        <v>134</v>
      </c>
      <c r="C205" s="217"/>
      <c r="D205" s="217"/>
      <c r="E205" s="217"/>
      <c r="F205" s="217"/>
      <c r="G205" s="217"/>
      <c r="H205" s="217"/>
      <c r="I205" s="218"/>
      <c r="S205" s="2"/>
    </row>
    <row r="206" spans="2:19" x14ac:dyDescent="0.25">
      <c r="S206" s="2"/>
    </row>
    <row r="207" spans="2:19" x14ac:dyDescent="0.25">
      <c r="B207" s="213" t="s">
        <v>140</v>
      </c>
      <c r="C207" s="214"/>
      <c r="D207" s="214"/>
      <c r="E207" s="214"/>
      <c r="F207" s="214"/>
      <c r="G207" s="214"/>
      <c r="H207" s="214"/>
      <c r="I207" s="215"/>
      <c r="S207" s="2"/>
    </row>
    <row r="208" spans="2:19" x14ac:dyDescent="0.25">
      <c r="B208" s="113"/>
      <c r="C208" s="113"/>
      <c r="D208" s="113"/>
      <c r="E208" s="113"/>
      <c r="F208" s="113"/>
      <c r="G208" s="113"/>
      <c r="H208" s="113"/>
      <c r="S208" s="2"/>
    </row>
    <row r="209" spans="2:20" x14ac:dyDescent="0.25">
      <c r="B209" s="90" t="s">
        <v>141</v>
      </c>
      <c r="C209" s="90"/>
      <c r="D209" s="90" t="s">
        <v>142</v>
      </c>
      <c r="E209" s="90" t="s">
        <v>188</v>
      </c>
      <c r="F209" s="90" t="s">
        <v>189</v>
      </c>
      <c r="G209" s="90" t="s">
        <v>143</v>
      </c>
      <c r="H209" s="113"/>
      <c r="I209" s="113"/>
      <c r="S209" s="2"/>
      <c r="T209" s="2"/>
    </row>
    <row r="210" spans="2:20" x14ac:dyDescent="0.25">
      <c r="B210" s="94" t="s">
        <v>144</v>
      </c>
      <c r="C210" s="94"/>
      <c r="D210" s="114">
        <v>570</v>
      </c>
      <c r="E210" s="114">
        <v>350</v>
      </c>
      <c r="F210" s="114">
        <f>D210*E210</f>
        <v>199500</v>
      </c>
      <c r="G210" s="114">
        <f>F210*12</f>
        <v>2394000</v>
      </c>
      <c r="H210" s="113"/>
      <c r="I210" s="113"/>
      <c r="S210" s="2"/>
      <c r="T210" s="2"/>
    </row>
    <row r="211" spans="2:20" x14ac:dyDescent="0.25">
      <c r="B211" s="21" t="s">
        <v>145</v>
      </c>
      <c r="D211" s="115">
        <f>125+49</f>
        <v>174</v>
      </c>
      <c r="E211" s="115">
        <v>350</v>
      </c>
      <c r="F211" s="115">
        <f>D211*E211</f>
        <v>60900</v>
      </c>
      <c r="G211" s="115">
        <f>F211*12</f>
        <v>730800</v>
      </c>
      <c r="H211" s="113"/>
      <c r="I211" s="113"/>
      <c r="S211" s="2"/>
      <c r="T211" s="2"/>
    </row>
    <row r="212" spans="2:20" x14ac:dyDescent="0.25">
      <c r="B212" s="21" t="s">
        <v>146</v>
      </c>
      <c r="D212" s="115">
        <v>141</v>
      </c>
      <c r="E212" s="116"/>
      <c r="F212" s="37"/>
      <c r="G212" s="37">
        <v>600000</v>
      </c>
      <c r="H212" s="113"/>
      <c r="I212" s="113"/>
      <c r="S212" s="2"/>
      <c r="T212" s="2"/>
    </row>
    <row r="213" spans="2:20" x14ac:dyDescent="0.25">
      <c r="H213" s="113"/>
      <c r="S213" s="2"/>
    </row>
    <row r="214" spans="2:20" x14ac:dyDescent="0.25">
      <c r="B214" s="117" t="s">
        <v>148</v>
      </c>
      <c r="D214" s="118">
        <v>0.05</v>
      </c>
      <c r="H214" s="113"/>
      <c r="S214" s="2"/>
    </row>
    <row r="215" spans="2:20" x14ac:dyDescent="0.25">
      <c r="H215" s="113"/>
      <c r="S215" s="2"/>
    </row>
    <row r="216" spans="2:20" x14ac:dyDescent="0.25">
      <c r="B216" s="213" t="s">
        <v>150</v>
      </c>
      <c r="C216" s="214"/>
      <c r="D216" s="214"/>
      <c r="E216" s="214"/>
      <c r="F216" s="214"/>
      <c r="G216" s="214"/>
      <c r="H216" s="214"/>
      <c r="I216" s="215"/>
      <c r="S216" s="2"/>
    </row>
    <row r="217" spans="2:20" x14ac:dyDescent="0.25">
      <c r="B217" s="113"/>
      <c r="C217" s="113"/>
      <c r="D217" s="113"/>
      <c r="E217" s="113"/>
      <c r="F217" s="113"/>
      <c r="G217" s="113"/>
      <c r="H217" s="113"/>
      <c r="S217" s="2"/>
    </row>
    <row r="218" spans="2:20" x14ac:dyDescent="0.25">
      <c r="B218" s="90" t="s">
        <v>29</v>
      </c>
      <c r="C218" s="91"/>
      <c r="D218" s="92"/>
      <c r="E218" s="93">
        <v>1</v>
      </c>
      <c r="F218" s="93">
        <v>2</v>
      </c>
      <c r="G218" s="93">
        <v>3</v>
      </c>
      <c r="H218" s="93">
        <v>4</v>
      </c>
      <c r="I218" s="93">
        <v>5</v>
      </c>
      <c r="S218" s="2"/>
    </row>
    <row r="219" spans="2:20" x14ac:dyDescent="0.25">
      <c r="B219" s="94" t="s">
        <v>147</v>
      </c>
      <c r="C219" s="94"/>
      <c r="D219" s="119"/>
      <c r="E219" s="119">
        <f>G212/10</f>
        <v>60000</v>
      </c>
      <c r="F219" s="119">
        <f>ROUND(E219*(1+$D$214),0)</f>
        <v>63000</v>
      </c>
      <c r="G219" s="119">
        <f>ROUND(F219*(1+$D$214),0)</f>
        <v>66150</v>
      </c>
      <c r="H219" s="119">
        <f>ROUND(G219*(1+$D$214),0)</f>
        <v>69458</v>
      </c>
      <c r="I219" s="119">
        <f>ROUND(H219*(1+$D$214),0)</f>
        <v>72931</v>
      </c>
      <c r="S219" s="2"/>
    </row>
    <row r="220" spans="2:20" x14ac:dyDescent="0.25">
      <c r="B220" s="91"/>
      <c r="C220" s="91"/>
      <c r="D220" s="120"/>
      <c r="E220" s="120"/>
      <c r="F220" s="120"/>
      <c r="G220" s="120"/>
      <c r="H220" s="120"/>
      <c r="I220" s="120"/>
      <c r="S220" s="2"/>
    </row>
    <row r="221" spans="2:20" x14ac:dyDescent="0.25">
      <c r="B221" s="113"/>
      <c r="C221" s="113"/>
      <c r="D221" s="113"/>
      <c r="E221" s="113"/>
      <c r="F221" s="113"/>
      <c r="G221" s="113"/>
      <c r="H221" s="113"/>
      <c r="S221" s="2"/>
    </row>
    <row r="222" spans="2:20" x14ac:dyDescent="0.25">
      <c r="B222" s="205" t="s">
        <v>152</v>
      </c>
      <c r="C222" s="205"/>
      <c r="D222" s="205"/>
      <c r="E222" s="205"/>
      <c r="F222" s="205"/>
      <c r="G222" s="205"/>
      <c r="H222" s="205"/>
      <c r="I222" s="205"/>
      <c r="S222" s="2"/>
    </row>
    <row r="223" spans="2:20" x14ac:dyDescent="0.25">
      <c r="B223" s="27"/>
      <c r="C223" s="27"/>
      <c r="D223" s="27"/>
      <c r="E223" s="27"/>
      <c r="F223" s="27"/>
      <c r="G223" s="27"/>
      <c r="H223" s="27"/>
      <c r="I223" s="27"/>
      <c r="S223" s="2"/>
    </row>
    <row r="224" spans="2:20" x14ac:dyDescent="0.25">
      <c r="B224" s="121" t="s">
        <v>151</v>
      </c>
      <c r="C224" s="122">
        <v>15900</v>
      </c>
      <c r="D224" s="27"/>
      <c r="E224" s="27"/>
      <c r="F224" s="27"/>
      <c r="G224" s="27"/>
      <c r="H224" s="27"/>
      <c r="I224" s="27"/>
      <c r="S224" s="2"/>
    </row>
    <row r="225" spans="2:20" x14ac:dyDescent="0.25">
      <c r="D225" s="27"/>
      <c r="E225" s="27"/>
      <c r="F225" s="27"/>
      <c r="G225" s="27"/>
      <c r="H225" s="27"/>
      <c r="I225" s="27"/>
      <c r="S225" s="2"/>
    </row>
    <row r="226" spans="2:20" x14ac:dyDescent="0.25">
      <c r="B226" s="27"/>
      <c r="C226" s="27"/>
      <c r="D226" s="27"/>
      <c r="E226" s="27"/>
      <c r="F226" s="27"/>
      <c r="G226" s="27"/>
      <c r="H226" s="27"/>
      <c r="I226" s="27"/>
      <c r="S226" s="2"/>
    </row>
    <row r="227" spans="2:20" x14ac:dyDescent="0.25">
      <c r="B227" s="55" t="s">
        <v>6</v>
      </c>
      <c r="C227" s="27"/>
      <c r="D227" s="93">
        <v>0</v>
      </c>
      <c r="E227" s="93">
        <v>1</v>
      </c>
      <c r="F227" s="93">
        <v>2</v>
      </c>
      <c r="G227" s="93">
        <v>3</v>
      </c>
      <c r="H227" s="93">
        <v>4</v>
      </c>
      <c r="I227" s="93">
        <v>5</v>
      </c>
      <c r="S227" s="2"/>
    </row>
    <row r="228" spans="2:20" x14ac:dyDescent="0.25">
      <c r="B228" s="34" t="s">
        <v>7</v>
      </c>
      <c r="C228" s="34"/>
      <c r="D228" s="34"/>
      <c r="E228" s="123">
        <f>E219</f>
        <v>60000</v>
      </c>
      <c r="F228" s="123">
        <f>F219</f>
        <v>63000</v>
      </c>
      <c r="G228" s="123">
        <f>G219</f>
        <v>66150</v>
      </c>
      <c r="H228" s="123">
        <f>H219</f>
        <v>69458</v>
      </c>
      <c r="I228" s="123">
        <f>I219</f>
        <v>72931</v>
      </c>
      <c r="S228" s="2"/>
    </row>
    <row r="229" spans="2:20" ht="15.75" thickBot="1" x14ac:dyDescent="0.3">
      <c r="B229" s="54" t="s">
        <v>0</v>
      </c>
      <c r="C229" s="54"/>
      <c r="D229" s="54"/>
      <c r="E229" s="124">
        <f>G202</f>
        <v>14450</v>
      </c>
      <c r="F229" s="124">
        <f>ROUND(E229*(1+$M$5),0)</f>
        <v>14884</v>
      </c>
      <c r="G229" s="124">
        <f>ROUND(F229*(1+$M$5),0)</f>
        <v>15331</v>
      </c>
      <c r="H229" s="124">
        <f>ROUND(G229*(1+$M$5),0)</f>
        <v>15791</v>
      </c>
      <c r="I229" s="124">
        <f>ROUND(H229*(1+$M$5),0)</f>
        <v>16265</v>
      </c>
      <c r="S229" s="2"/>
    </row>
    <row r="230" spans="2:20" ht="15.75" thickTop="1" x14ac:dyDescent="0.25">
      <c r="B230" s="55" t="s">
        <v>8</v>
      </c>
      <c r="C230" s="121"/>
      <c r="D230" s="121"/>
      <c r="E230" s="125">
        <f>E228*E229</f>
        <v>867000000</v>
      </c>
      <c r="F230" s="125">
        <f>F228*F229</f>
        <v>937692000</v>
      </c>
      <c r="G230" s="125">
        <f>G228*G229</f>
        <v>1014145650</v>
      </c>
      <c r="H230" s="125">
        <f>H228*H229</f>
        <v>1096811278</v>
      </c>
      <c r="I230" s="125">
        <f>I228*I229</f>
        <v>1186222715</v>
      </c>
      <c r="S230" s="2"/>
    </row>
    <row r="231" spans="2:20" x14ac:dyDescent="0.25">
      <c r="B231" s="28"/>
      <c r="C231" s="27"/>
      <c r="D231" s="27"/>
      <c r="E231" s="126"/>
      <c r="F231" s="126"/>
      <c r="G231" s="126"/>
      <c r="H231" s="126"/>
      <c r="I231" s="126"/>
      <c r="K231" s="60"/>
      <c r="S231" s="2"/>
    </row>
    <row r="232" spans="2:20" x14ac:dyDescent="0.25">
      <c r="S232" s="2"/>
    </row>
    <row r="233" spans="2:20" x14ac:dyDescent="0.25">
      <c r="B233" s="205" t="s">
        <v>63</v>
      </c>
      <c r="C233" s="205"/>
      <c r="D233" s="205"/>
      <c r="E233" s="205"/>
      <c r="F233" s="205"/>
      <c r="G233" s="205"/>
      <c r="H233" s="205"/>
      <c r="I233" s="205"/>
      <c r="S233" s="2"/>
    </row>
    <row r="234" spans="2:20" x14ac:dyDescent="0.25">
      <c r="S234" s="2"/>
    </row>
    <row r="235" spans="2:20" x14ac:dyDescent="0.25">
      <c r="B235" s="222" t="s">
        <v>242</v>
      </c>
      <c r="C235" s="222"/>
      <c r="D235" s="60">
        <f>F46</f>
        <v>28944150.888809957</v>
      </c>
      <c r="S235" s="2"/>
    </row>
    <row r="236" spans="2:20" x14ac:dyDescent="0.25">
      <c r="S236" s="2"/>
    </row>
    <row r="237" spans="2:20" x14ac:dyDescent="0.25">
      <c r="B237" s="224" t="s">
        <v>158</v>
      </c>
      <c r="C237" s="224">
        <v>0</v>
      </c>
      <c r="D237" s="93">
        <v>0</v>
      </c>
      <c r="E237" s="93">
        <v>1</v>
      </c>
      <c r="F237" s="93">
        <v>2</v>
      </c>
      <c r="G237" s="93">
        <v>3</v>
      </c>
      <c r="H237" s="93">
        <v>4</v>
      </c>
      <c r="I237" s="93">
        <v>5</v>
      </c>
      <c r="S237" s="2"/>
      <c r="T237" s="2"/>
    </row>
    <row r="238" spans="2:20" x14ac:dyDescent="0.25">
      <c r="B238" s="238" t="s">
        <v>155</v>
      </c>
      <c r="C238" s="238"/>
      <c r="D238" s="127"/>
      <c r="E238" s="187">
        <v>0.7</v>
      </c>
      <c r="F238" s="187">
        <v>0.7</v>
      </c>
      <c r="G238" s="187">
        <v>0.7</v>
      </c>
      <c r="H238" s="187">
        <v>0.7</v>
      </c>
      <c r="I238" s="187">
        <v>0.7</v>
      </c>
      <c r="S238" s="2"/>
      <c r="T238" s="2"/>
    </row>
    <row r="239" spans="2:20" x14ac:dyDescent="0.25">
      <c r="B239" s="203" t="s">
        <v>17</v>
      </c>
      <c r="C239" s="203"/>
      <c r="D239" s="66"/>
      <c r="E239" s="128">
        <f>1-E238</f>
        <v>0.30000000000000004</v>
      </c>
      <c r="F239" s="128">
        <f>1-F238</f>
        <v>0.30000000000000004</v>
      </c>
      <c r="G239" s="128">
        <f>1-G238</f>
        <v>0.30000000000000004</v>
      </c>
      <c r="H239" s="128">
        <f>1-H238</f>
        <v>0.30000000000000004</v>
      </c>
      <c r="I239" s="128">
        <f>1-I238</f>
        <v>0.30000000000000004</v>
      </c>
      <c r="S239" s="2"/>
      <c r="T239" s="2"/>
    </row>
    <row r="240" spans="2:20" x14ac:dyDescent="0.25">
      <c r="B240" s="203" t="s">
        <v>159</v>
      </c>
      <c r="C240" s="203"/>
      <c r="D240" s="66"/>
      <c r="E240" s="129">
        <v>60</v>
      </c>
      <c r="F240" s="129">
        <v>60</v>
      </c>
      <c r="G240" s="129">
        <v>60</v>
      </c>
      <c r="H240" s="129">
        <v>60</v>
      </c>
      <c r="I240" s="129">
        <v>60</v>
      </c>
      <c r="S240" s="2"/>
      <c r="T240" s="2"/>
    </row>
    <row r="241" spans="2:20" ht="15.75" thickBot="1" x14ac:dyDescent="0.3">
      <c r="B241" s="200" t="s">
        <v>156</v>
      </c>
      <c r="C241" s="200">
        <v>365</v>
      </c>
      <c r="D241" s="130"/>
      <c r="E241" s="131">
        <v>365</v>
      </c>
      <c r="F241" s="131">
        <v>365</v>
      </c>
      <c r="G241" s="131">
        <v>365</v>
      </c>
      <c r="H241" s="131">
        <v>365</v>
      </c>
      <c r="I241" s="131">
        <v>365</v>
      </c>
      <c r="S241" s="2"/>
      <c r="T241" s="2"/>
    </row>
    <row r="242" spans="2:20" ht="15.75" thickTop="1" x14ac:dyDescent="0.25">
      <c r="B242" s="224" t="s">
        <v>157</v>
      </c>
      <c r="C242" s="224"/>
      <c r="D242" s="132"/>
      <c r="E242" s="133">
        <f>E230*E239*(E240/E241)</f>
        <v>42756164.383561648</v>
      </c>
      <c r="F242" s="133">
        <f>F230*F239*(F240/F241)</f>
        <v>46242345.205479458</v>
      </c>
      <c r="G242" s="133">
        <f>G230*G239*(G240/G241)</f>
        <v>50012662.191780828</v>
      </c>
      <c r="H242" s="133">
        <f>H230*H239*(H240/H241)</f>
        <v>54089323.298630141</v>
      </c>
      <c r="I242" s="133">
        <f>I230*I239*(I240/I241)</f>
        <v>58498654.438356169</v>
      </c>
      <c r="S242" s="2"/>
      <c r="T242" s="2"/>
    </row>
    <row r="243" spans="2:20" x14ac:dyDescent="0.25">
      <c r="S243" s="2"/>
    </row>
    <row r="244" spans="2:20" x14ac:dyDescent="0.25">
      <c r="B244" s="224" t="s">
        <v>161</v>
      </c>
      <c r="C244" s="224"/>
      <c r="D244" s="93">
        <v>0</v>
      </c>
      <c r="E244" s="93">
        <f>+D244+1</f>
        <v>1</v>
      </c>
      <c r="F244" s="93">
        <f>+E244+1</f>
        <v>2</v>
      </c>
      <c r="G244" s="93">
        <f>+F244+1</f>
        <v>3</v>
      </c>
      <c r="H244" s="93">
        <f>+G244+1</f>
        <v>4</v>
      </c>
      <c r="I244" s="93">
        <f>+H244+1</f>
        <v>5</v>
      </c>
      <c r="S244" s="2"/>
      <c r="T244" s="2"/>
    </row>
    <row r="245" spans="2:20" x14ac:dyDescent="0.25">
      <c r="B245" s="134" t="s">
        <v>155</v>
      </c>
      <c r="C245" s="134"/>
      <c r="D245" s="135"/>
      <c r="E245" s="136">
        <v>1</v>
      </c>
      <c r="F245" s="136">
        <v>0.8</v>
      </c>
      <c r="G245" s="136">
        <v>0.6</v>
      </c>
      <c r="H245" s="136">
        <v>0.6</v>
      </c>
      <c r="I245" s="136">
        <v>0.6</v>
      </c>
      <c r="S245" s="2"/>
      <c r="T245" s="2"/>
    </row>
    <row r="246" spans="2:20" x14ac:dyDescent="0.25">
      <c r="B246" s="203" t="s">
        <v>17</v>
      </c>
      <c r="C246" s="203"/>
      <c r="D246" s="137"/>
      <c r="E246" s="138">
        <f>1-E245</f>
        <v>0</v>
      </c>
      <c r="F246" s="138">
        <f>1-F245</f>
        <v>0.19999999999999996</v>
      </c>
      <c r="G246" s="138">
        <f>1-G245</f>
        <v>0.4</v>
      </c>
      <c r="H246" s="138">
        <f>1-H245</f>
        <v>0.4</v>
      </c>
      <c r="I246" s="138">
        <f>1-I245</f>
        <v>0.4</v>
      </c>
      <c r="S246" s="2"/>
      <c r="T246" s="2"/>
    </row>
    <row r="247" spans="2:20" x14ac:dyDescent="0.25">
      <c r="B247" s="203" t="s">
        <v>159</v>
      </c>
      <c r="C247" s="203"/>
      <c r="D247" s="89"/>
      <c r="E247" s="89">
        <v>0</v>
      </c>
      <c r="F247" s="89">
        <v>45</v>
      </c>
      <c r="G247" s="89">
        <v>60</v>
      </c>
      <c r="H247" s="89">
        <v>60</v>
      </c>
      <c r="I247" s="89">
        <v>60</v>
      </c>
      <c r="S247" s="2"/>
      <c r="T247" s="2"/>
    </row>
    <row r="248" spans="2:20" x14ac:dyDescent="0.25">
      <c r="B248" s="89" t="s">
        <v>156</v>
      </c>
      <c r="C248" s="89"/>
      <c r="D248" s="89"/>
      <c r="E248" s="89">
        <v>365</v>
      </c>
      <c r="F248" s="89">
        <v>365</v>
      </c>
      <c r="G248" s="89">
        <v>365</v>
      </c>
      <c r="H248" s="89">
        <v>365</v>
      </c>
      <c r="I248" s="89">
        <v>365</v>
      </c>
      <c r="S248" s="2"/>
      <c r="T248" s="2"/>
    </row>
    <row r="249" spans="2:20" ht="15.75" thickBot="1" x14ac:dyDescent="0.3">
      <c r="B249" s="139" t="s">
        <v>162</v>
      </c>
      <c r="C249" s="139"/>
      <c r="D249" s="139"/>
      <c r="E249" s="140">
        <f>(D69*E228)</f>
        <v>8325936</v>
      </c>
      <c r="F249" s="141">
        <f>E249*(1+$M$5)</f>
        <v>8575714.0800000001</v>
      </c>
      <c r="G249" s="141">
        <f>F249*(1+$M$5)</f>
        <v>8832985.5023999996</v>
      </c>
      <c r="H249" s="141">
        <f>G249*(1+$M$5)</f>
        <v>9097975.0674719997</v>
      </c>
      <c r="I249" s="141">
        <f>H249*(1+$M$5)</f>
        <v>9370914.3194961604</v>
      </c>
      <c r="S249" s="2"/>
      <c r="T249" s="2"/>
    </row>
    <row r="250" spans="2:20" ht="15.75" thickTop="1" x14ac:dyDescent="0.25">
      <c r="B250" s="224" t="s">
        <v>160</v>
      </c>
      <c r="C250" s="224"/>
      <c r="D250" s="104"/>
      <c r="E250" s="104">
        <f>E249*E246*(E247/E248)</f>
        <v>0</v>
      </c>
      <c r="F250" s="104">
        <f>F249*F246*(F247/F248)</f>
        <v>211455.9636164383</v>
      </c>
      <c r="G250" s="104">
        <f>G249*G246*(G247/G248)</f>
        <v>580799.04673315061</v>
      </c>
      <c r="H250" s="104">
        <f>H249*H246*(H247/H248)</f>
        <v>598223.01813514519</v>
      </c>
      <c r="I250" s="104">
        <f>I249*I246*(I247/I248)</f>
        <v>616169.70867919957</v>
      </c>
      <c r="S250" s="2"/>
      <c r="T250" s="2"/>
    </row>
    <row r="251" spans="2:20" x14ac:dyDescent="0.25">
      <c r="S251" s="2"/>
    </row>
    <row r="252" spans="2:20" x14ac:dyDescent="0.25">
      <c r="B252" s="224" t="s">
        <v>163</v>
      </c>
      <c r="C252" s="224"/>
      <c r="D252" s="93">
        <v>0</v>
      </c>
      <c r="E252" s="93">
        <f>+D252+1</f>
        <v>1</v>
      </c>
      <c r="F252" s="93">
        <f>+E252+1</f>
        <v>2</v>
      </c>
      <c r="G252" s="93">
        <f>+F252+1</f>
        <v>3</v>
      </c>
      <c r="H252" s="93">
        <f>+G252+1</f>
        <v>4</v>
      </c>
      <c r="I252" s="93">
        <f>+H252+1</f>
        <v>5</v>
      </c>
      <c r="S252" s="2"/>
      <c r="T252" s="2"/>
    </row>
    <row r="253" spans="2:20" x14ac:dyDescent="0.25">
      <c r="B253" s="134" t="s">
        <v>164</v>
      </c>
      <c r="C253" s="134"/>
      <c r="D253" s="134"/>
      <c r="E253" s="135">
        <v>1</v>
      </c>
      <c r="F253" s="135">
        <v>1</v>
      </c>
      <c r="G253" s="135">
        <v>1</v>
      </c>
      <c r="H253" s="135">
        <v>1</v>
      </c>
      <c r="I253" s="135">
        <v>1</v>
      </c>
      <c r="S253" s="2"/>
      <c r="T253" s="2"/>
    </row>
    <row r="254" spans="2:20" x14ac:dyDescent="0.25">
      <c r="B254" s="89" t="s">
        <v>165</v>
      </c>
      <c r="C254" s="89"/>
      <c r="D254" s="89"/>
      <c r="E254" s="137">
        <f>1-E253</f>
        <v>0</v>
      </c>
      <c r="F254" s="137">
        <f>1-F253</f>
        <v>0</v>
      </c>
      <c r="G254" s="137">
        <f>1-G253</f>
        <v>0</v>
      </c>
      <c r="H254" s="137">
        <f>1-H253</f>
        <v>0</v>
      </c>
      <c r="I254" s="137">
        <f>1-I253</f>
        <v>0</v>
      </c>
      <c r="S254" s="2"/>
      <c r="T254" s="2"/>
    </row>
    <row r="255" spans="2:20" x14ac:dyDescent="0.25">
      <c r="B255" s="89" t="s">
        <v>156</v>
      </c>
      <c r="C255" s="89"/>
      <c r="D255" s="89"/>
      <c r="E255" s="89"/>
      <c r="F255" s="89"/>
      <c r="G255" s="89"/>
      <c r="H255" s="89"/>
      <c r="I255" s="89"/>
      <c r="S255" s="2"/>
      <c r="T255" s="2"/>
    </row>
    <row r="256" spans="2:20" ht="15.75" thickBot="1" x14ac:dyDescent="0.3">
      <c r="B256" s="142" t="s">
        <v>156</v>
      </c>
      <c r="C256" s="142"/>
      <c r="D256" s="142"/>
      <c r="E256" s="142">
        <v>365</v>
      </c>
      <c r="F256" s="142">
        <v>365</v>
      </c>
      <c r="G256" s="142">
        <v>365</v>
      </c>
      <c r="H256" s="142">
        <v>365</v>
      </c>
      <c r="I256" s="142">
        <v>365</v>
      </c>
      <c r="S256" s="2"/>
      <c r="T256" s="2"/>
    </row>
    <row r="257" spans="2:19" ht="15.75" thickTop="1" x14ac:dyDescent="0.25">
      <c r="B257" s="90" t="s">
        <v>165</v>
      </c>
      <c r="C257" s="87"/>
      <c r="D257" s="87"/>
      <c r="E257" s="143">
        <v>0</v>
      </c>
      <c r="F257" s="143">
        <v>0</v>
      </c>
      <c r="G257" s="143">
        <v>0</v>
      </c>
      <c r="H257" s="143">
        <v>0</v>
      </c>
      <c r="I257" s="143">
        <v>0</v>
      </c>
      <c r="S257" s="2"/>
    </row>
    <row r="258" spans="2:19" x14ac:dyDescent="0.25">
      <c r="B258" s="90"/>
      <c r="C258" s="87"/>
      <c r="D258" s="87"/>
      <c r="E258" s="143"/>
      <c r="F258" s="143"/>
      <c r="G258" s="143"/>
      <c r="H258" s="143"/>
      <c r="I258" s="143"/>
      <c r="S258" s="2"/>
    </row>
    <row r="259" spans="2:19" x14ac:dyDescent="0.25">
      <c r="B259" s="90" t="s">
        <v>207</v>
      </c>
      <c r="C259" s="87"/>
      <c r="D259" s="144">
        <f>F46</f>
        <v>28944150.888809957</v>
      </c>
      <c r="E259" s="143">
        <f>E242-E250</f>
        <v>42756164.383561648</v>
      </c>
      <c r="F259" s="143">
        <f t="shared" ref="F259:I259" si="3">F242-F250</f>
        <v>46030889.24186302</v>
      </c>
      <c r="G259" s="143">
        <f t="shared" si="3"/>
        <v>49431863.14504768</v>
      </c>
      <c r="H259" s="143">
        <f t="shared" si="3"/>
        <v>53491100.280494995</v>
      </c>
      <c r="I259" s="143">
        <f t="shared" si="3"/>
        <v>57882484.729676969</v>
      </c>
      <c r="S259" s="2"/>
    </row>
    <row r="260" spans="2:19" x14ac:dyDescent="0.25">
      <c r="B260" s="90" t="s">
        <v>208</v>
      </c>
      <c r="D260" s="145">
        <f>D259</f>
        <v>28944150.888809957</v>
      </c>
      <c r="E260" s="60">
        <f>E259-D259</f>
        <v>13812013.494751692</v>
      </c>
      <c r="F260" s="60">
        <f t="shared" ref="F260:I260" si="4">F259-E259</f>
        <v>3274724.8583013713</v>
      </c>
      <c r="G260" s="60">
        <f t="shared" si="4"/>
        <v>3400973.9031846598</v>
      </c>
      <c r="H260" s="60">
        <f t="shared" si="4"/>
        <v>4059237.1354473159</v>
      </c>
      <c r="I260" s="60">
        <f t="shared" si="4"/>
        <v>4391384.4491819739</v>
      </c>
      <c r="S260" s="2"/>
    </row>
    <row r="261" spans="2:19" x14ac:dyDescent="0.25">
      <c r="B261" s="90" t="s">
        <v>209</v>
      </c>
      <c r="D261" s="145"/>
      <c r="E261" s="60"/>
      <c r="F261" s="60"/>
      <c r="G261" s="60"/>
      <c r="H261" s="60"/>
      <c r="I261" s="146">
        <f>I259</f>
        <v>57882484.729676969</v>
      </c>
      <c r="S261" s="2"/>
    </row>
    <row r="262" spans="2:19" x14ac:dyDescent="0.25">
      <c r="S262" s="2"/>
    </row>
    <row r="263" spans="2:19" x14ac:dyDescent="0.25">
      <c r="B263" s="205" t="s">
        <v>213</v>
      </c>
      <c r="C263" s="205"/>
      <c r="D263" s="205"/>
      <c r="E263" s="205"/>
      <c r="F263" s="205"/>
      <c r="G263" s="205"/>
      <c r="H263" s="205"/>
      <c r="I263" s="205"/>
      <c r="S263" s="2"/>
    </row>
    <row r="264" spans="2:19" x14ac:dyDescent="0.25">
      <c r="S264" s="2"/>
    </row>
    <row r="265" spans="2:19" x14ac:dyDescent="0.25">
      <c r="B265" s="224" t="s">
        <v>218</v>
      </c>
      <c r="C265" s="224"/>
      <c r="D265" s="93">
        <v>0</v>
      </c>
      <c r="E265" s="93">
        <f>+D265+1</f>
        <v>1</v>
      </c>
      <c r="F265" s="93">
        <f>+E265+1</f>
        <v>2</v>
      </c>
      <c r="G265" s="93">
        <f>+F265+1</f>
        <v>3</v>
      </c>
      <c r="H265" s="93">
        <f>+G265+1</f>
        <v>4</v>
      </c>
      <c r="I265" s="93">
        <f>+H265+1</f>
        <v>5</v>
      </c>
      <c r="S265" s="2"/>
    </row>
    <row r="266" spans="2:19" x14ac:dyDescent="0.25">
      <c r="B266" s="222" t="s">
        <v>214</v>
      </c>
      <c r="C266" s="222"/>
      <c r="D266" s="145"/>
      <c r="E266" s="147">
        <f>60*E228</f>
        <v>3600000</v>
      </c>
      <c r="F266" s="147">
        <f>(60*(1+$M$5)*F228)</f>
        <v>3893400.0000000005</v>
      </c>
      <c r="G266" s="147">
        <f>(60*(1+$M$5))*(1+$M$5)*G228</f>
        <v>4210712.1000000006</v>
      </c>
      <c r="H266" s="147">
        <f>((60*(1+$M$5))*(1+$M$5))*(1+$M$5)*H228</f>
        <v>4553917.9179600002</v>
      </c>
      <c r="I266" s="147">
        <f>(((60*(1+$M$5))*(1+$M$5))*(1+$M$5))*(1+$M$5)*I228</f>
        <v>4925068.9813265996</v>
      </c>
      <c r="S266" s="2"/>
    </row>
    <row r="267" spans="2:19" x14ac:dyDescent="0.25">
      <c r="B267" s="242" t="s">
        <v>215</v>
      </c>
      <c r="C267" s="242"/>
      <c r="D267" s="185"/>
      <c r="E267" s="186">
        <f>(E228*16.7%)*(E229*10%)</f>
        <v>14478899.999999998</v>
      </c>
      <c r="F267" s="186">
        <f t="shared" ref="F267:I267" si="5">(F228*16.7%)*(F229*10%)</f>
        <v>15659456.399999999</v>
      </c>
      <c r="G267" s="186">
        <f t="shared" si="5"/>
        <v>16936232.355</v>
      </c>
      <c r="H267" s="186">
        <f t="shared" si="5"/>
        <v>18316748.342599999</v>
      </c>
      <c r="I267" s="186">
        <f t="shared" si="5"/>
        <v>19809919.340499997</v>
      </c>
      <c r="J267" s="72"/>
      <c r="S267" s="2"/>
    </row>
    <row r="268" spans="2:19" x14ac:dyDescent="0.25">
      <c r="B268" s="222" t="s">
        <v>216</v>
      </c>
      <c r="C268" s="222"/>
      <c r="D268" s="145"/>
      <c r="E268" s="147">
        <v>0</v>
      </c>
      <c r="F268" s="147">
        <v>0</v>
      </c>
      <c r="G268" s="147">
        <v>0</v>
      </c>
      <c r="H268" s="147">
        <v>0</v>
      </c>
      <c r="I268" s="147">
        <v>0</v>
      </c>
      <c r="K268" s="62"/>
      <c r="S268" s="2"/>
    </row>
    <row r="269" spans="2:19" ht="15.75" thickBot="1" x14ac:dyDescent="0.3">
      <c r="B269" s="200" t="s">
        <v>217</v>
      </c>
      <c r="C269" s="200"/>
      <c r="D269" s="148">
        <f>18000000+E22</f>
        <v>19000000</v>
      </c>
      <c r="E269" s="149">
        <f>S86+$E$297</f>
        <v>19266241.278144002</v>
      </c>
      <c r="F269" s="149">
        <f>S86*(1+$M$7)+F297</f>
        <v>20213953.342051204</v>
      </c>
      <c r="G269" s="149">
        <f>(S86*(1+$M$7))*(1+$M$7)+G297</f>
        <v>21208583.009153765</v>
      </c>
      <c r="H269" s="149">
        <f>((S86*(1+$M$7))*(1+$M$7))*(1+$M$7)+H297</f>
        <v>22252462.119611453</v>
      </c>
      <c r="I269" s="149">
        <f>(((S86*(1+$M$7))*(1+$M$7))*(1+$M$7))*(1+$M$7)+I297</f>
        <v>23348038.684392031</v>
      </c>
      <c r="S269" s="2"/>
    </row>
    <row r="270" spans="2:19" ht="15.75" thickTop="1" x14ac:dyDescent="0.25">
      <c r="B270" s="204" t="s">
        <v>219</v>
      </c>
      <c r="C270" s="204"/>
      <c r="D270" s="65">
        <f>SUM(D266:D269)</f>
        <v>19000000</v>
      </c>
      <c r="E270" s="65">
        <f t="shared" ref="E270:I270" si="6">SUM(E266:E269)</f>
        <v>37345141.278144002</v>
      </c>
      <c r="F270" s="65">
        <f t="shared" si="6"/>
        <v>39766809.742051199</v>
      </c>
      <c r="G270" s="65">
        <f t="shared" si="6"/>
        <v>42355527.464153767</v>
      </c>
      <c r="H270" s="65">
        <f t="shared" si="6"/>
        <v>45123128.380171448</v>
      </c>
      <c r="I270" s="65">
        <f t="shared" si="6"/>
        <v>48083027.006218627</v>
      </c>
      <c r="S270" s="2"/>
    </row>
    <row r="271" spans="2:19" x14ac:dyDescent="0.25">
      <c r="S271" s="2"/>
    </row>
    <row r="272" spans="2:19" x14ac:dyDescent="0.25">
      <c r="S272" s="2"/>
    </row>
    <row r="273" spans="2:19" x14ac:dyDescent="0.25">
      <c r="B273" s="205" t="s">
        <v>169</v>
      </c>
      <c r="C273" s="205"/>
      <c r="D273" s="205"/>
      <c r="E273" s="205"/>
      <c r="F273" s="205"/>
      <c r="G273" s="205"/>
      <c r="H273" s="205"/>
      <c r="I273" s="205"/>
      <c r="S273" s="2"/>
    </row>
    <row r="274" spans="2:19" x14ac:dyDescent="0.25">
      <c r="B274" s="27"/>
      <c r="C274" s="27"/>
      <c r="D274" s="27"/>
      <c r="E274" s="27"/>
      <c r="F274" s="27"/>
      <c r="G274" s="27"/>
      <c r="H274" s="27"/>
      <c r="I274" s="27"/>
      <c r="S274" s="2"/>
    </row>
    <row r="275" spans="2:19" x14ac:dyDescent="0.25">
      <c r="B275" s="244" t="s">
        <v>168</v>
      </c>
      <c r="C275" s="245"/>
      <c r="D275" s="245"/>
      <c r="E275" s="245"/>
      <c r="F275" s="245"/>
      <c r="G275" s="245"/>
      <c r="H275" s="245"/>
      <c r="I275" s="246"/>
      <c r="S275" s="2"/>
    </row>
    <row r="276" spans="2:19" ht="8.25" customHeight="1" x14ac:dyDescent="0.25">
      <c r="S276" s="2"/>
    </row>
    <row r="277" spans="2:19" x14ac:dyDescent="0.25">
      <c r="B277" s="55"/>
      <c r="C277" s="27"/>
      <c r="D277" s="93">
        <v>0</v>
      </c>
      <c r="E277" s="93">
        <v>1</v>
      </c>
      <c r="F277" s="93">
        <v>2</v>
      </c>
      <c r="G277" s="93">
        <v>3</v>
      </c>
      <c r="H277" s="93">
        <v>4</v>
      </c>
      <c r="I277" s="93">
        <v>5</v>
      </c>
      <c r="S277" s="2"/>
    </row>
    <row r="278" spans="2:19" x14ac:dyDescent="0.25">
      <c r="B278" s="34" t="s">
        <v>71</v>
      </c>
      <c r="C278" s="34"/>
      <c r="D278" s="34"/>
      <c r="E278" s="77">
        <f t="shared" ref="E278:E283" si="7">E55</f>
        <v>33600000</v>
      </c>
      <c r="F278" s="77">
        <f t="shared" ref="F278:I282" si="8">E278*(1+$M$5)</f>
        <v>34608000</v>
      </c>
      <c r="G278" s="77">
        <f t="shared" si="8"/>
        <v>35646240</v>
      </c>
      <c r="H278" s="77">
        <f t="shared" si="8"/>
        <v>36715627.200000003</v>
      </c>
      <c r="I278" s="77">
        <f t="shared" si="8"/>
        <v>37817096.016000003</v>
      </c>
      <c r="S278" s="2"/>
    </row>
    <row r="279" spans="2:19" x14ac:dyDescent="0.25">
      <c r="B279" s="27" t="s">
        <v>72</v>
      </c>
      <c r="C279" s="27"/>
      <c r="D279" s="27"/>
      <c r="E279" s="39">
        <f t="shared" si="7"/>
        <v>18000000</v>
      </c>
      <c r="F279" s="39">
        <f t="shared" si="8"/>
        <v>18540000</v>
      </c>
      <c r="G279" s="39">
        <f t="shared" si="8"/>
        <v>19096200</v>
      </c>
      <c r="H279" s="39">
        <f t="shared" si="8"/>
        <v>19669086</v>
      </c>
      <c r="I279" s="39">
        <f t="shared" si="8"/>
        <v>20259158.580000002</v>
      </c>
      <c r="S279" s="2"/>
    </row>
    <row r="280" spans="2:19" x14ac:dyDescent="0.25">
      <c r="B280" s="27" t="s">
        <v>138</v>
      </c>
      <c r="C280" s="27"/>
      <c r="D280" s="27"/>
      <c r="E280" s="39">
        <f t="shared" si="7"/>
        <v>2700000</v>
      </c>
      <c r="F280" s="39">
        <f t="shared" si="8"/>
        <v>2781000</v>
      </c>
      <c r="G280" s="39">
        <f t="shared" si="8"/>
        <v>2864430</v>
      </c>
      <c r="H280" s="39">
        <f t="shared" si="8"/>
        <v>2950362.9</v>
      </c>
      <c r="I280" s="39">
        <f t="shared" si="8"/>
        <v>3038873.787</v>
      </c>
      <c r="S280" s="2"/>
    </row>
    <row r="281" spans="2:19" x14ac:dyDescent="0.25">
      <c r="B281" s="27" t="s">
        <v>137</v>
      </c>
      <c r="C281" s="27"/>
      <c r="D281" s="27"/>
      <c r="E281" s="39">
        <f t="shared" si="7"/>
        <v>2240925.696</v>
      </c>
      <c r="F281" s="39">
        <f t="shared" si="8"/>
        <v>2308153.4668800002</v>
      </c>
      <c r="G281" s="39">
        <f t="shared" si="8"/>
        <v>2377398.0708864001</v>
      </c>
      <c r="H281" s="39">
        <f t="shared" si="8"/>
        <v>2448720.0130129922</v>
      </c>
      <c r="I281" s="39">
        <f t="shared" si="8"/>
        <v>2522181.6134033822</v>
      </c>
      <c r="S281" s="2"/>
    </row>
    <row r="282" spans="2:19" x14ac:dyDescent="0.25">
      <c r="B282" s="27" t="s">
        <v>139</v>
      </c>
      <c r="C282" s="27"/>
      <c r="D282" s="27"/>
      <c r="E282" s="39">
        <f t="shared" si="7"/>
        <v>1440000</v>
      </c>
      <c r="F282" s="39">
        <f t="shared" si="8"/>
        <v>1483200</v>
      </c>
      <c r="G282" s="39">
        <f t="shared" si="8"/>
        <v>1527696</v>
      </c>
      <c r="H282" s="39">
        <f t="shared" si="8"/>
        <v>1573526.8800000001</v>
      </c>
      <c r="I282" s="39">
        <f t="shared" si="8"/>
        <v>1620732.6864000002</v>
      </c>
      <c r="S282" s="2"/>
    </row>
    <row r="283" spans="2:19" ht="15.75" thickBot="1" x14ac:dyDescent="0.3">
      <c r="B283" s="54" t="s">
        <v>130</v>
      </c>
      <c r="C283" s="54"/>
      <c r="D283" s="54"/>
      <c r="E283" s="82">
        <f t="shared" si="7"/>
        <v>83880980.478144005</v>
      </c>
      <c r="F283" s="82">
        <f>E283*(1+$M$6)</f>
        <v>85978004.990097597</v>
      </c>
      <c r="G283" s="82">
        <f>F283*(1+$M$6)</f>
        <v>88127455.114850029</v>
      </c>
      <c r="H283" s="82">
        <f>G283*(1+$M$6)</f>
        <v>90330641.492721274</v>
      </c>
      <c r="I283" s="82">
        <f>H283*(1+$M$6)</f>
        <v>92588907.530039296</v>
      </c>
      <c r="S283" s="2"/>
    </row>
    <row r="284" spans="2:19" ht="15.75" thickTop="1" x14ac:dyDescent="0.25">
      <c r="B284" s="87" t="s">
        <v>172</v>
      </c>
      <c r="E284" s="88">
        <f>SUM(E278:E283)</f>
        <v>141861906.174144</v>
      </c>
      <c r="F284" s="88">
        <f t="shared" ref="F284:I284" si="9">E284*(1+$M$5)</f>
        <v>146117763.35936832</v>
      </c>
      <c r="G284" s="88">
        <f t="shared" si="9"/>
        <v>150501296.26014939</v>
      </c>
      <c r="H284" s="88">
        <f t="shared" si="9"/>
        <v>155016335.14795387</v>
      </c>
      <c r="I284" s="88">
        <f t="shared" si="9"/>
        <v>159666825.20239249</v>
      </c>
      <c r="S284" s="2"/>
    </row>
    <row r="285" spans="2:19" x14ac:dyDescent="0.25">
      <c r="S285" s="2"/>
    </row>
    <row r="286" spans="2:19" x14ac:dyDescent="0.25">
      <c r="B286" s="244" t="s">
        <v>173</v>
      </c>
      <c r="C286" s="245"/>
      <c r="D286" s="245"/>
      <c r="E286" s="245"/>
      <c r="F286" s="245"/>
      <c r="G286" s="245"/>
      <c r="H286" s="245"/>
      <c r="I286" s="246"/>
      <c r="S286" s="2"/>
    </row>
    <row r="287" spans="2:19" ht="8.25" customHeight="1" x14ac:dyDescent="0.25">
      <c r="S287" s="2"/>
    </row>
    <row r="288" spans="2:19" x14ac:dyDescent="0.25">
      <c r="B288" s="55"/>
      <c r="C288" s="27"/>
      <c r="D288" s="93">
        <v>0</v>
      </c>
      <c r="E288" s="93">
        <v>1</v>
      </c>
      <c r="F288" s="93">
        <v>2</v>
      </c>
      <c r="G288" s="93">
        <v>3</v>
      </c>
      <c r="H288" s="93">
        <v>4</v>
      </c>
      <c r="I288" s="93">
        <v>5</v>
      </c>
      <c r="S288" s="2"/>
    </row>
    <row r="289" spans="2:19" x14ac:dyDescent="0.25">
      <c r="B289" s="34" t="s">
        <v>77</v>
      </c>
      <c r="C289" s="34"/>
      <c r="D289" s="34"/>
      <c r="E289" s="77">
        <f>$D67*(1+$M$6)</f>
        <v>1722.8053491747999</v>
      </c>
      <c r="F289" s="77">
        <f>$D67*(1+$M$6)</f>
        <v>1722.8053491747999</v>
      </c>
      <c r="G289" s="77">
        <f>$D67*(1+$M$6)</f>
        <v>1722.8053491747999</v>
      </c>
      <c r="H289" s="77">
        <f>$D67*(1+$M$6)</f>
        <v>1722.8053491747999</v>
      </c>
      <c r="I289" s="77">
        <f>$D67*(1+$M$6)</f>
        <v>1722.8053491747999</v>
      </c>
      <c r="S289" s="2"/>
    </row>
    <row r="290" spans="2:19" x14ac:dyDescent="0.25">
      <c r="B290" s="27" t="s">
        <v>78</v>
      </c>
      <c r="C290" s="27"/>
      <c r="D290" s="27"/>
      <c r="E290" s="39">
        <f>$D68*(1+$M$5)</f>
        <v>9115.5</v>
      </c>
      <c r="F290" s="39">
        <f t="shared" ref="F290:I291" si="10">E290*(1+$M$5)</f>
        <v>9388.9650000000001</v>
      </c>
      <c r="G290" s="39">
        <f t="shared" si="10"/>
        <v>9670.6339500000013</v>
      </c>
      <c r="H290" s="39">
        <f t="shared" si="10"/>
        <v>9960.7529685000009</v>
      </c>
      <c r="I290" s="39">
        <f t="shared" si="10"/>
        <v>10259.575557555001</v>
      </c>
      <c r="S290" s="2"/>
    </row>
    <row r="291" spans="2:19" ht="15.75" thickBot="1" x14ac:dyDescent="0.3">
      <c r="B291" s="54" t="s">
        <v>79</v>
      </c>
      <c r="C291" s="54"/>
      <c r="D291" s="54"/>
      <c r="E291" s="82">
        <f>$D69*(1+$M$5)</f>
        <v>142.92856800000001</v>
      </c>
      <c r="F291" s="82">
        <f t="shared" si="10"/>
        <v>147.21642504000002</v>
      </c>
      <c r="G291" s="82">
        <f t="shared" si="10"/>
        <v>151.63291779120001</v>
      </c>
      <c r="H291" s="82">
        <f t="shared" si="10"/>
        <v>156.18190532493603</v>
      </c>
      <c r="I291" s="82">
        <f t="shared" si="10"/>
        <v>160.86736248468412</v>
      </c>
      <c r="S291" s="2"/>
    </row>
    <row r="292" spans="2:19" ht="15.75" thickTop="1" x14ac:dyDescent="0.25">
      <c r="B292" s="87" t="s">
        <v>172</v>
      </c>
      <c r="E292" s="88">
        <f>SUM(E289:E291)*E228</f>
        <v>658874035.0304879</v>
      </c>
      <c r="F292" s="88">
        <f>SUM(F289:F291)*F228</f>
        <v>709316166.77553236</v>
      </c>
      <c r="G292" s="88">
        <f>SUM(G289:G291)*G228</f>
        <v>763706527.15230095</v>
      </c>
      <c r="H292" s="88">
        <f>SUM(H289:H291)*H228</f>
        <v>822364676.40911567</v>
      </c>
      <c r="I292" s="88">
        <f>SUM(I289:I291)*I228</f>
        <v>885619239.52208149</v>
      </c>
      <c r="S292" s="2"/>
    </row>
    <row r="293" spans="2:19" x14ac:dyDescent="0.25">
      <c r="S293" s="2"/>
    </row>
    <row r="294" spans="2:19" x14ac:dyDescent="0.25">
      <c r="B294" s="244" t="s">
        <v>174</v>
      </c>
      <c r="C294" s="245"/>
      <c r="D294" s="245"/>
      <c r="E294" s="245"/>
      <c r="F294" s="245"/>
      <c r="G294" s="245"/>
      <c r="H294" s="245"/>
      <c r="I294" s="246"/>
      <c r="S294" s="2"/>
    </row>
    <row r="295" spans="2:19" ht="8.25" customHeight="1" x14ac:dyDescent="0.25">
      <c r="S295" s="2"/>
    </row>
    <row r="296" spans="2:19" x14ac:dyDescent="0.25">
      <c r="B296" s="55"/>
      <c r="C296" s="27"/>
      <c r="D296" s="93">
        <v>0</v>
      </c>
      <c r="E296" s="93">
        <v>1</v>
      </c>
      <c r="F296" s="93">
        <v>2</v>
      </c>
      <c r="G296" s="93">
        <v>3</v>
      </c>
      <c r="H296" s="93">
        <v>4</v>
      </c>
      <c r="I296" s="93">
        <v>5</v>
      </c>
      <c r="S296" s="2"/>
    </row>
    <row r="297" spans="2:19" x14ac:dyDescent="0.25">
      <c r="B297" s="34" t="s">
        <v>83</v>
      </c>
      <c r="C297" s="34"/>
      <c r="D297" s="34"/>
      <c r="E297" s="77">
        <f>E75</f>
        <v>780000</v>
      </c>
      <c r="F297" s="150">
        <f>E297*(1+$M$5)</f>
        <v>803400</v>
      </c>
      <c r="G297" s="150">
        <f>F297*(1+$M$5)</f>
        <v>827502</v>
      </c>
      <c r="H297" s="150">
        <f>G297*(1+$M$5)</f>
        <v>852327.06</v>
      </c>
      <c r="I297" s="150">
        <f>H297*(1+$M$5)</f>
        <v>877896.87180000008</v>
      </c>
      <c r="S297" s="2"/>
    </row>
    <row r="298" spans="2:19" ht="15.75" thickBot="1" x14ac:dyDescent="0.3">
      <c r="B298" s="54" t="s">
        <v>85</v>
      </c>
      <c r="C298" s="54"/>
      <c r="D298" s="54"/>
      <c r="E298" s="82">
        <f>E230*$D$76</f>
        <v>17340000</v>
      </c>
      <c r="F298" s="82">
        <f>F230*$D$76</f>
        <v>18753840</v>
      </c>
      <c r="G298" s="82">
        <f>G230*$D$76</f>
        <v>20282913</v>
      </c>
      <c r="H298" s="82">
        <f>H230*$D$76</f>
        <v>21936225.559999999</v>
      </c>
      <c r="I298" s="82">
        <f>I230*$D$76</f>
        <v>23724454.300000001</v>
      </c>
      <c r="S298" s="2"/>
    </row>
    <row r="299" spans="2:19" s="1" customFormat="1" ht="15.75" thickTop="1" x14ac:dyDescent="0.25">
      <c r="B299" s="87" t="s">
        <v>175</v>
      </c>
      <c r="C299" s="29"/>
      <c r="D299" s="29"/>
      <c r="E299" s="88">
        <f>SUM(E297:E298)</f>
        <v>18120000</v>
      </c>
      <c r="F299" s="88">
        <f>SUM(F297:F298)</f>
        <v>19557240</v>
      </c>
      <c r="G299" s="88">
        <f>SUM(G297:G298)</f>
        <v>21110415</v>
      </c>
      <c r="H299" s="88">
        <f>SUM(H297:H298)</f>
        <v>22788552.619999997</v>
      </c>
      <c r="I299" s="88">
        <f>SUM(I297:I298)</f>
        <v>24602351.171800002</v>
      </c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9" x14ac:dyDescent="0.25">
      <c r="S300" s="2"/>
    </row>
    <row r="301" spans="2:19" x14ac:dyDescent="0.25">
      <c r="B301" s="244" t="s">
        <v>176</v>
      </c>
      <c r="C301" s="245"/>
      <c r="D301" s="245"/>
      <c r="E301" s="245"/>
      <c r="F301" s="245"/>
      <c r="G301" s="245"/>
      <c r="H301" s="245"/>
      <c r="I301" s="246"/>
      <c r="S301" s="2"/>
    </row>
    <row r="302" spans="2:19" ht="8.25" customHeight="1" x14ac:dyDescent="0.25">
      <c r="S302" s="2"/>
    </row>
    <row r="303" spans="2:19" x14ac:dyDescent="0.25">
      <c r="B303" s="55"/>
      <c r="C303" s="27"/>
      <c r="D303" s="93">
        <v>0</v>
      </c>
      <c r="E303" s="93">
        <v>1</v>
      </c>
      <c r="F303" s="93">
        <v>2</v>
      </c>
      <c r="G303" s="93">
        <v>3</v>
      </c>
      <c r="H303" s="93">
        <v>4</v>
      </c>
      <c r="I303" s="93">
        <v>5</v>
      </c>
      <c r="S303" s="2"/>
    </row>
    <row r="304" spans="2:19" ht="15.75" thickBot="1" x14ac:dyDescent="0.3">
      <c r="B304" s="151" t="s">
        <v>5</v>
      </c>
      <c r="C304" s="151"/>
      <c r="D304" s="151"/>
      <c r="E304" s="152">
        <f>E79</f>
        <v>2388000</v>
      </c>
      <c r="F304" s="153">
        <f>E304*(1+$M$5)</f>
        <v>2459640</v>
      </c>
      <c r="G304" s="153">
        <f>F304*(1+$M$5)</f>
        <v>2533429.2000000002</v>
      </c>
      <c r="H304" s="153">
        <f>G304*(1+$M$5)</f>
        <v>2609432.0760000004</v>
      </c>
      <c r="I304" s="153">
        <f>H304*(1+$M$5)</f>
        <v>2687715.0382800004</v>
      </c>
      <c r="S304" s="2"/>
    </row>
    <row r="305" spans="2:19" s="1" customFormat="1" ht="15.75" thickTop="1" x14ac:dyDescent="0.25">
      <c r="B305" s="87" t="s">
        <v>177</v>
      </c>
      <c r="C305" s="29"/>
      <c r="D305" s="29"/>
      <c r="E305" s="88">
        <f>SUM(E304:E304)</f>
        <v>2388000</v>
      </c>
      <c r="F305" s="88">
        <f>SUM(F304:F304)</f>
        <v>2459640</v>
      </c>
      <c r="G305" s="88">
        <f>SUM(G304:G304)</f>
        <v>2533429.2000000002</v>
      </c>
      <c r="H305" s="88">
        <f>SUM(H304:H304)</f>
        <v>2609432.0760000004</v>
      </c>
      <c r="I305" s="88">
        <f>SUM(I304:I304)</f>
        <v>2687715.0382800004</v>
      </c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9" x14ac:dyDescent="0.25">
      <c r="S306" s="2"/>
    </row>
    <row r="307" spans="2:19" x14ac:dyDescent="0.25">
      <c r="S307" s="2"/>
    </row>
    <row r="309" spans="2:19" x14ac:dyDescent="0.25">
      <c r="B309" s="213" t="s">
        <v>129</v>
      </c>
      <c r="C309" s="214"/>
      <c r="D309" s="214"/>
      <c r="E309" s="214"/>
      <c r="F309" s="214"/>
      <c r="G309" s="214"/>
      <c r="H309" s="214"/>
      <c r="I309" s="215"/>
    </row>
    <row r="310" spans="2:19" x14ac:dyDescent="0.25">
      <c r="B310" s="22"/>
    </row>
    <row r="312" spans="2:19" x14ac:dyDescent="0.25">
      <c r="B312" s="205" t="s">
        <v>167</v>
      </c>
      <c r="C312" s="205"/>
      <c r="D312" s="205"/>
      <c r="E312" s="205"/>
      <c r="F312" s="205"/>
      <c r="G312" s="205"/>
      <c r="H312" s="205"/>
      <c r="I312" s="205"/>
    </row>
    <row r="313" spans="2:19" x14ac:dyDescent="0.25">
      <c r="B313" s="31"/>
      <c r="C313" s="31"/>
      <c r="D313" s="154"/>
      <c r="E313" s="154"/>
      <c r="F313" s="154"/>
      <c r="G313" s="154"/>
      <c r="H313" s="154"/>
      <c r="I313" s="154"/>
    </row>
    <row r="314" spans="2:19" x14ac:dyDescent="0.25">
      <c r="B314" s="199"/>
      <c r="C314" s="199"/>
      <c r="D314" s="93">
        <v>0</v>
      </c>
      <c r="E314" s="93">
        <v>1</v>
      </c>
      <c r="F314" s="93">
        <v>2</v>
      </c>
      <c r="G314" s="93">
        <v>3</v>
      </c>
      <c r="H314" s="93">
        <v>4</v>
      </c>
      <c r="I314" s="93">
        <v>5</v>
      </c>
    </row>
    <row r="315" spans="2:19" x14ac:dyDescent="0.25">
      <c r="B315" s="238" t="s">
        <v>18</v>
      </c>
      <c r="C315" s="238"/>
      <c r="D315" s="34"/>
      <c r="E315" s="188">
        <f>'Análisis financiero'!E230</f>
        <v>867000000</v>
      </c>
      <c r="F315" s="188">
        <f>'Análisis financiero'!F230</f>
        <v>937692000</v>
      </c>
      <c r="G315" s="188">
        <f>'Análisis financiero'!G230</f>
        <v>1014145650</v>
      </c>
      <c r="H315" s="188">
        <f>'Análisis financiero'!H230</f>
        <v>1096811278</v>
      </c>
      <c r="I315" s="188">
        <f>'Análisis financiero'!I230</f>
        <v>1186222715</v>
      </c>
    </row>
    <row r="316" spans="2:19" x14ac:dyDescent="0.25">
      <c r="B316" s="243" t="s">
        <v>220</v>
      </c>
      <c r="C316" s="243"/>
      <c r="D316" s="27"/>
      <c r="E316" s="38">
        <f>-E267</f>
        <v>-14478899.999999998</v>
      </c>
      <c r="F316" s="38">
        <f t="shared" ref="F316:I316" si="11">-F267</f>
        <v>-15659456.399999999</v>
      </c>
      <c r="G316" s="38">
        <f t="shared" si="11"/>
        <v>-16936232.355</v>
      </c>
      <c r="H316" s="38">
        <f t="shared" si="11"/>
        <v>-18316748.342599999</v>
      </c>
      <c r="I316" s="38">
        <f t="shared" si="11"/>
        <v>-19809919.340499997</v>
      </c>
    </row>
    <row r="317" spans="2:19" x14ac:dyDescent="0.25">
      <c r="B317" s="203" t="s">
        <v>19</v>
      </c>
      <c r="C317" s="203"/>
      <c r="D317" s="27"/>
      <c r="E317" s="41">
        <f>-('Análisis financiero'!E292)</f>
        <v>-658874035.0304879</v>
      </c>
      <c r="F317" s="41">
        <f>-('Análisis financiero'!F292)</f>
        <v>-709316166.77553236</v>
      </c>
      <c r="G317" s="41">
        <f>-('Análisis financiero'!G292)</f>
        <v>-763706527.15230095</v>
      </c>
      <c r="H317" s="41">
        <f>-('Análisis financiero'!H292)</f>
        <v>-822364676.40911567</v>
      </c>
      <c r="I317" s="41">
        <f>-('Análisis financiero'!I292)</f>
        <v>-885619239.52208149</v>
      </c>
    </row>
    <row r="318" spans="2:19" x14ac:dyDescent="0.25">
      <c r="B318" s="203" t="s">
        <v>20</v>
      </c>
      <c r="C318" s="203"/>
      <c r="D318" s="27"/>
      <c r="E318" s="41">
        <f>-'Análisis financiero'!E284</f>
        <v>-141861906.174144</v>
      </c>
      <c r="F318" s="41">
        <f>-'Análisis financiero'!F284</f>
        <v>-146117763.35936832</v>
      </c>
      <c r="G318" s="41">
        <f>-'Análisis financiero'!G284</f>
        <v>-150501296.26014939</v>
      </c>
      <c r="H318" s="41">
        <f>-'Análisis financiero'!H284</f>
        <v>-155016335.14795387</v>
      </c>
      <c r="I318" s="41">
        <f>-'Análisis financiero'!I284</f>
        <v>-159666825.20239249</v>
      </c>
    </row>
    <row r="319" spans="2:19" x14ac:dyDescent="0.25">
      <c r="B319" s="203" t="s">
        <v>38</v>
      </c>
      <c r="C319" s="203"/>
      <c r="D319" s="27"/>
      <c r="E319" s="41">
        <f>-'Análisis financiero'!E299</f>
        <v>-18120000</v>
      </c>
      <c r="F319" s="41">
        <f>-'Análisis financiero'!F299</f>
        <v>-19557240</v>
      </c>
      <c r="G319" s="41">
        <f>-'Análisis financiero'!G299</f>
        <v>-21110415</v>
      </c>
      <c r="H319" s="41">
        <f>-'Análisis financiero'!H299</f>
        <v>-22788552.619999997</v>
      </c>
      <c r="I319" s="41">
        <f>-'Análisis financiero'!I299</f>
        <v>-24602351.171800002</v>
      </c>
    </row>
    <row r="320" spans="2:19" x14ac:dyDescent="0.25">
      <c r="B320" s="202" t="s">
        <v>21</v>
      </c>
      <c r="C320" s="202"/>
      <c r="D320" s="155"/>
      <c r="E320" s="189">
        <f>-'Análisis financiero'!E305</f>
        <v>-2388000</v>
      </c>
      <c r="F320" s="189">
        <f>-'Análisis financiero'!F305</f>
        <v>-2459640</v>
      </c>
      <c r="G320" s="189">
        <f>-'Análisis financiero'!G305</f>
        <v>-2533429.2000000002</v>
      </c>
      <c r="H320" s="189">
        <f>-'Análisis financiero'!H305</f>
        <v>-2609432.0760000004</v>
      </c>
      <c r="I320" s="189">
        <f>-'Análisis financiero'!I305</f>
        <v>-2687715.0382800004</v>
      </c>
    </row>
    <row r="321" spans="2:11" x14ac:dyDescent="0.25">
      <c r="B321" s="201" t="s">
        <v>42</v>
      </c>
      <c r="C321" s="201"/>
      <c r="D321" s="156"/>
      <c r="E321" s="190">
        <f>SUM(E315:E320)</f>
        <v>31277158.795368105</v>
      </c>
      <c r="F321" s="190">
        <f t="shared" ref="F321:I321" si="12">SUM(F315:F320)</f>
        <v>44581733.465099335</v>
      </c>
      <c r="G321" s="190">
        <f t="shared" si="12"/>
        <v>59357750.032549635</v>
      </c>
      <c r="H321" s="190">
        <f t="shared" si="12"/>
        <v>75715533.404330343</v>
      </c>
      <c r="I321" s="190">
        <f t="shared" si="12"/>
        <v>93836664.724946141</v>
      </c>
      <c r="K321" s="157"/>
    </row>
    <row r="322" spans="2:11" x14ac:dyDescent="0.25">
      <c r="B322" s="238" t="s">
        <v>252</v>
      </c>
      <c r="C322" s="238"/>
      <c r="D322" s="27"/>
      <c r="E322" s="41">
        <f>-(E117+E125+E133+E141+E149)</f>
        <v>-11359000</v>
      </c>
      <c r="F322" s="41">
        <f t="shared" ref="F322:I322" si="13">-(F117+F125+F133+F141+F149)</f>
        <v>-11359000</v>
      </c>
      <c r="G322" s="41">
        <f t="shared" si="13"/>
        <v>-11359000</v>
      </c>
      <c r="H322" s="41">
        <f t="shared" si="13"/>
        <v>-11359000</v>
      </c>
      <c r="I322" s="41">
        <f t="shared" si="13"/>
        <v>-11359000</v>
      </c>
      <c r="K322" s="145"/>
    </row>
    <row r="323" spans="2:11" x14ac:dyDescent="0.25">
      <c r="B323" s="66" t="s">
        <v>22</v>
      </c>
      <c r="C323" s="66"/>
      <c r="D323" s="27"/>
      <c r="E323" s="41">
        <f>-'Análisis financiero'!E157</f>
        <v>-397610</v>
      </c>
      <c r="F323" s="41">
        <f>-'Análisis financiero'!F157</f>
        <v>-397610</v>
      </c>
      <c r="G323" s="41">
        <f>-'Análisis financiero'!G157</f>
        <v>-397610</v>
      </c>
      <c r="H323" s="41">
        <f>-'Análisis financiero'!H157</f>
        <v>-397610</v>
      </c>
      <c r="I323" s="41">
        <f>-'Análisis financiero'!I157</f>
        <v>-397610</v>
      </c>
    </row>
    <row r="324" spans="2:11" x14ac:dyDescent="0.25">
      <c r="B324" s="239" t="s">
        <v>43</v>
      </c>
      <c r="C324" s="239"/>
      <c r="D324" s="158"/>
      <c r="E324" s="191">
        <f>SUM(E321:E323)</f>
        <v>19520548.795368105</v>
      </c>
      <c r="F324" s="191">
        <f>SUM(F321:F323)</f>
        <v>32825123.465099335</v>
      </c>
      <c r="G324" s="191">
        <f>SUM(G321:G323)</f>
        <v>47601140.032549635</v>
      </c>
      <c r="H324" s="191">
        <f>SUM(H321:H323)</f>
        <v>63958923.404330343</v>
      </c>
      <c r="I324" s="191">
        <f>SUM(I321:I323)</f>
        <v>82080054.724946141</v>
      </c>
    </row>
    <row r="325" spans="2:11" x14ac:dyDescent="0.25">
      <c r="B325" s="66" t="s">
        <v>178</v>
      </c>
      <c r="C325" s="66"/>
      <c r="D325" s="27"/>
      <c r="E325" s="192">
        <f>-'Análisis financiero'!E171</f>
        <v>-13275000</v>
      </c>
      <c r="F325" s="192">
        <f>-'Análisis financiero'!F171</f>
        <v>-11296338.561288835</v>
      </c>
      <c r="G325" s="192">
        <f>-'Análisis financiero'!G171</f>
        <v>-9025824.5603677742</v>
      </c>
      <c r="H325" s="192">
        <f>-'Análisis financiero'!H171</f>
        <v>-6420409.7443108568</v>
      </c>
      <c r="I325" s="192">
        <f>-'Análisis financiero'!I171</f>
        <v>-3430696.242885544</v>
      </c>
    </row>
    <row r="326" spans="2:11" x14ac:dyDescent="0.25">
      <c r="B326" s="239" t="s">
        <v>166</v>
      </c>
      <c r="C326" s="239"/>
      <c r="D326" s="158"/>
      <c r="E326" s="191">
        <f>SUM(E324:E325)</f>
        <v>6245548.7953681052</v>
      </c>
      <c r="F326" s="191">
        <f>SUM(F324:F325)</f>
        <v>21528784.903810501</v>
      </c>
      <c r="G326" s="191">
        <f t="shared" ref="G326:I326" si="14">SUM(G324:G325)</f>
        <v>38575315.472181857</v>
      </c>
      <c r="H326" s="191">
        <f t="shared" si="14"/>
        <v>57538513.660019487</v>
      </c>
      <c r="I326" s="191">
        <f t="shared" si="14"/>
        <v>78649358.482060596</v>
      </c>
    </row>
    <row r="327" spans="2:11" x14ac:dyDescent="0.25">
      <c r="B327" s="66" t="s">
        <v>39</v>
      </c>
      <c r="C327" s="66"/>
      <c r="D327" s="27"/>
      <c r="E327" s="38">
        <f>-E326*$D$179</f>
        <v>-2185942.0783788366</v>
      </c>
      <c r="F327" s="38">
        <f t="shared" ref="F327:I327" si="15">-F326*$D$179</f>
        <v>-7535074.7163336752</v>
      </c>
      <c r="G327" s="38">
        <f t="shared" si="15"/>
        <v>-13501360.415263649</v>
      </c>
      <c r="H327" s="38">
        <f t="shared" si="15"/>
        <v>-20138479.78100682</v>
      </c>
      <c r="I327" s="38">
        <f t="shared" si="15"/>
        <v>-27527275.468721207</v>
      </c>
    </row>
    <row r="328" spans="2:11" x14ac:dyDescent="0.25">
      <c r="B328" s="202" t="s">
        <v>251</v>
      </c>
      <c r="C328" s="202"/>
      <c r="D328" s="27"/>
      <c r="E328" s="41"/>
      <c r="F328" s="41"/>
      <c r="G328" s="41"/>
      <c r="H328" s="41"/>
      <c r="I328" s="41">
        <f>H27</f>
        <v>49295000</v>
      </c>
    </row>
    <row r="329" spans="2:11" x14ac:dyDescent="0.25">
      <c r="B329" s="239" t="s">
        <v>23</v>
      </c>
      <c r="C329" s="239"/>
      <c r="D329" s="158"/>
      <c r="E329" s="191">
        <f>SUM(E326:E328)</f>
        <v>4059606.7169892685</v>
      </c>
      <c r="F329" s="191">
        <f>SUM(F326:F328)</f>
        <v>13993710.187476825</v>
      </c>
      <c r="G329" s="191">
        <f>SUM(G326:G328)</f>
        <v>25073955.056918208</v>
      </c>
      <c r="H329" s="191">
        <f>SUM(H326:H328)</f>
        <v>37400033.879012667</v>
      </c>
      <c r="I329" s="191">
        <f>SUM(I326:I328)</f>
        <v>100417083.01333939</v>
      </c>
      <c r="K329" s="29"/>
    </row>
    <row r="330" spans="2:11" x14ac:dyDescent="0.25">
      <c r="B330" s="66"/>
      <c r="C330" s="66"/>
      <c r="D330" s="27"/>
      <c r="E330" s="44"/>
      <c r="F330" s="44"/>
      <c r="G330" s="44"/>
      <c r="H330" s="44"/>
      <c r="I330" s="44"/>
    </row>
    <row r="331" spans="2:11" x14ac:dyDescent="0.25">
      <c r="B331" s="66"/>
      <c r="C331" s="66"/>
      <c r="D331" s="27"/>
      <c r="E331" s="44"/>
      <c r="F331" s="44"/>
      <c r="G331" s="44"/>
      <c r="H331" s="44"/>
      <c r="I331" s="44"/>
    </row>
    <row r="332" spans="2:11" x14ac:dyDescent="0.25">
      <c r="B332" s="205" t="s">
        <v>37</v>
      </c>
      <c r="C332" s="205"/>
      <c r="D332" s="205"/>
      <c r="E332" s="205"/>
      <c r="F332" s="205"/>
      <c r="G332" s="205"/>
      <c r="H332" s="205"/>
      <c r="I332" s="205"/>
      <c r="K332" s="29"/>
    </row>
    <row r="333" spans="2:11" x14ac:dyDescent="0.25">
      <c r="B333" s="198"/>
      <c r="C333" s="31"/>
      <c r="D333" s="154"/>
      <c r="E333" s="154"/>
      <c r="F333" s="154"/>
      <c r="G333" s="154"/>
      <c r="H333" s="154"/>
      <c r="I333" s="154"/>
      <c r="K333" s="29"/>
    </row>
    <row r="334" spans="2:11" x14ac:dyDescent="0.25">
      <c r="B334" s="207"/>
      <c r="C334" s="207"/>
      <c r="D334" s="93">
        <v>0</v>
      </c>
      <c r="E334" s="93">
        <v>1</v>
      </c>
      <c r="F334" s="93">
        <v>2</v>
      </c>
      <c r="G334" s="93">
        <v>3</v>
      </c>
      <c r="H334" s="93">
        <v>4</v>
      </c>
      <c r="I334" s="93">
        <v>5</v>
      </c>
    </row>
    <row r="335" spans="2:11" x14ac:dyDescent="0.25">
      <c r="B335" s="239" t="s">
        <v>23</v>
      </c>
      <c r="C335" s="239"/>
      <c r="D335" s="195">
        <f t="shared" ref="D335:I335" si="16">D329</f>
        <v>0</v>
      </c>
      <c r="E335" s="195">
        <f t="shared" si="16"/>
        <v>4059606.7169892685</v>
      </c>
      <c r="F335" s="195">
        <f t="shared" si="16"/>
        <v>13993710.187476825</v>
      </c>
      <c r="G335" s="195">
        <f t="shared" si="16"/>
        <v>25073955.056918208</v>
      </c>
      <c r="H335" s="195">
        <f t="shared" si="16"/>
        <v>37400033.879012667</v>
      </c>
      <c r="I335" s="195">
        <f t="shared" si="16"/>
        <v>100417083.01333939</v>
      </c>
    </row>
    <row r="336" spans="2:11" x14ac:dyDescent="0.25">
      <c r="B336" s="238" t="s">
        <v>180</v>
      </c>
      <c r="C336" s="238"/>
      <c r="D336" s="41"/>
      <c r="E336" s="38">
        <f>-E322</f>
        <v>11359000</v>
      </c>
      <c r="F336" s="38">
        <f t="shared" ref="F336:I336" si="17">-F322</f>
        <v>11359000</v>
      </c>
      <c r="G336" s="38">
        <f t="shared" si="17"/>
        <v>11359000</v>
      </c>
      <c r="H336" s="38">
        <f t="shared" si="17"/>
        <v>11359000</v>
      </c>
      <c r="I336" s="38">
        <f t="shared" si="17"/>
        <v>11359000</v>
      </c>
      <c r="K336" s="29"/>
    </row>
    <row r="337" spans="2:11" x14ac:dyDescent="0.25">
      <c r="B337" s="203" t="s">
        <v>179</v>
      </c>
      <c r="C337" s="203"/>
      <c r="D337" s="41"/>
      <c r="E337" s="38">
        <f>-E323</f>
        <v>397610</v>
      </c>
      <c r="F337" s="38">
        <f>-F323</f>
        <v>397610</v>
      </c>
      <c r="G337" s="38">
        <f>-G323</f>
        <v>397610</v>
      </c>
      <c r="H337" s="38">
        <f>-H323</f>
        <v>397610</v>
      </c>
      <c r="I337" s="38">
        <f>-I323</f>
        <v>397610</v>
      </c>
      <c r="K337" s="29"/>
    </row>
    <row r="338" spans="2:11" x14ac:dyDescent="0.25">
      <c r="B338" s="203" t="s">
        <v>246</v>
      </c>
      <c r="C338" s="203"/>
      <c r="D338" s="41"/>
      <c r="E338" s="38">
        <f>-E325*(1-0.35)</f>
        <v>8628750</v>
      </c>
      <c r="F338" s="38">
        <f t="shared" ref="F338:H338" si="18">-F325*(1-0.35)</f>
        <v>7342620.0648377435</v>
      </c>
      <c r="G338" s="38">
        <f t="shared" si="18"/>
        <v>5866785.9642390534</v>
      </c>
      <c r="H338" s="38">
        <f t="shared" si="18"/>
        <v>4173266.333802057</v>
      </c>
      <c r="I338" s="38">
        <f>-I325*(1-0.35)</f>
        <v>2229952.5578756034</v>
      </c>
      <c r="K338" s="29"/>
    </row>
    <row r="339" spans="2:11" x14ac:dyDescent="0.25">
      <c r="B339" s="203" t="s">
        <v>181</v>
      </c>
      <c r="C339" s="203"/>
      <c r="D339" s="38">
        <f>-(F27+F34)</f>
        <v>-108078050</v>
      </c>
      <c r="E339" s="38"/>
      <c r="F339" s="38"/>
      <c r="G339" s="38"/>
      <c r="H339" s="38"/>
      <c r="I339" s="38"/>
      <c r="K339" s="29"/>
    </row>
    <row r="340" spans="2:11" x14ac:dyDescent="0.25">
      <c r="B340" s="203" t="s">
        <v>243</v>
      </c>
      <c r="C340" s="203"/>
      <c r="D340" s="38">
        <f t="shared" ref="D340:I340" si="19">-D260</f>
        <v>-28944150.888809957</v>
      </c>
      <c r="E340" s="38">
        <f t="shared" si="19"/>
        <v>-13812013.494751692</v>
      </c>
      <c r="F340" s="38">
        <f t="shared" si="19"/>
        <v>-3274724.8583013713</v>
      </c>
      <c r="G340" s="38">
        <f t="shared" si="19"/>
        <v>-3400973.9031846598</v>
      </c>
      <c r="H340" s="38">
        <f t="shared" si="19"/>
        <v>-4059237.1354473159</v>
      </c>
      <c r="I340" s="38">
        <f t="shared" si="19"/>
        <v>-4391384.4491819739</v>
      </c>
      <c r="K340" s="29"/>
    </row>
    <row r="341" spans="2:11" x14ac:dyDescent="0.25">
      <c r="B341" s="202" t="s">
        <v>244</v>
      </c>
      <c r="C341" s="202"/>
      <c r="D341" s="41"/>
      <c r="E341" s="38"/>
      <c r="F341" s="38"/>
      <c r="G341" s="38"/>
      <c r="H341" s="38"/>
      <c r="I341" s="38">
        <f>-SUM(D340:I340)</f>
        <v>57882484.729676969</v>
      </c>
      <c r="K341" s="29"/>
    </row>
    <row r="342" spans="2:11" x14ac:dyDescent="0.25">
      <c r="B342" s="239" t="s">
        <v>4</v>
      </c>
      <c r="C342" s="239"/>
      <c r="D342" s="195">
        <f t="shared" ref="D342:H342" si="20">SUM(D335:D341)</f>
        <v>-137022200.88880995</v>
      </c>
      <c r="E342" s="195">
        <f t="shared" si="20"/>
        <v>10632953.222237576</v>
      </c>
      <c r="F342" s="195">
        <f t="shared" si="20"/>
        <v>29818215.394013196</v>
      </c>
      <c r="G342" s="195">
        <f t="shared" si="20"/>
        <v>39296377.117972597</v>
      </c>
      <c r="H342" s="195">
        <f t="shared" si="20"/>
        <v>49270673.07736741</v>
      </c>
      <c r="I342" s="195">
        <f>SUM(I335:I341)</f>
        <v>167894745.85170999</v>
      </c>
    </row>
    <row r="343" spans="2:11" x14ac:dyDescent="0.25">
      <c r="B343" s="206" t="s">
        <v>245</v>
      </c>
      <c r="C343" s="206"/>
      <c r="D343" s="196">
        <f>D342</f>
        <v>-137022200.88880995</v>
      </c>
      <c r="E343" s="196">
        <f>E342/(1+$D$345)^E334</f>
        <v>9525597.9576213676</v>
      </c>
      <c r="F343" s="196">
        <f>F342/(1+$D$345)^F334</f>
        <v>23930861.65002368</v>
      </c>
      <c r="G343" s="196">
        <f>G342/(1+$D$345)^G334</f>
        <v>28253193.614175946</v>
      </c>
      <c r="H343" s="196">
        <f>H342/(1+$D$345)^H334</f>
        <v>31735246.208970148</v>
      </c>
      <c r="I343" s="196">
        <f>I342/(1+$D$345)^I334</f>
        <v>96878816.905065879</v>
      </c>
    </row>
    <row r="344" spans="2:11" x14ac:dyDescent="0.25">
      <c r="B344" s="204" t="s">
        <v>186</v>
      </c>
      <c r="C344" s="204"/>
      <c r="D344" s="197"/>
      <c r="E344" s="197">
        <f>E343</f>
        <v>9525597.9576213676</v>
      </c>
      <c r="F344" s="197">
        <f>E344+F343</f>
        <v>33456459.60764505</v>
      </c>
      <c r="G344" s="197">
        <f t="shared" ref="G344:I344" si="21">F344+G343</f>
        <v>61709653.221820995</v>
      </c>
      <c r="H344" s="197">
        <f t="shared" si="21"/>
        <v>93444899.43079114</v>
      </c>
      <c r="I344" s="197">
        <f t="shared" si="21"/>
        <v>190323716.33585703</v>
      </c>
    </row>
    <row r="345" spans="2:11" x14ac:dyDescent="0.25">
      <c r="B345" s="55" t="s">
        <v>2</v>
      </c>
      <c r="D345" s="106">
        <f>D196</f>
        <v>0.11625047262573393</v>
      </c>
      <c r="E345" s="27"/>
      <c r="F345" s="27"/>
      <c r="G345" s="27"/>
      <c r="H345" s="27"/>
      <c r="I345" s="27"/>
    </row>
    <row r="346" spans="2:11" x14ac:dyDescent="0.25">
      <c r="B346" s="55" t="s">
        <v>24</v>
      </c>
      <c r="D346" s="38">
        <f>NPV(D345,E342:I342)+D342</f>
        <v>53301515.447047085</v>
      </c>
      <c r="E346" s="27"/>
      <c r="I346" s="27"/>
      <c r="J346" s="27"/>
    </row>
    <row r="347" spans="2:11" x14ac:dyDescent="0.25">
      <c r="B347" s="55" t="s">
        <v>25</v>
      </c>
      <c r="D347" s="106">
        <f>IRR(D342:I342)</f>
        <v>0.21466537173661293</v>
      </c>
      <c r="E347" s="27"/>
      <c r="I347" s="27"/>
      <c r="J347" s="27"/>
    </row>
    <row r="348" spans="2:11" x14ac:dyDescent="0.25">
      <c r="B348" s="55" t="s">
        <v>185</v>
      </c>
      <c r="D348" s="105">
        <f>H334+(-D342-H344)/I343</f>
        <v>4.4498124858473584</v>
      </c>
      <c r="E348" s="27">
        <f>0.45*12</f>
        <v>5.4</v>
      </c>
      <c r="F348" s="27" t="s">
        <v>257</v>
      </c>
      <c r="I348" s="27"/>
      <c r="J348" s="27"/>
    </row>
    <row r="349" spans="2:11" x14ac:dyDescent="0.25">
      <c r="B349" s="55" t="s">
        <v>187</v>
      </c>
      <c r="C349" s="160"/>
      <c r="D349" s="161">
        <f>I344/(-D342)</f>
        <v>1.3889991191303366</v>
      </c>
      <c r="E349" s="27"/>
      <c r="J349" s="27"/>
    </row>
    <row r="350" spans="2:11" x14ac:dyDescent="0.25">
      <c r="B350" s="27"/>
      <c r="C350" s="55"/>
      <c r="D350" s="27"/>
      <c r="I350" s="27"/>
      <c r="J350" s="27"/>
    </row>
    <row r="351" spans="2:11" x14ac:dyDescent="0.25">
      <c r="B351" s="27"/>
      <c r="C351" s="55"/>
      <c r="D351" s="27"/>
      <c r="E351" s="55"/>
      <c r="F351" s="160"/>
      <c r="G351" s="27"/>
      <c r="H351" s="27"/>
      <c r="I351" s="27"/>
      <c r="J351" s="27"/>
    </row>
    <row r="352" spans="2:11" x14ac:dyDescent="0.25">
      <c r="B352" s="205" t="s">
        <v>36</v>
      </c>
      <c r="C352" s="205"/>
      <c r="D352" s="205"/>
      <c r="E352" s="205"/>
      <c r="F352" s="205"/>
      <c r="G352" s="205"/>
      <c r="H352" s="205"/>
      <c r="I352" s="205"/>
      <c r="J352" s="27"/>
    </row>
    <row r="353" spans="2:10" x14ac:dyDescent="0.25">
      <c r="B353" s="31"/>
      <c r="C353" s="31"/>
      <c r="D353" s="154"/>
      <c r="E353" s="154"/>
      <c r="F353" s="154"/>
      <c r="G353" s="154"/>
      <c r="H353" s="154"/>
      <c r="I353" s="154"/>
      <c r="J353" s="27"/>
    </row>
    <row r="354" spans="2:10" x14ac:dyDescent="0.25">
      <c r="B354" s="199"/>
      <c r="C354" s="199"/>
      <c r="D354" s="93">
        <v>0</v>
      </c>
      <c r="E354" s="93">
        <v>1</v>
      </c>
      <c r="F354" s="93">
        <v>2</v>
      </c>
      <c r="G354" s="93">
        <v>3</v>
      </c>
      <c r="H354" s="93">
        <v>4</v>
      </c>
      <c r="I354" s="93">
        <v>5</v>
      </c>
      <c r="J354" s="27"/>
    </row>
    <row r="355" spans="2:10" x14ac:dyDescent="0.25">
      <c r="B355" s="239" t="s">
        <v>23</v>
      </c>
      <c r="C355" s="239"/>
      <c r="D355" s="191">
        <f>D329</f>
        <v>0</v>
      </c>
      <c r="E355" s="191">
        <f>E329</f>
        <v>4059606.7169892685</v>
      </c>
      <c r="F355" s="191">
        <f t="shared" ref="F355:I355" si="22">F329</f>
        <v>13993710.187476825</v>
      </c>
      <c r="G355" s="191">
        <f t="shared" si="22"/>
        <v>25073955.056918208</v>
      </c>
      <c r="H355" s="191">
        <f t="shared" si="22"/>
        <v>37400033.879012667</v>
      </c>
      <c r="I355" s="191">
        <f t="shared" si="22"/>
        <v>100417083.01333939</v>
      </c>
      <c r="J355" s="27"/>
    </row>
    <row r="356" spans="2:10" x14ac:dyDescent="0.25">
      <c r="B356" s="238" t="s">
        <v>180</v>
      </c>
      <c r="C356" s="238"/>
      <c r="D356" s="41"/>
      <c r="E356" s="38">
        <f t="shared" ref="E356:I357" si="23">-E322</f>
        <v>11359000</v>
      </c>
      <c r="F356" s="38">
        <f t="shared" si="23"/>
        <v>11359000</v>
      </c>
      <c r="G356" s="38">
        <f t="shared" si="23"/>
        <v>11359000</v>
      </c>
      <c r="H356" s="38">
        <f t="shared" si="23"/>
        <v>11359000</v>
      </c>
      <c r="I356" s="38">
        <f t="shared" si="23"/>
        <v>11359000</v>
      </c>
      <c r="J356" s="27"/>
    </row>
    <row r="357" spans="2:10" x14ac:dyDescent="0.25">
      <c r="B357" s="203" t="s">
        <v>179</v>
      </c>
      <c r="C357" s="203"/>
      <c r="D357" s="41"/>
      <c r="E357" s="38">
        <f t="shared" si="23"/>
        <v>397610</v>
      </c>
      <c r="F357" s="38">
        <f t="shared" si="23"/>
        <v>397610</v>
      </c>
      <c r="G357" s="38">
        <f t="shared" si="23"/>
        <v>397610</v>
      </c>
      <c r="H357" s="38">
        <f t="shared" si="23"/>
        <v>397610</v>
      </c>
      <c r="I357" s="38">
        <f t="shared" si="23"/>
        <v>397610</v>
      </c>
      <c r="J357" s="27"/>
    </row>
    <row r="358" spans="2:10" x14ac:dyDescent="0.25">
      <c r="B358" s="203" t="s">
        <v>183</v>
      </c>
      <c r="C358" s="203"/>
      <c r="D358" s="38">
        <f>'Análisis financiero'!D169</f>
        <v>90000000</v>
      </c>
      <c r="E358" s="38"/>
      <c r="F358" s="38"/>
      <c r="G358" s="38"/>
      <c r="H358" s="38"/>
      <c r="I358" s="38"/>
      <c r="J358" s="27"/>
    </row>
    <row r="359" spans="2:10" x14ac:dyDescent="0.25">
      <c r="B359" s="203" t="s">
        <v>184</v>
      </c>
      <c r="C359" s="203"/>
      <c r="D359" s="38"/>
      <c r="E359" s="38">
        <f>-'Análisis financiero'!E172</f>
        <v>-13414653.821770605</v>
      </c>
      <c r="F359" s="38">
        <f>-'Análisis financiero'!F172</f>
        <v>-15393315.260481769</v>
      </c>
      <c r="G359" s="38">
        <f>-'Análisis financiero'!G172</f>
        <v>-17663829.26140283</v>
      </c>
      <c r="H359" s="38">
        <f>-'Análisis financiero'!H172</f>
        <v>-20269244.077459749</v>
      </c>
      <c r="I359" s="38">
        <f>-'Análisis financiero'!I172</f>
        <v>-23258957.57888506</v>
      </c>
      <c r="J359" s="27"/>
    </row>
    <row r="360" spans="2:10" x14ac:dyDescent="0.25">
      <c r="B360" s="203" t="s">
        <v>181</v>
      </c>
      <c r="C360" s="203"/>
      <c r="D360" s="38">
        <f>-(F27+F34)</f>
        <v>-108078050</v>
      </c>
      <c r="E360" s="38"/>
      <c r="F360" s="38"/>
      <c r="G360" s="38"/>
      <c r="H360" s="38"/>
      <c r="I360" s="38"/>
      <c r="J360" s="27"/>
    </row>
    <row r="361" spans="2:10" x14ac:dyDescent="0.25">
      <c r="B361" s="203" t="s">
        <v>182</v>
      </c>
      <c r="C361" s="203"/>
      <c r="D361" s="38">
        <f>-'Análisis financiero'!F46</f>
        <v>-28944150.888809957</v>
      </c>
      <c r="E361" s="38">
        <f>E340</f>
        <v>-13812013.494751692</v>
      </c>
      <c r="F361" s="38">
        <f>F340</f>
        <v>-3274724.8583013713</v>
      </c>
      <c r="G361" s="38">
        <f>G340</f>
        <v>-3400973.9031846598</v>
      </c>
      <c r="H361" s="38">
        <f>H340</f>
        <v>-4059237.1354473159</v>
      </c>
      <c r="I361" s="38">
        <f>I340</f>
        <v>-4391384.4491819739</v>
      </c>
      <c r="J361" s="27"/>
    </row>
    <row r="362" spans="2:10" x14ac:dyDescent="0.25">
      <c r="B362" s="202" t="s">
        <v>244</v>
      </c>
      <c r="C362" s="202"/>
      <c r="D362" s="41"/>
      <c r="E362" s="38"/>
      <c r="F362" s="38"/>
      <c r="G362" s="38"/>
      <c r="H362" s="38"/>
      <c r="I362" s="38">
        <f>-SUM(D361:I361)</f>
        <v>57882484.729676969</v>
      </c>
      <c r="J362" s="27"/>
    </row>
    <row r="363" spans="2:10" x14ac:dyDescent="0.25">
      <c r="B363" s="239" t="s">
        <v>259</v>
      </c>
      <c r="C363" s="239"/>
      <c r="D363" s="195">
        <f>SUM(D355:D361)</f>
        <v>-47022200.888809957</v>
      </c>
      <c r="E363" s="195">
        <f>SUM(E355:E361)</f>
        <v>-11410450.599533029</v>
      </c>
      <c r="F363" s="195">
        <f>SUM(F355:F361)</f>
        <v>7082280.0686936844</v>
      </c>
      <c r="G363" s="195">
        <f>SUM(G355:G361)</f>
        <v>15765761.892330714</v>
      </c>
      <c r="H363" s="195">
        <f>SUM(H355:H361)</f>
        <v>24828162.666105602</v>
      </c>
      <c r="I363" s="195">
        <f>SUM(I355:I362)</f>
        <v>142405835.71494931</v>
      </c>
      <c r="J363" s="27"/>
    </row>
    <row r="364" spans="2:10" x14ac:dyDescent="0.25">
      <c r="B364" s="206" t="s">
        <v>245</v>
      </c>
      <c r="C364" s="206"/>
      <c r="D364" s="197">
        <f>D363</f>
        <v>-47022200.888809957</v>
      </c>
      <c r="E364" s="196">
        <f>E363/(1+$D$366)^E354</f>
        <v>-9876528.7671639267</v>
      </c>
      <c r="F364" s="196">
        <f>F363/(1+$D$366)^F354</f>
        <v>5306109.0692990739</v>
      </c>
      <c r="G364" s="196">
        <f>G363/(1+$D$366)^G354</f>
        <v>10223970.249339208</v>
      </c>
      <c r="H364" s="196">
        <f>H363/(1+$D$366)^H354</f>
        <v>13936404.20435019</v>
      </c>
      <c r="I364" s="196">
        <f>I363/(1+$D$366)^I354</f>
        <v>69188748.743674561</v>
      </c>
      <c r="J364" s="27"/>
    </row>
    <row r="365" spans="2:10" x14ac:dyDescent="0.25">
      <c r="B365" s="204" t="s">
        <v>186</v>
      </c>
      <c r="C365" s="204"/>
      <c r="D365" s="197"/>
      <c r="E365" s="197">
        <f>E364</f>
        <v>-9876528.7671639267</v>
      </c>
      <c r="F365" s="197">
        <f>E365+F364</f>
        <v>-4570419.6978648528</v>
      </c>
      <c r="G365" s="197">
        <f t="shared" ref="G365:I365" si="24">F365+G364</f>
        <v>5653550.5514743552</v>
      </c>
      <c r="H365" s="197">
        <f t="shared" si="24"/>
        <v>19589954.755824544</v>
      </c>
      <c r="I365" s="197">
        <f t="shared" si="24"/>
        <v>88778703.499499112</v>
      </c>
      <c r="J365" s="27"/>
    </row>
    <row r="366" spans="2:10" x14ac:dyDescent="0.25">
      <c r="B366" s="204" t="s">
        <v>256</v>
      </c>
      <c r="C366" s="204"/>
      <c r="D366" s="184">
        <f>D189</f>
        <v>0.15530981264073929</v>
      </c>
      <c r="E366" s="159"/>
      <c r="F366" s="159"/>
      <c r="G366" s="159"/>
      <c r="H366" s="159"/>
      <c r="I366" s="159"/>
      <c r="J366" s="27"/>
    </row>
    <row r="367" spans="2:10" x14ac:dyDescent="0.25">
      <c r="B367" s="204" t="s">
        <v>24</v>
      </c>
      <c r="C367" s="204"/>
      <c r="D367" s="59">
        <f>NPV(D366,E363:I363)+D363</f>
        <v>41756502.610689156</v>
      </c>
      <c r="E367" s="159"/>
      <c r="F367" s="159"/>
      <c r="G367" s="159"/>
      <c r="H367" s="159"/>
      <c r="I367" s="159"/>
      <c r="J367" s="27"/>
    </row>
    <row r="368" spans="2:10" x14ac:dyDescent="0.25">
      <c r="B368" s="204" t="s">
        <v>25</v>
      </c>
      <c r="C368" s="204"/>
      <c r="D368" s="184">
        <f>IRR(D363:I363)</f>
        <v>0.31415269539813107</v>
      </c>
      <c r="E368" s="27"/>
      <c r="F368" s="27"/>
      <c r="G368" s="27"/>
      <c r="H368" s="27"/>
      <c r="I368" s="27"/>
      <c r="J368" s="27"/>
    </row>
    <row r="369" spans="2:10" x14ac:dyDescent="0.25">
      <c r="B369" s="204" t="s">
        <v>185</v>
      </c>
      <c r="C369" s="204"/>
      <c r="D369" s="248">
        <f>H354+(-D363-H365)/I364</f>
        <v>4.3964842063355478</v>
      </c>
      <c r="E369" s="21">
        <f>0.4*12</f>
        <v>4.8000000000000007</v>
      </c>
      <c r="F369" s="27" t="s">
        <v>255</v>
      </c>
      <c r="H369" s="27"/>
      <c r="I369" s="27"/>
      <c r="J369" s="27"/>
    </row>
    <row r="370" spans="2:10" x14ac:dyDescent="0.25">
      <c r="B370" s="204" t="s">
        <v>187</v>
      </c>
      <c r="C370" s="204"/>
      <c r="D370" s="249">
        <f>I365/(-D363)</f>
        <v>1.8880167627505948</v>
      </c>
      <c r="E370" s="27"/>
      <c r="F370" s="27" t="s">
        <v>258</v>
      </c>
      <c r="H370" s="27"/>
      <c r="I370" s="27"/>
      <c r="J370" s="27"/>
    </row>
    <row r="371" spans="2:10" x14ac:dyDescent="0.25">
      <c r="B371" s="27"/>
      <c r="C371" s="55"/>
      <c r="D371" s="27"/>
      <c r="H371" s="27"/>
      <c r="I371" s="27"/>
      <c r="J371" s="27"/>
    </row>
    <row r="372" spans="2:10" x14ac:dyDescent="0.25">
      <c r="B372" s="27"/>
      <c r="C372" s="55"/>
      <c r="D372" s="27"/>
    </row>
    <row r="373" spans="2:10" x14ac:dyDescent="0.25">
      <c r="B373" s="27"/>
      <c r="C373" s="55"/>
      <c r="D373" s="27"/>
      <c r="J373" s="27"/>
    </row>
    <row r="374" spans="2:10" x14ac:dyDescent="0.25">
      <c r="B374" s="27"/>
      <c r="C374" s="55"/>
      <c r="D374" s="27"/>
      <c r="E374" s="55"/>
      <c r="F374" s="160"/>
      <c r="G374" s="27"/>
      <c r="H374" s="27"/>
      <c r="I374" s="27"/>
      <c r="J374" s="27"/>
    </row>
    <row r="375" spans="2:10" x14ac:dyDescent="0.25">
      <c r="B375" s="27"/>
      <c r="C375" s="55"/>
      <c r="D375" s="27"/>
      <c r="E375" s="55"/>
      <c r="F375" s="160"/>
      <c r="G375" s="27"/>
      <c r="H375" s="27"/>
      <c r="I375" s="27"/>
      <c r="J375" s="27"/>
    </row>
    <row r="376" spans="2:10" x14ac:dyDescent="0.25">
      <c r="B376" s="27"/>
      <c r="C376" s="55"/>
      <c r="D376" s="27"/>
      <c r="E376" s="55"/>
      <c r="F376" s="160"/>
      <c r="G376" s="27"/>
      <c r="H376" s="27"/>
      <c r="I376" s="27"/>
      <c r="J376" s="27"/>
    </row>
    <row r="377" spans="2:10" x14ac:dyDescent="0.25">
      <c r="B377" s="27"/>
      <c r="C377" s="55"/>
      <c r="D377" s="27"/>
      <c r="E377" s="55"/>
      <c r="F377" s="160"/>
      <c r="G377" s="27"/>
      <c r="H377" s="27"/>
      <c r="I377" s="27"/>
      <c r="J377" s="27"/>
    </row>
    <row r="378" spans="2:10" x14ac:dyDescent="0.25">
      <c r="B378" s="27"/>
      <c r="C378" s="55"/>
      <c r="D378" s="27"/>
      <c r="E378" s="55"/>
      <c r="F378" s="160"/>
      <c r="G378" s="27"/>
      <c r="H378" s="27"/>
      <c r="I378" s="27"/>
      <c r="J378" s="27"/>
    </row>
    <row r="379" spans="2:10" x14ac:dyDescent="0.25">
      <c r="B379" s="27"/>
      <c r="C379" s="55"/>
      <c r="D379" s="27"/>
      <c r="E379" s="55"/>
      <c r="F379" s="160"/>
      <c r="G379" s="27"/>
      <c r="H379" s="27"/>
      <c r="I379" s="27"/>
      <c r="J379" s="27"/>
    </row>
    <row r="380" spans="2:10" x14ac:dyDescent="0.25">
      <c r="B380" s="27"/>
      <c r="C380" s="55"/>
      <c r="D380" s="27"/>
      <c r="E380" s="55"/>
      <c r="F380" s="160"/>
      <c r="G380" s="27"/>
      <c r="H380" s="27"/>
      <c r="I380" s="27"/>
      <c r="J380" s="27"/>
    </row>
    <row r="381" spans="2:10" x14ac:dyDescent="0.25">
      <c r="B381" s="27"/>
      <c r="C381" s="55"/>
      <c r="D381" s="27"/>
      <c r="E381" s="55"/>
      <c r="F381" s="160"/>
      <c r="G381" s="27"/>
      <c r="H381" s="27"/>
      <c r="I381" s="27"/>
      <c r="J381" s="27"/>
    </row>
    <row r="382" spans="2:10" x14ac:dyDescent="0.25">
      <c r="B382" s="27"/>
      <c r="C382" s="55"/>
      <c r="D382" s="27"/>
      <c r="E382" s="55"/>
      <c r="F382" s="160"/>
      <c r="G382" s="27"/>
      <c r="H382" s="27"/>
      <c r="I382" s="27"/>
      <c r="J382" s="27"/>
    </row>
    <row r="383" spans="2:10" x14ac:dyDescent="0.25">
      <c r="B383" s="27"/>
      <c r="C383" s="55"/>
      <c r="D383" s="27"/>
      <c r="E383" s="55"/>
      <c r="F383" s="160"/>
      <c r="G383" s="27"/>
      <c r="H383" s="27"/>
      <c r="I383" s="27"/>
      <c r="J383" s="27"/>
    </row>
    <row r="384" spans="2:10" x14ac:dyDescent="0.25">
      <c r="B384" s="27"/>
      <c r="C384" s="55"/>
      <c r="D384" s="27"/>
      <c r="E384" s="55"/>
      <c r="F384" s="160"/>
      <c r="G384" s="27"/>
      <c r="H384" s="27"/>
      <c r="I384" s="27"/>
      <c r="J384" s="27"/>
    </row>
    <row r="385" spans="2:10" x14ac:dyDescent="0.25">
      <c r="B385" s="27"/>
      <c r="C385" s="55"/>
      <c r="D385" s="27"/>
      <c r="E385" s="55"/>
      <c r="F385" s="160"/>
      <c r="G385" s="27"/>
      <c r="H385" s="27"/>
      <c r="I385" s="27"/>
      <c r="J385" s="27"/>
    </row>
    <row r="386" spans="2:10" x14ac:dyDescent="0.25">
      <c r="B386" s="27"/>
      <c r="C386" s="55"/>
      <c r="D386" s="27"/>
      <c r="E386" s="55"/>
      <c r="F386" s="160"/>
      <c r="G386" s="27"/>
      <c r="H386" s="27"/>
      <c r="I386" s="27"/>
      <c r="J386" s="27"/>
    </row>
    <row r="387" spans="2:10" x14ac:dyDescent="0.25">
      <c r="B387" s="27"/>
      <c r="C387" s="55"/>
      <c r="D387" s="27"/>
      <c r="E387" s="55"/>
      <c r="F387" s="160"/>
      <c r="G387" s="27"/>
      <c r="H387" s="27"/>
      <c r="I387" s="27"/>
      <c r="J387" s="27"/>
    </row>
    <row r="388" spans="2:10" x14ac:dyDescent="0.25">
      <c r="B388" s="27"/>
      <c r="C388" s="55"/>
      <c r="D388" s="27"/>
      <c r="E388" s="55"/>
      <c r="F388" s="160"/>
      <c r="G388" s="27"/>
      <c r="H388" s="27"/>
      <c r="I388" s="27"/>
      <c r="J388" s="27"/>
    </row>
    <row r="389" spans="2:10" x14ac:dyDescent="0.25">
      <c r="B389" s="27"/>
      <c r="C389" s="55"/>
      <c r="D389" s="27"/>
      <c r="E389" s="55"/>
      <c r="F389" s="160"/>
      <c r="G389" s="27"/>
      <c r="H389" s="27"/>
      <c r="I389" s="27"/>
      <c r="J389" s="27"/>
    </row>
    <row r="390" spans="2:10" x14ac:dyDescent="0.25">
      <c r="B390" s="27"/>
      <c r="C390" s="55"/>
      <c r="D390" s="27"/>
      <c r="E390" s="55"/>
      <c r="F390" s="160"/>
      <c r="G390" s="27"/>
      <c r="H390" s="27"/>
      <c r="I390" s="27"/>
      <c r="J390" s="27"/>
    </row>
    <row r="391" spans="2:10" x14ac:dyDescent="0.25">
      <c r="B391" s="27"/>
      <c r="C391" s="55"/>
      <c r="D391" s="27"/>
      <c r="E391" s="55"/>
      <c r="F391" s="160"/>
      <c r="G391" s="27"/>
      <c r="H391" s="27"/>
      <c r="I391" s="27"/>
      <c r="J391" s="27"/>
    </row>
    <row r="392" spans="2:10" x14ac:dyDescent="0.25">
      <c r="B392" s="27"/>
      <c r="C392" s="55"/>
      <c r="D392" s="27"/>
      <c r="E392" s="55"/>
      <c r="F392" s="160"/>
      <c r="G392" s="27"/>
      <c r="H392" s="27"/>
      <c r="I392" s="27"/>
      <c r="J392" s="27"/>
    </row>
    <row r="393" spans="2:10" x14ac:dyDescent="0.25">
      <c r="B393" s="27"/>
      <c r="C393" s="55"/>
      <c r="D393" s="27"/>
      <c r="E393" s="55"/>
      <c r="F393" s="160"/>
      <c r="G393" s="27"/>
      <c r="H393" s="27"/>
      <c r="I393" s="27"/>
      <c r="J393" s="27"/>
    </row>
    <row r="394" spans="2:10" x14ac:dyDescent="0.25">
      <c r="B394" s="27"/>
      <c r="C394" s="55"/>
      <c r="D394" s="27"/>
      <c r="E394" s="55"/>
      <c r="F394" s="160"/>
      <c r="G394" s="27"/>
      <c r="H394" s="27"/>
      <c r="I394" s="27"/>
      <c r="J394" s="27"/>
    </row>
    <row r="395" spans="2:10" x14ac:dyDescent="0.25">
      <c r="B395" s="27"/>
      <c r="C395" s="55"/>
      <c r="D395" s="27"/>
      <c r="E395" s="55"/>
      <c r="F395" s="160"/>
      <c r="G395" s="27"/>
      <c r="H395" s="27"/>
      <c r="I395" s="27"/>
      <c r="J395" s="27"/>
    </row>
    <row r="396" spans="2:10" x14ac:dyDescent="0.25">
      <c r="B396" s="27"/>
      <c r="C396" s="55"/>
      <c r="D396" s="27"/>
      <c r="E396" s="55"/>
      <c r="F396" s="160"/>
      <c r="G396" s="27"/>
      <c r="H396" s="27"/>
      <c r="I396" s="27"/>
      <c r="J396" s="27"/>
    </row>
    <row r="397" spans="2:10" x14ac:dyDescent="0.25">
      <c r="B397" s="27"/>
      <c r="C397" s="55"/>
      <c r="D397" s="27"/>
      <c r="E397" s="55"/>
      <c r="F397" s="160"/>
      <c r="G397" s="27"/>
      <c r="H397" s="27"/>
      <c r="I397" s="27"/>
      <c r="J397" s="27"/>
    </row>
    <row r="398" spans="2:10" x14ac:dyDescent="0.25">
      <c r="B398" s="27"/>
      <c r="C398" s="55"/>
      <c r="D398" s="27"/>
      <c r="E398" s="55"/>
      <c r="F398" s="160"/>
      <c r="G398" s="27"/>
      <c r="H398" s="27"/>
      <c r="I398" s="27"/>
      <c r="J398" s="27"/>
    </row>
    <row r="399" spans="2:10" x14ac:dyDescent="0.25">
      <c r="B399" s="27"/>
      <c r="C399" s="55"/>
      <c r="D399" s="27"/>
      <c r="E399" s="55"/>
      <c r="F399" s="160"/>
      <c r="G399" s="27"/>
      <c r="H399" s="27"/>
      <c r="I399" s="27"/>
      <c r="J399" s="27"/>
    </row>
  </sheetData>
  <mergeCells count="163">
    <mergeCell ref="B176:I176"/>
    <mergeCell ref="B273:I273"/>
    <mergeCell ref="B201:C201"/>
    <mergeCell ref="B309:I309"/>
    <mergeCell ref="B240:C240"/>
    <mergeCell ref="B241:C241"/>
    <mergeCell ref="B242:C242"/>
    <mergeCell ref="B246:C246"/>
    <mergeCell ref="B275:I275"/>
    <mergeCell ref="B286:I286"/>
    <mergeCell ref="B294:I294"/>
    <mergeCell ref="B301:I301"/>
    <mergeCell ref="B252:C252"/>
    <mergeCell ref="B235:C235"/>
    <mergeCell ref="B237:C237"/>
    <mergeCell ref="B238:C238"/>
    <mergeCell ref="B239:C239"/>
    <mergeCell ref="B265:C265"/>
    <mergeCell ref="B270:C270"/>
    <mergeCell ref="B22:C22"/>
    <mergeCell ref="B24:C24"/>
    <mergeCell ref="B26:C26"/>
    <mergeCell ref="B23:C23"/>
    <mergeCell ref="B27:C27"/>
    <mergeCell ref="B34:C34"/>
    <mergeCell ref="B40:C40"/>
    <mergeCell ref="B342:C342"/>
    <mergeCell ref="B324:C324"/>
    <mergeCell ref="B326:C326"/>
    <mergeCell ref="B332:I332"/>
    <mergeCell ref="B334:C334"/>
    <mergeCell ref="B247:C247"/>
    <mergeCell ref="B250:C250"/>
    <mergeCell ref="B263:I263"/>
    <mergeCell ref="B104:I104"/>
    <mergeCell ref="B106:C106"/>
    <mergeCell ref="B314:C314"/>
    <mergeCell ref="B268:C268"/>
    <mergeCell ref="B267:C267"/>
    <mergeCell ref="B266:C266"/>
    <mergeCell ref="B316:C316"/>
    <mergeCell ref="B199:I199"/>
    <mergeCell ref="B203:C203"/>
    <mergeCell ref="B11:C11"/>
    <mergeCell ref="B12:C12"/>
    <mergeCell ref="B13:C13"/>
    <mergeCell ref="B14:C14"/>
    <mergeCell ref="B15:C15"/>
    <mergeCell ref="B16:C16"/>
    <mergeCell ref="B17:C17"/>
    <mergeCell ref="B19:C19"/>
    <mergeCell ref="B21:C21"/>
    <mergeCell ref="B370:C370"/>
    <mergeCell ref="B369:C369"/>
    <mergeCell ref="B363:C363"/>
    <mergeCell ref="B355:C355"/>
    <mergeCell ref="B357:C357"/>
    <mergeCell ref="B356:C356"/>
    <mergeCell ref="B358:C358"/>
    <mergeCell ref="B359:C359"/>
    <mergeCell ref="B360:C360"/>
    <mergeCell ref="B361:C361"/>
    <mergeCell ref="B362:C362"/>
    <mergeCell ref="B365:C365"/>
    <mergeCell ref="B366:C366"/>
    <mergeCell ref="B367:C367"/>
    <mergeCell ref="B368:C368"/>
    <mergeCell ref="B364:C364"/>
    <mergeCell ref="B5:H5"/>
    <mergeCell ref="B162:I162"/>
    <mergeCell ref="B39:C39"/>
    <mergeCell ref="B41:C41"/>
    <mergeCell ref="B20:C20"/>
    <mergeCell ref="B25:C25"/>
    <mergeCell ref="B29:F29"/>
    <mergeCell ref="B31:C31"/>
    <mergeCell ref="B32:C32"/>
    <mergeCell ref="B7:F7"/>
    <mergeCell ref="B9:C9"/>
    <mergeCell ref="B10:C10"/>
    <mergeCell ref="B46:C46"/>
    <mergeCell ref="B58:C58"/>
    <mergeCell ref="B59:C59"/>
    <mergeCell ref="B18:C18"/>
    <mergeCell ref="B86:B87"/>
    <mergeCell ref="B88:B90"/>
    <mergeCell ref="F84:F85"/>
    <mergeCell ref="E84:E85"/>
    <mergeCell ref="C84:D85"/>
    <mergeCell ref="B44:C44"/>
    <mergeCell ref="C86:D86"/>
    <mergeCell ref="C87:D87"/>
    <mergeCell ref="B2:S2"/>
    <mergeCell ref="B76:C76"/>
    <mergeCell ref="B79:C79"/>
    <mergeCell ref="B91:E91"/>
    <mergeCell ref="B244:C244"/>
    <mergeCell ref="B222:I222"/>
    <mergeCell ref="B205:I205"/>
    <mergeCell ref="B207:I207"/>
    <mergeCell ref="B216:I216"/>
    <mergeCell ref="B233:I233"/>
    <mergeCell ref="B145:I145"/>
    <mergeCell ref="B153:I153"/>
    <mergeCell ref="B137:I137"/>
    <mergeCell ref="B33:C33"/>
    <mergeCell ref="B36:F36"/>
    <mergeCell ref="B38:C38"/>
    <mergeCell ref="S84:S85"/>
    <mergeCell ref="B96:C96"/>
    <mergeCell ref="B94:I94"/>
    <mergeCell ref="B45:C45"/>
    <mergeCell ref="B42:C42"/>
    <mergeCell ref="B82:S82"/>
    <mergeCell ref="B113:I113"/>
    <mergeCell ref="B121:I121"/>
    <mergeCell ref="B51:I51"/>
    <mergeCell ref="Q84:Q85"/>
    <mergeCell ref="B43:C43"/>
    <mergeCell ref="B53:C53"/>
    <mergeCell ref="B129:I129"/>
    <mergeCell ref="B111:I111"/>
    <mergeCell ref="R84:R85"/>
    <mergeCell ref="G84:G85"/>
    <mergeCell ref="B84:B85"/>
    <mergeCell ref="H84:H85"/>
    <mergeCell ref="I84:I85"/>
    <mergeCell ref="C164:D164"/>
    <mergeCell ref="B65:C65"/>
    <mergeCell ref="B55:C55"/>
    <mergeCell ref="B56:C56"/>
    <mergeCell ref="B57:C57"/>
    <mergeCell ref="B60:C60"/>
    <mergeCell ref="B67:C67"/>
    <mergeCell ref="B70:C70"/>
    <mergeCell ref="B73:C73"/>
    <mergeCell ref="B78:C78"/>
    <mergeCell ref="B75:C75"/>
    <mergeCell ref="B68:C68"/>
    <mergeCell ref="B69:C69"/>
    <mergeCell ref="B61:C61"/>
    <mergeCell ref="B354:C354"/>
    <mergeCell ref="B269:C269"/>
    <mergeCell ref="B321:C321"/>
    <mergeCell ref="B328:C328"/>
    <mergeCell ref="B341:C341"/>
    <mergeCell ref="B340:C340"/>
    <mergeCell ref="B339:C339"/>
    <mergeCell ref="B338:C338"/>
    <mergeCell ref="B344:C344"/>
    <mergeCell ref="B352:I352"/>
    <mergeCell ref="B343:C343"/>
    <mergeCell ref="B315:C315"/>
    <mergeCell ref="B317:C317"/>
    <mergeCell ref="B337:C337"/>
    <mergeCell ref="B336:C336"/>
    <mergeCell ref="B335:C335"/>
    <mergeCell ref="B329:C329"/>
    <mergeCell ref="B312:I312"/>
    <mergeCell ref="B318:C318"/>
    <mergeCell ref="B319:C319"/>
    <mergeCell ref="B320:C320"/>
    <mergeCell ref="B322:C322"/>
  </mergeCells>
  <pageMargins left="0.7" right="0.7" top="0.75" bottom="0.75" header="0.3" footer="0.3"/>
  <pageSetup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showGridLines="0" topLeftCell="A18" workbookViewId="0">
      <selection activeCell="J63" sqref="J63"/>
    </sheetView>
  </sheetViews>
  <sheetFormatPr baseColWidth="10" defaultRowHeight="15" x14ac:dyDescent="0.25"/>
  <cols>
    <col min="1" max="1" width="11.42578125" style="2"/>
    <col min="2" max="2" width="12.42578125" style="2" customWidth="1"/>
    <col min="3" max="8" width="11.42578125" style="2"/>
    <col min="9" max="9" width="23.7109375" customWidth="1"/>
    <col min="10" max="10" width="14.5703125" customWidth="1"/>
  </cols>
  <sheetData>
    <row r="1" spans="1:14" x14ac:dyDescent="0.25">
      <c r="A1" s="247" t="s">
        <v>197</v>
      </c>
      <c r="B1" s="247"/>
      <c r="C1" s="247"/>
      <c r="D1" s="247"/>
      <c r="E1" s="247"/>
      <c r="F1" s="247"/>
      <c r="G1" s="247"/>
      <c r="I1" s="18" t="s">
        <v>237</v>
      </c>
      <c r="J1" s="18"/>
      <c r="K1" s="18"/>
      <c r="L1" s="18"/>
      <c r="M1" s="18"/>
      <c r="N1" s="18"/>
    </row>
    <row r="2" spans="1:14" ht="15.75" thickBot="1" x14ac:dyDescent="0.3"/>
    <row r="3" spans="1:14" s="15" customFormat="1" ht="30.75" thickBot="1" x14ac:dyDescent="0.3">
      <c r="A3" s="13" t="s">
        <v>198</v>
      </c>
      <c r="B3" s="13" t="s">
        <v>199</v>
      </c>
      <c r="C3" s="13" t="s">
        <v>200</v>
      </c>
      <c r="D3" s="13" t="s">
        <v>201</v>
      </c>
      <c r="E3" s="13" t="s">
        <v>202</v>
      </c>
      <c r="F3" s="13" t="s">
        <v>203</v>
      </c>
      <c r="G3" s="13" t="s">
        <v>204</v>
      </c>
      <c r="H3" s="14"/>
      <c r="I3" s="16" t="s">
        <v>198</v>
      </c>
      <c r="J3" s="12" t="s">
        <v>206</v>
      </c>
    </row>
    <row r="4" spans="1:14" ht="16.5" thickTop="1" thickBot="1" x14ac:dyDescent="0.3">
      <c r="A4" s="7">
        <v>2021</v>
      </c>
      <c r="B4" s="8">
        <v>1.4500000000000001E-2</v>
      </c>
      <c r="C4" s="8">
        <v>9.2999999999999992E-3</v>
      </c>
      <c r="D4" s="8">
        <v>1.7399999999999999E-2</v>
      </c>
      <c r="E4" s="8">
        <v>9.2999999999999992E-3</v>
      </c>
      <c r="F4" s="8">
        <v>1.52E-2</v>
      </c>
      <c r="G4" s="9">
        <v>0.63439999999999996</v>
      </c>
      <c r="I4" s="19">
        <v>23376</v>
      </c>
      <c r="J4" s="20">
        <v>18.89</v>
      </c>
    </row>
    <row r="5" spans="1:14" ht="15.75" thickBot="1" x14ac:dyDescent="0.3">
      <c r="A5" s="7">
        <v>2020</v>
      </c>
      <c r="B5" s="8">
        <v>8.8999999999999999E-3</v>
      </c>
      <c r="C5" s="8">
        <v>1.8800000000000001E-2</v>
      </c>
      <c r="D5" s="8">
        <v>1.8800000000000001E-2</v>
      </c>
      <c r="E5" s="8">
        <v>5.1999999999999998E-3</v>
      </c>
      <c r="F5" s="8">
        <v>9.2999999999999992E-3</v>
      </c>
      <c r="G5" s="10">
        <v>-0.51559999999999995</v>
      </c>
      <c r="I5" s="19">
        <v>23742</v>
      </c>
      <c r="J5" s="20">
        <v>12.97</v>
      </c>
    </row>
    <row r="6" spans="1:14" ht="15.75" thickBot="1" x14ac:dyDescent="0.3">
      <c r="A6" s="7">
        <v>2019</v>
      </c>
      <c r="B6" s="8">
        <v>2.1399999999999999E-2</v>
      </c>
      <c r="C6" s="8">
        <v>2.6599999999999999E-2</v>
      </c>
      <c r="D6" s="8">
        <v>2.7900000000000001E-2</v>
      </c>
      <c r="E6" s="8">
        <v>1.47E-2</v>
      </c>
      <c r="F6" s="8">
        <v>1.9199999999999998E-2</v>
      </c>
      <c r="G6" s="10">
        <v>-0.28620000000000001</v>
      </c>
      <c r="I6" s="19">
        <v>24107</v>
      </c>
      <c r="J6" s="20">
        <v>9.06</v>
      </c>
    </row>
    <row r="7" spans="1:14" ht="15.75" thickBot="1" x14ac:dyDescent="0.3">
      <c r="A7" s="7">
        <v>2018</v>
      </c>
      <c r="B7" s="8">
        <v>2.9100000000000001E-2</v>
      </c>
      <c r="C7" s="8">
        <v>2.46E-2</v>
      </c>
      <c r="D7" s="8">
        <v>3.2399999999999998E-2</v>
      </c>
      <c r="E7" s="8">
        <v>2.4400000000000002E-2</v>
      </c>
      <c r="F7" s="8">
        <v>2.69E-2</v>
      </c>
      <c r="G7" s="9">
        <v>0.1183</v>
      </c>
      <c r="I7" s="19">
        <v>24471</v>
      </c>
      <c r="J7" s="20">
        <v>-13.09</v>
      </c>
    </row>
    <row r="8" spans="1:14" ht="15.75" thickBot="1" x14ac:dyDescent="0.3">
      <c r="A8" s="7">
        <v>2017</v>
      </c>
      <c r="B8" s="8">
        <v>2.3300000000000001E-2</v>
      </c>
      <c r="C8" s="8">
        <v>2.4400000000000002E-2</v>
      </c>
      <c r="D8" s="8">
        <v>2.63E-2</v>
      </c>
      <c r="E8" s="8">
        <v>2.0400000000000001E-2</v>
      </c>
      <c r="F8" s="8">
        <v>2.41E-2</v>
      </c>
      <c r="G8" s="10">
        <v>-1.5900000000000001E-2</v>
      </c>
      <c r="I8" s="19">
        <v>24835</v>
      </c>
      <c r="J8" s="20">
        <v>20.09</v>
      </c>
    </row>
    <row r="9" spans="1:14" ht="15.75" thickBot="1" x14ac:dyDescent="0.3">
      <c r="A9" s="7">
        <v>2016</v>
      </c>
      <c r="B9" s="8">
        <v>1.84E-2</v>
      </c>
      <c r="C9" s="8">
        <v>2.24E-2</v>
      </c>
      <c r="D9" s="8">
        <v>2.5999999999999999E-2</v>
      </c>
      <c r="E9" s="8">
        <v>1.37E-2</v>
      </c>
      <c r="F9" s="8">
        <v>2.4400000000000002E-2</v>
      </c>
      <c r="G9" s="9">
        <v>7.6799999999999993E-2</v>
      </c>
      <c r="I9" s="19">
        <v>25203</v>
      </c>
      <c r="J9" s="20">
        <v>7.66</v>
      </c>
    </row>
    <row r="10" spans="1:14" ht="15.75" thickBot="1" x14ac:dyDescent="0.3">
      <c r="A10" s="7">
        <v>2015</v>
      </c>
      <c r="B10" s="8">
        <v>2.1399999999999999E-2</v>
      </c>
      <c r="C10" s="8">
        <v>2.12E-2</v>
      </c>
      <c r="D10" s="8">
        <v>2.5000000000000001E-2</v>
      </c>
      <c r="E10" s="8">
        <v>1.6799999999999999E-2</v>
      </c>
      <c r="F10" s="8">
        <v>2.2700000000000001E-2</v>
      </c>
      <c r="G10" s="9">
        <v>4.6100000000000002E-2</v>
      </c>
      <c r="I10" s="19">
        <v>25568</v>
      </c>
      <c r="J10" s="20">
        <v>-11.36</v>
      </c>
    </row>
    <row r="11" spans="1:14" ht="15.75" thickBot="1" x14ac:dyDescent="0.3">
      <c r="A11" s="7">
        <v>2014</v>
      </c>
      <c r="B11" s="8">
        <v>2.5399999999999999E-2</v>
      </c>
      <c r="C11" s="8">
        <v>0.03</v>
      </c>
      <c r="D11" s="8">
        <v>3.0099999999999998E-2</v>
      </c>
      <c r="E11" s="8">
        <v>2.07E-2</v>
      </c>
      <c r="F11" s="8">
        <v>2.1700000000000001E-2</v>
      </c>
      <c r="G11" s="10">
        <v>-0.28620000000000001</v>
      </c>
      <c r="I11" s="19">
        <v>25933</v>
      </c>
      <c r="J11" s="20">
        <v>0.1</v>
      </c>
    </row>
    <row r="12" spans="1:14" ht="15.75" thickBot="1" x14ac:dyDescent="0.3">
      <c r="A12" s="7">
        <v>2013</v>
      </c>
      <c r="B12" s="8">
        <v>2.35E-2</v>
      </c>
      <c r="C12" s="8">
        <v>1.8599999999999998E-2</v>
      </c>
      <c r="D12" s="8">
        <v>3.04E-2</v>
      </c>
      <c r="E12" s="8">
        <v>1.66E-2</v>
      </c>
      <c r="F12" s="8">
        <v>3.04E-2</v>
      </c>
      <c r="G12" s="9">
        <v>0.70789999999999997</v>
      </c>
      <c r="I12" s="19">
        <v>26298</v>
      </c>
      <c r="J12" s="20">
        <v>10.79</v>
      </c>
    </row>
    <row r="13" spans="1:14" ht="15.75" thickBot="1" x14ac:dyDescent="0.3">
      <c r="A13" s="7">
        <v>2012</v>
      </c>
      <c r="B13" s="8">
        <v>1.7999999999999999E-2</v>
      </c>
      <c r="C13" s="8">
        <v>1.9699999999999999E-2</v>
      </c>
      <c r="D13" s="8">
        <v>2.3900000000000001E-2</v>
      </c>
      <c r="E13" s="8">
        <v>1.43E-2</v>
      </c>
      <c r="F13" s="8">
        <v>1.78E-2</v>
      </c>
      <c r="G13" s="10">
        <v>-5.8200000000000002E-2</v>
      </c>
      <c r="I13" s="19">
        <v>26662</v>
      </c>
      <c r="J13" s="20">
        <v>15.63</v>
      </c>
    </row>
    <row r="14" spans="1:14" ht="15.75" thickBot="1" x14ac:dyDescent="0.3">
      <c r="A14" s="7">
        <v>2011</v>
      </c>
      <c r="B14" s="8">
        <v>2.7799999999999998E-2</v>
      </c>
      <c r="C14" s="8">
        <v>3.3599999999999998E-2</v>
      </c>
      <c r="D14" s="8">
        <v>3.7499999999999999E-2</v>
      </c>
      <c r="E14" s="8">
        <v>1.72E-2</v>
      </c>
      <c r="F14" s="8">
        <v>1.89E-2</v>
      </c>
      <c r="G14" s="10">
        <v>-0.42730000000000001</v>
      </c>
      <c r="I14" s="19">
        <v>27029</v>
      </c>
      <c r="J14" s="20">
        <v>-17.37</v>
      </c>
    </row>
    <row r="15" spans="1:14" ht="15.75" thickBot="1" x14ac:dyDescent="0.3">
      <c r="A15" s="7">
        <v>2010</v>
      </c>
      <c r="B15" s="8">
        <v>3.2199999999999999E-2</v>
      </c>
      <c r="C15" s="8">
        <v>3.85E-2</v>
      </c>
      <c r="D15" s="8">
        <v>4.0099999999999997E-2</v>
      </c>
      <c r="E15" s="8">
        <v>2.41E-2</v>
      </c>
      <c r="F15" s="8">
        <v>3.3000000000000002E-2</v>
      </c>
      <c r="G15" s="10">
        <v>-0.1429</v>
      </c>
      <c r="I15" s="19">
        <v>27394</v>
      </c>
      <c r="J15" s="20">
        <v>-29.72</v>
      </c>
    </row>
    <row r="16" spans="1:14" ht="15.75" thickBot="1" x14ac:dyDescent="0.3">
      <c r="A16" s="7">
        <v>2009</v>
      </c>
      <c r="B16" s="8">
        <v>3.2599999999999997E-2</v>
      </c>
      <c r="C16" s="8">
        <v>2.46E-2</v>
      </c>
      <c r="D16" s="8">
        <v>3.9800000000000002E-2</v>
      </c>
      <c r="E16" s="8">
        <v>2.23E-2</v>
      </c>
      <c r="F16" s="8">
        <v>3.85E-2</v>
      </c>
      <c r="G16" s="9">
        <v>0.71109999999999995</v>
      </c>
      <c r="I16" s="19">
        <v>27759</v>
      </c>
      <c r="J16" s="20">
        <v>31.55</v>
      </c>
    </row>
    <row r="17" spans="1:10" ht="15.75" thickBot="1" x14ac:dyDescent="0.3">
      <c r="A17" s="7">
        <v>2008</v>
      </c>
      <c r="B17" s="8">
        <v>3.6600000000000001E-2</v>
      </c>
      <c r="C17" s="8">
        <v>3.9100000000000003E-2</v>
      </c>
      <c r="D17" s="8">
        <v>4.2700000000000002E-2</v>
      </c>
      <c r="E17" s="8">
        <v>2.0799999999999999E-2</v>
      </c>
      <c r="F17" s="8">
        <v>2.2499999999999999E-2</v>
      </c>
      <c r="G17" s="10">
        <v>-0.44309999999999999</v>
      </c>
      <c r="I17" s="19">
        <v>28125</v>
      </c>
      <c r="J17" s="20">
        <v>19.149999999999999</v>
      </c>
    </row>
    <row r="18" spans="1:10" ht="15.75" thickBot="1" x14ac:dyDescent="0.3">
      <c r="A18" s="7">
        <v>2007</v>
      </c>
      <c r="B18" s="8">
        <v>4.6300000000000001E-2</v>
      </c>
      <c r="C18" s="8">
        <v>4.6800000000000001E-2</v>
      </c>
      <c r="D18" s="8">
        <v>5.2600000000000001E-2</v>
      </c>
      <c r="E18" s="8">
        <v>3.8300000000000001E-2</v>
      </c>
      <c r="F18" s="8">
        <v>4.0399999999999998E-2</v>
      </c>
      <c r="G18" s="10">
        <v>-0.14230000000000001</v>
      </c>
      <c r="I18" s="19">
        <v>28489</v>
      </c>
      <c r="J18" s="20">
        <v>-11.5</v>
      </c>
    </row>
    <row r="19" spans="1:10" ht="15.75" thickBot="1" x14ac:dyDescent="0.3">
      <c r="A19" s="7">
        <v>2006</v>
      </c>
      <c r="B19" s="8">
        <v>4.8000000000000001E-2</v>
      </c>
      <c r="C19" s="8">
        <v>4.3700000000000003E-2</v>
      </c>
      <c r="D19" s="8">
        <v>5.2499999999999998E-2</v>
      </c>
      <c r="E19" s="8">
        <v>4.3400000000000001E-2</v>
      </c>
      <c r="F19" s="8">
        <v>4.7100000000000003E-2</v>
      </c>
      <c r="G19" s="9">
        <v>7.2900000000000006E-2</v>
      </c>
      <c r="I19" s="19">
        <v>28853</v>
      </c>
      <c r="J19" s="20">
        <v>1.06</v>
      </c>
    </row>
    <row r="20" spans="1:10" ht="15.75" thickBot="1" x14ac:dyDescent="0.3">
      <c r="A20" s="7">
        <v>2005</v>
      </c>
      <c r="B20" s="8">
        <v>4.2900000000000001E-2</v>
      </c>
      <c r="C20" s="8">
        <v>4.2299999999999997E-2</v>
      </c>
      <c r="D20" s="8">
        <v>4.6600000000000003E-2</v>
      </c>
      <c r="E20" s="8">
        <v>3.8899999999999997E-2</v>
      </c>
      <c r="F20" s="8">
        <v>4.3900000000000002E-2</v>
      </c>
      <c r="G20" s="9">
        <v>3.5400000000000001E-2</v>
      </c>
      <c r="I20" s="19">
        <v>29220</v>
      </c>
      <c r="J20" s="20">
        <v>12.31</v>
      </c>
    </row>
    <row r="21" spans="1:10" ht="15.75" thickBot="1" x14ac:dyDescent="0.3">
      <c r="A21" s="7">
        <v>2004</v>
      </c>
      <c r="B21" s="8">
        <v>4.2700000000000002E-2</v>
      </c>
      <c r="C21" s="8">
        <v>4.3799999999999999E-2</v>
      </c>
      <c r="D21" s="8">
        <v>4.8899999999999999E-2</v>
      </c>
      <c r="E21" s="8">
        <v>3.6999999999999998E-2</v>
      </c>
      <c r="F21" s="8">
        <v>4.24E-2</v>
      </c>
      <c r="G21" s="10">
        <v>-7.0000000000000001E-3</v>
      </c>
      <c r="I21" s="19">
        <v>29586</v>
      </c>
      <c r="J21" s="20">
        <v>25.77</v>
      </c>
    </row>
    <row r="22" spans="1:10" ht="15.75" thickBot="1" x14ac:dyDescent="0.3">
      <c r="A22" s="7">
        <v>2003</v>
      </c>
      <c r="B22" s="8">
        <v>4.0099999999999997E-2</v>
      </c>
      <c r="C22" s="8">
        <v>4.07E-2</v>
      </c>
      <c r="D22" s="8">
        <v>4.6100000000000002E-2</v>
      </c>
      <c r="E22" s="8">
        <v>3.1300000000000001E-2</v>
      </c>
      <c r="F22" s="8">
        <v>4.2700000000000002E-2</v>
      </c>
      <c r="G22" s="9">
        <v>0.1149</v>
      </c>
      <c r="I22" s="19">
        <v>29951</v>
      </c>
      <c r="J22" s="20">
        <v>-9.73</v>
      </c>
    </row>
    <row r="23" spans="1:10" ht="15.75" thickBot="1" x14ac:dyDescent="0.3">
      <c r="A23" s="7">
        <v>2002</v>
      </c>
      <c r="B23" s="8">
        <v>4.6100000000000002E-2</v>
      </c>
      <c r="C23" s="8">
        <v>5.1999999999999998E-2</v>
      </c>
      <c r="D23" s="8">
        <v>5.4399999999999997E-2</v>
      </c>
      <c r="E23" s="8">
        <v>3.61E-2</v>
      </c>
      <c r="F23" s="8">
        <v>3.8300000000000001E-2</v>
      </c>
      <c r="G23" s="10">
        <v>-0.24460000000000001</v>
      </c>
      <c r="I23" s="19">
        <v>30316</v>
      </c>
      <c r="J23" s="20">
        <v>14.76</v>
      </c>
    </row>
    <row r="24" spans="1:10" ht="15.75" thickBot="1" x14ac:dyDescent="0.3">
      <c r="A24" s="7">
        <v>2001</v>
      </c>
      <c r="B24" s="8">
        <v>5.0200000000000002E-2</v>
      </c>
      <c r="C24" s="8">
        <v>4.9200000000000001E-2</v>
      </c>
      <c r="D24" s="8">
        <v>5.5399999999999998E-2</v>
      </c>
      <c r="E24" s="8">
        <v>4.2200000000000001E-2</v>
      </c>
      <c r="F24" s="8">
        <v>5.0700000000000002E-2</v>
      </c>
      <c r="G24" s="10">
        <v>-9.7999999999999997E-3</v>
      </c>
      <c r="I24" s="19">
        <v>30680</v>
      </c>
      <c r="J24" s="20">
        <v>17.27</v>
      </c>
    </row>
    <row r="25" spans="1:10" ht="15.75" thickBot="1" x14ac:dyDescent="0.3">
      <c r="A25" s="7">
        <v>2000</v>
      </c>
      <c r="B25" s="8">
        <v>6.0299999999999999E-2</v>
      </c>
      <c r="C25" s="8">
        <v>6.5799999999999997E-2</v>
      </c>
      <c r="D25" s="8">
        <v>6.7900000000000002E-2</v>
      </c>
      <c r="E25" s="8">
        <v>5.0200000000000002E-2</v>
      </c>
      <c r="F25" s="8">
        <v>5.1200000000000002E-2</v>
      </c>
      <c r="G25" s="10">
        <v>-0.20619999999999999</v>
      </c>
      <c r="I25" s="19">
        <v>31047</v>
      </c>
      <c r="J25" s="20">
        <v>1.4</v>
      </c>
    </row>
    <row r="26" spans="1:10" ht="15.75" thickBot="1" x14ac:dyDescent="0.3">
      <c r="A26" s="7">
        <v>1999</v>
      </c>
      <c r="B26" s="8">
        <v>5.6500000000000002E-2</v>
      </c>
      <c r="C26" s="8">
        <v>4.6899999999999997E-2</v>
      </c>
      <c r="D26" s="8">
        <v>6.4500000000000002E-2</v>
      </c>
      <c r="E26" s="8">
        <v>4.6300000000000001E-2</v>
      </c>
      <c r="F26" s="8">
        <v>6.4500000000000002E-2</v>
      </c>
      <c r="G26" s="9">
        <v>0.3871</v>
      </c>
      <c r="I26" s="19">
        <v>31412</v>
      </c>
      <c r="J26" s="20">
        <v>26.33</v>
      </c>
    </row>
    <row r="27" spans="1:10" ht="15.75" thickBot="1" x14ac:dyDescent="0.3">
      <c r="A27" s="7">
        <v>1998</v>
      </c>
      <c r="B27" s="8">
        <v>5.2600000000000001E-2</v>
      </c>
      <c r="C27" s="8">
        <v>5.67E-2</v>
      </c>
      <c r="D27" s="8">
        <v>5.8099999999999999E-2</v>
      </c>
      <c r="E27" s="8">
        <v>4.1599999999999998E-2</v>
      </c>
      <c r="F27" s="8">
        <v>4.65E-2</v>
      </c>
      <c r="G27" s="10">
        <v>-0.1913</v>
      </c>
      <c r="I27" s="19">
        <v>31777</v>
      </c>
      <c r="J27" s="20">
        <v>14.62</v>
      </c>
    </row>
    <row r="28" spans="1:10" ht="15.75" thickBot="1" x14ac:dyDescent="0.3">
      <c r="A28" s="7">
        <v>1997</v>
      </c>
      <c r="B28" s="8">
        <v>6.3500000000000001E-2</v>
      </c>
      <c r="C28" s="8">
        <v>6.54E-2</v>
      </c>
      <c r="D28" s="8">
        <v>6.9800000000000001E-2</v>
      </c>
      <c r="E28" s="8">
        <v>5.7200000000000001E-2</v>
      </c>
      <c r="F28" s="8">
        <v>5.7500000000000002E-2</v>
      </c>
      <c r="G28" s="10">
        <v>-0.10580000000000001</v>
      </c>
      <c r="I28" s="19">
        <v>32142</v>
      </c>
      <c r="J28" s="20">
        <v>2.0299999999999998</v>
      </c>
    </row>
    <row r="29" spans="1:10" ht="15.75" thickBot="1" x14ac:dyDescent="0.3">
      <c r="A29" s="7">
        <v>1996</v>
      </c>
      <c r="B29" s="8">
        <v>6.4399999999999999E-2</v>
      </c>
      <c r="C29" s="8">
        <v>5.6000000000000001E-2</v>
      </c>
      <c r="D29" s="8">
        <v>7.0599999999999996E-2</v>
      </c>
      <c r="E29" s="8">
        <v>5.5300000000000002E-2</v>
      </c>
      <c r="F29" s="8">
        <v>6.4299999999999996E-2</v>
      </c>
      <c r="G29" s="9">
        <v>0.15229999999999999</v>
      </c>
      <c r="I29" s="19">
        <v>32507</v>
      </c>
      <c r="J29" s="20">
        <v>12.4</v>
      </c>
    </row>
    <row r="30" spans="1:10" ht="15.75" thickBot="1" x14ac:dyDescent="0.3">
      <c r="A30" s="7">
        <v>1995</v>
      </c>
      <c r="B30" s="8">
        <v>6.5699999999999995E-2</v>
      </c>
      <c r="C30" s="8">
        <v>7.8799999999999995E-2</v>
      </c>
      <c r="D30" s="8">
        <v>7.8899999999999998E-2</v>
      </c>
      <c r="E30" s="8">
        <v>5.5800000000000002E-2</v>
      </c>
      <c r="F30" s="8">
        <v>5.5800000000000002E-2</v>
      </c>
      <c r="G30" s="10">
        <v>-0.2883</v>
      </c>
      <c r="I30" s="19">
        <v>32871</v>
      </c>
      <c r="J30" s="20">
        <v>27.25</v>
      </c>
    </row>
    <row r="31" spans="1:10" ht="15.75" thickBot="1" x14ac:dyDescent="0.3">
      <c r="A31" s="7">
        <v>1994</v>
      </c>
      <c r="B31" s="8">
        <v>7.0900000000000005E-2</v>
      </c>
      <c r="C31" s="8">
        <v>5.9200000000000003E-2</v>
      </c>
      <c r="D31" s="8">
        <v>8.0500000000000002E-2</v>
      </c>
      <c r="E31" s="8">
        <v>5.6000000000000001E-2</v>
      </c>
      <c r="F31" s="8">
        <v>7.8399999999999997E-2</v>
      </c>
      <c r="G31" s="9">
        <v>0.3448</v>
      </c>
      <c r="I31" s="19">
        <v>33238</v>
      </c>
      <c r="J31" s="20">
        <v>-6.56</v>
      </c>
    </row>
    <row r="32" spans="1:10" ht="15.75" thickBot="1" x14ac:dyDescent="0.3">
      <c r="A32" s="7">
        <v>1993</v>
      </c>
      <c r="B32" s="8">
        <v>5.8700000000000002E-2</v>
      </c>
      <c r="C32" s="8">
        <v>6.6000000000000003E-2</v>
      </c>
      <c r="D32" s="8">
        <v>6.7599999999999993E-2</v>
      </c>
      <c r="E32" s="8">
        <v>5.1900000000000002E-2</v>
      </c>
      <c r="F32" s="8">
        <v>5.8299999999999998E-2</v>
      </c>
      <c r="G32" s="10">
        <v>-0.12989999999999999</v>
      </c>
      <c r="I32" s="19">
        <v>33603</v>
      </c>
      <c r="J32" s="20">
        <v>26.31</v>
      </c>
    </row>
    <row r="33" spans="1:10" ht="15.75" thickBot="1" x14ac:dyDescent="0.3">
      <c r="A33" s="7">
        <v>1992</v>
      </c>
      <c r="B33" s="8">
        <v>7.0099999999999996E-2</v>
      </c>
      <c r="C33" s="8">
        <v>6.7799999999999999E-2</v>
      </c>
      <c r="D33" s="8">
        <v>7.7100000000000002E-2</v>
      </c>
      <c r="E33" s="8">
        <v>6.2300000000000001E-2</v>
      </c>
      <c r="F33" s="8">
        <v>6.7000000000000004E-2</v>
      </c>
      <c r="G33" s="10">
        <v>-1.5E-3</v>
      </c>
      <c r="I33" s="19">
        <v>33969</v>
      </c>
      <c r="J33" s="20">
        <v>4.46</v>
      </c>
    </row>
    <row r="34" spans="1:10" ht="15.75" thickBot="1" x14ac:dyDescent="0.3">
      <c r="A34" s="7">
        <v>1991</v>
      </c>
      <c r="B34" s="8">
        <v>7.8600000000000003E-2</v>
      </c>
      <c r="C34" s="8">
        <v>7.9699999999999993E-2</v>
      </c>
      <c r="D34" s="8">
        <v>8.3599999999999994E-2</v>
      </c>
      <c r="E34" s="8">
        <v>6.7100000000000007E-2</v>
      </c>
      <c r="F34" s="8">
        <v>6.7100000000000007E-2</v>
      </c>
      <c r="G34" s="10">
        <v>-0.1696</v>
      </c>
      <c r="I34" s="19">
        <v>34334</v>
      </c>
      <c r="J34" s="20">
        <v>7.06</v>
      </c>
    </row>
    <row r="35" spans="1:10" ht="15.75" thickBot="1" x14ac:dyDescent="0.3">
      <c r="A35" s="7">
        <v>1990</v>
      </c>
      <c r="B35" s="8">
        <v>8.5500000000000007E-2</v>
      </c>
      <c r="C35" s="8">
        <v>7.9399999999999998E-2</v>
      </c>
      <c r="D35" s="8">
        <v>9.0899999999999995E-2</v>
      </c>
      <c r="E35" s="8">
        <v>7.9100000000000004E-2</v>
      </c>
      <c r="F35" s="8">
        <v>8.0799999999999997E-2</v>
      </c>
      <c r="G35" s="9">
        <v>1.89E-2</v>
      </c>
      <c r="I35" s="19">
        <v>34698</v>
      </c>
      <c r="J35" s="20">
        <v>-1.54</v>
      </c>
    </row>
    <row r="36" spans="1:10" ht="15.75" thickBot="1" x14ac:dyDescent="0.3">
      <c r="A36" s="7">
        <v>1989</v>
      </c>
      <c r="B36" s="8">
        <v>8.4900000000000003E-2</v>
      </c>
      <c r="C36" s="8">
        <v>9.2299999999999993E-2</v>
      </c>
      <c r="D36" s="8">
        <v>9.5299999999999996E-2</v>
      </c>
      <c r="E36" s="8">
        <v>7.7399999999999997E-2</v>
      </c>
      <c r="F36" s="8">
        <v>7.9299999999999995E-2</v>
      </c>
      <c r="G36" s="10">
        <v>-0.13239999999999999</v>
      </c>
      <c r="I36" s="19">
        <v>35062</v>
      </c>
      <c r="J36" s="20">
        <v>34.11</v>
      </c>
    </row>
    <row r="37" spans="1:10" ht="15.75" thickBot="1" x14ac:dyDescent="0.3">
      <c r="A37" s="7">
        <v>1988</v>
      </c>
      <c r="B37" s="8">
        <v>8.8499999999999995E-2</v>
      </c>
      <c r="C37" s="8">
        <v>8.8300000000000003E-2</v>
      </c>
      <c r="D37" s="8">
        <v>9.4100000000000003E-2</v>
      </c>
      <c r="E37" s="8">
        <v>8.1100000000000005E-2</v>
      </c>
      <c r="F37" s="8">
        <v>9.1399999999999995E-2</v>
      </c>
      <c r="G37" s="9">
        <v>3.5099999999999999E-2</v>
      </c>
      <c r="I37" s="19">
        <v>35430</v>
      </c>
      <c r="J37" s="20">
        <v>20.260000000000002</v>
      </c>
    </row>
    <row r="38" spans="1:10" ht="15.75" thickBot="1" x14ac:dyDescent="0.3">
      <c r="A38" s="7">
        <v>1987</v>
      </c>
      <c r="B38" s="8">
        <v>8.3900000000000002E-2</v>
      </c>
      <c r="C38" s="8">
        <v>7.1800000000000003E-2</v>
      </c>
      <c r="D38" s="8">
        <v>0.1023</v>
      </c>
      <c r="E38" s="8">
        <v>7.0099999999999996E-2</v>
      </c>
      <c r="F38" s="8">
        <v>8.8300000000000003E-2</v>
      </c>
      <c r="G38" s="9">
        <v>0.2213</v>
      </c>
      <c r="I38" s="19">
        <v>35795</v>
      </c>
      <c r="J38" s="20">
        <v>31.01</v>
      </c>
    </row>
    <row r="39" spans="1:10" ht="15.75" thickBot="1" x14ac:dyDescent="0.3">
      <c r="A39" s="7">
        <v>1986</v>
      </c>
      <c r="B39" s="8">
        <v>7.6700000000000004E-2</v>
      </c>
      <c r="C39" s="8">
        <v>9.0399999999999994E-2</v>
      </c>
      <c r="D39" s="8">
        <v>9.4899999999999998E-2</v>
      </c>
      <c r="E39" s="8">
        <v>6.9500000000000006E-2</v>
      </c>
      <c r="F39" s="8">
        <v>7.2300000000000003E-2</v>
      </c>
      <c r="G39" s="10">
        <v>-0.19670000000000001</v>
      </c>
      <c r="I39" s="19">
        <v>36160</v>
      </c>
      <c r="J39" s="20">
        <v>26.67</v>
      </c>
    </row>
    <row r="40" spans="1:10" ht="15.75" thickBot="1" x14ac:dyDescent="0.3">
      <c r="A40" s="7">
        <v>1985</v>
      </c>
      <c r="B40" s="8">
        <v>0.1062</v>
      </c>
      <c r="C40" s="8">
        <v>0.11700000000000001</v>
      </c>
      <c r="D40" s="8">
        <v>0.1202</v>
      </c>
      <c r="E40" s="8">
        <v>8.9899999999999994E-2</v>
      </c>
      <c r="F40" s="8">
        <v>0.09</v>
      </c>
      <c r="G40" s="10">
        <v>-0.2208</v>
      </c>
      <c r="I40" s="19">
        <v>36525</v>
      </c>
      <c r="J40" s="20">
        <v>19.53</v>
      </c>
    </row>
    <row r="41" spans="1:10" ht="15.75" thickBot="1" x14ac:dyDescent="0.3">
      <c r="A41" s="7">
        <v>1984</v>
      </c>
      <c r="B41" s="8">
        <v>0.1246</v>
      </c>
      <c r="C41" s="8">
        <v>0.1186</v>
      </c>
      <c r="D41" s="8">
        <v>0.1399</v>
      </c>
      <c r="E41" s="8">
        <v>0.1124</v>
      </c>
      <c r="F41" s="8">
        <v>0.11550000000000001</v>
      </c>
      <c r="G41" s="10">
        <v>-2.2800000000000001E-2</v>
      </c>
      <c r="I41" s="19">
        <v>36889</v>
      </c>
      <c r="J41" s="20">
        <v>-10.14</v>
      </c>
    </row>
    <row r="42" spans="1:10" ht="15.75" thickBot="1" x14ac:dyDescent="0.3">
      <c r="A42" s="7">
        <v>1983</v>
      </c>
      <c r="B42" s="8">
        <v>0.111</v>
      </c>
      <c r="C42" s="8">
        <v>0.1032</v>
      </c>
      <c r="D42" s="8">
        <v>0.122</v>
      </c>
      <c r="E42" s="8">
        <v>0.1012</v>
      </c>
      <c r="F42" s="8">
        <v>0.1182</v>
      </c>
      <c r="G42" s="9">
        <v>0.1409</v>
      </c>
      <c r="I42" s="19">
        <v>37256</v>
      </c>
      <c r="J42" s="20">
        <v>-13.04</v>
      </c>
    </row>
    <row r="43" spans="1:10" ht="15.75" thickBot="1" x14ac:dyDescent="0.3">
      <c r="A43" s="7">
        <v>1982</v>
      </c>
      <c r="B43" s="8">
        <v>0.13009999999999999</v>
      </c>
      <c r="C43" s="8">
        <v>0.1419</v>
      </c>
      <c r="D43" s="8">
        <v>0.14949999999999999</v>
      </c>
      <c r="E43" s="8">
        <v>0.1036</v>
      </c>
      <c r="F43" s="8">
        <v>0.1036</v>
      </c>
      <c r="G43" s="10">
        <v>-0.25890000000000002</v>
      </c>
      <c r="I43" s="19">
        <v>37621</v>
      </c>
      <c r="J43" s="20">
        <v>-23.37</v>
      </c>
    </row>
    <row r="44" spans="1:10" ht="15.75" thickBot="1" x14ac:dyDescent="0.3">
      <c r="A44" s="7">
        <v>1981</v>
      </c>
      <c r="B44" s="8">
        <v>0.13919999999999999</v>
      </c>
      <c r="C44" s="8">
        <v>0.1242</v>
      </c>
      <c r="D44" s="8">
        <v>0.15840000000000001</v>
      </c>
      <c r="E44" s="8">
        <v>0.1211</v>
      </c>
      <c r="F44" s="8">
        <v>0.13980000000000001</v>
      </c>
      <c r="G44" s="9">
        <v>0.12470000000000001</v>
      </c>
      <c r="I44" s="19">
        <v>37986</v>
      </c>
      <c r="J44" s="20">
        <v>26.38</v>
      </c>
    </row>
    <row r="45" spans="1:10" ht="15.75" thickBot="1" x14ac:dyDescent="0.3">
      <c r="A45" s="7">
        <v>1980</v>
      </c>
      <c r="B45" s="8">
        <v>0.1143</v>
      </c>
      <c r="C45" s="8">
        <v>0.105</v>
      </c>
      <c r="D45" s="8">
        <v>0.13650000000000001</v>
      </c>
      <c r="E45" s="8">
        <v>9.4700000000000006E-2</v>
      </c>
      <c r="F45" s="8">
        <v>0.12429999999999999</v>
      </c>
      <c r="G45" s="9">
        <v>0.20330000000000001</v>
      </c>
      <c r="I45" s="19">
        <v>38352</v>
      </c>
      <c r="J45" s="20">
        <v>8.99</v>
      </c>
    </row>
    <row r="46" spans="1:10" ht="15.75" thickBot="1" x14ac:dyDescent="0.3">
      <c r="A46" s="7">
        <v>1979</v>
      </c>
      <c r="B46" s="8">
        <v>9.4299999999999995E-2</v>
      </c>
      <c r="C46" s="8">
        <v>9.1800000000000007E-2</v>
      </c>
      <c r="D46" s="8">
        <v>0.11020000000000001</v>
      </c>
      <c r="E46" s="8">
        <v>8.7599999999999997E-2</v>
      </c>
      <c r="F46" s="8">
        <v>0.1033</v>
      </c>
      <c r="G46" s="9">
        <v>0.129</v>
      </c>
      <c r="I46" s="19">
        <v>38716</v>
      </c>
      <c r="J46" s="20">
        <v>3</v>
      </c>
    </row>
    <row r="47" spans="1:10" ht="15.75" thickBot="1" x14ac:dyDescent="0.3">
      <c r="A47" s="7">
        <v>1978</v>
      </c>
      <c r="B47" s="8">
        <v>8.4099999999999994E-2</v>
      </c>
      <c r="C47" s="8">
        <v>7.8299999999999995E-2</v>
      </c>
      <c r="D47" s="8">
        <v>9.1600000000000001E-2</v>
      </c>
      <c r="E47" s="8">
        <v>7.8200000000000006E-2</v>
      </c>
      <c r="F47" s="8">
        <v>9.1499999999999998E-2</v>
      </c>
      <c r="G47" s="9">
        <v>0.17610000000000001</v>
      </c>
      <c r="I47" s="19">
        <v>39080</v>
      </c>
      <c r="J47" s="20">
        <v>13.62</v>
      </c>
    </row>
    <row r="48" spans="1:10" ht="15.75" thickBot="1" x14ac:dyDescent="0.3">
      <c r="A48" s="7">
        <v>1977</v>
      </c>
      <c r="B48" s="8">
        <v>7.4200000000000002E-2</v>
      </c>
      <c r="C48" s="8">
        <v>6.8400000000000002E-2</v>
      </c>
      <c r="D48" s="8">
        <v>7.8200000000000006E-2</v>
      </c>
      <c r="E48" s="8">
        <v>6.8400000000000002E-2</v>
      </c>
      <c r="F48" s="8">
        <v>7.7799999999999994E-2</v>
      </c>
      <c r="G48" s="9">
        <v>0.1424</v>
      </c>
      <c r="I48" s="19">
        <v>39447</v>
      </c>
      <c r="J48" s="20">
        <v>3.53</v>
      </c>
    </row>
    <row r="49" spans="1:14" ht="15.75" thickBot="1" x14ac:dyDescent="0.3">
      <c r="A49" s="7">
        <v>1976</v>
      </c>
      <c r="B49" s="8">
        <v>7.6100000000000001E-2</v>
      </c>
      <c r="C49" s="8">
        <v>7.7700000000000005E-2</v>
      </c>
      <c r="D49" s="8">
        <v>0.08</v>
      </c>
      <c r="E49" s="8">
        <v>6.8000000000000005E-2</v>
      </c>
      <c r="F49" s="8">
        <v>6.8099999999999994E-2</v>
      </c>
      <c r="G49" s="10">
        <v>-0.12239999999999999</v>
      </c>
      <c r="I49" s="19">
        <v>39813</v>
      </c>
      <c r="J49" s="20">
        <v>-38.49</v>
      </c>
    </row>
    <row r="50" spans="1:14" ht="15.75" thickBot="1" x14ac:dyDescent="0.3">
      <c r="A50" s="7">
        <v>1975</v>
      </c>
      <c r="B50" s="8">
        <v>7.9899999999999999E-2</v>
      </c>
      <c r="C50" s="8">
        <v>7.4200000000000002E-2</v>
      </c>
      <c r="D50" s="8">
        <v>8.5900000000000004E-2</v>
      </c>
      <c r="E50" s="8">
        <v>7.22E-2</v>
      </c>
      <c r="F50" s="8">
        <v>7.7600000000000002E-2</v>
      </c>
      <c r="G50" s="9">
        <v>4.8599999999999997E-2</v>
      </c>
      <c r="I50" s="19">
        <v>40178</v>
      </c>
      <c r="J50" s="20">
        <v>23.45</v>
      </c>
    </row>
    <row r="51" spans="1:14" ht="15.75" thickBot="1" x14ac:dyDescent="0.3">
      <c r="A51" s="7">
        <v>1974</v>
      </c>
      <c r="B51" s="8">
        <v>7.5600000000000001E-2</v>
      </c>
      <c r="C51" s="8">
        <v>6.9400000000000003E-2</v>
      </c>
      <c r="D51" s="8">
        <v>8.1600000000000006E-2</v>
      </c>
      <c r="E51" s="8">
        <v>6.93E-2</v>
      </c>
      <c r="F51" s="8">
        <v>7.3999999999999996E-2</v>
      </c>
      <c r="G51" s="9">
        <v>7.2499999999999995E-2</v>
      </c>
      <c r="I51" s="19">
        <v>40543</v>
      </c>
      <c r="J51" s="20">
        <v>12.78</v>
      </c>
    </row>
    <row r="52" spans="1:14" ht="15.75" thickBot="1" x14ac:dyDescent="0.3">
      <c r="A52" s="7">
        <v>1973</v>
      </c>
      <c r="B52" s="8">
        <v>6.8500000000000005E-2</v>
      </c>
      <c r="C52" s="8">
        <v>6.4299999999999996E-2</v>
      </c>
      <c r="D52" s="8">
        <v>7.5800000000000006E-2</v>
      </c>
      <c r="E52" s="8">
        <v>6.4000000000000001E-2</v>
      </c>
      <c r="F52" s="8">
        <v>6.9000000000000006E-2</v>
      </c>
      <c r="G52" s="9">
        <v>7.6399999999999996E-2</v>
      </c>
      <c r="I52" s="19">
        <v>40907</v>
      </c>
      <c r="J52" s="20">
        <v>0</v>
      </c>
    </row>
    <row r="53" spans="1:14" ht="15.75" thickBot="1" x14ac:dyDescent="0.3">
      <c r="A53" s="7">
        <v>1972</v>
      </c>
      <c r="B53" s="8">
        <v>6.2100000000000002E-2</v>
      </c>
      <c r="C53" s="8">
        <v>5.9400000000000001E-2</v>
      </c>
      <c r="D53" s="8">
        <v>6.6199999999999995E-2</v>
      </c>
      <c r="E53" s="8">
        <v>5.8500000000000003E-2</v>
      </c>
      <c r="F53" s="8">
        <v>6.4100000000000004E-2</v>
      </c>
      <c r="G53" s="9">
        <v>8.8300000000000003E-2</v>
      </c>
      <c r="I53" s="19">
        <v>41274</v>
      </c>
      <c r="J53" s="20">
        <v>13.41</v>
      </c>
    </row>
    <row r="54" spans="1:14" ht="15.75" thickBot="1" x14ac:dyDescent="0.3">
      <c r="A54" s="7">
        <v>1971</v>
      </c>
      <c r="B54" s="8">
        <v>6.1600000000000002E-2</v>
      </c>
      <c r="C54" s="8">
        <v>6.4600000000000005E-2</v>
      </c>
      <c r="D54" s="8">
        <v>6.9500000000000006E-2</v>
      </c>
      <c r="E54" s="8">
        <v>5.3800000000000001E-2</v>
      </c>
      <c r="F54" s="8">
        <v>5.8900000000000001E-2</v>
      </c>
      <c r="G54" s="10">
        <v>-9.3799999999999994E-2</v>
      </c>
      <c r="I54" s="19">
        <v>41639</v>
      </c>
      <c r="J54" s="20">
        <v>29.6</v>
      </c>
    </row>
    <row r="55" spans="1:14" ht="15.75" thickBot="1" x14ac:dyDescent="0.3">
      <c r="A55" s="7">
        <v>1970</v>
      </c>
      <c r="B55" s="8">
        <v>7.3499999999999996E-2</v>
      </c>
      <c r="C55" s="8">
        <v>7.8600000000000003E-2</v>
      </c>
      <c r="D55" s="8">
        <v>8.2199999999999995E-2</v>
      </c>
      <c r="E55" s="8">
        <v>6.2100000000000002E-2</v>
      </c>
      <c r="F55" s="8">
        <v>6.5000000000000002E-2</v>
      </c>
      <c r="G55" s="10">
        <v>-0.17510000000000001</v>
      </c>
      <c r="I55" s="19">
        <v>42004</v>
      </c>
      <c r="J55" s="20">
        <v>11.39</v>
      </c>
    </row>
    <row r="56" spans="1:14" ht="15.75" thickBot="1" x14ac:dyDescent="0.3">
      <c r="A56" s="7">
        <v>1969</v>
      </c>
      <c r="B56" s="8">
        <v>6.6699999999999995E-2</v>
      </c>
      <c r="C56" s="8">
        <v>6.0400000000000002E-2</v>
      </c>
      <c r="D56" s="8">
        <v>8.0500000000000002E-2</v>
      </c>
      <c r="E56" s="8">
        <v>5.9499999999999997E-2</v>
      </c>
      <c r="F56" s="8">
        <v>7.8799999999999995E-2</v>
      </c>
      <c r="G56" s="9">
        <v>0.2792</v>
      </c>
      <c r="I56" s="19">
        <v>42369</v>
      </c>
      <c r="J56" s="20">
        <v>-0.73</v>
      </c>
    </row>
    <row r="57" spans="1:14" ht="15.75" thickBot="1" x14ac:dyDescent="0.3">
      <c r="A57" s="7">
        <v>1968</v>
      </c>
      <c r="B57" s="8">
        <v>5.6399999999999999E-2</v>
      </c>
      <c r="C57" s="8">
        <v>5.6300000000000003E-2</v>
      </c>
      <c r="D57" s="8">
        <v>6.2700000000000006E-2</v>
      </c>
      <c r="E57" s="8">
        <v>5.3400000000000003E-2</v>
      </c>
      <c r="F57" s="8">
        <v>6.1600000000000002E-2</v>
      </c>
      <c r="G57" s="9">
        <v>8.0699999999999994E-2</v>
      </c>
      <c r="I57" s="19">
        <v>42734</v>
      </c>
      <c r="J57" s="20">
        <v>9.5399999999999991</v>
      </c>
    </row>
    <row r="58" spans="1:14" ht="15.75" thickBot="1" x14ac:dyDescent="0.3">
      <c r="A58" s="7">
        <v>1967</v>
      </c>
      <c r="B58" s="8">
        <v>5.0700000000000002E-2</v>
      </c>
      <c r="C58" s="8">
        <v>4.6899999999999997E-2</v>
      </c>
      <c r="D58" s="8">
        <v>5.8700000000000002E-2</v>
      </c>
      <c r="E58" s="8">
        <v>4.4499999999999998E-2</v>
      </c>
      <c r="F58" s="8">
        <v>5.7000000000000002E-2</v>
      </c>
      <c r="G58" s="9">
        <v>0.22839999999999999</v>
      </c>
      <c r="I58" s="19">
        <v>43098</v>
      </c>
      <c r="J58" s="20">
        <v>19.420000000000002</v>
      </c>
    </row>
    <row r="59" spans="1:14" ht="15.75" thickBot="1" x14ac:dyDescent="0.3">
      <c r="A59" s="7">
        <v>1966</v>
      </c>
      <c r="B59" s="8">
        <v>4.9299999999999997E-2</v>
      </c>
      <c r="C59" s="8">
        <v>4.6300000000000001E-2</v>
      </c>
      <c r="D59" s="8">
        <v>5.5100000000000003E-2</v>
      </c>
      <c r="E59" s="8">
        <v>4.5600000000000002E-2</v>
      </c>
      <c r="F59" s="8">
        <v>4.6399999999999997E-2</v>
      </c>
      <c r="G59" s="10">
        <v>-2.2000000000000001E-3</v>
      </c>
      <c r="I59" s="19">
        <v>43465</v>
      </c>
      <c r="J59" s="20">
        <v>-6.24</v>
      </c>
    </row>
    <row r="60" spans="1:14" ht="15.75" thickBot="1" x14ac:dyDescent="0.3">
      <c r="A60" s="7">
        <v>1965</v>
      </c>
      <c r="B60" s="8">
        <v>4.2799999999999998E-2</v>
      </c>
      <c r="C60" s="8">
        <v>4.2000000000000003E-2</v>
      </c>
      <c r="D60" s="8">
        <v>4.6699999999999998E-2</v>
      </c>
      <c r="E60" s="8">
        <v>4.1700000000000001E-2</v>
      </c>
      <c r="F60" s="8">
        <v>4.65E-2</v>
      </c>
      <c r="G60" s="9">
        <v>0.1045</v>
      </c>
      <c r="I60" s="19">
        <v>43830</v>
      </c>
      <c r="J60" s="20">
        <v>28.88</v>
      </c>
    </row>
    <row r="61" spans="1:14" ht="15.75" thickBot="1" x14ac:dyDescent="0.3">
      <c r="A61" s="7">
        <v>1964</v>
      </c>
      <c r="B61" s="8">
        <v>4.19E-2</v>
      </c>
      <c r="C61" s="8">
        <v>4.1399999999999999E-2</v>
      </c>
      <c r="D61" s="8">
        <v>4.2599999999999999E-2</v>
      </c>
      <c r="E61" s="8">
        <v>4.1200000000000001E-2</v>
      </c>
      <c r="F61" s="8">
        <v>4.2099999999999999E-2</v>
      </c>
      <c r="G61" s="9">
        <v>1.6899999999999998E-2</v>
      </c>
      <c r="I61" s="19">
        <v>44196</v>
      </c>
      <c r="J61" s="20">
        <v>16.260000000000002</v>
      </c>
    </row>
    <row r="62" spans="1:14" ht="15.75" thickBot="1" x14ac:dyDescent="0.3">
      <c r="A62" s="7">
        <v>1963</v>
      </c>
      <c r="B62" s="8">
        <v>0.04</v>
      </c>
      <c r="C62" s="8">
        <v>3.8199999999999998E-2</v>
      </c>
      <c r="D62" s="8">
        <v>4.1700000000000001E-2</v>
      </c>
      <c r="E62" s="8">
        <v>3.7999999999999999E-2</v>
      </c>
      <c r="F62" s="8">
        <v>4.1399999999999999E-2</v>
      </c>
      <c r="G62" s="9">
        <v>7.5300000000000006E-2</v>
      </c>
      <c r="I62" s="19">
        <v>44561</v>
      </c>
      <c r="J62" s="20">
        <v>26.89</v>
      </c>
    </row>
    <row r="63" spans="1:14" x14ac:dyDescent="0.25">
      <c r="A63" s="12" t="s">
        <v>205</v>
      </c>
      <c r="B63" s="11">
        <f>AVERAGE(B4:B62)</f>
        <v>5.988644067796612E-2</v>
      </c>
      <c r="C63" s="8"/>
      <c r="D63" s="8"/>
      <c r="E63" s="8"/>
      <c r="F63" s="8"/>
      <c r="G63" s="9"/>
      <c r="I63" s="12" t="s">
        <v>205</v>
      </c>
      <c r="J63" s="17">
        <f>AVERAGE(J4:J62)</f>
        <v>8.8942372881355922</v>
      </c>
      <c r="K63" s="7"/>
      <c r="L63" s="7"/>
      <c r="M63" s="9"/>
      <c r="N63" s="11">
        <f>AVERAGE(J4:J62)</f>
        <v>8.8942372881355922</v>
      </c>
    </row>
    <row r="65" spans="1:1" x14ac:dyDescent="0.25">
      <c r="A65" s="2" t="s">
        <v>196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Análisis financiero</vt:lpstr>
      <vt:lpstr>Hoja1</vt:lpstr>
      <vt:lpstr>'Análisis financiero'!FC_0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Bernal Villarreal</dc:creator>
  <cp:lastModifiedBy>Alejandra Bernal Villarreal</cp:lastModifiedBy>
  <cp:lastPrinted>2021-12-27T20:48:43Z</cp:lastPrinted>
  <dcterms:created xsi:type="dcterms:W3CDTF">2021-12-14T18:52:59Z</dcterms:created>
  <dcterms:modified xsi:type="dcterms:W3CDTF">2022-01-13T21:38:44Z</dcterms:modified>
</cp:coreProperties>
</file>