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 Villa\Documents\Sebastian\"/>
    </mc:Choice>
  </mc:AlternateContent>
  <xr:revisionPtr revIDLastSave="0" documentId="13_ncr:1_{A283C692-DB30-4861-945E-AAC450891261}" xr6:coauthVersionLast="47" xr6:coauthVersionMax="47" xr10:uidLastSave="{00000000-0000-0000-0000-000000000000}"/>
  <bookViews>
    <workbookView xWindow="-108" yWindow="-108" windowWidth="23256" windowHeight="12456" xr2:uid="{7A05CC10-4310-4A93-AACB-33CF5B829672}"/>
  </bookViews>
  <sheets>
    <sheet name="EEFF1" sheetId="1" r:id="rId1"/>
  </sheets>
  <externalReferences>
    <externalReference r:id="rId2"/>
  </externalReferences>
  <definedNames>
    <definedName name="Capital">[1]CCPP!$C$22</definedName>
    <definedName name="Deuda">[1]CCPP!$C$23</definedName>
    <definedName name="Escenario">'[1]Ppto - Caso'!$B$58</definedName>
    <definedName name="Etapas">[1]FCL!#REF!</definedName>
    <definedName name="M">[1]Datos!$C$6</definedName>
    <definedName name="Mo">[1]Datos!$C$5</definedName>
    <definedName name="TipoDeuda">[1]Inversiones!$G$139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0" i="1" l="1"/>
  <c r="H151" i="1"/>
  <c r="F107" i="1"/>
  <c r="M123" i="1"/>
  <c r="M122" i="1"/>
  <c r="M121" i="1"/>
  <c r="M120" i="1"/>
  <c r="M119" i="1"/>
  <c r="M109" i="1"/>
  <c r="M110" i="1"/>
  <c r="M111" i="1"/>
  <c r="M112" i="1"/>
  <c r="M108" i="1"/>
  <c r="E130" i="1"/>
  <c r="F130" i="1" s="1"/>
  <c r="G130" i="1" s="1"/>
  <c r="H130" i="1" s="1"/>
  <c r="I130" i="1" s="1"/>
  <c r="I58" i="1" s="1"/>
  <c r="D130" i="1"/>
  <c r="C130" i="1"/>
  <c r="B130" i="1"/>
  <c r="A130" i="1"/>
  <c r="E123" i="1"/>
  <c r="D123" i="1"/>
  <c r="C123" i="1"/>
  <c r="B123" i="1"/>
  <c r="A122" i="1"/>
  <c r="A121" i="1"/>
  <c r="A120" i="1"/>
  <c r="A119" i="1"/>
  <c r="A118" i="1"/>
  <c r="E113" i="1"/>
  <c r="D113" i="1"/>
  <c r="C113" i="1"/>
  <c r="B113" i="1"/>
  <c r="F111" i="1"/>
  <c r="F110" i="1"/>
  <c r="G110" i="1" s="1"/>
  <c r="F109" i="1"/>
  <c r="F108" i="1"/>
  <c r="G108" i="1" s="1"/>
  <c r="E103" i="1"/>
  <c r="D103" i="1"/>
  <c r="C103" i="1"/>
  <c r="B103" i="1"/>
  <c r="D102" i="1"/>
  <c r="C102" i="1"/>
  <c r="B102" i="1"/>
  <c r="I100" i="1"/>
  <c r="H100" i="1"/>
  <c r="G100" i="1"/>
  <c r="F100" i="1"/>
  <c r="E100" i="1"/>
  <c r="E98" i="1" s="1"/>
  <c r="D100" i="1"/>
  <c r="D98" i="1" s="1"/>
  <c r="C100" i="1"/>
  <c r="C98" i="1" s="1"/>
  <c r="B100" i="1"/>
  <c r="B98" i="1" s="1"/>
  <c r="E97" i="1"/>
  <c r="D97" i="1"/>
  <c r="C97" i="1"/>
  <c r="B97" i="1"/>
  <c r="D88" i="1"/>
  <c r="C88" i="1"/>
  <c r="B88" i="1"/>
  <c r="F87" i="1"/>
  <c r="G87" i="1" s="1"/>
  <c r="H87" i="1" s="1"/>
  <c r="I87" i="1" s="1"/>
  <c r="F85" i="1"/>
  <c r="I83" i="1"/>
  <c r="H83" i="1"/>
  <c r="G83" i="1"/>
  <c r="F83" i="1"/>
  <c r="E83" i="1"/>
  <c r="E88" i="1" s="1"/>
  <c r="I150" i="1"/>
  <c r="G150" i="1"/>
  <c r="F150" i="1"/>
  <c r="F82" i="1"/>
  <c r="G82" i="1" s="1"/>
  <c r="H82" i="1" s="1"/>
  <c r="I82" i="1" s="1"/>
  <c r="E78" i="1"/>
  <c r="D78" i="1"/>
  <c r="C78" i="1"/>
  <c r="B78" i="1"/>
  <c r="E74" i="1"/>
  <c r="D74" i="1"/>
  <c r="C74" i="1"/>
  <c r="B74" i="1"/>
  <c r="B144" i="1"/>
  <c r="I151" i="1" s="1"/>
  <c r="F68" i="1"/>
  <c r="G68" i="1" s="1"/>
  <c r="H68" i="1" s="1"/>
  <c r="I68" i="1" s="1"/>
  <c r="F66" i="1"/>
  <c r="G66" i="1" s="1"/>
  <c r="I134" i="1"/>
  <c r="H134" i="1"/>
  <c r="G134" i="1"/>
  <c r="F134" i="1"/>
  <c r="B138" i="1"/>
  <c r="D59" i="1"/>
  <c r="D61" i="1" s="1"/>
  <c r="C59" i="1"/>
  <c r="C61" i="1" s="1"/>
  <c r="B59" i="1"/>
  <c r="B61" i="1" s="1"/>
  <c r="E55" i="1"/>
  <c r="E102" i="1" s="1"/>
  <c r="E104" i="1" s="1"/>
  <c r="E96" i="1" s="1"/>
  <c r="I53" i="1"/>
  <c r="H53" i="1"/>
  <c r="G53" i="1"/>
  <c r="F53" i="1"/>
  <c r="E53" i="1"/>
  <c r="D53" i="1"/>
  <c r="C53" i="1"/>
  <c r="B53" i="1"/>
  <c r="A45" i="1"/>
  <c r="I44" i="1"/>
  <c r="I94" i="1" s="1"/>
  <c r="I106" i="1" s="1"/>
  <c r="I117" i="1" s="1"/>
  <c r="H44" i="1"/>
  <c r="H94" i="1" s="1"/>
  <c r="H106" i="1" s="1"/>
  <c r="H117" i="1" s="1"/>
  <c r="G44" i="1"/>
  <c r="G94" i="1" s="1"/>
  <c r="G106" i="1" s="1"/>
  <c r="G117" i="1" s="1"/>
  <c r="F44" i="1"/>
  <c r="F94" i="1" s="1"/>
  <c r="F106" i="1" s="1"/>
  <c r="F117" i="1" s="1"/>
  <c r="E44" i="1"/>
  <c r="E94" i="1" s="1"/>
  <c r="E106" i="1" s="1"/>
  <c r="E117" i="1" s="1"/>
  <c r="D44" i="1"/>
  <c r="D94" i="1" s="1"/>
  <c r="D106" i="1" s="1"/>
  <c r="D117" i="1" s="1"/>
  <c r="C44" i="1"/>
  <c r="C94" i="1" s="1"/>
  <c r="C106" i="1" s="1"/>
  <c r="C117" i="1" s="1"/>
  <c r="B44" i="1"/>
  <c r="B94" i="1" s="1"/>
  <c r="B106" i="1" s="1"/>
  <c r="B117" i="1" s="1"/>
  <c r="F42" i="1"/>
  <c r="G42" i="1" s="1"/>
  <c r="E38" i="1"/>
  <c r="D38" i="1"/>
  <c r="C38" i="1"/>
  <c r="B38" i="1"/>
  <c r="F36" i="1"/>
  <c r="G36" i="1" s="1"/>
  <c r="H36" i="1" s="1"/>
  <c r="F35" i="1"/>
  <c r="E34" i="1"/>
  <c r="D34" i="1"/>
  <c r="C34" i="1"/>
  <c r="B34" i="1"/>
  <c r="F20" i="1"/>
  <c r="G20" i="1" s="1"/>
  <c r="H20" i="1" s="1"/>
  <c r="I20" i="1" s="1"/>
  <c r="F19" i="1"/>
  <c r="G19" i="1" s="1"/>
  <c r="H19" i="1" s="1"/>
  <c r="I19" i="1" s="1"/>
  <c r="E18" i="1"/>
  <c r="E23" i="1" s="1"/>
  <c r="D18" i="1"/>
  <c r="D23" i="1" s="1"/>
  <c r="C18" i="1"/>
  <c r="C23" i="1" s="1"/>
  <c r="B18" i="1"/>
  <c r="B23" i="1" s="1"/>
  <c r="A15" i="1"/>
  <c r="I8" i="1"/>
  <c r="H8" i="1"/>
  <c r="G8" i="1"/>
  <c r="F8" i="1"/>
  <c r="E8" i="1"/>
  <c r="D8" i="1"/>
  <c r="C8" i="1"/>
  <c r="B8" i="1"/>
  <c r="E6" i="1"/>
  <c r="D6" i="1"/>
  <c r="C6" i="1"/>
  <c r="E5" i="1"/>
  <c r="D5" i="1"/>
  <c r="C5" i="1"/>
  <c r="B5" i="1"/>
  <c r="F4" i="1"/>
  <c r="G4" i="1" s="1"/>
  <c r="H4" i="1" s="1"/>
  <c r="I4" i="1" s="1"/>
  <c r="D104" i="1" l="1"/>
  <c r="D96" i="1" s="1"/>
  <c r="B115" i="1"/>
  <c r="B80" i="1"/>
  <c r="B90" i="1" s="1"/>
  <c r="C63" i="1"/>
  <c r="C104" i="1"/>
  <c r="C96" i="1" s="1"/>
  <c r="I25" i="1"/>
  <c r="D80" i="1"/>
  <c r="D90" i="1" s="1"/>
  <c r="E80" i="1"/>
  <c r="E90" i="1" s="1"/>
  <c r="E92" i="1" s="1"/>
  <c r="D125" i="1"/>
  <c r="D63" i="1"/>
  <c r="D92" i="1" s="1"/>
  <c r="B104" i="1"/>
  <c r="B96" i="1" s="1"/>
  <c r="B31" i="1" s="1"/>
  <c r="E125" i="1"/>
  <c r="F58" i="1"/>
  <c r="E59" i="1"/>
  <c r="E61" i="1" s="1"/>
  <c r="E63" i="1" s="1"/>
  <c r="H58" i="1"/>
  <c r="G58" i="1"/>
  <c r="C125" i="1"/>
  <c r="G25" i="1"/>
  <c r="F149" i="1"/>
  <c r="F25" i="1" s="1"/>
  <c r="G149" i="1"/>
  <c r="H149" i="1"/>
  <c r="I149" i="1"/>
  <c r="I76" i="1" s="1"/>
  <c r="F118" i="1"/>
  <c r="F122" i="1"/>
  <c r="F5" i="1"/>
  <c r="F40" i="1" s="1"/>
  <c r="F119" i="1"/>
  <c r="G119" i="1" s="1"/>
  <c r="C115" i="1"/>
  <c r="D115" i="1"/>
  <c r="F120" i="1"/>
  <c r="F34" i="1"/>
  <c r="F17" i="1" s="1"/>
  <c r="F113" i="1"/>
  <c r="F55" i="1" s="1"/>
  <c r="G111" i="1"/>
  <c r="H111" i="1" s="1"/>
  <c r="I111" i="1" s="1"/>
  <c r="B125" i="1"/>
  <c r="H25" i="1"/>
  <c r="B63" i="1"/>
  <c r="B92" i="1" s="1"/>
  <c r="C80" i="1"/>
  <c r="C90" i="1" s="1"/>
  <c r="C92" i="1" s="1"/>
  <c r="F121" i="1"/>
  <c r="G121" i="1" s="1"/>
  <c r="I36" i="1"/>
  <c r="I40" i="1" s="1"/>
  <c r="H40" i="1"/>
  <c r="E31" i="1"/>
  <c r="E26" i="1"/>
  <c r="B26" i="1"/>
  <c r="H108" i="1"/>
  <c r="C31" i="1"/>
  <c r="C26" i="1"/>
  <c r="D31" i="1"/>
  <c r="D26" i="1"/>
  <c r="H110" i="1"/>
  <c r="E115" i="1"/>
  <c r="G74" i="1"/>
  <c r="H66" i="1"/>
  <c r="F151" i="1"/>
  <c r="G40" i="1"/>
  <c r="H42" i="1"/>
  <c r="G151" i="1"/>
  <c r="G107" i="1"/>
  <c r="F6" i="1"/>
  <c r="G109" i="1"/>
  <c r="F39" i="1"/>
  <c r="F74" i="1"/>
  <c r="F77" i="1"/>
  <c r="G77" i="1" s="1"/>
  <c r="H77" i="1" s="1"/>
  <c r="G35" i="1"/>
  <c r="F76" i="1" l="1"/>
  <c r="F78" i="1" s="1"/>
  <c r="F80" i="1" s="1"/>
  <c r="G76" i="1"/>
  <c r="G78" i="1" s="1"/>
  <c r="G80" i="1" s="1"/>
  <c r="H76" i="1"/>
  <c r="H78" i="1" s="1"/>
  <c r="F123" i="1"/>
  <c r="F56" i="1" s="1"/>
  <c r="F103" i="1" s="1"/>
  <c r="F125" i="1" s="1"/>
  <c r="G118" i="1"/>
  <c r="G122" i="1"/>
  <c r="H122" i="1" s="1"/>
  <c r="I122" i="1" s="1"/>
  <c r="F38" i="1"/>
  <c r="F16" i="1" s="1"/>
  <c r="F60" i="1" s="1"/>
  <c r="I110" i="1"/>
  <c r="I108" i="1"/>
  <c r="I42" i="1"/>
  <c r="I77" i="1" s="1"/>
  <c r="I78" i="1" s="1"/>
  <c r="F41" i="1"/>
  <c r="F24" i="1" s="1"/>
  <c r="G113" i="1"/>
  <c r="H107" i="1"/>
  <c r="H121" i="1"/>
  <c r="D29" i="1"/>
  <c r="D28" i="1"/>
  <c r="H74" i="1"/>
  <c r="I66" i="1"/>
  <c r="I74" i="1" s="1"/>
  <c r="B29" i="1"/>
  <c r="B28" i="1"/>
  <c r="F102" i="1"/>
  <c r="H109" i="1"/>
  <c r="G120" i="1"/>
  <c r="C29" i="1"/>
  <c r="C28" i="1"/>
  <c r="H35" i="1"/>
  <c r="G39" i="1"/>
  <c r="G38" i="1" s="1"/>
  <c r="G16" i="1" s="1"/>
  <c r="G34" i="1"/>
  <c r="G17" i="1" s="1"/>
  <c r="G6" i="1"/>
  <c r="H119" i="1"/>
  <c r="E29" i="1"/>
  <c r="E28" i="1"/>
  <c r="F18" i="1" l="1"/>
  <c r="F23" i="1" s="1"/>
  <c r="H118" i="1"/>
  <c r="I121" i="1"/>
  <c r="G123" i="1"/>
  <c r="G56" i="1" s="1"/>
  <c r="G103" i="1" s="1"/>
  <c r="G125" i="1" s="1"/>
  <c r="F59" i="1"/>
  <c r="I119" i="1"/>
  <c r="G18" i="1"/>
  <c r="G23" i="1" s="1"/>
  <c r="H120" i="1"/>
  <c r="H80" i="1"/>
  <c r="I35" i="1"/>
  <c r="H39" i="1"/>
  <c r="H38" i="1" s="1"/>
  <c r="H16" i="1" s="1"/>
  <c r="H34" i="1"/>
  <c r="H17" i="1" s="1"/>
  <c r="G60" i="1"/>
  <c r="G41" i="1"/>
  <c r="G24" i="1" s="1"/>
  <c r="F26" i="1"/>
  <c r="F104" i="1"/>
  <c r="F96" i="1" s="1"/>
  <c r="F31" i="1" s="1"/>
  <c r="F115" i="1"/>
  <c r="H113" i="1"/>
  <c r="I107" i="1"/>
  <c r="I109" i="1"/>
  <c r="I80" i="1"/>
  <c r="G55" i="1"/>
  <c r="H6" i="1"/>
  <c r="I6" i="1" s="1"/>
  <c r="H123" i="1" l="1"/>
  <c r="H56" i="1" s="1"/>
  <c r="H103" i="1" s="1"/>
  <c r="H125" i="1" s="1"/>
  <c r="F61" i="1"/>
  <c r="F63" i="1" s="1"/>
  <c r="H18" i="1"/>
  <c r="H23" i="1" s="1"/>
  <c r="I120" i="1"/>
  <c r="G26" i="1"/>
  <c r="G27" i="1" s="1"/>
  <c r="G29" i="1" s="1"/>
  <c r="I113" i="1"/>
  <c r="G102" i="1"/>
  <c r="G59" i="1"/>
  <c r="G61" i="1" s="1"/>
  <c r="G63" i="1" s="1"/>
  <c r="I118" i="1"/>
  <c r="H60" i="1"/>
  <c r="H41" i="1"/>
  <c r="H24" i="1" s="1"/>
  <c r="H55" i="1"/>
  <c r="I39" i="1"/>
  <c r="I38" i="1" s="1"/>
  <c r="I16" i="1" s="1"/>
  <c r="I34" i="1"/>
  <c r="I17" i="1" s="1"/>
  <c r="F27" i="1"/>
  <c r="F29" i="1" s="1"/>
  <c r="H26" i="1" l="1"/>
  <c r="H27" i="1" s="1"/>
  <c r="H29" i="1" s="1"/>
  <c r="F86" i="1"/>
  <c r="G85" i="1" s="1"/>
  <c r="I123" i="1"/>
  <c r="I56" i="1" s="1"/>
  <c r="I103" i="1" s="1"/>
  <c r="I125" i="1" s="1"/>
  <c r="G86" i="1"/>
  <c r="I41" i="1"/>
  <c r="I24" i="1" s="1"/>
  <c r="I60" i="1"/>
  <c r="F28" i="1"/>
  <c r="I18" i="1"/>
  <c r="I23" i="1" s="1"/>
  <c r="I55" i="1"/>
  <c r="G104" i="1"/>
  <c r="G96" i="1" s="1"/>
  <c r="G31" i="1" s="1"/>
  <c r="G115" i="1"/>
  <c r="H102" i="1"/>
  <c r="H59" i="1"/>
  <c r="H61" i="1" s="1"/>
  <c r="H63" i="1" s="1"/>
  <c r="G28" i="1"/>
  <c r="F88" i="1" l="1"/>
  <c r="F90" i="1" s="1"/>
  <c r="F92" i="1" s="1"/>
  <c r="H86" i="1"/>
  <c r="I102" i="1"/>
  <c r="I59" i="1"/>
  <c r="I61" i="1" s="1"/>
  <c r="I63" i="1" s="1"/>
  <c r="H85" i="1"/>
  <c r="G88" i="1"/>
  <c r="G90" i="1" s="1"/>
  <c r="G92" i="1" s="1"/>
  <c r="I26" i="1"/>
  <c r="H28" i="1"/>
  <c r="H104" i="1"/>
  <c r="H96" i="1" s="1"/>
  <c r="H31" i="1" s="1"/>
  <c r="H115" i="1"/>
  <c r="I85" i="1" l="1"/>
  <c r="H88" i="1"/>
  <c r="H90" i="1" s="1"/>
  <c r="H92" i="1" s="1"/>
  <c r="I27" i="1"/>
  <c r="I29" i="1" s="1"/>
  <c r="I104" i="1"/>
  <c r="I96" i="1" s="1"/>
  <c r="I31" i="1" s="1"/>
  <c r="I115" i="1"/>
  <c r="I28" i="1" l="1"/>
  <c r="I86" i="1"/>
  <c r="I88" i="1" s="1"/>
  <c r="I90" i="1" s="1"/>
  <c r="I92" i="1" s="1"/>
</calcChain>
</file>

<file path=xl/sharedStrings.xml><?xml version="1.0" encoding="utf-8"?>
<sst xmlns="http://schemas.openxmlformats.org/spreadsheetml/2006/main" count="126" uniqueCount="111">
  <si>
    <t>Índice de Precios al Consumidor (IPC COP)</t>
  </si>
  <si>
    <t>Porcentaje de Avance Obra</t>
  </si>
  <si>
    <t>Porcentaje de Avance Mtto - OPEX</t>
  </si>
  <si>
    <t>TES + UVR</t>
  </si>
  <si>
    <t>Producto Interno Bruto (PIB)</t>
  </si>
  <si>
    <t>Deuda</t>
  </si>
  <si>
    <t>Tasa de Cambio Final</t>
  </si>
  <si>
    <t>Tasa de Cambio Promedio</t>
  </si>
  <si>
    <t>Libor (6m) fin de año</t>
  </si>
  <si>
    <t>IBR</t>
  </si>
  <si>
    <t>Estado de Resultados Integral Histórico</t>
  </si>
  <si>
    <t>Ingresos</t>
  </si>
  <si>
    <t>Costo de las Ventas</t>
  </si>
  <si>
    <t>Utilidad Bruta</t>
  </si>
  <si>
    <t>Gastos de Administración</t>
  </si>
  <si>
    <t>Deterioro activos financieros de concesión</t>
  </si>
  <si>
    <t>Otros Ingresos</t>
  </si>
  <si>
    <t>Otros Egresos</t>
  </si>
  <si>
    <t>Utilidad Operativa</t>
  </si>
  <si>
    <t>Ingresos Financieros</t>
  </si>
  <si>
    <t>Gastos Financieros</t>
  </si>
  <si>
    <t>Utilidad antes de Impuestos</t>
  </si>
  <si>
    <t>Provisión de Impuestos</t>
  </si>
  <si>
    <t>Utilidad Neta</t>
  </si>
  <si>
    <t>Tasa efectiva de impuestos</t>
  </si>
  <si>
    <t>EBITDA</t>
  </si>
  <si>
    <t>Costos por servicios en construcción</t>
  </si>
  <si>
    <t>Costos y gastos por Admon, operación y mtto</t>
  </si>
  <si>
    <t>Ingresos de Construcción</t>
  </si>
  <si>
    <t>Ingresos por Admon, Operación y Mtto</t>
  </si>
  <si>
    <t>Retribución</t>
  </si>
  <si>
    <t>Estado de Situación Financiera Histórico</t>
  </si>
  <si>
    <t>Caja y Banco</t>
  </si>
  <si>
    <t>Instrumentos financieros medidos al valor razonable</t>
  </si>
  <si>
    <t>Cuentas por Cobrar</t>
  </si>
  <si>
    <t>Cuentas por cobrar a partes relacionadas</t>
  </si>
  <si>
    <t>Anticipo de impuestos y contribuciones</t>
  </si>
  <si>
    <t>Otros activos no financieros</t>
  </si>
  <si>
    <t xml:space="preserve">Proyección Ajuste </t>
  </si>
  <si>
    <t>Total activos corrientes</t>
  </si>
  <si>
    <t>Planta y equipo</t>
  </si>
  <si>
    <t>Depreciación Acumulada</t>
  </si>
  <si>
    <t>Construcciones en curso</t>
  </si>
  <si>
    <t>Intangibles</t>
  </si>
  <si>
    <t>Planta y equipo, neta</t>
  </si>
  <si>
    <t>Otros Activos L.P.</t>
  </si>
  <si>
    <t>Total Activos no Corrientes</t>
  </si>
  <si>
    <t>Spread</t>
  </si>
  <si>
    <t>Spread 1</t>
  </si>
  <si>
    <t>Prom</t>
  </si>
  <si>
    <t>Total Activos</t>
  </si>
  <si>
    <t>Libor</t>
  </si>
  <si>
    <t>Porción Corriente de la Deuda</t>
  </si>
  <si>
    <t>Cuenta por Pagar Proveedores</t>
  </si>
  <si>
    <t>Cuenta por Pagar Otros</t>
  </si>
  <si>
    <t>Beneficios de empleados</t>
  </si>
  <si>
    <t>Cuentas por pagar entidades relacionadas</t>
  </si>
  <si>
    <t>Impuestos por Pagar</t>
  </si>
  <si>
    <t>Anticipo de clientes</t>
  </si>
  <si>
    <t>Otros Pasivos no finacnieros</t>
  </si>
  <si>
    <t>IPC</t>
  </si>
  <si>
    <t>Total Pasivos Corrientes</t>
  </si>
  <si>
    <t>Deuda Largo Plazo</t>
  </si>
  <si>
    <t>Otros pasivos L.P.</t>
  </si>
  <si>
    <t>Total Pasivo no Corrientes</t>
  </si>
  <si>
    <t>Total Pasivos</t>
  </si>
  <si>
    <t>Capital</t>
  </si>
  <si>
    <t>Prima en colocacción de acciones</t>
  </si>
  <si>
    <t>Otros conceptos de patrimonio</t>
  </si>
  <si>
    <t>Reserva Legal</t>
  </si>
  <si>
    <t>Resultado del ejercicio</t>
  </si>
  <si>
    <t>Utilidades Retenidas</t>
  </si>
  <si>
    <t>Total Patrimonio</t>
  </si>
  <si>
    <t>Total Pasivo y Patrimonio</t>
  </si>
  <si>
    <t>Control de Cierre</t>
  </si>
  <si>
    <t>Activos existentes</t>
  </si>
  <si>
    <t>Nota de Balance</t>
  </si>
  <si>
    <t>Depreciación y Amortización del periodo</t>
  </si>
  <si>
    <t xml:space="preserve">Depreciación y Amortización del Costo </t>
  </si>
  <si>
    <t>Depreciación y Amortización del Gasto</t>
  </si>
  <si>
    <t>Porcentaje de depreciación al costo</t>
  </si>
  <si>
    <t>Porcentaje de depreciación al gasto</t>
  </si>
  <si>
    <t>Saldo Activos Existentes</t>
  </si>
  <si>
    <t>Depreciación y Amortización del Periodo</t>
  </si>
  <si>
    <t>Activos fijos Operativos</t>
  </si>
  <si>
    <t>Edificios</t>
  </si>
  <si>
    <t>Pasada</t>
  </si>
  <si>
    <t>Remanente</t>
  </si>
  <si>
    <t>Herramientas y equipos</t>
  </si>
  <si>
    <t>Equipos de oficina</t>
  </si>
  <si>
    <t>Equipos de computación y comunicación</t>
  </si>
  <si>
    <t>Equipos de transporte</t>
  </si>
  <si>
    <t>Terrenos</t>
  </si>
  <si>
    <t>Total</t>
  </si>
  <si>
    <t>Control de activos operativos</t>
  </si>
  <si>
    <t>Depreciación acumulada</t>
  </si>
  <si>
    <t>Control depreciación acumulada</t>
  </si>
  <si>
    <t>Activos intangibles</t>
  </si>
  <si>
    <t>Intangibles Brutos</t>
  </si>
  <si>
    <t>Amortización acumulada</t>
  </si>
  <si>
    <t>Vida Útil</t>
  </si>
  <si>
    <t>Tasa</t>
  </si>
  <si>
    <t>Spread 2</t>
  </si>
  <si>
    <t>Activos Nuevos</t>
  </si>
  <si>
    <t>Activos Anteriores</t>
  </si>
  <si>
    <t>Monto Deuda3</t>
  </si>
  <si>
    <t>Monto Deuda2</t>
  </si>
  <si>
    <t>Monto Deuda1</t>
  </si>
  <si>
    <t>Deuda 1</t>
  </si>
  <si>
    <t>Deuda 2</t>
  </si>
  <si>
    <t>Deuda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</si>
</sst>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164" formatCode="#,##0;[Blue]\(#,##0\)"/>
    <numFmt numFmtId="165" formatCode="_-[$$-240A]\ * #,##0_-;\-[$$-240A]\ * #,##0_-;_-[$$-240A]\ * &quot;-&quot;??_-;_-@_-"/>
    <numFmt numFmtId="166" formatCode="0.0%"/>
    <numFmt numFmtId="167" formatCode="_-&quot;$&quot;\ * #,##0_-;\-&quot;$&quot;\ * #,##0_-;_-&quot;$&quot;\ * &quot;-&quot;??_-;_-@_-"/>
    <numFmt numFmtId="168" formatCode="#,##0.00;[Blue]\(#,##0.00\)"/>
    <numFmt numFmtId="169" formatCode="#,##0;[Red]\(#,##0\)"/>
  </numFmts>
  <fonts count="12" x14ac:knownFonts="1">
    <font>
      <sz val="10"/>
      <name val="Verdana"/>
      <family val="2"/>
    </font>
    <font>
      <sz val="10"/>
      <name val="Verdana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0000FF"/>
      <name val="Arial Narrow"/>
      <family val="2"/>
    </font>
    <font>
      <b/>
      <sz val="12"/>
      <color theme="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8"/>
      <name val="Arial Narrow"/>
      <family val="2"/>
    </font>
    <font>
      <b/>
      <sz val="1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0" fillId="0" borderId="0" xfId="0" applyNumberFormat="1"/>
    <xf numFmtId="0" fontId="3" fillId="0" borderId="0" xfId="0" applyFont="1" applyProtection="1">
      <protection hidden="1"/>
    </xf>
    <xf numFmtId="10" fontId="4" fillId="2" borderId="0" xfId="2" applyNumberFormat="1" applyFont="1" applyFill="1" applyAlignment="1" applyProtection="1">
      <alignment horizontal="center"/>
      <protection hidden="1"/>
    </xf>
    <xf numFmtId="10" fontId="3" fillId="0" borderId="0" xfId="0" applyNumberFormat="1" applyFont="1" applyAlignment="1" applyProtection="1">
      <alignment horizontal="center"/>
      <protection locked="0"/>
    </xf>
    <xf numFmtId="10" fontId="3" fillId="3" borderId="0" xfId="0" applyNumberFormat="1" applyFont="1" applyFill="1" applyAlignment="1" applyProtection="1">
      <alignment horizontal="center"/>
      <protection locked="0"/>
    </xf>
    <xf numFmtId="4" fontId="3" fillId="4" borderId="0" xfId="0" applyNumberFormat="1" applyFont="1" applyFill="1" applyAlignment="1" applyProtection="1">
      <alignment horizontal="center"/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10" fontId="3" fillId="4" borderId="0" xfId="0" applyNumberFormat="1" applyFont="1" applyFill="1" applyAlignment="1" applyProtection="1">
      <alignment horizontal="center"/>
      <protection locked="0"/>
    </xf>
    <xf numFmtId="10" fontId="3" fillId="0" borderId="0" xfId="2" applyNumberFormat="1" applyFont="1" applyFill="1" applyAlignment="1" applyProtection="1">
      <alignment horizontal="center"/>
      <protection locked="0"/>
    </xf>
    <xf numFmtId="0" fontId="5" fillId="5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/>
    <xf numFmtId="164" fontId="4" fillId="2" borderId="0" xfId="0" applyNumberFormat="1" applyFont="1" applyFill="1" applyProtection="1">
      <protection hidden="1"/>
    </xf>
    <xf numFmtId="164" fontId="7" fillId="6" borderId="0" xfId="0" applyNumberFormat="1" applyFont="1" applyFill="1" applyProtection="1">
      <protection hidden="1"/>
    </xf>
    <xf numFmtId="9" fontId="0" fillId="0" borderId="0" xfId="2" applyFont="1"/>
    <xf numFmtId="10" fontId="0" fillId="0" borderId="0" xfId="2" applyNumberFormat="1" applyFont="1"/>
    <xf numFmtId="0" fontId="2" fillId="0" borderId="1" xfId="0" applyFont="1" applyBorder="1"/>
    <xf numFmtId="164" fontId="2" fillId="4" borderId="1" xfId="0" applyNumberFormat="1" applyFont="1" applyFill="1" applyBorder="1" applyProtection="1">
      <protection hidden="1"/>
    </xf>
    <xf numFmtId="165" fontId="0" fillId="0" borderId="0" xfId="0" applyNumberFormat="1"/>
    <xf numFmtId="166" fontId="4" fillId="2" borderId="0" xfId="2" applyNumberFormat="1" applyFont="1" applyFill="1" applyAlignment="1" applyProtection="1">
      <alignment horizontal="center"/>
      <protection hidden="1"/>
    </xf>
    <xf numFmtId="9" fontId="7" fillId="6" borderId="0" xfId="2" applyFont="1" applyFill="1" applyAlignment="1" applyProtection="1">
      <alignment horizontal="center"/>
      <protection hidden="1"/>
    </xf>
    <xf numFmtId="164" fontId="3" fillId="4" borderId="0" xfId="2" applyNumberFormat="1" applyFont="1" applyFill="1"/>
    <xf numFmtId="164" fontId="2" fillId="4" borderId="1" xfId="0" applyNumberFormat="1" applyFont="1" applyFill="1" applyBorder="1"/>
    <xf numFmtId="167" fontId="0" fillId="0" borderId="0" xfId="1" applyNumberFormat="1" applyFont="1"/>
    <xf numFmtId="1" fontId="2" fillId="0" borderId="0" xfId="0" applyNumberFormat="1" applyFont="1" applyAlignment="1">
      <alignment horizontal="center"/>
    </xf>
    <xf numFmtId="164" fontId="3" fillId="0" borderId="0" xfId="0" applyNumberFormat="1" applyFont="1"/>
    <xf numFmtId="10" fontId="0" fillId="0" borderId="0" xfId="0" applyNumberFormat="1"/>
    <xf numFmtId="164" fontId="3" fillId="4" borderId="0" xfId="0" applyNumberFormat="1" applyFont="1" applyFill="1"/>
    <xf numFmtId="164" fontId="3" fillId="4" borderId="0" xfId="0" applyNumberFormat="1" applyFont="1" applyFill="1" applyProtection="1">
      <protection hidden="1"/>
    </xf>
    <xf numFmtId="0" fontId="1" fillId="0" borderId="0" xfId="0" applyFont="1"/>
    <xf numFmtId="164" fontId="0" fillId="0" borderId="0" xfId="0" applyNumberFormat="1"/>
    <xf numFmtId="168" fontId="3" fillId="4" borderId="0" xfId="0" applyNumberFormat="1" applyFont="1" applyFill="1"/>
    <xf numFmtId="168" fontId="3" fillId="4" borderId="0" xfId="0" applyNumberFormat="1" applyFont="1" applyFill="1" applyProtection="1">
      <protection hidden="1"/>
    </xf>
    <xf numFmtId="0" fontId="8" fillId="7" borderId="0" xfId="0" applyFont="1" applyFill="1"/>
    <xf numFmtId="4" fontId="8" fillId="7" borderId="0" xfId="0" applyNumberFormat="1" applyFont="1" applyFill="1" applyAlignment="1" applyProtection="1">
      <alignment horizontal="center"/>
      <protection hidden="1"/>
    </xf>
    <xf numFmtId="0" fontId="5" fillId="8" borderId="0" xfId="0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3" fillId="4" borderId="0" xfId="0" applyFont="1" applyFill="1" applyProtection="1">
      <protection hidden="1"/>
    </xf>
    <xf numFmtId="0" fontId="3" fillId="4" borderId="0" xfId="0" applyFont="1" applyFill="1"/>
    <xf numFmtId="169" fontId="3" fillId="4" borderId="0" xfId="0" applyNumberFormat="1" applyFont="1" applyFill="1" applyProtection="1">
      <protection hidden="1"/>
    </xf>
    <xf numFmtId="9" fontId="3" fillId="4" borderId="0" xfId="0" applyNumberFormat="1" applyFont="1" applyFill="1" applyProtection="1">
      <protection hidden="1"/>
    </xf>
    <xf numFmtId="169" fontId="3" fillId="4" borderId="0" xfId="0" applyNumberFormat="1" applyFont="1" applyFill="1"/>
    <xf numFmtId="0" fontId="2" fillId="4" borderId="0" xfId="0" applyFont="1" applyFill="1" applyAlignment="1">
      <alignment horizontal="center"/>
    </xf>
    <xf numFmtId="0" fontId="9" fillId="10" borderId="3" xfId="0" applyFont="1" applyFill="1" applyBorder="1" applyAlignment="1">
      <alignment horizontal="centerContinuous"/>
    </xf>
    <xf numFmtId="0" fontId="9" fillId="10" borderId="4" xfId="0" applyFont="1" applyFill="1" applyBorder="1" applyAlignment="1">
      <alignment horizontal="centerContinuous"/>
    </xf>
    <xf numFmtId="0" fontId="4" fillId="2" borderId="0" xfId="0" applyFont="1" applyFill="1"/>
    <xf numFmtId="169" fontId="4" fillId="2" borderId="0" xfId="0" applyNumberFormat="1" applyFont="1" applyFill="1" applyProtection="1">
      <protection hidden="1"/>
    </xf>
    <xf numFmtId="0" fontId="10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9" fontId="2" fillId="4" borderId="1" xfId="0" applyNumberFormat="1" applyFont="1" applyFill="1" applyBorder="1" applyProtection="1">
      <protection hidden="1"/>
    </xf>
    <xf numFmtId="0" fontId="2" fillId="0" borderId="0" xfId="0" applyFont="1"/>
    <xf numFmtId="169" fontId="2" fillId="4" borderId="0" xfId="0" applyNumberFormat="1" applyFont="1" applyFill="1" applyProtection="1">
      <protection hidden="1"/>
    </xf>
    <xf numFmtId="44" fontId="0" fillId="0" borderId="0" xfId="1" applyFont="1"/>
    <xf numFmtId="169" fontId="3" fillId="9" borderId="0" xfId="0" applyNumberFormat="1" applyFont="1" applyFill="1" applyProtection="1">
      <protection hidden="1"/>
    </xf>
    <xf numFmtId="9" fontId="4" fillId="9" borderId="0" xfId="0" applyNumberFormat="1" applyFont="1" applyFill="1" applyProtection="1">
      <protection hidden="1"/>
    </xf>
    <xf numFmtId="9" fontId="3" fillId="9" borderId="0" xfId="0" applyNumberFormat="1" applyFont="1" applyFill="1" applyProtection="1">
      <protection hidden="1"/>
    </xf>
    <xf numFmtId="9" fontId="4" fillId="4" borderId="0" xfId="0" applyNumberFormat="1" applyFont="1" applyFill="1" applyProtection="1">
      <protection hidden="1"/>
    </xf>
    <xf numFmtId="0" fontId="1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2" xfId="2" applyNumberFormat="1" applyFon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11206</xdr:colOff>
      <xdr:row>0</xdr:row>
      <xdr:rowOff>8965</xdr:rowOff>
    </xdr:from>
    <xdr:to>
      <xdr:col>13</xdr:col>
      <xdr:colOff>1239009</xdr:colOff>
      <xdr:row>8</xdr:row>
      <xdr:rowOff>115776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52EEDF-4DAF-4AC2-ACB9-51621AED7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82735" y="8965"/>
          <a:ext cx="6158391" cy="15411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astian%20Villa/Downloads/2022%2004%2009%20Modelo%20de%20Valoracion%20Simple%20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Resumen"/>
      <sheetName val="EEFFo"/>
      <sheetName val="Operativo"/>
      <sheetName val="Datos"/>
      <sheetName val="Ppto - Caso"/>
      <sheetName val="Inversiones"/>
      <sheetName val="ERI"/>
      <sheetName val="ESF"/>
      <sheetName val="EFE"/>
      <sheetName val="CE"/>
      <sheetName val="EVA"/>
      <sheetName val="CCPP"/>
      <sheetName val="FCL"/>
      <sheetName val="Graficos"/>
      <sheetName val="Indicadores"/>
      <sheetName val="Multiplos"/>
      <sheetName val="Generales"/>
      <sheetName val="Retornos"/>
      <sheetName val="Betas"/>
      <sheetName val="Arbol"/>
      <sheetName val="EMBI"/>
      <sheetName val="EEFF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C5">
            <v>1</v>
          </cell>
        </row>
        <row r="6">
          <cell r="C6">
            <v>1</v>
          </cell>
        </row>
      </sheetData>
      <sheetData sheetId="5">
        <row r="58">
          <cell r="B58">
            <v>1</v>
          </cell>
        </row>
      </sheetData>
      <sheetData sheetId="6">
        <row r="139">
          <cell r="G139" t="b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2">
          <cell r="C22">
            <v>1</v>
          </cell>
        </row>
        <row r="23">
          <cell r="C23">
            <v>0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718C5-DCBB-4C90-82E1-946C8ADEB7EC}">
  <dimension ref="A1:N151"/>
  <sheetViews>
    <sheetView showGridLines="0" tabSelected="1" zoomScale="85" zoomScaleNormal="85" workbookViewId="0">
      <selection activeCell="A148" sqref="A148"/>
    </sheetView>
  </sheetViews>
  <sheetFormatPr defaultRowHeight="12.6" x14ac:dyDescent="0.2"/>
  <cols>
    <col min="1" max="1" width="31.7265625" customWidth="1"/>
    <col min="2" max="2" width="15.54296875" bestFit="1" customWidth="1"/>
    <col min="3" max="4" width="9.7265625" bestFit="1" customWidth="1"/>
    <col min="5" max="5" width="12.08984375" bestFit="1" customWidth="1"/>
    <col min="6" max="9" width="15.54296875" bestFit="1" customWidth="1"/>
    <col min="10" max="10" width="12.26953125" customWidth="1"/>
    <col min="11" max="11" width="15.54296875" bestFit="1" customWidth="1"/>
    <col min="12" max="12" width="15.54296875" customWidth="1"/>
    <col min="13" max="13" width="15.54296875" bestFit="1" customWidth="1"/>
    <col min="14" max="14" width="20.1796875" bestFit="1" customWidth="1"/>
    <col min="15" max="17" width="19.1796875" bestFit="1" customWidth="1"/>
  </cols>
  <sheetData>
    <row r="1" spans="1:12" ht="13.8" x14ac:dyDescent="0.3">
      <c r="B1" s="1">
        <v>2018</v>
      </c>
      <c r="C1" s="1">
        <v>2019</v>
      </c>
      <c r="D1" s="1">
        <v>2020</v>
      </c>
      <c r="E1" s="1">
        <v>2021</v>
      </c>
      <c r="F1" s="1">
        <v>2022</v>
      </c>
      <c r="G1" s="1">
        <v>2023</v>
      </c>
      <c r="H1" s="1">
        <v>2024</v>
      </c>
      <c r="I1" s="1">
        <v>2025</v>
      </c>
    </row>
    <row r="2" spans="1:12" ht="13.8" x14ac:dyDescent="0.3">
      <c r="B2" s="2">
        <v>3</v>
      </c>
      <c r="C2" s="2">
        <v>2</v>
      </c>
      <c r="D2" s="2">
        <v>1</v>
      </c>
      <c r="E2" s="2">
        <v>0</v>
      </c>
      <c r="F2" s="2">
        <v>1</v>
      </c>
      <c r="G2" s="2">
        <v>2</v>
      </c>
      <c r="H2" s="2">
        <v>3</v>
      </c>
      <c r="I2" s="2">
        <v>4</v>
      </c>
      <c r="K2" s="3"/>
      <c r="L2" s="3"/>
    </row>
    <row r="3" spans="1:12" ht="13.8" x14ac:dyDescent="0.3">
      <c r="A3" s="4" t="s">
        <v>0</v>
      </c>
      <c r="B3" s="5">
        <v>3.1800000000000002E-2</v>
      </c>
      <c r="C3" s="5">
        <v>3.7999999999999999E-2</v>
      </c>
      <c r="D3" s="5">
        <v>1.61E-2</v>
      </c>
      <c r="E3" s="5">
        <v>5.62E-2</v>
      </c>
      <c r="F3" s="6">
        <v>8.4227750000000004E-2</v>
      </c>
      <c r="G3" s="6">
        <v>4.6937631578947321E-2</v>
      </c>
      <c r="H3" s="6">
        <v>4.0428823529411746E-2</v>
      </c>
      <c r="I3" s="6">
        <v>4.0428823529411746E-2</v>
      </c>
      <c r="K3" s="3"/>
      <c r="L3" s="3"/>
    </row>
    <row r="4" spans="1:12" ht="13.8" x14ac:dyDescent="0.3">
      <c r="A4" s="4" t="s">
        <v>1</v>
      </c>
      <c r="B4" s="5">
        <v>0.1333</v>
      </c>
      <c r="C4" s="5">
        <v>0.33139999999999997</v>
      </c>
      <c r="D4" s="5">
        <v>0.52729999999999999</v>
      </c>
      <c r="E4" s="5">
        <v>0.84199999999999997</v>
      </c>
      <c r="F4" s="6">
        <f>+((100%-$E$4)/4)+E4</f>
        <v>0.88149999999999995</v>
      </c>
      <c r="G4" s="6">
        <f>+((100%-$E$4)/4)+F4</f>
        <v>0.92099999999999993</v>
      </c>
      <c r="H4" s="6">
        <f>+((100%-$E$4)/4)+G4</f>
        <v>0.96049999999999991</v>
      </c>
      <c r="I4" s="6">
        <f>+((100%-$E$4)/4)+H4</f>
        <v>0.99999999999999989</v>
      </c>
      <c r="K4" s="3"/>
      <c r="L4" s="3"/>
    </row>
    <row r="5" spans="1:12" ht="13.8" x14ac:dyDescent="0.3">
      <c r="A5" s="4" t="s">
        <v>2</v>
      </c>
      <c r="B5" s="5">
        <f>-B36/B40</f>
        <v>0.6804210427496491</v>
      </c>
      <c r="C5" s="5">
        <f>-C36/C40</f>
        <v>0.66792183744088141</v>
      </c>
      <c r="D5" s="5">
        <f>-D36/D40</f>
        <v>1.1184291387775773</v>
      </c>
      <c r="E5" s="5">
        <f>-E36/E40</f>
        <v>0.35998404562536623</v>
      </c>
      <c r="F5" s="7">
        <f>+(B5+C5+E5)/3</f>
        <v>0.56944230860529887</v>
      </c>
      <c r="G5" s="7">
        <v>0.56944230860529887</v>
      </c>
      <c r="H5" s="7">
        <v>0.56944230860529887</v>
      </c>
      <c r="I5" s="7">
        <v>0.56944230860529887</v>
      </c>
    </row>
    <row r="6" spans="1:12" ht="13.8" x14ac:dyDescent="0.3">
      <c r="A6" s="4" t="s">
        <v>3</v>
      </c>
      <c r="B6" s="5"/>
      <c r="C6" s="5">
        <f>+C24/B60</f>
        <v>9.149505646573429E-2</v>
      </c>
      <c r="D6" s="5">
        <f>+D24/C60</f>
        <v>5.6324270567595154E-2</v>
      </c>
      <c r="E6" s="5">
        <f>+E24/D60</f>
        <v>0.10355052218155293</v>
      </c>
      <c r="F6" s="6">
        <f>AVERAGE(C6:E6)</f>
        <v>8.3789949738294123E-2</v>
      </c>
      <c r="G6" s="6">
        <f>AVERAGE(D6:F6)</f>
        <v>8.1221580829147405E-2</v>
      </c>
      <c r="H6" s="6">
        <f>AVERAGE(E6:G6)</f>
        <v>8.952068424966482E-2</v>
      </c>
      <c r="I6" s="6">
        <f>AVERAGE(F6:H6)</f>
        <v>8.484407160570212E-2</v>
      </c>
    </row>
    <row r="7" spans="1:12" ht="13.8" x14ac:dyDescent="0.3">
      <c r="A7" s="4" t="s">
        <v>4</v>
      </c>
      <c r="B7" s="5">
        <v>2.5000000000000001E-2</v>
      </c>
      <c r="C7" s="5">
        <v>-8.0000000000000002E-3</v>
      </c>
      <c r="D7" s="5">
        <v>-6.8000000000000005E-2</v>
      </c>
      <c r="E7" s="5">
        <v>9.5000000000000001E-2</v>
      </c>
      <c r="F7" s="6">
        <v>4.4999999999999998E-2</v>
      </c>
      <c r="G7" s="6">
        <v>2.5000000000000001E-2</v>
      </c>
      <c r="H7" s="6">
        <v>0.03</v>
      </c>
      <c r="I7" s="6">
        <v>0.03</v>
      </c>
    </row>
    <row r="8" spans="1:12" ht="13.8" x14ac:dyDescent="0.3">
      <c r="A8" s="4" t="s">
        <v>5</v>
      </c>
      <c r="B8" s="5">
        <f>-B25/(B76+B65)</f>
        <v>6.8908314741776347E-2</v>
      </c>
      <c r="C8" s="5">
        <f>-C25/(C76+C65)</f>
        <v>6.5666633074501199E-2</v>
      </c>
      <c r="D8" s="5">
        <f>-D25/(D76+D65)</f>
        <v>6.5992873459338117E-2</v>
      </c>
      <c r="E8" s="5">
        <f>-E25/(E76+E65)</f>
        <v>9.9553851018347739E-2</v>
      </c>
      <c r="F8" s="6">
        <f>+(1+F3)*(F7+1)-1</f>
        <v>0.13301799874999976</v>
      </c>
      <c r="G8" s="6">
        <f>+(1+G3)*(G7+1)-1</f>
        <v>7.311107236842096E-2</v>
      </c>
      <c r="H8" s="6">
        <f>+(1+H3)*(H7+1)-1</f>
        <v>7.1641688235294154E-2</v>
      </c>
      <c r="I8" s="6">
        <f>+(1+I3)*(I7+1)-1</f>
        <v>7.1641688235294154E-2</v>
      </c>
    </row>
    <row r="9" spans="1:12" ht="13.8" x14ac:dyDescent="0.3">
      <c r="A9" s="4" t="s">
        <v>6</v>
      </c>
      <c r="B9" s="8">
        <v>3249.75</v>
      </c>
      <c r="C9" s="8">
        <v>3277.14</v>
      </c>
      <c r="D9" s="8">
        <v>3432.5</v>
      </c>
      <c r="E9" s="8">
        <v>3981.16</v>
      </c>
      <c r="F9" s="9">
        <v>4073.3876447876446</v>
      </c>
      <c r="G9" s="9">
        <v>4128.9699323383529</v>
      </c>
      <c r="H9" s="9">
        <v>4165.1889668325493</v>
      </c>
      <c r="I9" s="9">
        <v>4201.7257121556422</v>
      </c>
    </row>
    <row r="10" spans="1:12" ht="13.8" x14ac:dyDescent="0.3">
      <c r="A10" s="4" t="s">
        <v>7</v>
      </c>
      <c r="B10" s="8">
        <v>3116.875</v>
      </c>
      <c r="C10" s="8">
        <v>3281.09</v>
      </c>
      <c r="D10" s="8">
        <v>3693.36</v>
      </c>
      <c r="E10" s="8">
        <v>3706.83</v>
      </c>
      <c r="F10" s="9">
        <v>4027.2738223938222</v>
      </c>
      <c r="G10" s="9">
        <v>4101.1787885629983</v>
      </c>
      <c r="H10" s="9">
        <v>4147.0794495854516</v>
      </c>
      <c r="I10" s="9">
        <v>4183.4573394940962</v>
      </c>
    </row>
    <row r="11" spans="1:12" ht="13.8" x14ac:dyDescent="0.3">
      <c r="A11" s="4" t="s">
        <v>8</v>
      </c>
      <c r="B11" s="10">
        <v>2.8799999999999999E-2</v>
      </c>
      <c r="C11" s="10">
        <v>1.9099999999999999E-2</v>
      </c>
      <c r="D11" s="10">
        <v>2.5999999999999999E-3</v>
      </c>
      <c r="E11" s="10">
        <v>4.7999999999999996E-3</v>
      </c>
      <c r="F11" s="6">
        <v>6.8999999999999999E-3</v>
      </c>
      <c r="G11" s="6">
        <v>7.4999999999999997E-3</v>
      </c>
      <c r="H11" s="6">
        <v>1.12E-2</v>
      </c>
      <c r="I11" s="6">
        <v>1.47E-2</v>
      </c>
    </row>
    <row r="12" spans="1:12" ht="13.8" x14ac:dyDescent="0.3">
      <c r="A12" s="4" t="s">
        <v>9</v>
      </c>
      <c r="B12" s="8"/>
      <c r="C12" s="8"/>
      <c r="D12" s="8"/>
      <c r="E12" s="8"/>
      <c r="F12" s="11">
        <v>3.2599999999999997E-2</v>
      </c>
      <c r="G12" s="11">
        <v>0.04</v>
      </c>
      <c r="H12" s="11">
        <v>4.4900000000000002E-2</v>
      </c>
      <c r="I12" s="11">
        <v>4.7399999999999998E-2</v>
      </c>
    </row>
    <row r="13" spans="1:12" x14ac:dyDescent="0.2">
      <c r="K13" s="3"/>
      <c r="L13" s="3"/>
    </row>
    <row r="14" spans="1:12" ht="15.6" x14ac:dyDescent="0.3">
      <c r="A14" s="12" t="s">
        <v>10</v>
      </c>
      <c r="B14" s="1">
        <v>2018</v>
      </c>
      <c r="C14" s="1">
        <v>2019</v>
      </c>
      <c r="D14" s="1">
        <v>2020</v>
      </c>
      <c r="E14" s="1">
        <v>2021</v>
      </c>
      <c r="F14" s="1">
        <v>2022</v>
      </c>
      <c r="G14" s="1">
        <v>2023</v>
      </c>
      <c r="H14" s="1">
        <v>2024</v>
      </c>
      <c r="I14" s="1">
        <v>2025</v>
      </c>
      <c r="K14" s="3"/>
      <c r="L14" s="3"/>
    </row>
    <row r="15" spans="1:12" ht="13.8" x14ac:dyDescent="0.3">
      <c r="A15" s="13" t="str">
        <f>"Valores en "&amp;[1]Datos!B1</f>
        <v xml:space="preserve">Valores en </v>
      </c>
      <c r="B15" s="2">
        <v>3</v>
      </c>
      <c r="C15" s="2">
        <v>2</v>
      </c>
      <c r="D15" s="2">
        <v>1</v>
      </c>
      <c r="E15" s="2">
        <v>0</v>
      </c>
      <c r="K15" s="3"/>
      <c r="L15" s="3"/>
    </row>
    <row r="16" spans="1:12" ht="13.8" x14ac:dyDescent="0.3">
      <c r="A16" s="14" t="s">
        <v>11</v>
      </c>
      <c r="B16" s="15">
        <v>579445583.52900004</v>
      </c>
      <c r="C16" s="15">
        <v>886648279.84300005</v>
      </c>
      <c r="D16" s="15">
        <v>1176701820</v>
      </c>
      <c r="E16" s="15">
        <v>1306579839</v>
      </c>
      <c r="F16" s="16">
        <f>+F38</f>
        <v>1274254980.9985037</v>
      </c>
      <c r="G16" s="16">
        <f>+G38</f>
        <v>1360346774.4608607</v>
      </c>
      <c r="H16" s="16">
        <f>+H38</f>
        <v>1442687798.1083915</v>
      </c>
      <c r="I16" s="16">
        <f>+I38</f>
        <v>1529463250.295285</v>
      </c>
      <c r="J16" s="17"/>
      <c r="K16" s="18"/>
      <c r="L16" s="18"/>
    </row>
    <row r="17" spans="1:12" ht="13.8" x14ac:dyDescent="0.3">
      <c r="A17" s="14" t="s">
        <v>12</v>
      </c>
      <c r="B17" s="15">
        <v>-247240209.24599999</v>
      </c>
      <c r="C17" s="15">
        <v>-487205748.50999999</v>
      </c>
      <c r="D17" s="15">
        <v>-658987225</v>
      </c>
      <c r="E17" s="15">
        <v>-632296388</v>
      </c>
      <c r="F17" s="16">
        <f>+F34</f>
        <v>-685553290.03148174</v>
      </c>
      <c r="G17" s="16">
        <f>+G34</f>
        <v>-717731537.78671467</v>
      </c>
      <c r="H17" s="16">
        <f>+H34</f>
        <v>-746748579.46938705</v>
      </c>
      <c r="I17" s="16">
        <f>+I34</f>
        <v>-776938746.00959373</v>
      </c>
    </row>
    <row r="18" spans="1:12" ht="14.4" thickBot="1" x14ac:dyDescent="0.35">
      <c r="A18" s="19" t="s">
        <v>13</v>
      </c>
      <c r="B18" s="20">
        <f t="shared" ref="B18:I18" si="0">SUM(B16:B17)</f>
        <v>332205374.28300005</v>
      </c>
      <c r="C18" s="20">
        <f t="shared" si="0"/>
        <v>399442531.33300006</v>
      </c>
      <c r="D18" s="20">
        <f t="shared" si="0"/>
        <v>517714595</v>
      </c>
      <c r="E18" s="20">
        <f t="shared" si="0"/>
        <v>674283451</v>
      </c>
      <c r="F18" s="20">
        <f t="shared" si="0"/>
        <v>588701690.96702194</v>
      </c>
      <c r="G18" s="20">
        <f t="shared" si="0"/>
        <v>642615236.67414606</v>
      </c>
      <c r="H18" s="20">
        <f t="shared" si="0"/>
        <v>695939218.63900447</v>
      </c>
      <c r="I18" s="20">
        <f t="shared" si="0"/>
        <v>752524504.28569126</v>
      </c>
    </row>
    <row r="19" spans="1:12" ht="14.4" thickTop="1" x14ac:dyDescent="0.3">
      <c r="A19" s="14" t="s">
        <v>14</v>
      </c>
      <c r="B19" s="15">
        <v>0</v>
      </c>
      <c r="C19" s="15">
        <v>-587544.78200000001</v>
      </c>
      <c r="D19" s="15">
        <v>-235239</v>
      </c>
      <c r="E19" s="15">
        <v>-32553</v>
      </c>
      <c r="F19" s="16">
        <f>+E19</f>
        <v>-32553</v>
      </c>
      <c r="G19" s="16">
        <f>+F19</f>
        <v>-32553</v>
      </c>
      <c r="H19" s="16">
        <f>+G19</f>
        <v>-32553</v>
      </c>
      <c r="I19" s="16">
        <f>+H19</f>
        <v>-32553</v>
      </c>
    </row>
    <row r="20" spans="1:12" ht="13.8" x14ac:dyDescent="0.3">
      <c r="A20" s="14" t="s">
        <v>15</v>
      </c>
      <c r="B20" s="15">
        <v>-27092</v>
      </c>
      <c r="C20" s="15">
        <v>-753567.647</v>
      </c>
      <c r="D20" s="15">
        <v>-908747</v>
      </c>
      <c r="E20" s="15">
        <v>-1423280</v>
      </c>
      <c r="F20" s="16">
        <f>+E20*(1+F3)</f>
        <v>-1543159.6720199999</v>
      </c>
      <c r="G20" s="16">
        <f>+F20*(1+G3)</f>
        <v>-1615591.9321727639</v>
      </c>
      <c r="H20" s="16">
        <f>+G20*(1+H3)</f>
        <v>-1680908.4132941177</v>
      </c>
      <c r="I20" s="16">
        <f>+H20*(1+I3)</f>
        <v>-1748865.562904289</v>
      </c>
      <c r="K20" s="21"/>
      <c r="L20" s="21"/>
    </row>
    <row r="21" spans="1:12" ht="13.8" x14ac:dyDescent="0.3">
      <c r="A21" s="14" t="s">
        <v>16</v>
      </c>
      <c r="B21" s="15">
        <v>11806823.827</v>
      </c>
      <c r="C21" s="15">
        <v>2775448.9219999998</v>
      </c>
      <c r="D21" s="15">
        <v>85725</v>
      </c>
      <c r="E21" s="15">
        <v>178255</v>
      </c>
      <c r="F21" s="16">
        <v>0</v>
      </c>
      <c r="G21" s="16">
        <v>0</v>
      </c>
      <c r="H21" s="16">
        <v>0</v>
      </c>
      <c r="I21" s="16">
        <v>0</v>
      </c>
    </row>
    <row r="22" spans="1:12" ht="13.8" x14ac:dyDescent="0.3">
      <c r="A22" s="14" t="s">
        <v>17</v>
      </c>
      <c r="B22" s="15">
        <v>0</v>
      </c>
      <c r="C22" s="15">
        <v>0</v>
      </c>
      <c r="D22" s="15">
        <v>0</v>
      </c>
      <c r="E22" s="15">
        <v>-6281489</v>
      </c>
      <c r="F22" s="16">
        <v>0</v>
      </c>
      <c r="G22" s="16">
        <v>0</v>
      </c>
      <c r="H22" s="16">
        <v>0</v>
      </c>
      <c r="I22" s="16">
        <v>0</v>
      </c>
    </row>
    <row r="23" spans="1:12" ht="14.4" thickBot="1" x14ac:dyDescent="0.35">
      <c r="A23" s="19" t="s">
        <v>18</v>
      </c>
      <c r="B23" s="20">
        <f>SUM(B18:B22)</f>
        <v>343985106.11000007</v>
      </c>
      <c r="C23" s="20">
        <f>SUM(C18:C22)</f>
        <v>400876867.82600003</v>
      </c>
      <c r="D23" s="20">
        <f t="shared" ref="D23:I23" si="1">SUM(D18:D22)</f>
        <v>516656334</v>
      </c>
      <c r="E23" s="20">
        <f t="shared" si="1"/>
        <v>666724384</v>
      </c>
      <c r="F23" s="20">
        <f t="shared" si="1"/>
        <v>587125978.29500198</v>
      </c>
      <c r="G23" s="20">
        <f t="shared" si="1"/>
        <v>640967091.74197328</v>
      </c>
      <c r="H23" s="20">
        <f t="shared" si="1"/>
        <v>694225757.22571039</v>
      </c>
      <c r="I23" s="20">
        <f t="shared" si="1"/>
        <v>750743085.72278702</v>
      </c>
    </row>
    <row r="24" spans="1:12" ht="14.4" thickTop="1" x14ac:dyDescent="0.3">
      <c r="A24" s="14" t="s">
        <v>19</v>
      </c>
      <c r="B24" s="15">
        <v>23461473.436999999</v>
      </c>
      <c r="C24" s="15">
        <v>96591273.285999998</v>
      </c>
      <c r="D24" s="15">
        <v>128071659</v>
      </c>
      <c r="E24" s="15">
        <v>397873307</v>
      </c>
      <c r="F24" s="16">
        <f>+F41</f>
        <v>444692460.71167123</v>
      </c>
      <c r="G24" s="16">
        <f>+G41</f>
        <v>481899170.06040138</v>
      </c>
      <c r="H24" s="16">
        <f>+H41</f>
        <v>592153810.67739892</v>
      </c>
      <c r="I24" s="16">
        <f>+I41</f>
        <v>623704634.43514955</v>
      </c>
    </row>
    <row r="25" spans="1:12" ht="13.8" x14ac:dyDescent="0.3">
      <c r="A25" s="14" t="s">
        <v>20</v>
      </c>
      <c r="B25" s="15">
        <v>-37029928.332000002</v>
      </c>
      <c r="C25" s="15">
        <v>-73448447.577000007</v>
      </c>
      <c r="D25" s="15">
        <v>-120958788</v>
      </c>
      <c r="E25" s="15">
        <v>-260019521</v>
      </c>
      <c r="F25" s="16">
        <f>(-$B$140*($B$142+F12))-(F149*($B$138+F11))-(B144*($B$146+F3))</f>
        <v>-276465618.86490822</v>
      </c>
      <c r="G25" s="16">
        <f>(-$B$140*($B$142+G12))-(G134*($B$138+G11))-(B144*($B$146+G3))</f>
        <v>-233044809.0119752</v>
      </c>
      <c r="H25" s="16">
        <f>(0*($B$142+H12))-(H134*($B$138+H11))-(B144*($B$146+H3))</f>
        <v>-180666345.57113317</v>
      </c>
      <c r="I25" s="16">
        <f>(0*($B$142+I12))-(I134*($B$138+I11))-(B144*($B$146+I3))</f>
        <v>-183098389.40097558</v>
      </c>
    </row>
    <row r="26" spans="1:12" ht="14.4" thickBot="1" x14ac:dyDescent="0.35">
      <c r="A26" s="19" t="s">
        <v>21</v>
      </c>
      <c r="B26" s="20">
        <f t="shared" ref="B26:I26" si="2">SUM(B23:B25)</f>
        <v>330416651.21500003</v>
      </c>
      <c r="C26" s="20">
        <f t="shared" si="2"/>
        <v>424019693.53500003</v>
      </c>
      <c r="D26" s="20">
        <f t="shared" si="2"/>
        <v>523769205</v>
      </c>
      <c r="E26" s="20">
        <f t="shared" si="2"/>
        <v>804578170</v>
      </c>
      <c r="F26" s="20">
        <f>SUM(F23:F25)</f>
        <v>755352820.141765</v>
      </c>
      <c r="G26" s="20">
        <f t="shared" si="2"/>
        <v>889821452.79039943</v>
      </c>
      <c r="H26" s="20">
        <f t="shared" si="2"/>
        <v>1105713222.3319762</v>
      </c>
      <c r="I26" s="20">
        <f t="shared" si="2"/>
        <v>1191349330.7569609</v>
      </c>
    </row>
    <row r="27" spans="1:12" ht="14.4" thickTop="1" x14ac:dyDescent="0.3">
      <c r="A27" s="14" t="s">
        <v>22</v>
      </c>
      <c r="B27" s="15">
        <v>-99371382</v>
      </c>
      <c r="C27" s="15">
        <v>-127177642</v>
      </c>
      <c r="D27" s="15">
        <v>-157604780</v>
      </c>
      <c r="E27" s="15">
        <v>-242931140</v>
      </c>
      <c r="F27" s="16">
        <f>-F26*30%</f>
        <v>-226605846.04252949</v>
      </c>
      <c r="G27" s="16">
        <f t="shared" ref="G27:I27" si="3">-G26*30%</f>
        <v>-266946435.83711982</v>
      </c>
      <c r="H27" s="16">
        <f t="shared" si="3"/>
        <v>-331713966.69959283</v>
      </c>
      <c r="I27" s="16">
        <f t="shared" si="3"/>
        <v>-357404799.22708827</v>
      </c>
    </row>
    <row r="28" spans="1:12" ht="14.4" thickBot="1" x14ac:dyDescent="0.35">
      <c r="A28" s="19" t="s">
        <v>23</v>
      </c>
      <c r="B28" s="20">
        <f>SUM(B26:B27)</f>
        <v>231045269.21500003</v>
      </c>
      <c r="C28" s="20">
        <f t="shared" ref="C28:I28" si="4">SUM(C26:C27)</f>
        <v>296842051.53500003</v>
      </c>
      <c r="D28" s="20">
        <f t="shared" si="4"/>
        <v>366164425</v>
      </c>
      <c r="E28" s="20">
        <f>SUM(E26:E27)</f>
        <v>561647030</v>
      </c>
      <c r="F28" s="20">
        <f>SUM(F26:F27)</f>
        <v>528746974.09923553</v>
      </c>
      <c r="G28" s="20">
        <f t="shared" si="4"/>
        <v>622875016.95327961</v>
      </c>
      <c r="H28" s="20">
        <f t="shared" si="4"/>
        <v>773999255.63238335</v>
      </c>
      <c r="I28" s="20">
        <f t="shared" si="4"/>
        <v>833944531.52987266</v>
      </c>
    </row>
    <row r="29" spans="1:12" ht="14.4" thickTop="1" x14ac:dyDescent="0.3">
      <c r="A29" s="14" t="s">
        <v>24</v>
      </c>
      <c r="B29" s="22">
        <f>IFERROR(-B27/B26,0)</f>
        <v>0.300745684682034</v>
      </c>
      <c r="C29" s="22">
        <f t="shared" ref="C29:I29" si="5">IFERROR(-C27/C26,0)</f>
        <v>0.29993333785922921</v>
      </c>
      <c r="D29" s="22">
        <f t="shared" si="5"/>
        <v>0.30090501407008075</v>
      </c>
      <c r="E29" s="22">
        <f>IFERROR(-E27/E26,0)</f>
        <v>0.30193603189606799</v>
      </c>
      <c r="F29" s="23">
        <f t="shared" si="5"/>
        <v>0.3</v>
      </c>
      <c r="G29" s="23">
        <f t="shared" si="5"/>
        <v>0.3</v>
      </c>
      <c r="H29" s="23">
        <f t="shared" si="5"/>
        <v>0.3</v>
      </c>
      <c r="I29" s="23">
        <f t="shared" si="5"/>
        <v>0.3</v>
      </c>
    </row>
    <row r="30" spans="1:12" ht="13.8" x14ac:dyDescent="0.3">
      <c r="A30" s="14"/>
      <c r="B30" s="24"/>
      <c r="C30" s="24"/>
      <c r="D30" s="24"/>
      <c r="E30" s="24"/>
      <c r="F30" s="24"/>
      <c r="G30" s="24"/>
      <c r="H30" s="24"/>
      <c r="I30" s="24"/>
    </row>
    <row r="31" spans="1:12" ht="14.4" thickBot="1" x14ac:dyDescent="0.35">
      <c r="A31" s="19" t="s">
        <v>25</v>
      </c>
      <c r="B31" s="25">
        <f>B23-B96-B20</f>
        <v>346388457.11000007</v>
      </c>
      <c r="C31" s="25">
        <f>C23-C96-C20</f>
        <v>404779521.47300005</v>
      </c>
      <c r="D31" s="25">
        <f>D23-D96-D20</f>
        <v>520140063</v>
      </c>
      <c r="E31" s="25">
        <f>E23-E96-E20</f>
        <v>670079568.55999994</v>
      </c>
      <c r="F31" s="25">
        <f>F23-F96-F20</f>
        <v>590670895.93748987</v>
      </c>
      <c r="G31" s="25">
        <f>G23-G96-G20</f>
        <v>644350215.92167354</v>
      </c>
      <c r="H31" s="25">
        <f>H23-H96-H20</f>
        <v>697483986.78339303</v>
      </c>
      <c r="I31" s="25">
        <f>I23-I96-I20</f>
        <v>753929882.48532796</v>
      </c>
    </row>
    <row r="32" spans="1:12" ht="13.2" thickTop="1" x14ac:dyDescent="0.2"/>
    <row r="34" spans="1:13" ht="13.8" x14ac:dyDescent="0.3">
      <c r="A34" s="14" t="s">
        <v>12</v>
      </c>
      <c r="B34" s="15">
        <f>+B35+B36</f>
        <v>-247240209.24599999</v>
      </c>
      <c r="C34" s="15">
        <f>+C35+C36</f>
        <v>-487205749</v>
      </c>
      <c r="D34" s="15">
        <f t="shared" ref="D34:I34" si="6">+D35+D36</f>
        <v>-658987224.98099995</v>
      </c>
      <c r="E34" s="15">
        <f t="shared" si="6"/>
        <v>-632296387.94200003</v>
      </c>
      <c r="F34" s="16">
        <f t="shared" si="6"/>
        <v>-685553290.03148174</v>
      </c>
      <c r="G34" s="16">
        <f t="shared" si="6"/>
        <v>-717731537.78671467</v>
      </c>
      <c r="H34" s="16">
        <f t="shared" si="6"/>
        <v>-746748579.46938705</v>
      </c>
      <c r="I34" s="16">
        <f t="shared" si="6"/>
        <v>-776938746.00959373</v>
      </c>
    </row>
    <row r="35" spans="1:13" ht="13.8" x14ac:dyDescent="0.3">
      <c r="A35" s="14" t="s">
        <v>26</v>
      </c>
      <c r="B35" s="15">
        <v>-221350700.24599999</v>
      </c>
      <c r="C35" s="15">
        <v>-463081708</v>
      </c>
      <c r="D35" s="15">
        <v>-627743299.35899997</v>
      </c>
      <c r="E35" s="15">
        <v>-586149139.722</v>
      </c>
      <c r="F35" s="16">
        <f>+E35*(1+F3)</f>
        <v>-635519162.92521966</v>
      </c>
      <c r="G35" s="16">
        <f>+F35*(1+G3)</f>
        <v>-665348927.25596464</v>
      </c>
      <c r="H35" s="16">
        <f>+G35*(1+H3)</f>
        <v>-692248201.62147939</v>
      </c>
      <c r="I35" s="16">
        <f>+H35*(1+I3)</f>
        <v>-720234982.00338674</v>
      </c>
    </row>
    <row r="36" spans="1:13" ht="13.8" x14ac:dyDescent="0.3">
      <c r="A36" s="14" t="s">
        <v>27</v>
      </c>
      <c r="B36" s="15">
        <v>-25889509</v>
      </c>
      <c r="C36" s="15">
        <v>-24124041</v>
      </c>
      <c r="D36" s="15">
        <v>-31243925.622000001</v>
      </c>
      <c r="E36" s="15">
        <v>-46147248.219999999</v>
      </c>
      <c r="F36" s="16">
        <f>+E36*(F3+1)</f>
        <v>-50034127.106262103</v>
      </c>
      <c r="G36" s="16">
        <f>+F36*(G3+1)</f>
        <v>-52382610.530750059</v>
      </c>
      <c r="H36" s="16">
        <f>+G36*(H3+1)</f>
        <v>-54500377.847907655</v>
      </c>
      <c r="I36" s="16">
        <f>+H36*(I3+1)</f>
        <v>-56703764.006206974</v>
      </c>
    </row>
    <row r="38" spans="1:13" ht="13.8" x14ac:dyDescent="0.3">
      <c r="A38" s="14" t="s">
        <v>11</v>
      </c>
      <c r="B38" s="15">
        <f t="shared" ref="B38:I38" si="7">+B39+B40</f>
        <v>579445584</v>
      </c>
      <c r="C38" s="15">
        <f t="shared" si="7"/>
        <v>886648280</v>
      </c>
      <c r="D38" s="15">
        <f t="shared" si="7"/>
        <v>1176701820.358</v>
      </c>
      <c r="E38" s="15">
        <f t="shared" si="7"/>
        <v>1306579838.8960001</v>
      </c>
      <c r="F38" s="16">
        <f t="shared" si="7"/>
        <v>1274254980.9985037</v>
      </c>
      <c r="G38" s="16">
        <f t="shared" si="7"/>
        <v>1360346774.4608607</v>
      </c>
      <c r="H38" s="16">
        <f t="shared" si="7"/>
        <v>1442687798.1083915</v>
      </c>
      <c r="I38" s="16">
        <f t="shared" si="7"/>
        <v>1529463250.295285</v>
      </c>
      <c r="J38" s="17"/>
    </row>
    <row r="39" spans="1:13" ht="13.8" x14ac:dyDescent="0.3">
      <c r="A39" s="14" t="s">
        <v>28</v>
      </c>
      <c r="B39" s="15">
        <v>541396336</v>
      </c>
      <c r="C39" s="15">
        <v>850530220</v>
      </c>
      <c r="D39" s="15">
        <v>1148766277.069</v>
      </c>
      <c r="E39" s="15">
        <v>1178387357.0880001</v>
      </c>
      <c r="F39" s="16">
        <f>(F35+(F35*F4))*-1</f>
        <v>1195729305.0438008</v>
      </c>
      <c r="G39" s="16">
        <f>(G35+(G35*G4))*-1</f>
        <v>1278135289.258708</v>
      </c>
      <c r="H39" s="16">
        <f>(H35+(H35*H4))*-1</f>
        <v>1357152599.2789102</v>
      </c>
      <c r="I39" s="16">
        <f>(I35+(I35*I4))*-1</f>
        <v>1440469964.0067735</v>
      </c>
    </row>
    <row r="40" spans="1:13" ht="13.8" x14ac:dyDescent="0.3">
      <c r="A40" s="14" t="s">
        <v>29</v>
      </c>
      <c r="B40" s="15">
        <v>38049248</v>
      </c>
      <c r="C40" s="15">
        <v>36118060</v>
      </c>
      <c r="D40" s="15">
        <v>27935543.289000001</v>
      </c>
      <c r="E40" s="15">
        <v>128192481.808</v>
      </c>
      <c r="F40" s="16">
        <f>+(F36+(F36*F5))*-1</f>
        <v>78525675.954702958</v>
      </c>
      <c r="G40" s="16">
        <f>+(G36+(G36*G5))*-1</f>
        <v>82211485.20215261</v>
      </c>
      <c r="H40" s="16">
        <f>+(H36+(H36*H5))*-1</f>
        <v>85535198.829481274</v>
      </c>
      <c r="I40" s="16">
        <f>+(I36+(I36*I5))*-1</f>
        <v>88993286.28851153</v>
      </c>
    </row>
    <row r="41" spans="1:13" ht="13.8" x14ac:dyDescent="0.3">
      <c r="A41" s="14" t="s">
        <v>19</v>
      </c>
      <c r="B41" s="15">
        <v>23461473.436999999</v>
      </c>
      <c r="C41" s="15">
        <v>96591273.285999998</v>
      </c>
      <c r="D41" s="15">
        <v>128071659</v>
      </c>
      <c r="E41" s="15">
        <v>397873307</v>
      </c>
      <c r="F41" s="16">
        <f>+E60*F6</f>
        <v>444692460.71167123</v>
      </c>
      <c r="G41" s="16">
        <f>+F60*G6</f>
        <v>481899170.06040138</v>
      </c>
      <c r="H41" s="16">
        <f>+G60*H6</f>
        <v>592153810.67739892</v>
      </c>
      <c r="I41" s="16">
        <f>+H60*I6</f>
        <v>623704634.43514955</v>
      </c>
    </row>
    <row r="42" spans="1:13" ht="13.8" x14ac:dyDescent="0.3">
      <c r="A42" s="14" t="s">
        <v>30</v>
      </c>
      <c r="B42" s="15"/>
      <c r="C42" s="15"/>
      <c r="D42" s="15"/>
      <c r="E42" s="15">
        <v>-248563615</v>
      </c>
      <c r="F42" s="16">
        <f>+((E42/5)*12)*(F3+1)</f>
        <v>-646798965.65595901</v>
      </c>
      <c r="G42" s="16">
        <f>+((F42/12)*12)*(G3+1)</f>
        <v>-677158177.21156263</v>
      </c>
      <c r="H42" s="16">
        <f>+((G42/12)*12)*(H3+1)</f>
        <v>-704534885.65954697</v>
      </c>
      <c r="I42" s="16">
        <f>+((H42/12)*12)*(I3+1)</f>
        <v>-733018402.22219098</v>
      </c>
      <c r="K42" s="26"/>
      <c r="L42" s="26"/>
      <c r="M42" s="26"/>
    </row>
    <row r="44" spans="1:13" ht="15.6" x14ac:dyDescent="0.3">
      <c r="A44" s="12" t="s">
        <v>31</v>
      </c>
      <c r="B44" s="27">
        <f>+B1</f>
        <v>2018</v>
      </c>
      <c r="C44" s="27">
        <f t="shared" ref="C44:I44" si="8">+C1</f>
        <v>2019</v>
      </c>
      <c r="D44" s="27">
        <f t="shared" si="8"/>
        <v>2020</v>
      </c>
      <c r="E44" s="27">
        <f t="shared" si="8"/>
        <v>2021</v>
      </c>
      <c r="F44" s="27">
        <f t="shared" si="8"/>
        <v>2022</v>
      </c>
      <c r="G44" s="27">
        <f t="shared" si="8"/>
        <v>2023</v>
      </c>
      <c r="H44" s="27">
        <f t="shared" si="8"/>
        <v>2024</v>
      </c>
      <c r="I44" s="27">
        <f t="shared" si="8"/>
        <v>2025</v>
      </c>
    </row>
    <row r="45" spans="1:13" ht="13.8" x14ac:dyDescent="0.3">
      <c r="A45" s="13" t="str">
        <f>A25</f>
        <v>Gastos Financieros</v>
      </c>
      <c r="B45" s="28"/>
      <c r="C45" s="28"/>
      <c r="D45" s="28"/>
      <c r="E45" s="28"/>
    </row>
    <row r="46" spans="1:13" ht="13.8" x14ac:dyDescent="0.3">
      <c r="A46" s="14" t="s">
        <v>32</v>
      </c>
      <c r="B46" s="15">
        <v>192501613</v>
      </c>
      <c r="C46" s="15">
        <v>103320896</v>
      </c>
      <c r="D46" s="15">
        <v>69544557.807000011</v>
      </c>
      <c r="E46" s="15">
        <v>72602919</v>
      </c>
      <c r="F46" s="16"/>
      <c r="G46" s="16"/>
      <c r="H46" s="16"/>
      <c r="I46" s="16"/>
    </row>
    <row r="47" spans="1:13" ht="13.8" x14ac:dyDescent="0.3">
      <c r="A47" s="14" t="s">
        <v>33</v>
      </c>
      <c r="B47" s="15">
        <v>25442995</v>
      </c>
      <c r="C47" s="15">
        <v>63873641</v>
      </c>
      <c r="D47" s="15">
        <v>28480618</v>
      </c>
      <c r="E47" s="15">
        <v>80211195</v>
      </c>
      <c r="F47" s="16"/>
      <c r="G47" s="16"/>
      <c r="H47" s="16"/>
      <c r="I47" s="16"/>
    </row>
    <row r="48" spans="1:13" ht="13.8" x14ac:dyDescent="0.3">
      <c r="A48" s="14" t="s">
        <v>34</v>
      </c>
      <c r="B48" s="15">
        <v>5489786</v>
      </c>
      <c r="C48" s="15">
        <v>12839923.75</v>
      </c>
      <c r="D48" s="15">
        <v>25335132.327</v>
      </c>
      <c r="E48" s="15">
        <v>46574686</v>
      </c>
      <c r="F48" s="16"/>
      <c r="G48" s="16"/>
      <c r="H48" s="16"/>
      <c r="I48" s="16"/>
    </row>
    <row r="49" spans="1:9" ht="13.8" x14ac:dyDescent="0.3">
      <c r="A49" s="14" t="s">
        <v>35</v>
      </c>
      <c r="B49" s="15">
        <v>0</v>
      </c>
      <c r="C49" s="15">
        <v>0</v>
      </c>
      <c r="D49" s="15">
        <v>0</v>
      </c>
      <c r="E49" s="15">
        <v>13898716</v>
      </c>
      <c r="F49" s="16"/>
      <c r="G49" s="16"/>
      <c r="H49" s="16"/>
      <c r="I49" s="16"/>
    </row>
    <row r="50" spans="1:9" ht="13.8" x14ac:dyDescent="0.3">
      <c r="A50" s="14" t="s">
        <v>36</v>
      </c>
      <c r="B50" s="15">
        <v>335647</v>
      </c>
      <c r="C50" s="15">
        <v>906826.51500000001</v>
      </c>
      <c r="D50" s="15">
        <v>966626.56699999992</v>
      </c>
      <c r="E50" s="15">
        <v>980948</v>
      </c>
      <c r="F50" s="16"/>
      <c r="G50" s="16"/>
      <c r="H50" s="16"/>
      <c r="I50" s="16"/>
    </row>
    <row r="51" spans="1:9" ht="13.8" x14ac:dyDescent="0.3">
      <c r="A51" s="14" t="s">
        <v>37</v>
      </c>
      <c r="B51" s="15">
        <v>1006678</v>
      </c>
      <c r="C51" s="15">
        <v>36843.811999999998</v>
      </c>
      <c r="D51" s="15">
        <v>62473.708159999995</v>
      </c>
      <c r="E51" s="15">
        <v>94251</v>
      </c>
      <c r="F51" s="16"/>
      <c r="G51" s="16"/>
      <c r="H51" s="16"/>
      <c r="I51" s="16"/>
    </row>
    <row r="52" spans="1:9" ht="13.8" x14ac:dyDescent="0.3">
      <c r="A52" s="14" t="s">
        <v>38</v>
      </c>
      <c r="B52" s="15"/>
      <c r="C52" s="15"/>
      <c r="D52" s="15"/>
      <c r="E52" s="15"/>
      <c r="F52" s="16">
        <v>281008894.42458802</v>
      </c>
      <c r="G52" s="16">
        <v>264989398.788037</v>
      </c>
      <c r="H52" s="16"/>
      <c r="I52" s="16"/>
    </row>
    <row r="53" spans="1:9" ht="14.4" thickBot="1" x14ac:dyDescent="0.35">
      <c r="A53" s="19" t="s">
        <v>39</v>
      </c>
      <c r="B53" s="20">
        <f t="shared" ref="B53:E53" si="9">SUM(B46:B51)</f>
        <v>224776719</v>
      </c>
      <c r="C53" s="20">
        <f t="shared" si="9"/>
        <v>180978131.07699999</v>
      </c>
      <c r="D53" s="20">
        <f t="shared" si="9"/>
        <v>124389408.40916</v>
      </c>
      <c r="E53" s="20">
        <f t="shared" si="9"/>
        <v>214362715</v>
      </c>
      <c r="F53" s="20">
        <f>SUM(F46:F52)</f>
        <v>281008894.42458802</v>
      </c>
      <c r="G53" s="20">
        <f t="shared" ref="G53:I53" si="10">SUM(G46:G52)</f>
        <v>264989398.788037</v>
      </c>
      <c r="H53" s="20">
        <f t="shared" si="10"/>
        <v>0</v>
      </c>
      <c r="I53" s="20">
        <f t="shared" si="10"/>
        <v>0</v>
      </c>
    </row>
    <row r="54" spans="1:9" ht="14.4" thickTop="1" x14ac:dyDescent="0.3">
      <c r="A54" s="14"/>
      <c r="B54" s="15"/>
      <c r="C54" s="15"/>
      <c r="D54" s="15"/>
      <c r="E54" s="15"/>
      <c r="F54" s="16"/>
      <c r="G54" s="16"/>
      <c r="H54" s="16"/>
      <c r="I54" s="16"/>
    </row>
    <row r="55" spans="1:9" ht="13.8" x14ac:dyDescent="0.3">
      <c r="A55" s="14" t="s">
        <v>40</v>
      </c>
      <c r="B55" s="15">
        <v>4211156</v>
      </c>
      <c r="C55" s="15">
        <v>5931715</v>
      </c>
      <c r="D55" s="15">
        <v>6142183</v>
      </c>
      <c r="E55" s="15">
        <f>6300510-0.44</f>
        <v>6300509.5599999996</v>
      </c>
      <c r="F55" s="16">
        <f>+F113</f>
        <v>6502485.5714169256</v>
      </c>
      <c r="G55" s="16">
        <f>+G113</f>
        <v>6755786.0236653397</v>
      </c>
      <c r="H55" s="16">
        <f>+H113</f>
        <v>7069561.9711275324</v>
      </c>
      <c r="I55" s="16">
        <f>+I113</f>
        <v>7454726.270713917</v>
      </c>
    </row>
    <row r="56" spans="1:9" ht="13.8" x14ac:dyDescent="0.3">
      <c r="A56" s="14" t="s">
        <v>41</v>
      </c>
      <c r="B56" s="15">
        <v>-1834897</v>
      </c>
      <c r="C56" s="15">
        <v>-2782629</v>
      </c>
      <c r="D56" s="15">
        <v>-3567201</v>
      </c>
      <c r="E56" s="15">
        <v>-4368605</v>
      </c>
      <c r="F56" s="16">
        <f>+F123</f>
        <v>-4500727.6009489484</v>
      </c>
      <c r="G56" s="16">
        <f>+G123</f>
        <v>-4988253.7761378288</v>
      </c>
      <c r="H56" s="16">
        <f>+H123</f>
        <v>-5492240.8267389769</v>
      </c>
      <c r="I56" s="16">
        <f>+I123</f>
        <v>-6016795.0710771605</v>
      </c>
    </row>
    <row r="57" spans="1:9" ht="13.8" x14ac:dyDescent="0.3">
      <c r="A57" s="14" t="s">
        <v>42</v>
      </c>
      <c r="B57" s="15"/>
      <c r="C57" s="15"/>
      <c r="D57" s="15"/>
      <c r="E57" s="15"/>
      <c r="F57" s="16"/>
      <c r="G57" s="16"/>
      <c r="H57" s="16"/>
      <c r="I57" s="16"/>
    </row>
    <row r="58" spans="1:9" ht="13.8" x14ac:dyDescent="0.3">
      <c r="A58" s="14" t="s">
        <v>43</v>
      </c>
      <c r="B58" s="15">
        <v>266034</v>
      </c>
      <c r="C58" s="15">
        <v>262312</v>
      </c>
      <c r="D58" s="15">
        <v>295212.42200000002</v>
      </c>
      <c r="E58" s="15">
        <v>305178</v>
      </c>
      <c r="F58" s="16">
        <f>+F130</f>
        <v>330882.4562895</v>
      </c>
      <c r="G58" s="16">
        <f t="shared" ref="G58:I58" si="11">+G130</f>
        <v>346413.29511875368</v>
      </c>
      <c r="H58" s="16">
        <f t="shared" si="11"/>
        <v>360418.37709535181</v>
      </c>
      <c r="I58" s="16">
        <f t="shared" si="11"/>
        <v>374989.66805969673</v>
      </c>
    </row>
    <row r="59" spans="1:9" ht="13.8" x14ac:dyDescent="0.3">
      <c r="A59" s="14" t="s">
        <v>44</v>
      </c>
      <c r="B59" s="15">
        <f t="shared" ref="B59:I59" si="12">+B55+B56</f>
        <v>2376259</v>
      </c>
      <c r="C59" s="15">
        <f t="shared" si="12"/>
        <v>3149086</v>
      </c>
      <c r="D59" s="15">
        <f t="shared" si="12"/>
        <v>2574982</v>
      </c>
      <c r="E59" s="15">
        <f t="shared" si="12"/>
        <v>1931904.5599999996</v>
      </c>
      <c r="F59" s="16">
        <f t="shared" si="12"/>
        <v>2001757.9704679772</v>
      </c>
      <c r="G59" s="16">
        <f t="shared" si="12"/>
        <v>1767532.2475275109</v>
      </c>
      <c r="H59" s="16">
        <f t="shared" si="12"/>
        <v>1577321.1443885555</v>
      </c>
      <c r="I59" s="16">
        <f t="shared" si="12"/>
        <v>1437931.1996367564</v>
      </c>
    </row>
    <row r="60" spans="1:9" ht="13.8" x14ac:dyDescent="0.3">
      <c r="A60" s="14" t="s">
        <v>45</v>
      </c>
      <c r="B60" s="15">
        <v>1055699368</v>
      </c>
      <c r="C60" s="15">
        <v>2273827210</v>
      </c>
      <c r="D60" s="15">
        <v>3842310966.8381701</v>
      </c>
      <c r="E60" s="15">
        <v>5307229114</v>
      </c>
      <c r="F60" s="16">
        <f>+E60+F16+F42+F20</f>
        <v>5933141969.6705246</v>
      </c>
      <c r="G60" s="16">
        <f>+F60+G16+G42+G20</f>
        <v>6614714974.9876499</v>
      </c>
      <c r="H60" s="16">
        <f>+G60+H16+H42+H20</f>
        <v>7351186979.023201</v>
      </c>
      <c r="I60" s="16">
        <f>+H60+I16+I42+I20</f>
        <v>8145882961.53339</v>
      </c>
    </row>
    <row r="61" spans="1:9" ht="14.4" thickBot="1" x14ac:dyDescent="0.35">
      <c r="A61" s="19" t="s">
        <v>46</v>
      </c>
      <c r="B61" s="20">
        <f>SUM(B59:B60)</f>
        <v>1058075627</v>
      </c>
      <c r="C61" s="20">
        <f t="shared" ref="C61:I61" si="13">SUM(C59:C60)</f>
        <v>2276976296</v>
      </c>
      <c r="D61" s="20">
        <f t="shared" si="13"/>
        <v>3844885948.8381701</v>
      </c>
      <c r="E61" s="20">
        <f t="shared" si="13"/>
        <v>5309161018.5600004</v>
      </c>
      <c r="F61" s="20">
        <f>SUM(F59:F60)</f>
        <v>5935143727.6409922</v>
      </c>
      <c r="G61" s="20">
        <f t="shared" si="13"/>
        <v>6616482507.235177</v>
      </c>
      <c r="H61" s="20">
        <f t="shared" si="13"/>
        <v>7352764300.1675892</v>
      </c>
      <c r="I61" s="20">
        <f t="shared" si="13"/>
        <v>8147320892.7330265</v>
      </c>
    </row>
    <row r="62" spans="1:9" ht="14.4" thickTop="1" x14ac:dyDescent="0.3">
      <c r="A62" s="14"/>
      <c r="B62" s="15"/>
      <c r="C62" s="15"/>
      <c r="D62" s="15"/>
      <c r="E62" s="15"/>
      <c r="F62" s="15"/>
      <c r="G62" s="15"/>
      <c r="H62" s="15"/>
      <c r="I62" s="15"/>
    </row>
    <row r="63" spans="1:9" ht="14.4" thickBot="1" x14ac:dyDescent="0.35">
      <c r="A63" s="19" t="s">
        <v>50</v>
      </c>
      <c r="B63" s="20">
        <f t="shared" ref="B63:I63" si="14">B53+B61</f>
        <v>1282852346</v>
      </c>
      <c r="C63" s="20">
        <f t="shared" si="14"/>
        <v>2457954427.0770001</v>
      </c>
      <c r="D63" s="20">
        <f t="shared" si="14"/>
        <v>3969275357.2473302</v>
      </c>
      <c r="E63" s="20">
        <f t="shared" si="14"/>
        <v>5523523733.5600004</v>
      </c>
      <c r="F63" s="20">
        <f t="shared" si="14"/>
        <v>6216152622.0655804</v>
      </c>
      <c r="G63" s="20">
        <f t="shared" si="14"/>
        <v>6881471906.0232143</v>
      </c>
      <c r="H63" s="20">
        <f t="shared" si="14"/>
        <v>7352764300.1675892</v>
      </c>
      <c r="I63" s="20">
        <f t="shared" si="14"/>
        <v>8147320892.7330265</v>
      </c>
    </row>
    <row r="64" spans="1:9" ht="14.4" thickTop="1" x14ac:dyDescent="0.3">
      <c r="A64" s="14"/>
      <c r="B64" s="30"/>
      <c r="C64" s="30"/>
      <c r="D64" s="30"/>
      <c r="E64" s="31"/>
      <c r="F64" s="31"/>
      <c r="G64" s="31"/>
      <c r="H64" s="31"/>
      <c r="I64" s="31"/>
    </row>
    <row r="65" spans="1:10" ht="13.8" x14ac:dyDescent="0.3">
      <c r="A65" s="14" t="s">
        <v>52</v>
      </c>
      <c r="B65" s="15">
        <v>439598</v>
      </c>
      <c r="C65" s="15">
        <v>1688949</v>
      </c>
      <c r="D65" s="15">
        <v>1315338</v>
      </c>
      <c r="E65" s="15">
        <v>1441003</v>
      </c>
      <c r="F65" s="16"/>
      <c r="G65" s="16"/>
      <c r="H65" s="16"/>
      <c r="I65" s="16"/>
    </row>
    <row r="66" spans="1:10" ht="13.8" x14ac:dyDescent="0.3">
      <c r="A66" s="14" t="s">
        <v>53</v>
      </c>
      <c r="B66" s="15">
        <v>8478485</v>
      </c>
      <c r="C66" s="15">
        <v>11469394</v>
      </c>
      <c r="D66" s="15">
        <v>4851845.0055550002</v>
      </c>
      <c r="E66" s="15">
        <v>4854428</v>
      </c>
      <c r="F66" s="16">
        <f>+E66*(F3+1)</f>
        <v>5263305.5479769995</v>
      </c>
      <c r="G66" s="16">
        <f>+F66*(G3+1)</f>
        <v>5510352.644675374</v>
      </c>
      <c r="H66" s="16">
        <f>+G66*(H3+1)</f>
        <v>5733129.7193317814</v>
      </c>
      <c r="I66" s="16">
        <f>+H66*(I3+1)</f>
        <v>5964913.4090258712</v>
      </c>
    </row>
    <row r="67" spans="1:10" ht="13.8" x14ac:dyDescent="0.3">
      <c r="A67" s="14" t="s">
        <v>54</v>
      </c>
      <c r="B67" s="15">
        <v>0</v>
      </c>
      <c r="C67" s="15">
        <v>0</v>
      </c>
      <c r="D67" s="15">
        <v>0</v>
      </c>
      <c r="E67" s="15">
        <v>0</v>
      </c>
      <c r="F67" s="16"/>
      <c r="G67" s="16"/>
      <c r="H67" s="16"/>
      <c r="I67" s="16"/>
    </row>
    <row r="68" spans="1:10" ht="13.8" x14ac:dyDescent="0.3">
      <c r="A68" s="14" t="s">
        <v>55</v>
      </c>
      <c r="B68" s="15">
        <v>266052</v>
      </c>
      <c r="C68" s="15">
        <v>296039</v>
      </c>
      <c r="D68" s="15">
        <v>343304.29100000003</v>
      </c>
      <c r="E68" s="15">
        <v>407396</v>
      </c>
      <c r="F68" s="16">
        <f>+E68*(F3+1)</f>
        <v>441710.04843899998</v>
      </c>
      <c r="G68" s="16">
        <f>+F68*(G3+1)</f>
        <v>462442.87195734878</v>
      </c>
      <c r="H68" s="16">
        <f>+G68*(H3+1)</f>
        <v>481138.89322014677</v>
      </c>
      <c r="I68" s="16">
        <f>+H68*(I3+1)</f>
        <v>500590.77262728056</v>
      </c>
    </row>
    <row r="69" spans="1:10" ht="13.8" x14ac:dyDescent="0.3">
      <c r="A69" s="14" t="s">
        <v>56</v>
      </c>
      <c r="B69" s="15">
        <v>141067302</v>
      </c>
      <c r="C69" s="15">
        <v>126478249</v>
      </c>
      <c r="D69" s="15">
        <v>125676808.00233001</v>
      </c>
      <c r="E69" s="15">
        <v>71099597</v>
      </c>
      <c r="F69" s="16"/>
      <c r="G69" s="16"/>
      <c r="H69" s="16"/>
      <c r="I69" s="16"/>
    </row>
    <row r="70" spans="1:10" ht="13.8" x14ac:dyDescent="0.3">
      <c r="A70" s="14" t="s">
        <v>57</v>
      </c>
      <c r="B70" s="15">
        <v>4505850</v>
      </c>
      <c r="C70" s="15">
        <v>0</v>
      </c>
      <c r="D70" s="15">
        <v>0</v>
      </c>
      <c r="E70" s="15">
        <v>0</v>
      </c>
      <c r="F70" s="16"/>
      <c r="G70" s="16"/>
      <c r="H70" s="16"/>
      <c r="I70" s="16"/>
    </row>
    <row r="71" spans="1:10" ht="13.8" x14ac:dyDescent="0.3">
      <c r="A71" s="14" t="s">
        <v>58</v>
      </c>
      <c r="B71" s="15">
        <v>0</v>
      </c>
      <c r="C71" s="15">
        <v>0</v>
      </c>
      <c r="D71" s="15">
        <v>0</v>
      </c>
      <c r="E71" s="15">
        <v>0</v>
      </c>
      <c r="F71" s="16"/>
      <c r="G71" s="16"/>
      <c r="H71" s="16"/>
      <c r="I71" s="16"/>
    </row>
    <row r="72" spans="1:10" ht="13.8" x14ac:dyDescent="0.3">
      <c r="A72" s="14" t="s">
        <v>59</v>
      </c>
      <c r="B72" s="15">
        <v>11415779</v>
      </c>
      <c r="C72" s="15">
        <v>3585906</v>
      </c>
      <c r="D72" s="15">
        <v>6309053.6809999999</v>
      </c>
      <c r="E72" s="15">
        <v>15111443</v>
      </c>
      <c r="F72" s="16"/>
      <c r="G72" s="16"/>
      <c r="H72" s="16"/>
      <c r="I72" s="16"/>
    </row>
    <row r="73" spans="1:10" ht="13.8" x14ac:dyDescent="0.3">
      <c r="A73" s="14" t="s">
        <v>38</v>
      </c>
      <c r="B73" s="15"/>
      <c r="C73" s="15"/>
      <c r="D73" s="15"/>
      <c r="E73" s="15"/>
      <c r="F73" s="16"/>
      <c r="G73" s="16"/>
      <c r="H73" s="16">
        <v>259177840.73222446</v>
      </c>
      <c r="I73" s="16">
        <v>142599602.54016304</v>
      </c>
    </row>
    <row r="74" spans="1:10" ht="14.4" thickBot="1" x14ac:dyDescent="0.35">
      <c r="A74" s="19" t="s">
        <v>61</v>
      </c>
      <c r="B74" s="20">
        <f t="shared" ref="B74:E74" si="15">SUM(B65:B72)</f>
        <v>166173066</v>
      </c>
      <c r="C74" s="20">
        <f t="shared" si="15"/>
        <v>143518537</v>
      </c>
      <c r="D74" s="20">
        <f t="shared" si="15"/>
        <v>138496348.97988501</v>
      </c>
      <c r="E74" s="20">
        <f t="shared" si="15"/>
        <v>92913867</v>
      </c>
      <c r="F74" s="20">
        <f t="shared" ref="F74:I74" si="16">SUM(F65:F73)</f>
        <v>5705015.5964159993</v>
      </c>
      <c r="G74" s="20">
        <f t="shared" si="16"/>
        <v>5972795.5166327227</v>
      </c>
      <c r="H74" s="20">
        <f>SUM(H65:H73)</f>
        <v>265392109.34477639</v>
      </c>
      <c r="I74" s="20">
        <f t="shared" si="16"/>
        <v>149065106.72181618</v>
      </c>
    </row>
    <row r="75" spans="1:10" ht="14.4" thickTop="1" x14ac:dyDescent="0.3">
      <c r="A75" s="14"/>
      <c r="B75" s="15"/>
      <c r="C75" s="15"/>
      <c r="D75" s="15"/>
      <c r="E75" s="15"/>
      <c r="F75" s="16"/>
      <c r="G75" s="16"/>
      <c r="H75" s="16"/>
      <c r="I75" s="16"/>
    </row>
    <row r="76" spans="1:10" ht="13.8" x14ac:dyDescent="0.3">
      <c r="A76" s="14" t="s">
        <v>62</v>
      </c>
      <c r="B76" s="15">
        <v>536940085</v>
      </c>
      <c r="C76" s="15">
        <v>1116815901</v>
      </c>
      <c r="D76" s="15">
        <v>1831591484.5</v>
      </c>
      <c r="E76" s="15">
        <v>2610406940</v>
      </c>
      <c r="F76" s="16">
        <f>+F149+F150+F151</f>
        <v>2739689599.9508638</v>
      </c>
      <c r="G76" s="16">
        <f>+G149+G150+G151</f>
        <v>2708268651.676425</v>
      </c>
      <c r="H76" s="16">
        <f>+H149+H151</f>
        <v>2079775287.3889511</v>
      </c>
      <c r="I76" s="16">
        <f>+I149+I151</f>
        <v>2087664014.70509</v>
      </c>
    </row>
    <row r="77" spans="1:10" ht="13.8" x14ac:dyDescent="0.3">
      <c r="A77" s="14" t="s">
        <v>63</v>
      </c>
      <c r="B77" s="15">
        <v>341571779</v>
      </c>
      <c r="C77" s="15">
        <v>659762878.0769999</v>
      </c>
      <c r="D77" s="15">
        <v>1082557487.4159999</v>
      </c>
      <c r="E77" s="15">
        <v>1446175469</v>
      </c>
      <c r="F77" s="16">
        <f>-((E42/5)*12)*(F3+1)+(E77*(F3+1))+F42</f>
        <v>1567983574.8590646</v>
      </c>
      <c r="G77" s="16">
        <f>-((F42/12)*12)*(G3+1)+(F77*(G3+1))+G42</f>
        <v>1641581010.2176404</v>
      </c>
      <c r="H77" s="16">
        <f>-((G42/12)*12)*(H3+1)+(G77*(H3+1))+H42</f>
        <v>1707948199.1889629</v>
      </c>
      <c r="I77" s="16">
        <f>-((H42/12)*12)*(I3+1)+(H77*(I3+1))+I42</f>
        <v>1776998535.5313501</v>
      </c>
      <c r="J77" s="33"/>
    </row>
    <row r="78" spans="1:10" ht="14.4" thickBot="1" x14ac:dyDescent="0.35">
      <c r="A78" s="19" t="s">
        <v>64</v>
      </c>
      <c r="B78" s="20">
        <f t="shared" ref="B78:I78" si="17">SUM(B76:B77)</f>
        <v>878511864</v>
      </c>
      <c r="C78" s="20">
        <f t="shared" si="17"/>
        <v>1776578779.0769999</v>
      </c>
      <c r="D78" s="20">
        <f t="shared" si="17"/>
        <v>2914148971.9159999</v>
      </c>
      <c r="E78" s="20">
        <f t="shared" si="17"/>
        <v>4056582409</v>
      </c>
      <c r="F78" s="20">
        <f t="shared" si="17"/>
        <v>4307673174.8099289</v>
      </c>
      <c r="G78" s="20">
        <f t="shared" si="17"/>
        <v>4349849661.8940659</v>
      </c>
      <c r="H78" s="20">
        <f t="shared" si="17"/>
        <v>3787723486.5779142</v>
      </c>
      <c r="I78" s="20">
        <f t="shared" si="17"/>
        <v>3864662550.2364402</v>
      </c>
      <c r="J78" s="33"/>
    </row>
    <row r="79" spans="1:10" ht="14.4" thickTop="1" x14ac:dyDescent="0.3">
      <c r="A79" s="14"/>
      <c r="B79" s="15"/>
      <c r="C79" s="15"/>
      <c r="D79" s="15"/>
      <c r="E79" s="15"/>
      <c r="F79" s="15"/>
      <c r="G79" s="15"/>
      <c r="H79" s="15"/>
      <c r="I79" s="15"/>
    </row>
    <row r="80" spans="1:10" ht="14.4" thickBot="1" x14ac:dyDescent="0.35">
      <c r="A80" s="19" t="s">
        <v>65</v>
      </c>
      <c r="B80" s="20">
        <f t="shared" ref="B80:I80" si="18">B74+B78</f>
        <v>1044684930</v>
      </c>
      <c r="C80" s="20">
        <f t="shared" si="18"/>
        <v>1920097316.0769999</v>
      </c>
      <c r="D80" s="20">
        <f t="shared" si="18"/>
        <v>3052645320.895885</v>
      </c>
      <c r="E80" s="20">
        <f t="shared" si="18"/>
        <v>4149496276</v>
      </c>
      <c r="F80" s="20">
        <f t="shared" si="18"/>
        <v>4313378190.4063454</v>
      </c>
      <c r="G80" s="20">
        <f t="shared" si="18"/>
        <v>4355822457.4106989</v>
      </c>
      <c r="H80" s="20">
        <f t="shared" si="18"/>
        <v>4053115595.9226904</v>
      </c>
      <c r="I80" s="20">
        <f t="shared" si="18"/>
        <v>4013727656.9582562</v>
      </c>
    </row>
    <row r="81" spans="1:9" ht="14.4" thickTop="1" x14ac:dyDescent="0.3">
      <c r="A81" s="14"/>
      <c r="B81" s="15"/>
      <c r="C81" s="15"/>
      <c r="D81" s="15"/>
      <c r="E81" s="15"/>
      <c r="F81" s="16"/>
      <c r="G81" s="16"/>
      <c r="H81" s="16"/>
      <c r="I81" s="16"/>
    </row>
    <row r="82" spans="1:9" ht="13.8" x14ac:dyDescent="0.3">
      <c r="A82" s="14" t="s">
        <v>66</v>
      </c>
      <c r="B82" s="15">
        <v>2000000</v>
      </c>
      <c r="C82" s="15">
        <v>4302000</v>
      </c>
      <c r="D82" s="15">
        <v>16910500.09</v>
      </c>
      <c r="E82" s="15">
        <v>16910500</v>
      </c>
      <c r="F82" s="16">
        <f>+E82</f>
        <v>16910500</v>
      </c>
      <c r="G82" s="16">
        <f>+F82</f>
        <v>16910500</v>
      </c>
      <c r="H82" s="16">
        <f>+G82</f>
        <v>16910500</v>
      </c>
      <c r="I82" s="16">
        <f>+H82</f>
        <v>16910500</v>
      </c>
    </row>
    <row r="83" spans="1:9" ht="13.8" x14ac:dyDescent="0.3">
      <c r="A83" s="14" t="s">
        <v>67</v>
      </c>
      <c r="B83" s="15">
        <v>0</v>
      </c>
      <c r="C83" s="15">
        <v>545643</v>
      </c>
      <c r="D83" s="15">
        <v>545643.06333000003</v>
      </c>
      <c r="E83" s="15">
        <f>545643-0.44</f>
        <v>545642.56000000006</v>
      </c>
      <c r="F83" s="16">
        <f>545643-0.44</f>
        <v>545642.56000000006</v>
      </c>
      <c r="G83" s="16">
        <f>545643-0.44</f>
        <v>545642.56000000006</v>
      </c>
      <c r="H83" s="16">
        <f>545643-0.44</f>
        <v>545642.56000000006</v>
      </c>
      <c r="I83" s="16">
        <f>545643-0.44</f>
        <v>545642.56000000006</v>
      </c>
    </row>
    <row r="84" spans="1:9" ht="13.8" x14ac:dyDescent="0.3">
      <c r="A84" s="14" t="s">
        <v>68</v>
      </c>
      <c r="B84" s="15">
        <v>0</v>
      </c>
      <c r="C84" s="15">
        <v>0</v>
      </c>
      <c r="D84" s="15">
        <v>0</v>
      </c>
      <c r="E84" s="15">
        <v>0</v>
      </c>
      <c r="F84" s="16"/>
      <c r="G84" s="16"/>
      <c r="H84" s="16"/>
      <c r="I84" s="16"/>
    </row>
    <row r="85" spans="1:9" ht="13.8" x14ac:dyDescent="0.3">
      <c r="A85" s="14" t="s">
        <v>69</v>
      </c>
      <c r="B85" s="15">
        <v>1462820</v>
      </c>
      <c r="C85" s="15">
        <v>232508090</v>
      </c>
      <c r="D85" s="15">
        <v>529343803.52322</v>
      </c>
      <c r="E85" s="15">
        <v>791264959</v>
      </c>
      <c r="F85" s="16">
        <f>+E85+E86</f>
        <v>1352911989</v>
      </c>
      <c r="G85" s="16">
        <f>+F85+F86</f>
        <v>1881658963.0992355</v>
      </c>
      <c r="H85" s="16">
        <f>+G85+G86</f>
        <v>2504533980.052515</v>
      </c>
      <c r="I85" s="16">
        <f>+H85+H86</f>
        <v>3278533235.6848984</v>
      </c>
    </row>
    <row r="86" spans="1:9" ht="13.8" x14ac:dyDescent="0.3">
      <c r="A86" s="14" t="s">
        <v>70</v>
      </c>
      <c r="B86" s="15">
        <v>0</v>
      </c>
      <c r="C86" s="15">
        <v>296842052</v>
      </c>
      <c r="D86" s="15">
        <v>366164425.53200001</v>
      </c>
      <c r="E86" s="15">
        <v>561647030</v>
      </c>
      <c r="F86" s="16">
        <f>+F26+F27</f>
        <v>528746974.09923553</v>
      </c>
      <c r="G86" s="16">
        <f>+G26+G27</f>
        <v>622875016.95327961</v>
      </c>
      <c r="H86" s="16">
        <f>+H26+H27</f>
        <v>773999255.63238335</v>
      </c>
      <c r="I86" s="16">
        <f>+I26+I27</f>
        <v>833944531.52987266</v>
      </c>
    </row>
    <row r="87" spans="1:9" ht="13.8" x14ac:dyDescent="0.3">
      <c r="A87" s="14" t="s">
        <v>71</v>
      </c>
      <c r="B87" s="15">
        <v>234704596</v>
      </c>
      <c r="C87" s="15">
        <v>3659326</v>
      </c>
      <c r="D87" s="15">
        <v>3665664.1428949796</v>
      </c>
      <c r="E87" s="15">
        <v>3659326</v>
      </c>
      <c r="F87" s="16">
        <f>+E87</f>
        <v>3659326</v>
      </c>
      <c r="G87" s="16">
        <f>+F87</f>
        <v>3659326</v>
      </c>
      <c r="H87" s="16">
        <f>+G87</f>
        <v>3659326</v>
      </c>
      <c r="I87" s="16">
        <f>+H87</f>
        <v>3659326</v>
      </c>
    </row>
    <row r="88" spans="1:9" ht="14.4" thickBot="1" x14ac:dyDescent="0.35">
      <c r="A88" s="19" t="s">
        <v>72</v>
      </c>
      <c r="B88" s="20">
        <f t="shared" ref="B88:I88" si="19">SUM(B82:B87)</f>
        <v>238167416</v>
      </c>
      <c r="C88" s="20">
        <f t="shared" si="19"/>
        <v>537857111</v>
      </c>
      <c r="D88" s="20">
        <f t="shared" si="19"/>
        <v>916630036.35144496</v>
      </c>
      <c r="E88" s="20">
        <f t="shared" si="19"/>
        <v>1374027457.5599999</v>
      </c>
      <c r="F88" s="20">
        <f t="shared" si="19"/>
        <v>1902774431.6592355</v>
      </c>
      <c r="G88" s="20">
        <f t="shared" si="19"/>
        <v>2525649448.612515</v>
      </c>
      <c r="H88" s="20">
        <f t="shared" si="19"/>
        <v>3299648704.2448983</v>
      </c>
      <c r="I88" s="20">
        <f t="shared" si="19"/>
        <v>4133593235.7747707</v>
      </c>
    </row>
    <row r="89" spans="1:9" ht="14.4" thickTop="1" x14ac:dyDescent="0.3">
      <c r="A89" s="14"/>
      <c r="B89" s="15"/>
      <c r="C89" s="15"/>
      <c r="D89" s="15"/>
      <c r="E89" s="15"/>
      <c r="F89" s="15"/>
      <c r="G89" s="15"/>
      <c r="H89" s="15"/>
      <c r="I89" s="15"/>
    </row>
    <row r="90" spans="1:9" ht="14.4" thickBot="1" x14ac:dyDescent="0.35">
      <c r="A90" s="19" t="s">
        <v>73</v>
      </c>
      <c r="B90" s="20">
        <f t="shared" ref="B90:I90" si="20">B80+B88</f>
        <v>1282852346</v>
      </c>
      <c r="C90" s="20">
        <f t="shared" si="20"/>
        <v>2457954427.0769997</v>
      </c>
      <c r="D90" s="20">
        <f t="shared" si="20"/>
        <v>3969275357.2473297</v>
      </c>
      <c r="E90" s="20">
        <f t="shared" si="20"/>
        <v>5523523733.5599995</v>
      </c>
      <c r="F90" s="20">
        <f t="shared" si="20"/>
        <v>6216152622.0655804</v>
      </c>
      <c r="G90" s="20">
        <f t="shared" si="20"/>
        <v>6881471906.0232143</v>
      </c>
      <c r="H90" s="20">
        <f t="shared" si="20"/>
        <v>7352764300.1675892</v>
      </c>
      <c r="I90" s="20">
        <f t="shared" si="20"/>
        <v>8147320892.7330265</v>
      </c>
    </row>
    <row r="91" spans="1:9" ht="14.4" thickTop="1" x14ac:dyDescent="0.3">
      <c r="A91" s="14"/>
      <c r="B91" s="34"/>
      <c r="C91" s="34"/>
      <c r="D91" s="34"/>
      <c r="E91" s="35"/>
      <c r="F91" s="35"/>
      <c r="G91" s="35"/>
      <c r="H91" s="35"/>
      <c r="I91" s="35"/>
    </row>
    <row r="92" spans="1:9" ht="13.8" x14ac:dyDescent="0.3">
      <c r="A92" s="36" t="s">
        <v>74</v>
      </c>
      <c r="B92" s="37">
        <f t="shared" ref="B92:I92" si="21">B63-B90</f>
        <v>0</v>
      </c>
      <c r="C92" s="37">
        <f t="shared" si="21"/>
        <v>0</v>
      </c>
      <c r="D92" s="37">
        <f t="shared" si="21"/>
        <v>0</v>
      </c>
      <c r="E92" s="37">
        <f t="shared" si="21"/>
        <v>0</v>
      </c>
      <c r="F92" s="37">
        <f t="shared" si="21"/>
        <v>0</v>
      </c>
      <c r="G92" s="37">
        <f t="shared" si="21"/>
        <v>0</v>
      </c>
      <c r="H92" s="37">
        <f t="shared" si="21"/>
        <v>0</v>
      </c>
      <c r="I92" s="37">
        <f t="shared" si="21"/>
        <v>0</v>
      </c>
    </row>
    <row r="94" spans="1:9" ht="15.6" x14ac:dyDescent="0.3">
      <c r="A94" s="38" t="s">
        <v>75</v>
      </c>
      <c r="B94" s="39">
        <f t="shared" ref="B94:I94" si="22">+B44</f>
        <v>2018</v>
      </c>
      <c r="C94" s="39">
        <f t="shared" si="22"/>
        <v>2019</v>
      </c>
      <c r="D94" s="39">
        <f t="shared" si="22"/>
        <v>2020</v>
      </c>
      <c r="E94" s="39">
        <f t="shared" si="22"/>
        <v>2021</v>
      </c>
      <c r="F94" s="39">
        <f t="shared" si="22"/>
        <v>2022</v>
      </c>
      <c r="G94" s="39">
        <f t="shared" si="22"/>
        <v>2023</v>
      </c>
      <c r="H94" s="39">
        <f t="shared" si="22"/>
        <v>2024</v>
      </c>
      <c r="I94" s="39">
        <f t="shared" si="22"/>
        <v>2025</v>
      </c>
    </row>
    <row r="95" spans="1:9" ht="13.8" x14ac:dyDescent="0.3">
      <c r="A95" s="40" t="s">
        <v>76</v>
      </c>
      <c r="B95" s="41"/>
      <c r="C95" s="41"/>
      <c r="D95" s="42"/>
      <c r="E95" s="42"/>
    </row>
    <row r="96" spans="1:9" ht="13.8" x14ac:dyDescent="0.3">
      <c r="A96" s="4" t="s">
        <v>77</v>
      </c>
      <c r="B96" s="15">
        <f>-B104</f>
        <v>-2376259</v>
      </c>
      <c r="C96" s="15">
        <f t="shared" ref="C96:I96" si="23">-C104</f>
        <v>-3149086</v>
      </c>
      <c r="D96" s="15">
        <f t="shared" si="23"/>
        <v>-2574982</v>
      </c>
      <c r="E96" s="15">
        <f t="shared" si="23"/>
        <v>-1931904.5599999996</v>
      </c>
      <c r="F96" s="16">
        <f t="shared" si="23"/>
        <v>-2001757.9704679772</v>
      </c>
      <c r="G96" s="16">
        <f t="shared" si="23"/>
        <v>-1767532.2475275109</v>
      </c>
      <c r="H96" s="16">
        <f t="shared" si="23"/>
        <v>-1577321.1443885555</v>
      </c>
      <c r="I96" s="16">
        <f t="shared" si="23"/>
        <v>-1437931.1996367564</v>
      </c>
    </row>
    <row r="97" spans="1:13" ht="13.8" x14ac:dyDescent="0.3">
      <c r="A97" s="4" t="s">
        <v>78</v>
      </c>
      <c r="B97" s="15">
        <f t="shared" ref="B97:E98" si="24">B$101*B99</f>
        <v>0</v>
      </c>
      <c r="C97" s="15">
        <f t="shared" si="24"/>
        <v>0</v>
      </c>
      <c r="D97" s="15">
        <f t="shared" si="24"/>
        <v>0</v>
      </c>
      <c r="E97" s="15">
        <f t="shared" si="24"/>
        <v>0</v>
      </c>
      <c r="F97" s="16"/>
      <c r="G97" s="16"/>
      <c r="H97" s="16"/>
      <c r="I97" s="16"/>
    </row>
    <row r="98" spans="1:13" ht="13.8" x14ac:dyDescent="0.3">
      <c r="A98" s="4" t="s">
        <v>79</v>
      </c>
      <c r="B98" s="15">
        <f t="shared" si="24"/>
        <v>0</v>
      </c>
      <c r="C98" s="15">
        <f t="shared" si="24"/>
        <v>0</v>
      </c>
      <c r="D98" s="15">
        <f t="shared" si="24"/>
        <v>0</v>
      </c>
      <c r="E98" s="15">
        <f t="shared" si="24"/>
        <v>0</v>
      </c>
      <c r="F98" s="16"/>
      <c r="G98" s="16"/>
      <c r="H98" s="16"/>
      <c r="I98" s="16"/>
    </row>
    <row r="99" spans="1:13" ht="13.8" x14ac:dyDescent="0.3">
      <c r="A99" s="4" t="s">
        <v>80</v>
      </c>
      <c r="B99" s="58">
        <v>1</v>
      </c>
      <c r="C99" s="58">
        <v>1</v>
      </c>
      <c r="D99" s="58">
        <v>1</v>
      </c>
      <c r="E99" s="58">
        <v>1</v>
      </c>
      <c r="F99" s="60">
        <v>1</v>
      </c>
      <c r="G99" s="60">
        <v>1</v>
      </c>
      <c r="H99" s="60">
        <v>1</v>
      </c>
      <c r="I99" s="60">
        <v>1</v>
      </c>
    </row>
    <row r="100" spans="1:13" ht="13.8" x14ac:dyDescent="0.3">
      <c r="A100" s="4" t="s">
        <v>81</v>
      </c>
      <c r="B100" s="59">
        <f t="shared" ref="B100:I100" si="25">1-B99</f>
        <v>0</v>
      </c>
      <c r="C100" s="59">
        <f t="shared" si="25"/>
        <v>0</v>
      </c>
      <c r="D100" s="59">
        <f t="shared" si="25"/>
        <v>0</v>
      </c>
      <c r="E100" s="59">
        <f t="shared" si="25"/>
        <v>0</v>
      </c>
      <c r="F100" s="44">
        <f t="shared" si="25"/>
        <v>0</v>
      </c>
      <c r="G100" s="44">
        <f t="shared" si="25"/>
        <v>0</v>
      </c>
      <c r="H100" s="44">
        <f t="shared" si="25"/>
        <v>0</v>
      </c>
      <c r="I100" s="44">
        <f t="shared" si="25"/>
        <v>0</v>
      </c>
    </row>
    <row r="101" spans="1:13" ht="13.8" x14ac:dyDescent="0.3">
      <c r="A101" s="14"/>
      <c r="B101" s="57"/>
      <c r="C101" s="57"/>
      <c r="D101" s="57"/>
      <c r="E101" s="57"/>
      <c r="F101" s="43"/>
      <c r="G101" s="43"/>
      <c r="H101" s="43"/>
      <c r="I101" s="43"/>
    </row>
    <row r="102" spans="1:13" ht="13.8" x14ac:dyDescent="0.3">
      <c r="A102" s="14" t="s">
        <v>82</v>
      </c>
      <c r="B102" s="57">
        <f>+B55</f>
        <v>4211156</v>
      </c>
      <c r="C102" s="57">
        <f t="shared" ref="C102:I103" si="26">+C55</f>
        <v>5931715</v>
      </c>
      <c r="D102" s="57">
        <f t="shared" si="26"/>
        <v>6142183</v>
      </c>
      <c r="E102" s="57">
        <f t="shared" si="26"/>
        <v>6300509.5599999996</v>
      </c>
      <c r="F102" s="43">
        <f t="shared" si="26"/>
        <v>6502485.5714169256</v>
      </c>
      <c r="G102" s="43">
        <f t="shared" si="26"/>
        <v>6755786.0236653397</v>
      </c>
      <c r="H102" s="43">
        <f t="shared" si="26"/>
        <v>7069561.9711275324</v>
      </c>
      <c r="I102" s="43">
        <f t="shared" si="26"/>
        <v>7454726.270713917</v>
      </c>
    </row>
    <row r="103" spans="1:13" ht="13.8" x14ac:dyDescent="0.3">
      <c r="A103" s="14" t="s">
        <v>41</v>
      </c>
      <c r="B103" s="57">
        <f>+B56</f>
        <v>-1834897</v>
      </c>
      <c r="C103" s="57">
        <f t="shared" si="26"/>
        <v>-2782629</v>
      </c>
      <c r="D103" s="57">
        <f t="shared" si="26"/>
        <v>-3567201</v>
      </c>
      <c r="E103" s="57">
        <f t="shared" si="26"/>
        <v>-4368605</v>
      </c>
      <c r="F103" s="43">
        <f t="shared" si="26"/>
        <v>-4500727.6009489484</v>
      </c>
      <c r="G103" s="43">
        <f t="shared" si="26"/>
        <v>-4988253.7761378288</v>
      </c>
      <c r="H103" s="43">
        <f t="shared" si="26"/>
        <v>-5492240.8267389769</v>
      </c>
      <c r="I103" s="43">
        <f t="shared" si="26"/>
        <v>-6016795.0710771605</v>
      </c>
    </row>
    <row r="104" spans="1:13" ht="13.8" x14ac:dyDescent="0.3">
      <c r="A104" s="14" t="s">
        <v>83</v>
      </c>
      <c r="B104" s="57">
        <f t="shared" ref="B104:I104" si="27">+B102+B103</f>
        <v>2376259</v>
      </c>
      <c r="C104" s="57">
        <f t="shared" si="27"/>
        <v>3149086</v>
      </c>
      <c r="D104" s="57">
        <f t="shared" si="27"/>
        <v>2574982</v>
      </c>
      <c r="E104" s="57">
        <f t="shared" si="27"/>
        <v>1931904.5599999996</v>
      </c>
      <c r="F104" s="43">
        <f t="shared" si="27"/>
        <v>2001757.9704679772</v>
      </c>
      <c r="G104" s="43">
        <f t="shared" si="27"/>
        <v>1767532.2475275109</v>
      </c>
      <c r="H104" s="43">
        <f t="shared" si="27"/>
        <v>1577321.1443885555</v>
      </c>
      <c r="I104" s="43">
        <f t="shared" si="27"/>
        <v>1437931.1996367564</v>
      </c>
    </row>
    <row r="105" spans="1:13" ht="13.8" x14ac:dyDescent="0.3">
      <c r="A105" s="14"/>
      <c r="B105" s="42"/>
      <c r="C105" s="42"/>
      <c r="D105" s="45"/>
      <c r="E105" s="45"/>
      <c r="F105" s="45"/>
      <c r="G105" s="45"/>
      <c r="H105" s="45"/>
      <c r="I105" s="45"/>
      <c r="K105" s="47" t="s">
        <v>104</v>
      </c>
      <c r="L105" s="47"/>
      <c r="M105" s="47"/>
    </row>
    <row r="106" spans="1:13" ht="13.8" x14ac:dyDescent="0.3">
      <c r="A106" s="1" t="s">
        <v>84</v>
      </c>
      <c r="B106" s="46">
        <f t="shared" ref="B106:I106" si="28">B94</f>
        <v>2018</v>
      </c>
      <c r="C106" s="46">
        <f t="shared" si="28"/>
        <v>2019</v>
      </c>
      <c r="D106" s="46">
        <f t="shared" si="28"/>
        <v>2020</v>
      </c>
      <c r="E106" s="46">
        <f t="shared" si="28"/>
        <v>2021</v>
      </c>
      <c r="F106" s="46">
        <f t="shared" si="28"/>
        <v>2022</v>
      </c>
      <c r="G106" s="46">
        <f t="shared" si="28"/>
        <v>2023</v>
      </c>
      <c r="H106" s="46">
        <f t="shared" si="28"/>
        <v>2024</v>
      </c>
      <c r="I106" s="46">
        <f t="shared" si="28"/>
        <v>2025</v>
      </c>
      <c r="K106" s="47" t="s">
        <v>100</v>
      </c>
      <c r="L106" s="47"/>
      <c r="M106" s="48"/>
    </row>
    <row r="107" spans="1:13" ht="13.8" x14ac:dyDescent="0.3">
      <c r="A107" s="49" t="s">
        <v>85</v>
      </c>
      <c r="B107" s="50"/>
      <c r="C107" s="50">
        <v>816238</v>
      </c>
      <c r="D107" s="50">
        <v>837615.79499999993</v>
      </c>
      <c r="E107" s="50">
        <v>976849.79500000004</v>
      </c>
      <c r="F107" s="16">
        <f>+(((E107-D107)/D107)*E107)+E107</f>
        <v>1139228.1851508569</v>
      </c>
      <c r="G107" s="16">
        <f t="shared" ref="G107:I111" si="29">+(((F107-E107)/E107)*F107)+F107</f>
        <v>1328598.1780260443</v>
      </c>
      <c r="H107" s="16">
        <f t="shared" si="29"/>
        <v>1549446.4951465188</v>
      </c>
      <c r="I107" s="16">
        <f t="shared" si="29"/>
        <v>1807005.6703591</v>
      </c>
      <c r="K107" s="51" t="s">
        <v>93</v>
      </c>
      <c r="L107" s="51" t="s">
        <v>86</v>
      </c>
      <c r="M107" s="51" t="s">
        <v>87</v>
      </c>
    </row>
    <row r="108" spans="1:13" ht="13.8" x14ac:dyDescent="0.3">
      <c r="A108" s="49" t="s">
        <v>88</v>
      </c>
      <c r="B108" s="50">
        <v>55790</v>
      </c>
      <c r="C108" s="50">
        <v>346570</v>
      </c>
      <c r="D108" s="50">
        <v>391124.71</v>
      </c>
      <c r="E108" s="50">
        <v>475196.92499999999</v>
      </c>
      <c r="F108" s="16">
        <f>+(((E108-D108)/D108)*E108)+E108</f>
        <v>577340.4537122075</v>
      </c>
      <c r="G108" s="16">
        <f t="shared" si="29"/>
        <v>701439.72310556856</v>
      </c>
      <c r="H108" s="16">
        <f t="shared" si="29"/>
        <v>852214.11731469887</v>
      </c>
      <c r="I108" s="16">
        <f t="shared" si="29"/>
        <v>1035397.4515942347</v>
      </c>
      <c r="K108" s="52">
        <v>20</v>
      </c>
      <c r="L108" s="52">
        <v>7</v>
      </c>
      <c r="M108" s="52">
        <f>+K108-L108</f>
        <v>13</v>
      </c>
    </row>
    <row r="109" spans="1:13" ht="13.8" x14ac:dyDescent="0.3">
      <c r="A109" s="49" t="s">
        <v>89</v>
      </c>
      <c r="B109" s="50">
        <v>175676</v>
      </c>
      <c r="C109" s="50">
        <v>180648</v>
      </c>
      <c r="D109" s="50">
        <v>179316.56299999999</v>
      </c>
      <c r="E109" s="50">
        <v>176478.47200000001</v>
      </c>
      <c r="F109" s="16">
        <f>+(((E109-D109)/D109)*E109)+E109</f>
        <v>173685.3002221261</v>
      </c>
      <c r="G109" s="16">
        <f t="shared" si="29"/>
        <v>170936.33671788633</v>
      </c>
      <c r="H109" s="16">
        <f t="shared" si="29"/>
        <v>168230.88179115989</v>
      </c>
      <c r="I109" s="16">
        <f t="shared" si="29"/>
        <v>165568.24682010285</v>
      </c>
      <c r="K109" s="52">
        <v>15</v>
      </c>
      <c r="L109" s="52">
        <v>7</v>
      </c>
      <c r="M109" s="52">
        <f>+K109-L109</f>
        <v>8</v>
      </c>
    </row>
    <row r="110" spans="1:13" ht="13.8" x14ac:dyDescent="0.3">
      <c r="A110" s="49" t="s">
        <v>90</v>
      </c>
      <c r="B110" s="50">
        <v>1593130</v>
      </c>
      <c r="C110" s="50">
        <v>1685797</v>
      </c>
      <c r="D110" s="50">
        <v>1704788.8289999999</v>
      </c>
      <c r="E110" s="50">
        <v>1723837.263</v>
      </c>
      <c r="F110" s="16">
        <f>+(((E110-D110)/D110)*E110)+E110</f>
        <v>1743098.5344093498</v>
      </c>
      <c r="G110" s="16">
        <f t="shared" si="29"/>
        <v>1762575.0213638486</v>
      </c>
      <c r="H110" s="16">
        <f t="shared" si="29"/>
        <v>1782269.1285713627</v>
      </c>
      <c r="I110" s="16">
        <f t="shared" si="29"/>
        <v>1802183.287608728</v>
      </c>
      <c r="K110" s="52">
        <v>5</v>
      </c>
      <c r="L110" s="52">
        <v>5</v>
      </c>
      <c r="M110" s="52">
        <f>+K110-L110</f>
        <v>0</v>
      </c>
    </row>
    <row r="111" spans="1:13" ht="13.8" x14ac:dyDescent="0.3">
      <c r="A111" s="49" t="s">
        <v>91</v>
      </c>
      <c r="B111" s="50">
        <v>2386560</v>
      </c>
      <c r="C111" s="50">
        <v>2902462</v>
      </c>
      <c r="D111" s="50">
        <v>3029337.105</v>
      </c>
      <c r="E111" s="50">
        <v>2948147.105</v>
      </c>
      <c r="F111" s="16">
        <f>+(((E111-D111)/D111)*E111)+E111</f>
        <v>2869133.0979223857</v>
      </c>
      <c r="G111" s="16">
        <f t="shared" si="29"/>
        <v>2792236.7644519918</v>
      </c>
      <c r="H111" s="16">
        <f t="shared" si="29"/>
        <v>2717401.3483037925</v>
      </c>
      <c r="I111" s="16">
        <f t="shared" si="29"/>
        <v>2644571.6143317511</v>
      </c>
      <c r="K111" s="52">
        <v>5</v>
      </c>
      <c r="L111" s="52">
        <v>5</v>
      </c>
      <c r="M111" s="52">
        <f>+K111-L111</f>
        <v>0</v>
      </c>
    </row>
    <row r="112" spans="1:13" ht="13.8" x14ac:dyDescent="0.3">
      <c r="A112" s="49" t="s">
        <v>92</v>
      </c>
      <c r="B112" s="50"/>
      <c r="C112" s="50"/>
      <c r="D112" s="50">
        <v>0</v>
      </c>
      <c r="E112" s="50"/>
      <c r="K112" s="52">
        <v>5</v>
      </c>
      <c r="L112" s="52">
        <v>5</v>
      </c>
      <c r="M112" s="52">
        <f>+K112-L112</f>
        <v>0</v>
      </c>
    </row>
    <row r="113" spans="1:14" ht="14.4" thickBot="1" x14ac:dyDescent="0.35">
      <c r="A113" s="19" t="s">
        <v>93</v>
      </c>
      <c r="B113" s="53">
        <f t="shared" ref="B113:I113" si="30">SUM(B107:B112)</f>
        <v>4211156</v>
      </c>
      <c r="C113" s="53">
        <f t="shared" si="30"/>
        <v>5931715</v>
      </c>
      <c r="D113" s="53">
        <f t="shared" si="30"/>
        <v>6142183.0020000003</v>
      </c>
      <c r="E113" s="53">
        <f t="shared" si="30"/>
        <v>6300509.5600000005</v>
      </c>
      <c r="F113" s="53">
        <f t="shared" si="30"/>
        <v>6502485.5714169256</v>
      </c>
      <c r="G113" s="53">
        <f t="shared" si="30"/>
        <v>6755786.0236653397</v>
      </c>
      <c r="H113" s="53">
        <f t="shared" si="30"/>
        <v>7069561.9711275324</v>
      </c>
      <c r="I113" s="53">
        <f t="shared" si="30"/>
        <v>7454726.270713917</v>
      </c>
    </row>
    <row r="114" spans="1:14" ht="14.4" thickTop="1" x14ac:dyDescent="0.3">
      <c r="A114" s="54"/>
      <c r="B114" s="55"/>
      <c r="C114" s="55"/>
      <c r="D114" s="55"/>
      <c r="E114" s="55"/>
    </row>
    <row r="115" spans="1:14" ht="13.8" x14ac:dyDescent="0.3">
      <c r="A115" s="36" t="s">
        <v>94</v>
      </c>
      <c r="B115" s="37">
        <f t="shared" ref="B115:I115" si="31">B113-B102</f>
        <v>0</v>
      </c>
      <c r="C115" s="37">
        <f t="shared" si="31"/>
        <v>0</v>
      </c>
      <c r="D115" s="37">
        <f t="shared" si="31"/>
        <v>2.0000003278255463E-3</v>
      </c>
      <c r="E115" s="37">
        <f t="shared" si="31"/>
        <v>0</v>
      </c>
      <c r="F115" s="37">
        <f t="shared" si="31"/>
        <v>0</v>
      </c>
      <c r="G115" s="37">
        <f t="shared" si="31"/>
        <v>0</v>
      </c>
      <c r="H115" s="37">
        <f t="shared" si="31"/>
        <v>0</v>
      </c>
      <c r="I115" s="37">
        <f t="shared" si="31"/>
        <v>0</v>
      </c>
    </row>
    <row r="116" spans="1:14" ht="13.8" x14ac:dyDescent="0.3">
      <c r="A116" s="54"/>
      <c r="B116" s="55"/>
      <c r="C116" s="55"/>
      <c r="D116" s="55"/>
      <c r="E116" s="55"/>
      <c r="F116" s="55"/>
      <c r="G116" s="55"/>
      <c r="H116" s="55"/>
      <c r="I116" s="55"/>
      <c r="K116" s="47" t="s">
        <v>103</v>
      </c>
      <c r="L116" s="47"/>
      <c r="M116" s="47"/>
    </row>
    <row r="117" spans="1:14" ht="13.8" x14ac:dyDescent="0.3">
      <c r="A117" s="1" t="s">
        <v>95</v>
      </c>
      <c r="B117" s="46">
        <f>B106</f>
        <v>2018</v>
      </c>
      <c r="C117" s="46">
        <f t="shared" ref="C117:I117" si="32">C106</f>
        <v>2019</v>
      </c>
      <c r="D117" s="46">
        <f t="shared" si="32"/>
        <v>2020</v>
      </c>
      <c r="E117" s="46">
        <f t="shared" si="32"/>
        <v>2021</v>
      </c>
      <c r="F117" s="46">
        <f t="shared" si="32"/>
        <v>2022</v>
      </c>
      <c r="G117" s="46">
        <f t="shared" si="32"/>
        <v>2023</v>
      </c>
      <c r="H117" s="46">
        <f t="shared" si="32"/>
        <v>2024</v>
      </c>
      <c r="I117" s="46">
        <f t="shared" si="32"/>
        <v>2025</v>
      </c>
      <c r="K117" s="47" t="s">
        <v>100</v>
      </c>
      <c r="L117" s="47"/>
      <c r="M117" s="48"/>
    </row>
    <row r="118" spans="1:14" ht="13.8" x14ac:dyDescent="0.3">
      <c r="A118" s="14" t="str">
        <f>A107</f>
        <v>Edificios</v>
      </c>
      <c r="B118" s="15"/>
      <c r="C118" s="15">
        <v>-153111</v>
      </c>
      <c r="D118" s="15">
        <v>-327983</v>
      </c>
      <c r="E118" s="15">
        <v>-504540</v>
      </c>
      <c r="F118" s="16">
        <f>-IFERROR((E107/$M108),0)+((F107-E107)/$M119)+E118</f>
        <v>-571563.3724155341</v>
      </c>
      <c r="G118" s="16">
        <f>-(F107/$M$108)+((G107-F107)/$M$119)+F118</f>
        <v>-649727.81009107141</v>
      </c>
      <c r="H118" s="16">
        <f>-(G107/$M$108)+((H107-G107)/$M$119)+G118</f>
        <v>-740885.2540832049</v>
      </c>
      <c r="I118" s="16">
        <f>-(H107/$M$108)+((I107-H107)/$M$119)+H118</f>
        <v>-847195.48725692346</v>
      </c>
      <c r="K118" s="51" t="s">
        <v>93</v>
      </c>
      <c r="L118" s="51" t="s">
        <v>86</v>
      </c>
      <c r="M118" s="51" t="s">
        <v>87</v>
      </c>
    </row>
    <row r="119" spans="1:14" ht="13.8" x14ac:dyDescent="0.3">
      <c r="A119" s="14" t="str">
        <f>A108</f>
        <v>Herramientas y equipos</v>
      </c>
      <c r="B119" s="15">
        <v>-22442</v>
      </c>
      <c r="C119" s="15">
        <v>-41313</v>
      </c>
      <c r="D119" s="15">
        <v>-64904</v>
      </c>
      <c r="E119" s="15">
        <v>-108443</v>
      </c>
      <c r="F119" s="16">
        <f>-IFERROR((E108/$M109),0)+((F108-E108)/$M120)+E119</f>
        <v>-161033.04704418615</v>
      </c>
      <c r="G119" s="16">
        <f>-(F108/$M$108)+((G108-F108)/$M$119)+F119</f>
        <v>-199238.88770622638</v>
      </c>
      <c r="H119" s="16">
        <f>-(G108/$M$108)+((H108-G108)/$M$119)+G119</f>
        <v>-245657.0697731213</v>
      </c>
      <c r="I119" s="16">
        <f>-(H108/$M$108)+((I108-H108)/$M$119)+H119</f>
        <v>-302052.83516027522</v>
      </c>
      <c r="K119" s="52">
        <v>20</v>
      </c>
      <c r="L119" s="52">
        <v>0</v>
      </c>
      <c r="M119" s="52">
        <f>+K119-L119</f>
        <v>20</v>
      </c>
    </row>
    <row r="120" spans="1:14" ht="13.8" x14ac:dyDescent="0.3">
      <c r="A120" s="14" t="str">
        <f>A109</f>
        <v>Equipos de oficina</v>
      </c>
      <c r="B120" s="15">
        <v>-111788</v>
      </c>
      <c r="C120" s="15">
        <v>-130826</v>
      </c>
      <c r="D120" s="15">
        <v>-136650</v>
      </c>
      <c r="E120" s="15">
        <v>-140968</v>
      </c>
      <c r="F120" s="16">
        <f>-IFERROR((E109/$M110),0)+((F109-E109)/$M121)+E120</f>
        <v>-141526.63435557479</v>
      </c>
      <c r="G120" s="16">
        <f>-(F109/$M$108)+((G109-F109)/$M$119)+F120</f>
        <v>-155024.4902401811</v>
      </c>
      <c r="H120" s="16">
        <f>-(G109/$M$108)+((H109-G109)/$M$119)+G120</f>
        <v>-168308.71196481638</v>
      </c>
      <c r="I120" s="16">
        <f>-(H109/$M$108)+((I109-H109)/$M$119)+H120</f>
        <v>-181382.68077422769</v>
      </c>
      <c r="K120" s="52">
        <v>15</v>
      </c>
      <c r="L120" s="52">
        <v>0</v>
      </c>
      <c r="M120" s="52">
        <f>+K120-L120</f>
        <v>15</v>
      </c>
    </row>
    <row r="121" spans="1:14" ht="13.8" x14ac:dyDescent="0.3">
      <c r="A121" s="14" t="str">
        <f>A110</f>
        <v>Equipos de computación y comunicación</v>
      </c>
      <c r="B121" s="15">
        <v>-560431</v>
      </c>
      <c r="C121" s="15">
        <v>-897730</v>
      </c>
      <c r="D121" s="15">
        <v>-1113634</v>
      </c>
      <c r="E121" s="15">
        <v>-1299955</v>
      </c>
      <c r="F121" s="16">
        <f>-IFERROR((E110/$M111),0)+((F110-E110)/$M122)+E121</f>
        <v>-1296102.7457181301</v>
      </c>
      <c r="G121" s="16">
        <f>-(F110/$M$108)+((G110-F110)/$M$119)+F121</f>
        <v>-1429213.4240172782</v>
      </c>
      <c r="H121" s="16">
        <f>-(G110/$M$108)+((H110-G110)/$M$119)+G121</f>
        <v>-1563811.4126079679</v>
      </c>
      <c r="I121" s="16">
        <f>-(H110/$M$108)+((I110-H110)/$M$119)+H121</f>
        <v>-1699913.3299308198</v>
      </c>
      <c r="K121" s="52">
        <v>5</v>
      </c>
      <c r="L121" s="52">
        <v>0</v>
      </c>
      <c r="M121" s="52">
        <f>+K121-L121</f>
        <v>5</v>
      </c>
    </row>
    <row r="122" spans="1:14" ht="13.8" x14ac:dyDescent="0.3">
      <c r="A122" s="14" t="str">
        <f>A111</f>
        <v>Equipos de transporte</v>
      </c>
      <c r="B122" s="15">
        <v>-1140236</v>
      </c>
      <c r="C122" s="15">
        <v>-1559649</v>
      </c>
      <c r="D122" s="15">
        <v>-1924030</v>
      </c>
      <c r="E122" s="15">
        <v>-2314699</v>
      </c>
      <c r="F122" s="16">
        <f>-IFERROR((E111/$M112),0)+((F111-E111)/$M123)+E122</f>
        <v>-2330501.801415523</v>
      </c>
      <c r="G122" s="16">
        <f>-(F111/$M$108)+((G111-F111)/$M$119)+F122</f>
        <v>-2555049.1640830725</v>
      </c>
      <c r="H122" s="16">
        <f>-(G111/$M$108)+((H111-G111)/$M$119)+G122</f>
        <v>-2773578.3783098664</v>
      </c>
      <c r="I122" s="16">
        <f>-(H111/$M$108)+((I111-H111)/$M$119)+H122</f>
        <v>-2986250.7379549141</v>
      </c>
      <c r="K122" s="52">
        <v>5</v>
      </c>
      <c r="L122" s="52">
        <v>0</v>
      </c>
      <c r="M122" s="52">
        <f>+K122-L122</f>
        <v>5</v>
      </c>
    </row>
    <row r="123" spans="1:14" ht="14.4" thickBot="1" x14ac:dyDescent="0.35">
      <c r="A123" s="19" t="s">
        <v>41</v>
      </c>
      <c r="B123" s="53">
        <f>SUM(B118:B122)</f>
        <v>-1834897</v>
      </c>
      <c r="C123" s="53">
        <f t="shared" ref="C123:I123" si="33">SUM(C118:C122)</f>
        <v>-2782629</v>
      </c>
      <c r="D123" s="53">
        <f t="shared" si="33"/>
        <v>-3567201</v>
      </c>
      <c r="E123" s="53">
        <f t="shared" si="33"/>
        <v>-4368605</v>
      </c>
      <c r="F123" s="53">
        <f t="shared" si="33"/>
        <v>-4500727.6009489484</v>
      </c>
      <c r="G123" s="53">
        <f t="shared" si="33"/>
        <v>-4988253.7761378288</v>
      </c>
      <c r="H123" s="53">
        <f t="shared" si="33"/>
        <v>-5492240.8267389769</v>
      </c>
      <c r="I123" s="53">
        <f t="shared" si="33"/>
        <v>-6016795.0710771605</v>
      </c>
      <c r="K123" s="52">
        <v>5</v>
      </c>
      <c r="L123" s="52">
        <v>0</v>
      </c>
      <c r="M123" s="52">
        <f>+K123-L123</f>
        <v>5</v>
      </c>
    </row>
    <row r="124" spans="1:14" ht="14.4" thickTop="1" x14ac:dyDescent="0.3">
      <c r="A124" s="14"/>
      <c r="B124" s="42"/>
      <c r="C124" s="42"/>
      <c r="D124" s="42"/>
      <c r="E124" s="42"/>
      <c r="N124" s="56"/>
    </row>
    <row r="125" spans="1:14" ht="13.8" x14ac:dyDescent="0.3">
      <c r="A125" s="36" t="s">
        <v>96</v>
      </c>
      <c r="B125" s="37">
        <f t="shared" ref="B125:I125" si="34">B123-B103</f>
        <v>0</v>
      </c>
      <c r="C125" s="37">
        <f t="shared" si="34"/>
        <v>0</v>
      </c>
      <c r="D125" s="37">
        <f t="shared" si="34"/>
        <v>0</v>
      </c>
      <c r="E125" s="37">
        <f t="shared" si="34"/>
        <v>0</v>
      </c>
      <c r="F125" s="37">
        <f t="shared" si="34"/>
        <v>0</v>
      </c>
      <c r="G125" s="37">
        <f t="shared" si="34"/>
        <v>0</v>
      </c>
      <c r="H125" s="37">
        <f t="shared" si="34"/>
        <v>0</v>
      </c>
      <c r="I125" s="37">
        <f t="shared" si="34"/>
        <v>0</v>
      </c>
      <c r="N125" s="56"/>
    </row>
    <row r="126" spans="1:14" ht="13.8" x14ac:dyDescent="0.3">
      <c r="A126" s="14"/>
      <c r="B126" s="42"/>
      <c r="C126" s="42"/>
      <c r="D126" s="42"/>
      <c r="E126" s="42"/>
      <c r="F126" s="42"/>
      <c r="G126" s="42"/>
      <c r="H126" s="42"/>
      <c r="I126" s="42"/>
      <c r="N126" s="56"/>
    </row>
    <row r="127" spans="1:14" ht="13.8" x14ac:dyDescent="0.3">
      <c r="A127" s="1" t="s">
        <v>97</v>
      </c>
      <c r="B127" s="42"/>
      <c r="C127" s="42"/>
      <c r="D127" s="42"/>
      <c r="E127" s="42"/>
      <c r="F127" s="42"/>
      <c r="G127" s="42"/>
      <c r="H127" s="42"/>
      <c r="I127" s="42"/>
      <c r="N127" s="56"/>
    </row>
    <row r="128" spans="1:14" ht="13.8" x14ac:dyDescent="0.3">
      <c r="A128" s="14" t="s">
        <v>98</v>
      </c>
      <c r="B128" s="15">
        <v>0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N128" s="56"/>
    </row>
    <row r="129" spans="1:14" ht="13.8" x14ac:dyDescent="0.3">
      <c r="A129" s="14" t="s">
        <v>99</v>
      </c>
      <c r="B129" s="15">
        <v>0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N129" s="56"/>
    </row>
    <row r="130" spans="1:14" ht="13.8" x14ac:dyDescent="0.3">
      <c r="A130" s="14" t="str">
        <f>A38</f>
        <v>Ingresos</v>
      </c>
      <c r="B130" s="43">
        <f>+B58</f>
        <v>266034</v>
      </c>
      <c r="C130" s="43">
        <f>+C58</f>
        <v>262312</v>
      </c>
      <c r="D130" s="43">
        <f>+D58</f>
        <v>295212.42200000002</v>
      </c>
      <c r="E130" s="43">
        <f>+E58</f>
        <v>305178</v>
      </c>
      <c r="F130" s="16">
        <f>+E130*(1+F3)</f>
        <v>330882.4562895</v>
      </c>
      <c r="G130" s="16">
        <f>+F130*(1+G3)</f>
        <v>346413.29511875368</v>
      </c>
      <c r="H130" s="16">
        <f>+G130*(1+H3)</f>
        <v>360418.37709535181</v>
      </c>
      <c r="I130" s="16">
        <f>+H130*(1+I3)</f>
        <v>374989.66805969673</v>
      </c>
      <c r="N130" s="56"/>
    </row>
    <row r="133" spans="1:14" ht="13.8" x14ac:dyDescent="0.3">
      <c r="B133" s="46"/>
      <c r="C133" s="46"/>
      <c r="D133" s="46"/>
      <c r="E133" s="46"/>
      <c r="F133" s="46">
        <v>2022</v>
      </c>
      <c r="G133" s="46">
        <v>2023</v>
      </c>
      <c r="H133" s="46">
        <v>2024</v>
      </c>
      <c r="I133" s="46">
        <v>2025</v>
      </c>
    </row>
    <row r="134" spans="1:14" ht="13.8" x14ac:dyDescent="0.3">
      <c r="A134" s="14" t="s">
        <v>107</v>
      </c>
      <c r="F134" s="16">
        <f>(150000000*F10)/1000</f>
        <v>604091073.3590734</v>
      </c>
      <c r="G134" s="16">
        <f>(150000000*G10)/1000</f>
        <v>615176818.2844497</v>
      </c>
      <c r="H134" s="16">
        <f>(150000000*H10)/1000</f>
        <v>622061917.43781769</v>
      </c>
      <c r="I134" s="16">
        <f>(150000000*I10)/1000</f>
        <v>627518600.92411435</v>
      </c>
    </row>
    <row r="135" spans="1:14" ht="13.8" x14ac:dyDescent="0.3">
      <c r="A135" s="14" t="s">
        <v>101</v>
      </c>
      <c r="B135" s="61" t="s">
        <v>51</v>
      </c>
    </row>
    <row r="136" spans="1:14" ht="13.8" x14ac:dyDescent="0.3">
      <c r="A136" s="14" t="s">
        <v>48</v>
      </c>
      <c r="B136" s="63">
        <v>3.5000000000000003E-2</v>
      </c>
    </row>
    <row r="137" spans="1:14" ht="13.8" x14ac:dyDescent="0.3">
      <c r="A137" s="14" t="s">
        <v>102</v>
      </c>
      <c r="B137" s="63">
        <v>2.9000000000000001E-2</v>
      </c>
    </row>
    <row r="138" spans="1:14" ht="13.8" x14ac:dyDescent="0.3">
      <c r="A138" s="14" t="s">
        <v>49</v>
      </c>
      <c r="B138" s="64">
        <f>+(B137+B136)/2</f>
        <v>3.2000000000000001E-2</v>
      </c>
    </row>
    <row r="139" spans="1:14" ht="13.8" x14ac:dyDescent="0.3">
      <c r="A139" s="14"/>
      <c r="F139" s="29"/>
    </row>
    <row r="140" spans="1:14" ht="13.8" x14ac:dyDescent="0.3">
      <c r="A140" s="14" t="s">
        <v>106</v>
      </c>
      <c r="B140" s="65">
        <v>583000000</v>
      </c>
    </row>
    <row r="141" spans="1:14" ht="13.8" x14ac:dyDescent="0.3">
      <c r="A141" s="14" t="s">
        <v>101</v>
      </c>
      <c r="B141" s="62" t="s">
        <v>9</v>
      </c>
    </row>
    <row r="142" spans="1:14" ht="13.8" x14ac:dyDescent="0.3">
      <c r="A142" s="14" t="s">
        <v>47</v>
      </c>
      <c r="B142" s="66">
        <v>0.04</v>
      </c>
    </row>
    <row r="143" spans="1:14" ht="13.8" x14ac:dyDescent="0.3">
      <c r="A143" s="14"/>
    </row>
    <row r="144" spans="1:14" ht="13.8" x14ac:dyDescent="0.3">
      <c r="A144" s="14" t="s">
        <v>105</v>
      </c>
      <c r="B144" s="65">
        <f>1277047024380/1000</f>
        <v>1277047024.3800001</v>
      </c>
      <c r="G144" s="3"/>
    </row>
    <row r="145" spans="1:9" ht="13.8" x14ac:dyDescent="0.3">
      <c r="A145" s="14" t="s">
        <v>101</v>
      </c>
      <c r="B145" s="62" t="s">
        <v>60</v>
      </c>
    </row>
    <row r="146" spans="1:9" ht="13.8" x14ac:dyDescent="0.3">
      <c r="A146" s="14" t="s">
        <v>48</v>
      </c>
      <c r="B146" s="66">
        <v>0.08</v>
      </c>
    </row>
    <row r="147" spans="1:9" x14ac:dyDescent="0.2">
      <c r="F147" s="21"/>
      <c r="G147" s="32"/>
      <c r="H147" s="3"/>
    </row>
    <row r="148" spans="1:9" ht="13.8" x14ac:dyDescent="0.3">
      <c r="A148" s="14"/>
      <c r="F148" s="46">
        <v>2022</v>
      </c>
      <c r="G148" s="46">
        <v>2023</v>
      </c>
      <c r="H148" s="46">
        <v>2024</v>
      </c>
      <c r="I148" s="46">
        <v>2025</v>
      </c>
    </row>
    <row r="149" spans="1:9" ht="13.8" x14ac:dyDescent="0.3">
      <c r="A149" s="14" t="s">
        <v>108</v>
      </c>
      <c r="F149" s="16">
        <f>+F134*(1+$B$138+F11)</f>
        <v>627590216.11274135</v>
      </c>
      <c r="G149" s="16">
        <f>+G134*(1+$B$138+G11)</f>
        <v>639476302.60668552</v>
      </c>
      <c r="H149" s="16">
        <f>+H134*(1+$B$138+H11)</f>
        <v>648934992.27113152</v>
      </c>
      <c r="I149" s="16">
        <f>+I134*(1+$B$138+I11)</f>
        <v>656823719.5872705</v>
      </c>
    </row>
    <row r="150" spans="1:9" ht="13.8" x14ac:dyDescent="0.3">
      <c r="A150" s="14" t="s">
        <v>109</v>
      </c>
      <c r="F150" s="16">
        <f>+$B$140*(1+$B$142+F12)</f>
        <v>625325800</v>
      </c>
      <c r="G150" s="16">
        <f>+$B$140*(1+$B$142+G12)</f>
        <v>629640000</v>
      </c>
      <c r="H150" s="16">
        <f>+$B$140*(1+$B$142+H12)</f>
        <v>632496700</v>
      </c>
      <c r="I150" s="16">
        <f>+$B$140*(1+$B$142+I12)</f>
        <v>633954200.00000012</v>
      </c>
    </row>
    <row r="151" spans="1:9" ht="13.8" x14ac:dyDescent="0.3">
      <c r="A151" s="14" t="s">
        <v>110</v>
      </c>
      <c r="F151" s="16">
        <f>+$B$144*(1+$B$146+F3)</f>
        <v>1486773583.8381226</v>
      </c>
      <c r="G151" s="16">
        <f>+$B$144*(1+$B$146+G3)</f>
        <v>1439152349.0697396</v>
      </c>
      <c r="H151" s="16">
        <f>+$B$144*(1+$B$146+H3)</f>
        <v>1430840295.1178195</v>
      </c>
      <c r="I151" s="16">
        <f>+$B$144*(1+$B$146+I3)</f>
        <v>1430840295.1178195</v>
      </c>
    </row>
  </sheetData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EEFF1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Villa</dc:creator>
  <cp:lastModifiedBy>Sebastian Villa</cp:lastModifiedBy>
  <dcterms:created xsi:type="dcterms:W3CDTF">2022-05-22T22:03:34Z</dcterms:created>
  <dcterms:modified xsi:type="dcterms:W3CDTF">2022-05-23T03:45:28Z</dcterms:modified>
</cp:coreProperties>
</file>