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7D78D42-3C34-4E8D-8966-C7F3F662E7FC}" xr6:coauthVersionLast="47" xr6:coauthVersionMax="48" xr10:uidLastSave="{00000000-0000-0000-0000-000000000000}"/>
  <bookViews>
    <workbookView xWindow="-120" yWindow="-120" windowWidth="20730" windowHeight="11040" tabRatio="822" firstSheet="2" activeTab="5" xr2:uid="{00000000-000D-0000-FFFF-FFFF00000000}"/>
  </bookViews>
  <sheets>
    <sheet name="CORRIENTES" sheetId="1" state="hidden" r:id="rId1"/>
    <sheet name="Base" sheetId="4" state="hidden" r:id="rId2"/>
    <sheet name="Tabla Nómina" sheetId="14" r:id="rId3"/>
    <sheet name="Depreciacion" sheetId="6" r:id="rId4"/>
    <sheet name="Amortizacion del crédito" sheetId="7" r:id="rId5"/>
    <sheet name="CONSTANTES" sheetId="5" r:id="rId6"/>
    <sheet name="Escenario 1 Sensibilidad Precio" sheetId="10" r:id="rId7"/>
    <sheet name="Escenario 2 Mortandad f" sheetId="11" r:id="rId8"/>
    <sheet name="Escenario 3 Incremento alimento" sheetId="12" r:id="rId9"/>
    <sheet name="Escenario 4 Financiamiento f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iRoZYTTq/R/Wy6gASgtglSjn9wgw=="/>
    </ext>
  </extLst>
</workbook>
</file>

<file path=xl/calcChain.xml><?xml version="1.0" encoding="utf-8"?>
<calcChain xmlns="http://schemas.openxmlformats.org/spreadsheetml/2006/main">
  <c r="C28" i="14" l="1"/>
  <c r="C27" i="14"/>
  <c r="C26" i="14"/>
  <c r="J36" i="5"/>
  <c r="J34" i="5"/>
  <c r="J35" i="5"/>
  <c r="C25" i="14"/>
  <c r="B25" i="14"/>
  <c r="B6" i="14"/>
  <c r="B9" i="14"/>
  <c r="M24" i="5"/>
  <c r="J37" i="5"/>
  <c r="J39" i="5" s="1"/>
  <c r="J32" i="5"/>
  <c r="C45" i="5" s="1"/>
  <c r="H15" i="14"/>
  <c r="E15" i="14"/>
  <c r="B15" i="14"/>
  <c r="H14" i="14"/>
  <c r="E14" i="14"/>
  <c r="B14" i="14"/>
  <c r="H13" i="14"/>
  <c r="E13" i="14"/>
  <c r="B13" i="14"/>
  <c r="H12" i="14"/>
  <c r="H16" i="14" s="1"/>
  <c r="E12" i="14"/>
  <c r="E16" i="14" s="1"/>
  <c r="B12" i="14"/>
  <c r="B16" i="14" s="1"/>
  <c r="H8" i="14"/>
  <c r="E8" i="14"/>
  <c r="B8" i="14"/>
  <c r="H7" i="14"/>
  <c r="H9" i="14" s="1"/>
  <c r="H18" i="14" s="1"/>
  <c r="E7" i="14"/>
  <c r="B7" i="14"/>
  <c r="H6" i="14"/>
  <c r="E6" i="14"/>
  <c r="E9" i="14" s="1"/>
  <c r="B18" i="14" l="1"/>
  <c r="B19" i="14"/>
  <c r="E18" i="14"/>
  <c r="C6" i="13"/>
  <c r="C4" i="7"/>
  <c r="J11" i="7" s="1"/>
  <c r="C6" i="12"/>
  <c r="B179" i="5"/>
  <c r="B68" i="5"/>
  <c r="F101" i="5"/>
  <c r="C19" i="5"/>
  <c r="C22" i="5"/>
  <c r="F105" i="5"/>
  <c r="B28" i="5"/>
  <c r="G100" i="5"/>
  <c r="B100" i="5"/>
  <c r="D3" i="6"/>
  <c r="B148" i="5"/>
  <c r="F104" i="5"/>
  <c r="G104" i="5" s="1"/>
  <c r="C48" i="5"/>
  <c r="D47" i="5"/>
  <c r="F103" i="5"/>
  <c r="F102" i="5"/>
  <c r="G102" i="5" s="1"/>
  <c r="G101" i="5" l="1"/>
  <c r="C115" i="5" s="1"/>
  <c r="G103" i="5"/>
  <c r="E115" i="5" s="1"/>
  <c r="G105" i="5"/>
  <c r="G115" i="5" s="1"/>
  <c r="D19" i="5"/>
  <c r="D20" i="5" s="1"/>
  <c r="C21" i="5"/>
  <c r="C47" i="5"/>
  <c r="J42" i="5"/>
  <c r="F115" i="5"/>
  <c r="F119" i="5" s="1"/>
  <c r="C119" i="5" l="1"/>
  <c r="C167" i="5"/>
  <c r="G167" i="5"/>
  <c r="G172" i="5" s="1"/>
  <c r="G119" i="5"/>
  <c r="E19" i="5"/>
  <c r="F19" i="5" s="1"/>
  <c r="G19" i="5" s="1"/>
  <c r="C46" i="5"/>
  <c r="E119" i="5"/>
  <c r="D115" i="5"/>
  <c r="D45" i="5" l="1"/>
  <c r="E45" i="5"/>
  <c r="F45" i="5"/>
  <c r="G45" i="5"/>
  <c r="C79" i="5"/>
  <c r="J12" i="7"/>
  <c r="D4" i="7" s="1"/>
  <c r="L8" i="6"/>
  <c r="G8" i="6"/>
  <c r="L7" i="6"/>
  <c r="G7" i="6"/>
  <c r="L6" i="6"/>
  <c r="G6" i="6"/>
  <c r="L5" i="6"/>
  <c r="G5" i="6"/>
  <c r="L4" i="6"/>
  <c r="M4" i="6" s="1"/>
  <c r="G4" i="6"/>
  <c r="H4" i="6" s="1"/>
  <c r="B5" i="6"/>
  <c r="B161" i="5"/>
  <c r="A160" i="5"/>
  <c r="A145" i="5"/>
  <c r="F126" i="5"/>
  <c r="B113" i="5"/>
  <c r="B165" i="5" s="1"/>
  <c r="B112" i="5"/>
  <c r="B164" i="5" s="1"/>
  <c r="B111" i="5"/>
  <c r="B163" i="5" s="1"/>
  <c r="B109" i="5"/>
  <c r="B146" i="5" s="1"/>
  <c r="A108" i="5"/>
  <c r="D119" i="5"/>
  <c r="B85" i="5"/>
  <c r="B123" i="5" s="1"/>
  <c r="B176" i="5" s="1"/>
  <c r="B84" i="5"/>
  <c r="B122" i="5" s="1"/>
  <c r="B175" i="5" s="1"/>
  <c r="D80" i="5"/>
  <c r="D112" i="5" s="1"/>
  <c r="D164" i="5" s="1"/>
  <c r="C77" i="5"/>
  <c r="C109" i="5" s="1"/>
  <c r="C146" i="5" s="1"/>
  <c r="A76" i="5"/>
  <c r="F48" i="5"/>
  <c r="F81" i="5" s="1"/>
  <c r="F113" i="5" s="1"/>
  <c r="F165" i="5" s="1"/>
  <c r="C44" i="5"/>
  <c r="D44" i="5" s="1"/>
  <c r="E44" i="5" s="1"/>
  <c r="F44" i="5" s="1"/>
  <c r="G44" i="5" s="1"/>
  <c r="E48" i="5"/>
  <c r="E81" i="5" s="1"/>
  <c r="E113" i="5" s="1"/>
  <c r="E165" i="5" s="1"/>
  <c r="G47" i="5"/>
  <c r="G80" i="5" s="1"/>
  <c r="G112" i="5" s="1"/>
  <c r="G164" i="5" s="1"/>
  <c r="C23" i="5"/>
  <c r="C78" i="5" s="1"/>
  <c r="G21" i="5"/>
  <c r="F21" i="5"/>
  <c r="E21" i="5"/>
  <c r="D21" i="5"/>
  <c r="B21" i="5"/>
  <c r="B23" i="5" s="1"/>
  <c r="B78" i="5" s="1"/>
  <c r="G20" i="5"/>
  <c r="F20" i="5"/>
  <c r="E20" i="5"/>
  <c r="C18" i="5"/>
  <c r="D18" i="5" s="1"/>
  <c r="E18" i="5" s="1"/>
  <c r="F18" i="5" s="1"/>
  <c r="G18" i="5" s="1"/>
  <c r="B17" i="5"/>
  <c r="A11" i="5"/>
  <c r="A12" i="5" s="1"/>
  <c r="A13" i="5" s="1"/>
  <c r="A14" i="5" s="1"/>
  <c r="B160" i="4"/>
  <c r="A159" i="4"/>
  <c r="A144" i="4"/>
  <c r="B136" i="4"/>
  <c r="E135" i="4"/>
  <c r="B178" i="4" s="1"/>
  <c r="B112" i="4"/>
  <c r="B111" i="4"/>
  <c r="B164" i="4" s="1"/>
  <c r="B110" i="4"/>
  <c r="B163" i="4" s="1"/>
  <c r="B109" i="4"/>
  <c r="B162" i="4" s="1"/>
  <c r="B108" i="4"/>
  <c r="B161" i="4" s="1"/>
  <c r="B107" i="4"/>
  <c r="B145" i="4" s="1"/>
  <c r="A106" i="4"/>
  <c r="F101" i="4"/>
  <c r="F113" i="4" s="1"/>
  <c r="B101" i="4"/>
  <c r="F114" i="4" s="1"/>
  <c r="F100" i="4"/>
  <c r="E113" i="4" s="1"/>
  <c r="B100" i="4"/>
  <c r="E114" i="4" s="1"/>
  <c r="F99" i="4"/>
  <c r="D113" i="4" s="1"/>
  <c r="E99" i="4"/>
  <c r="E100" i="4" s="1"/>
  <c r="E101" i="4" s="1"/>
  <c r="B99" i="4"/>
  <c r="D114" i="4" s="1"/>
  <c r="A99" i="4"/>
  <c r="A100" i="4" s="1"/>
  <c r="A101" i="4" s="1"/>
  <c r="F98" i="4"/>
  <c r="C113" i="4" s="1"/>
  <c r="B98" i="4"/>
  <c r="C114" i="4" s="1"/>
  <c r="F86" i="4"/>
  <c r="F125" i="4" s="1"/>
  <c r="F180" i="4" s="1"/>
  <c r="B84" i="4"/>
  <c r="B123" i="4" s="1"/>
  <c r="B176" i="4" s="1"/>
  <c r="B83" i="4"/>
  <c r="B122" i="4" s="1"/>
  <c r="B175" i="4" s="1"/>
  <c r="B82" i="4"/>
  <c r="B121" i="4" s="1"/>
  <c r="B174" i="4" s="1"/>
  <c r="B81" i="4"/>
  <c r="B120" i="4" s="1"/>
  <c r="C79" i="4"/>
  <c r="C111" i="4" s="1"/>
  <c r="C164" i="4" s="1"/>
  <c r="C78" i="4"/>
  <c r="C110" i="4" s="1"/>
  <c r="C163" i="4" s="1"/>
  <c r="C75" i="4"/>
  <c r="C160" i="4" s="1"/>
  <c r="A74" i="4"/>
  <c r="C46" i="4"/>
  <c r="D46" i="4" s="1"/>
  <c r="D79" i="4" s="1"/>
  <c r="D111" i="4" s="1"/>
  <c r="D164" i="4" s="1"/>
  <c r="C45" i="4"/>
  <c r="D45" i="4" s="1"/>
  <c r="D78" i="4" s="1"/>
  <c r="D110" i="4" s="1"/>
  <c r="D163" i="4" s="1"/>
  <c r="C43" i="4"/>
  <c r="C44" i="4" s="1"/>
  <c r="C42" i="4"/>
  <c r="D42" i="4" s="1"/>
  <c r="E42" i="4" s="1"/>
  <c r="F42" i="4" s="1"/>
  <c r="G42" i="4" s="1"/>
  <c r="B30" i="4"/>
  <c r="C20" i="4"/>
  <c r="C21" i="4" s="1"/>
  <c r="C76" i="4" s="1"/>
  <c r="C16" i="4"/>
  <c r="A7" i="4" s="1"/>
  <c r="A8" i="4" s="1"/>
  <c r="A9" i="4" s="1"/>
  <c r="A10" i="4" s="1"/>
  <c r="A11" i="4" s="1"/>
  <c r="B15" i="4"/>
  <c r="B160" i="1"/>
  <c r="A159" i="1"/>
  <c r="A144" i="1"/>
  <c r="B136" i="1"/>
  <c r="C148" i="1" s="1"/>
  <c r="E135" i="1"/>
  <c r="B178" i="1" s="1"/>
  <c r="B112" i="1"/>
  <c r="B111" i="1"/>
  <c r="B164" i="1" s="1"/>
  <c r="B110" i="1"/>
  <c r="B163" i="1" s="1"/>
  <c r="B109" i="1"/>
  <c r="B162" i="1" s="1"/>
  <c r="B108" i="1"/>
  <c r="B161" i="1" s="1"/>
  <c r="B107" i="1"/>
  <c r="B145" i="1" s="1"/>
  <c r="A106" i="1"/>
  <c r="F101" i="1"/>
  <c r="F113" i="1" s="1"/>
  <c r="F100" i="1"/>
  <c r="E113" i="1" s="1"/>
  <c r="E118" i="1" s="1"/>
  <c r="F99" i="1"/>
  <c r="D113" i="1" s="1"/>
  <c r="D118" i="1" s="1"/>
  <c r="E99" i="1"/>
  <c r="E100" i="1" s="1"/>
  <c r="E101" i="1" s="1"/>
  <c r="A99" i="1"/>
  <c r="A100" i="1" s="1"/>
  <c r="A101" i="1" s="1"/>
  <c r="F98" i="1"/>
  <c r="C113" i="1" s="1"/>
  <c r="B84" i="1"/>
  <c r="B123" i="1" s="1"/>
  <c r="B176" i="1" s="1"/>
  <c r="B83" i="1"/>
  <c r="B122" i="1" s="1"/>
  <c r="B175" i="1" s="1"/>
  <c r="B82" i="1"/>
  <c r="B121" i="1" s="1"/>
  <c r="B174" i="1" s="1"/>
  <c r="C75" i="1"/>
  <c r="C107" i="1" s="1"/>
  <c r="C145" i="1" s="1"/>
  <c r="A74" i="1"/>
  <c r="B66" i="1"/>
  <c r="B47" i="1"/>
  <c r="F86" i="1" s="1"/>
  <c r="F125" i="1" s="1"/>
  <c r="F180" i="1" s="1"/>
  <c r="C46" i="1"/>
  <c r="C79" i="1" s="1"/>
  <c r="C111" i="1" s="1"/>
  <c r="C164" i="1" s="1"/>
  <c r="C45" i="1"/>
  <c r="C78" i="1" s="1"/>
  <c r="C110" i="1" s="1"/>
  <c r="C163" i="1" s="1"/>
  <c r="C43" i="1"/>
  <c r="C44" i="1" s="1"/>
  <c r="C77" i="1" s="1"/>
  <c r="C109" i="1" s="1"/>
  <c r="C162" i="1" s="1"/>
  <c r="J42" i="1"/>
  <c r="C42" i="1"/>
  <c r="D42" i="1" s="1"/>
  <c r="E42" i="1" s="1"/>
  <c r="F42" i="1" s="1"/>
  <c r="G42" i="1" s="1"/>
  <c r="B26" i="1"/>
  <c r="B98" i="1" s="1"/>
  <c r="C114" i="1" s="1"/>
  <c r="C20" i="1"/>
  <c r="C21" i="1" s="1"/>
  <c r="C76" i="1" s="1"/>
  <c r="L16" i="1"/>
  <c r="K16" i="1"/>
  <c r="C16" i="1"/>
  <c r="D16" i="1" s="1"/>
  <c r="E16" i="1" s="1"/>
  <c r="F16" i="1" s="1"/>
  <c r="G16" i="1" s="1"/>
  <c r="L15" i="1"/>
  <c r="K15" i="1"/>
  <c r="B15" i="1"/>
  <c r="L14" i="1"/>
  <c r="K14" i="1"/>
  <c r="L13" i="1"/>
  <c r="K13" i="1"/>
  <c r="K11" i="1"/>
  <c r="B11" i="1"/>
  <c r="B64" i="1" s="1"/>
  <c r="K10" i="1"/>
  <c r="A9" i="1"/>
  <c r="A10" i="1" s="1"/>
  <c r="K8" i="1"/>
  <c r="A8" i="1"/>
  <c r="D43" i="4" l="1"/>
  <c r="E43" i="4" s="1"/>
  <c r="D20" i="4"/>
  <c r="E20" i="4" s="1"/>
  <c r="B102" i="5"/>
  <c r="C102" i="5" s="1"/>
  <c r="C77" i="4"/>
  <c r="C109" i="4" s="1"/>
  <c r="C162" i="4" s="1"/>
  <c r="C136" i="4"/>
  <c r="C168" i="4" s="1"/>
  <c r="C161" i="5"/>
  <c r="G46" i="5"/>
  <c r="G79" i="5" s="1"/>
  <c r="G111" i="5" s="1"/>
  <c r="G163" i="5" s="1"/>
  <c r="D22" i="5"/>
  <c r="E22" i="5" s="1"/>
  <c r="F22" i="5" s="1"/>
  <c r="G22" i="5" s="1"/>
  <c r="G23" i="5" s="1"/>
  <c r="G78" i="5" s="1"/>
  <c r="G110" i="5" s="1"/>
  <c r="G162" i="5" s="1"/>
  <c r="D77" i="5"/>
  <c r="D109" i="5" s="1"/>
  <c r="D146" i="5" s="1"/>
  <c r="F46" i="5"/>
  <c r="F79" i="5" s="1"/>
  <c r="F111" i="5" s="1"/>
  <c r="F163" i="5" s="1"/>
  <c r="D46" i="5"/>
  <c r="E46" i="5"/>
  <c r="E79" i="5" s="1"/>
  <c r="E111" i="5" s="1"/>
  <c r="E163" i="5" s="1"/>
  <c r="B8" i="6"/>
  <c r="B105" i="5" s="1"/>
  <c r="C100" i="5"/>
  <c r="C80" i="1"/>
  <c r="C108" i="1"/>
  <c r="C161" i="1" s="1"/>
  <c r="C165" i="1" s="1"/>
  <c r="C167" i="1"/>
  <c r="C172" i="1" s="1"/>
  <c r="C119" i="1"/>
  <c r="C166" i="1"/>
  <c r="C171" i="1" s="1"/>
  <c r="C118" i="1"/>
  <c r="F166" i="1"/>
  <c r="F171" i="1" s="1"/>
  <c r="F118" i="1"/>
  <c r="D20" i="1"/>
  <c r="B30" i="1"/>
  <c r="B65" i="1" s="1"/>
  <c r="D43" i="1"/>
  <c r="D45" i="1"/>
  <c r="D46" i="1"/>
  <c r="C160" i="1"/>
  <c r="D166" i="1"/>
  <c r="D171" i="1" s="1"/>
  <c r="C108" i="4"/>
  <c r="C161" i="4" s="1"/>
  <c r="C165" i="4" s="1"/>
  <c r="C80" i="4"/>
  <c r="C166" i="4"/>
  <c r="C171" i="4" s="1"/>
  <c r="C118" i="4"/>
  <c r="D118" i="4"/>
  <c r="D166" i="4"/>
  <c r="D171" i="4" s="1"/>
  <c r="F166" i="4"/>
  <c r="F171" i="4" s="1"/>
  <c r="F118" i="4"/>
  <c r="B147" i="1"/>
  <c r="E166" i="1"/>
  <c r="E171" i="1" s="1"/>
  <c r="E21" i="4"/>
  <c r="E76" i="4" s="1"/>
  <c r="F20" i="4"/>
  <c r="F21" i="4" s="1"/>
  <c r="F76" i="4" s="1"/>
  <c r="F43" i="4"/>
  <c r="F44" i="4" s="1"/>
  <c r="F77" i="4" s="1"/>
  <c r="F109" i="4" s="1"/>
  <c r="F162" i="4" s="1"/>
  <c r="E44" i="4"/>
  <c r="E77" i="4" s="1"/>
  <c r="E109" i="4" s="1"/>
  <c r="E162" i="4" s="1"/>
  <c r="E167" i="4"/>
  <c r="E172" i="4" s="1"/>
  <c r="E119" i="4"/>
  <c r="B81" i="1"/>
  <c r="B99" i="1"/>
  <c r="D114" i="1" s="1"/>
  <c r="B100" i="1"/>
  <c r="E114" i="1" s="1"/>
  <c r="B101" i="1"/>
  <c r="F114" i="1" s="1"/>
  <c r="B137" i="1"/>
  <c r="B173" i="4"/>
  <c r="B181" i="4" s="1"/>
  <c r="B126" i="4"/>
  <c r="D167" i="4"/>
  <c r="D172" i="4" s="1"/>
  <c r="D119" i="4"/>
  <c r="E166" i="4"/>
  <c r="E171" i="4" s="1"/>
  <c r="E118" i="4"/>
  <c r="B110" i="5"/>
  <c r="B162" i="5" s="1"/>
  <c r="B82" i="5"/>
  <c r="D167" i="5"/>
  <c r="D172" i="5" s="1"/>
  <c r="D75" i="1"/>
  <c r="C136" i="1"/>
  <c r="C168" i="1" s="1"/>
  <c r="C167" i="4"/>
  <c r="C172" i="4" s="1"/>
  <c r="C119" i="4"/>
  <c r="F167" i="4"/>
  <c r="F172" i="4" s="1"/>
  <c r="F119" i="4"/>
  <c r="D44" i="4"/>
  <c r="D77" i="4" s="1"/>
  <c r="D109" i="4" s="1"/>
  <c r="D162" i="4" s="1"/>
  <c r="B137" i="4"/>
  <c r="C148" i="4"/>
  <c r="M5" i="6"/>
  <c r="N4" i="6"/>
  <c r="D16" i="4"/>
  <c r="E16" i="4" s="1"/>
  <c r="F16" i="4" s="1"/>
  <c r="G16" i="4" s="1"/>
  <c r="E45" i="4"/>
  <c r="E46" i="4"/>
  <c r="D75" i="4"/>
  <c r="B87" i="4"/>
  <c r="C107" i="4"/>
  <c r="C145" i="4" s="1"/>
  <c r="C111" i="5"/>
  <c r="C163" i="5" s="1"/>
  <c r="E167" i="5"/>
  <c r="E172" i="5" s="1"/>
  <c r="D21" i="4"/>
  <c r="D76" i="4" s="1"/>
  <c r="C110" i="5"/>
  <c r="C162" i="5" s="1"/>
  <c r="E77" i="5"/>
  <c r="F167" i="5"/>
  <c r="F172" i="5" s="1"/>
  <c r="B147" i="4"/>
  <c r="B83" i="5"/>
  <c r="B121" i="5" s="1"/>
  <c r="C172" i="5"/>
  <c r="E47" i="5"/>
  <c r="E80" i="5" s="1"/>
  <c r="E112" i="5" s="1"/>
  <c r="E164" i="5" s="1"/>
  <c r="C81" i="5"/>
  <c r="C113" i="5" s="1"/>
  <c r="C165" i="5" s="1"/>
  <c r="G48" i="5"/>
  <c r="G81" i="5" s="1"/>
  <c r="G113" i="5" s="1"/>
  <c r="G165" i="5" s="1"/>
  <c r="F47" i="5"/>
  <c r="F80" i="5" s="1"/>
  <c r="F112" i="5" s="1"/>
  <c r="F164" i="5" s="1"/>
  <c r="D48" i="5"/>
  <c r="D81" i="5" s="1"/>
  <c r="D113" i="5" s="1"/>
  <c r="D165" i="5" s="1"/>
  <c r="J13" i="7"/>
  <c r="J14" i="7" s="1"/>
  <c r="C80" i="5"/>
  <c r="C112" i="5" s="1"/>
  <c r="C164" i="5" s="1"/>
  <c r="H5" i="6"/>
  <c r="I4" i="6"/>
  <c r="B6" i="6"/>
  <c r="B103" i="5" s="1"/>
  <c r="B7" i="6"/>
  <c r="B104" i="5" s="1"/>
  <c r="B4" i="6"/>
  <c r="C104" i="5" l="1"/>
  <c r="F116" i="5" s="1"/>
  <c r="C105" i="5"/>
  <c r="G116" i="5" s="1"/>
  <c r="C103" i="5"/>
  <c r="E116" i="5" s="1"/>
  <c r="C4" i="6"/>
  <c r="C5" i="6" s="1"/>
  <c r="C6" i="6" s="1"/>
  <c r="C7" i="6" s="1"/>
  <c r="C8" i="6" s="1"/>
  <c r="B101" i="5"/>
  <c r="C101" i="5" s="1"/>
  <c r="D79" i="5"/>
  <c r="D111" i="5" s="1"/>
  <c r="D163" i="5" s="1"/>
  <c r="D49" i="5"/>
  <c r="D136" i="4"/>
  <c r="C166" i="5"/>
  <c r="E23" i="5"/>
  <c r="E78" i="5" s="1"/>
  <c r="E82" i="5" s="1"/>
  <c r="F23" i="5"/>
  <c r="F78" i="5" s="1"/>
  <c r="F110" i="5" s="1"/>
  <c r="F162" i="5" s="1"/>
  <c r="F166" i="5" s="1"/>
  <c r="D23" i="5"/>
  <c r="D78" i="5" s="1"/>
  <c r="D110" i="5" s="1"/>
  <c r="D162" i="5" s="1"/>
  <c r="G166" i="5"/>
  <c r="D161" i="5"/>
  <c r="B31" i="5"/>
  <c r="D6" i="6"/>
  <c r="G82" i="5"/>
  <c r="G88" i="5" s="1"/>
  <c r="G126" i="5" s="1"/>
  <c r="G181" i="5" s="1"/>
  <c r="C82" i="5"/>
  <c r="C114" i="5" s="1"/>
  <c r="F87" i="7"/>
  <c r="F83" i="7"/>
  <c r="F79" i="7"/>
  <c r="F75" i="7"/>
  <c r="F71" i="7"/>
  <c r="F67" i="7"/>
  <c r="F63" i="7"/>
  <c r="F59" i="7"/>
  <c r="F55" i="7"/>
  <c r="F51" i="7"/>
  <c r="F47" i="7"/>
  <c r="F43" i="7"/>
  <c r="F39" i="7"/>
  <c r="F35" i="7"/>
  <c r="F31" i="7"/>
  <c r="F27" i="7"/>
  <c r="F23" i="7"/>
  <c r="F86" i="7"/>
  <c r="F82" i="7"/>
  <c r="F78" i="7"/>
  <c r="F74" i="7"/>
  <c r="F70" i="7"/>
  <c r="F66" i="7"/>
  <c r="F62" i="7"/>
  <c r="F58" i="7"/>
  <c r="F54" i="7"/>
  <c r="F50" i="7"/>
  <c r="F46" i="7"/>
  <c r="F42" i="7"/>
  <c r="F38" i="7"/>
  <c r="F34" i="7"/>
  <c r="F30" i="7"/>
  <c r="F26" i="7"/>
  <c r="F85" i="7"/>
  <c r="F77" i="7"/>
  <c r="F69" i="7"/>
  <c r="F61" i="7"/>
  <c r="F53" i="7"/>
  <c r="F45" i="7"/>
  <c r="F37" i="7"/>
  <c r="F29" i="7"/>
  <c r="F17" i="7"/>
  <c r="F14" i="7"/>
  <c r="F11" i="7"/>
  <c r="F8" i="7"/>
  <c r="F4" i="7"/>
  <c r="F80" i="7"/>
  <c r="F72" i="7"/>
  <c r="F64" i="7"/>
  <c r="F56" i="7"/>
  <c r="F48" i="7"/>
  <c r="F40" i="7"/>
  <c r="F32" i="7"/>
  <c r="F24" i="7"/>
  <c r="F16" i="7"/>
  <c r="F13" i="7"/>
  <c r="F7" i="7"/>
  <c r="F81" i="7"/>
  <c r="F73" i="7"/>
  <c r="F65" i="7"/>
  <c r="F57" i="7"/>
  <c r="F49" i="7"/>
  <c r="F41" i="7"/>
  <c r="F33" i="7"/>
  <c r="F25" i="7"/>
  <c r="F22" i="7"/>
  <c r="F21" i="7"/>
  <c r="F20" i="7"/>
  <c r="F19" i="7"/>
  <c r="F15" i="7"/>
  <c r="F10" i="7"/>
  <c r="F6" i="7"/>
  <c r="F84" i="7"/>
  <c r="F76" i="7"/>
  <c r="F68" i="7"/>
  <c r="F60" i="7"/>
  <c r="F52" i="7"/>
  <c r="F44" i="7"/>
  <c r="F36" i="7"/>
  <c r="F28" i="7"/>
  <c r="F18" i="7"/>
  <c r="F12" i="7"/>
  <c r="F9" i="7"/>
  <c r="F5" i="7"/>
  <c r="D7" i="6"/>
  <c r="E79" i="4"/>
  <c r="E111" i="4" s="1"/>
  <c r="E164" i="4" s="1"/>
  <c r="F46" i="4"/>
  <c r="F79" i="4" s="1"/>
  <c r="F111" i="4" s="1"/>
  <c r="F164" i="4" s="1"/>
  <c r="D4" i="6"/>
  <c r="E78" i="4"/>
  <c r="E110" i="4" s="1"/>
  <c r="E163" i="4" s="1"/>
  <c r="F45" i="4"/>
  <c r="F78" i="4" s="1"/>
  <c r="F110" i="4" s="1"/>
  <c r="F163" i="4" s="1"/>
  <c r="B114" i="5"/>
  <c r="D148" i="1"/>
  <c r="B138" i="1"/>
  <c r="B87" i="1"/>
  <c r="B120" i="1"/>
  <c r="C112" i="4"/>
  <c r="C115" i="4" s="1"/>
  <c r="C87" i="4"/>
  <c r="D136" i="1"/>
  <c r="B67" i="1"/>
  <c r="B68" i="1"/>
  <c r="D108" i="4"/>
  <c r="D161" i="4" s="1"/>
  <c r="D165" i="4" s="1"/>
  <c r="D80" i="4"/>
  <c r="D160" i="4"/>
  <c r="D107" i="4"/>
  <c r="D145" i="4" s="1"/>
  <c r="E75" i="4"/>
  <c r="D148" i="4"/>
  <c r="B138" i="4"/>
  <c r="H6" i="6"/>
  <c r="I5" i="6"/>
  <c r="B174" i="5"/>
  <c r="E161" i="5"/>
  <c r="F77" i="5"/>
  <c r="E109" i="5"/>
  <c r="E146" i="5" s="1"/>
  <c r="M6" i="6"/>
  <c r="N5" i="6"/>
  <c r="D5" i="6"/>
  <c r="B146" i="4"/>
  <c r="B149" i="4" s="1"/>
  <c r="D160" i="1"/>
  <c r="D107" i="1"/>
  <c r="D145" i="1" s="1"/>
  <c r="E75" i="1"/>
  <c r="F167" i="1"/>
  <c r="F172" i="1" s="1"/>
  <c r="F119" i="1"/>
  <c r="F108" i="4"/>
  <c r="F161" i="4" s="1"/>
  <c r="C169" i="4"/>
  <c r="D79" i="1"/>
  <c r="D111" i="1" s="1"/>
  <c r="D164" i="1" s="1"/>
  <c r="E46" i="1"/>
  <c r="E20" i="1"/>
  <c r="D21" i="1"/>
  <c r="D76" i="1" s="1"/>
  <c r="E167" i="1"/>
  <c r="E172" i="1" s="1"/>
  <c r="E119" i="1"/>
  <c r="E108" i="4"/>
  <c r="E161" i="4" s="1"/>
  <c r="E165" i="4" s="1"/>
  <c r="D78" i="1"/>
  <c r="D110" i="1" s="1"/>
  <c r="D163" i="1" s="1"/>
  <c r="E45" i="1"/>
  <c r="C169" i="1"/>
  <c r="D167" i="1"/>
  <c r="D172" i="1" s="1"/>
  <c r="D119" i="1"/>
  <c r="E43" i="1"/>
  <c r="D44" i="1"/>
  <c r="D77" i="1" s="1"/>
  <c r="D109" i="1" s="1"/>
  <c r="D162" i="1" s="1"/>
  <c r="C112" i="1"/>
  <c r="C115" i="1" s="1"/>
  <c r="C87" i="1"/>
  <c r="B136" i="5" l="1"/>
  <c r="B137" i="5"/>
  <c r="I137" i="5" s="1"/>
  <c r="C149" i="5" s="1"/>
  <c r="E80" i="4"/>
  <c r="F80" i="4"/>
  <c r="C179" i="4"/>
  <c r="E136" i="4"/>
  <c r="C137" i="4" s="1"/>
  <c r="D168" i="4" s="1"/>
  <c r="F165" i="4"/>
  <c r="C116" i="5"/>
  <c r="D166" i="5"/>
  <c r="B86" i="5"/>
  <c r="B89" i="5" s="1"/>
  <c r="B32" i="5"/>
  <c r="B67" i="5" s="1"/>
  <c r="B138" i="5"/>
  <c r="I138" i="5" s="1"/>
  <c r="D149" i="5" s="1"/>
  <c r="B141" i="5"/>
  <c r="I141" i="5" s="1"/>
  <c r="G149" i="5" s="1"/>
  <c r="B140" i="5"/>
  <c r="I140" i="5" s="1"/>
  <c r="F149" i="5" s="1"/>
  <c r="B139" i="5"/>
  <c r="I139" i="5" s="1"/>
  <c r="E149" i="5" s="1"/>
  <c r="E4" i="7"/>
  <c r="G4" i="7" s="1"/>
  <c r="C5" i="7" s="1"/>
  <c r="D5" i="7" s="1"/>
  <c r="I136" i="5"/>
  <c r="B149" i="5" s="1"/>
  <c r="E110" i="5"/>
  <c r="E162" i="5" s="1"/>
  <c r="E166" i="5" s="1"/>
  <c r="D82" i="5"/>
  <c r="D114" i="5" s="1"/>
  <c r="F82" i="5"/>
  <c r="F89" i="5" s="1"/>
  <c r="F90" i="5" s="1"/>
  <c r="G89" i="5"/>
  <c r="G120" i="5"/>
  <c r="G168" i="5"/>
  <c r="D8" i="6"/>
  <c r="G114" i="5"/>
  <c r="G117" i="5" s="1"/>
  <c r="C146" i="4"/>
  <c r="C149" i="4" s="1"/>
  <c r="C88" i="4"/>
  <c r="C89" i="4" s="1"/>
  <c r="E112" i="4"/>
  <c r="E115" i="4" s="1"/>
  <c r="E87" i="4"/>
  <c r="C116" i="4"/>
  <c r="C126" i="4" s="1"/>
  <c r="B139" i="1"/>
  <c r="E148" i="1"/>
  <c r="F43" i="1"/>
  <c r="F44" i="1" s="1"/>
  <c r="F77" i="1" s="1"/>
  <c r="F109" i="1" s="1"/>
  <c r="F162" i="1" s="1"/>
  <c r="E44" i="1"/>
  <c r="E77" i="1" s="1"/>
  <c r="E109" i="1" s="1"/>
  <c r="E162" i="1" s="1"/>
  <c r="D80" i="1"/>
  <c r="D108" i="1"/>
  <c r="D161" i="1" s="1"/>
  <c r="D165" i="1" s="1"/>
  <c r="E160" i="1"/>
  <c r="E107" i="1"/>
  <c r="E145" i="1" s="1"/>
  <c r="F75" i="1"/>
  <c r="G77" i="5"/>
  <c r="F161" i="5"/>
  <c r="F109" i="5"/>
  <c r="F146" i="5" s="1"/>
  <c r="D137" i="4"/>
  <c r="D112" i="4"/>
  <c r="D115" i="4" s="1"/>
  <c r="D87" i="4"/>
  <c r="B173" i="1"/>
  <c r="B181" i="1" s="1"/>
  <c r="B126" i="1"/>
  <c r="M7" i="6"/>
  <c r="N6" i="6"/>
  <c r="E148" i="4"/>
  <c r="B139" i="4"/>
  <c r="C170" i="1"/>
  <c r="C181" i="1" s="1"/>
  <c r="C182" i="1" s="1"/>
  <c r="C183" i="1" s="1"/>
  <c r="C170" i="4"/>
  <c r="C181" i="4" s="1"/>
  <c r="C146" i="1"/>
  <c r="C149" i="1" s="1"/>
  <c r="C150" i="1" s="1"/>
  <c r="C151" i="1" s="1"/>
  <c r="C88" i="1"/>
  <c r="C89" i="1" s="1"/>
  <c r="F45" i="1"/>
  <c r="F78" i="1" s="1"/>
  <c r="F110" i="1" s="1"/>
  <c r="F163" i="1" s="1"/>
  <c r="E78" i="1"/>
  <c r="E110" i="1" s="1"/>
  <c r="E163" i="1" s="1"/>
  <c r="F20" i="1"/>
  <c r="F21" i="1" s="1"/>
  <c r="F76" i="1" s="1"/>
  <c r="E21" i="1"/>
  <c r="E76" i="1" s="1"/>
  <c r="C116" i="1"/>
  <c r="C126" i="1" s="1"/>
  <c r="F46" i="1"/>
  <c r="F79" i="1" s="1"/>
  <c r="F111" i="1" s="1"/>
  <c r="F164" i="1" s="1"/>
  <c r="E79" i="1"/>
  <c r="E111" i="1" s="1"/>
  <c r="E164" i="1" s="1"/>
  <c r="F112" i="4"/>
  <c r="F115" i="4" s="1"/>
  <c r="F87" i="4"/>
  <c r="B90" i="4" s="1"/>
  <c r="E89" i="5"/>
  <c r="E90" i="5" s="1"/>
  <c r="E114" i="5"/>
  <c r="H7" i="6"/>
  <c r="I6" i="6"/>
  <c r="F120" i="5" s="1"/>
  <c r="E107" i="4"/>
  <c r="E145" i="4" s="1"/>
  <c r="F75" i="4"/>
  <c r="E160" i="4"/>
  <c r="D169" i="4"/>
  <c r="C179" i="1"/>
  <c r="E136" i="1"/>
  <c r="B146" i="1"/>
  <c r="B149" i="1" s="1"/>
  <c r="C89" i="5"/>
  <c r="B124" i="5" l="1"/>
  <c r="C168" i="5"/>
  <c r="C173" i="5" s="1"/>
  <c r="C120" i="5"/>
  <c r="C117" i="5"/>
  <c r="C118" i="5" s="1"/>
  <c r="B91" i="4" a="1"/>
  <c r="B91" i="4" s="1"/>
  <c r="G90" i="5"/>
  <c r="B70" i="5"/>
  <c r="B69" i="5"/>
  <c r="D89" i="5"/>
  <c r="D147" i="5" s="1"/>
  <c r="D150" i="5" s="1"/>
  <c r="C90" i="5"/>
  <c r="C91" i="5" s="1"/>
  <c r="F114" i="5"/>
  <c r="F117" i="5" s="1"/>
  <c r="F118" i="5" s="1"/>
  <c r="G147" i="5"/>
  <c r="G161" i="5"/>
  <c r="G109" i="5"/>
  <c r="G146" i="5" s="1"/>
  <c r="B147" i="5"/>
  <c r="B150" i="5" s="1"/>
  <c r="E120" i="5"/>
  <c r="D116" i="5"/>
  <c r="E5" i="7"/>
  <c r="G173" i="5"/>
  <c r="G118" i="5"/>
  <c r="G127" i="5" s="1"/>
  <c r="E168" i="5"/>
  <c r="E173" i="5" s="1"/>
  <c r="E117" i="5"/>
  <c r="E118" i="5" s="1"/>
  <c r="C182" i="4"/>
  <c r="C183" i="4" s="1"/>
  <c r="C127" i="4"/>
  <c r="C128" i="4" s="1"/>
  <c r="C127" i="1"/>
  <c r="C128" i="1" s="1"/>
  <c r="D170" i="4"/>
  <c r="F168" i="5"/>
  <c r="E108" i="1"/>
  <c r="E161" i="1" s="1"/>
  <c r="E165" i="1" s="1"/>
  <c r="E80" i="1"/>
  <c r="D112" i="1"/>
  <c r="D115" i="1" s="1"/>
  <c r="D87" i="1"/>
  <c r="E116" i="4"/>
  <c r="E126" i="4" s="1"/>
  <c r="E127" i="4" s="1"/>
  <c r="F147" i="5"/>
  <c r="H8" i="6"/>
  <c r="I7" i="6"/>
  <c r="E147" i="5"/>
  <c r="F108" i="1"/>
  <c r="F161" i="1" s="1"/>
  <c r="F165" i="1" s="1"/>
  <c r="F80" i="1"/>
  <c r="F148" i="4"/>
  <c r="M8" i="6"/>
  <c r="N8" i="6" s="1"/>
  <c r="N7" i="6"/>
  <c r="D88" i="4"/>
  <c r="D146" i="4"/>
  <c r="D149" i="4" s="1"/>
  <c r="D89" i="4"/>
  <c r="C147" i="5"/>
  <c r="F160" i="4"/>
  <c r="F107" i="4"/>
  <c r="F145" i="4" s="1"/>
  <c r="D116" i="4"/>
  <c r="D126" i="4" s="1"/>
  <c r="F160" i="1"/>
  <c r="F107" i="1"/>
  <c r="F145" i="1" s="1"/>
  <c r="F148" i="1"/>
  <c r="C150" i="4"/>
  <c r="C151" i="4" s="1"/>
  <c r="C137" i="1"/>
  <c r="F146" i="4"/>
  <c r="F88" i="4"/>
  <c r="F116" i="4"/>
  <c r="F126" i="4" s="1"/>
  <c r="F127" i="4" s="1"/>
  <c r="D179" i="4"/>
  <c r="E137" i="4"/>
  <c r="E146" i="4"/>
  <c r="E149" i="4" s="1"/>
  <c r="E150" i="4" s="1"/>
  <c r="E88" i="4"/>
  <c r="C127" i="5" l="1"/>
  <c r="C128" i="5" s="1"/>
  <c r="C129" i="5" s="1"/>
  <c r="B93" i="5"/>
  <c r="B177" i="5"/>
  <c r="B127" i="5"/>
  <c r="E89" i="4"/>
  <c r="F89" i="4" s="1"/>
  <c r="G128" i="5"/>
  <c r="I8" i="6"/>
  <c r="H88" i="5"/>
  <c r="D181" i="4"/>
  <c r="F149" i="4"/>
  <c r="F150" i="4" s="1"/>
  <c r="B92" i="5"/>
  <c r="D90" i="5"/>
  <c r="D91" i="5" s="1"/>
  <c r="E91" i="5" s="1"/>
  <c r="F91" i="5" s="1"/>
  <c r="G91" i="5" s="1"/>
  <c r="D151" i="5"/>
  <c r="C150" i="5"/>
  <c r="C151" i="5" s="1"/>
  <c r="D120" i="5"/>
  <c r="D168" i="5"/>
  <c r="D173" i="5" s="1"/>
  <c r="D117" i="5"/>
  <c r="D118" i="5" s="1"/>
  <c r="E127" i="5"/>
  <c r="E128" i="5" s="1"/>
  <c r="G5" i="7"/>
  <c r="C6" i="7" s="1"/>
  <c r="D6" i="7" s="1"/>
  <c r="C136" i="5" s="1"/>
  <c r="F127" i="5"/>
  <c r="F128" i="5" s="1"/>
  <c r="D127" i="4"/>
  <c r="D128" i="4" s="1"/>
  <c r="E128" i="4" s="1"/>
  <c r="F128" i="4" s="1"/>
  <c r="B129" i="4"/>
  <c r="B130" i="4" a="1"/>
  <c r="B130" i="4" s="1"/>
  <c r="D182" i="4"/>
  <c r="D183" i="4" s="1"/>
  <c r="C138" i="4"/>
  <c r="E150" i="5"/>
  <c r="E151" i="5" s="1"/>
  <c r="D116" i="1"/>
  <c r="D126" i="1" s="1"/>
  <c r="E112" i="1"/>
  <c r="E115" i="1" s="1"/>
  <c r="E87" i="1"/>
  <c r="F173" i="5"/>
  <c r="F112" i="1"/>
  <c r="F115" i="1" s="1"/>
  <c r="F87" i="1"/>
  <c r="D168" i="1"/>
  <c r="D169" i="1" s="1"/>
  <c r="D137" i="1"/>
  <c r="D150" i="4"/>
  <c r="D151" i="4" s="1"/>
  <c r="E151" i="4" s="1"/>
  <c r="F151" i="4" s="1"/>
  <c r="B152" i="4"/>
  <c r="D146" i="1"/>
  <c r="D149" i="1" s="1"/>
  <c r="D88" i="1"/>
  <c r="D89" i="1" s="1"/>
  <c r="B91" i="1" a="1"/>
  <c r="B91" i="1" s="1"/>
  <c r="B153" i="4" a="1"/>
  <c r="B153" i="4" s="1"/>
  <c r="F150" i="5"/>
  <c r="F151" i="5" s="1"/>
  <c r="J136" i="5" l="1"/>
  <c r="B169" i="5" s="1"/>
  <c r="D127" i="5"/>
  <c r="C152" i="5"/>
  <c r="D152" i="5" s="1"/>
  <c r="E152" i="5" s="1"/>
  <c r="F152" i="5" s="1"/>
  <c r="E6" i="7"/>
  <c r="D136" i="5" s="1"/>
  <c r="F88" i="1"/>
  <c r="F146" i="1"/>
  <c r="F149" i="1" s="1"/>
  <c r="F150" i="1" s="1"/>
  <c r="F116" i="1"/>
  <c r="F126" i="1" s="1"/>
  <c r="E116" i="1"/>
  <c r="E126" i="1"/>
  <c r="E127" i="1" s="1"/>
  <c r="D150" i="1"/>
  <c r="D151" i="1" s="1"/>
  <c r="D179" i="1"/>
  <c r="E137" i="1"/>
  <c r="E168" i="4"/>
  <c r="E169" i="4" s="1"/>
  <c r="D138" i="4"/>
  <c r="E146" i="1"/>
  <c r="E149" i="1" s="1"/>
  <c r="E150" i="1" s="1"/>
  <c r="E88" i="1"/>
  <c r="E89" i="1" s="1"/>
  <c r="F89" i="1" s="1"/>
  <c r="B90" i="1"/>
  <c r="D170" i="1"/>
  <c r="D181" i="1" s="1"/>
  <c r="D127" i="1"/>
  <c r="D128" i="1" s="1"/>
  <c r="E128" i="1" l="1"/>
  <c r="B153" i="1" a="1"/>
  <c r="B153" i="1" s="1"/>
  <c r="B131" i="5"/>
  <c r="B130" i="5"/>
  <c r="D128" i="5"/>
  <c r="D129" i="5" s="1"/>
  <c r="E129" i="5" s="1"/>
  <c r="F129" i="5" s="1"/>
  <c r="G129" i="5" s="1"/>
  <c r="K136" i="5"/>
  <c r="B180" i="5" s="1"/>
  <c r="B182" i="5" s="1"/>
  <c r="E136" i="5"/>
  <c r="G6" i="7"/>
  <c r="C7" i="7" s="1"/>
  <c r="D7" i="7" s="1"/>
  <c r="D182" i="1"/>
  <c r="D183" i="1" s="1"/>
  <c r="F127" i="1"/>
  <c r="B129" i="1"/>
  <c r="B130" i="1" a="1"/>
  <c r="B130" i="1" s="1"/>
  <c r="F128" i="1"/>
  <c r="C138" i="1"/>
  <c r="E151" i="1"/>
  <c r="F151" i="1" s="1"/>
  <c r="E170" i="4"/>
  <c r="E181" i="4" s="1"/>
  <c r="E179" i="4"/>
  <c r="E138" i="4"/>
  <c r="B152" i="1"/>
  <c r="E7" i="7" l="1"/>
  <c r="E182" i="4"/>
  <c r="E183" i="4" s="1"/>
  <c r="C139" i="4"/>
  <c r="E168" i="1"/>
  <c r="E169" i="1" s="1"/>
  <c r="D138" i="1"/>
  <c r="G7" i="7" l="1"/>
  <c r="C8" i="7" s="1"/>
  <c r="D8" i="7" s="1"/>
  <c r="F168" i="4"/>
  <c r="F169" i="4" s="1"/>
  <c r="D139" i="4"/>
  <c r="E179" i="1"/>
  <c r="E181" i="1" s="1"/>
  <c r="E138" i="1"/>
  <c r="E170" i="1"/>
  <c r="E8" i="7" l="1"/>
  <c r="G150" i="5"/>
  <c r="E182" i="1"/>
  <c r="E183" i="1" s="1"/>
  <c r="C139" i="1"/>
  <c r="F179" i="4"/>
  <c r="E139" i="4"/>
  <c r="F170" i="4"/>
  <c r="F181" i="4" s="1"/>
  <c r="G8" i="7" l="1"/>
  <c r="C9" i="7" s="1"/>
  <c r="D9" i="7" s="1"/>
  <c r="G151" i="5"/>
  <c r="G152" i="5" s="1"/>
  <c r="B153" i="5"/>
  <c r="B154" i="5"/>
  <c r="F182" i="4"/>
  <c r="F183" i="4" s="1"/>
  <c r="B184" i="4"/>
  <c r="B185" i="4" a="1"/>
  <c r="B185" i="4" s="1"/>
  <c r="F168" i="1"/>
  <c r="F169" i="1" s="1"/>
  <c r="D139" i="1"/>
  <c r="E9" i="7" l="1"/>
  <c r="F179" i="1"/>
  <c r="E139" i="1"/>
  <c r="F170" i="1"/>
  <c r="F181" i="1"/>
  <c r="G9" i="7" l="1"/>
  <c r="C10" i="7" s="1"/>
  <c r="D10" i="7" s="1"/>
  <c r="F182" i="1"/>
  <c r="F183" i="1" s="1"/>
  <c r="B184" i="1"/>
  <c r="B185" i="1" a="1"/>
  <c r="B185" i="1" s="1"/>
  <c r="E10" i="7" l="1"/>
  <c r="G10" i="7" l="1"/>
  <c r="C11" i="7" s="1"/>
  <c r="D11" i="7" s="1"/>
  <c r="E11" i="7" s="1"/>
  <c r="G11" i="7" s="1"/>
  <c r="C12" i="7" s="1"/>
  <c r="D12" i="7" s="1"/>
  <c r="E12" i="7" s="1"/>
  <c r="G12" i="7" s="1"/>
  <c r="C13" i="7" s="1"/>
  <c r="D13" i="7" s="1"/>
  <c r="E13" i="7" s="1"/>
  <c r="G13" i="7" s="1"/>
  <c r="C14" i="7" s="1"/>
  <c r="D14" i="7" s="1"/>
  <c r="E14" i="7" s="1"/>
  <c r="G14" i="7" s="1"/>
  <c r="C15" i="7" s="1"/>
  <c r="D15" i="7" s="1"/>
  <c r="E15" i="7" s="1"/>
  <c r="G15" i="7" l="1"/>
  <c r="C16" i="7" s="1"/>
  <c r="D16" i="7" s="1"/>
  <c r="E16" i="7" s="1"/>
  <c r="G16" i="7" l="1"/>
  <c r="C17" i="7" s="1"/>
  <c r="D17" i="7" s="1"/>
  <c r="E17" i="7" l="1"/>
  <c r="G17" i="7" l="1"/>
  <c r="C18" i="7" s="1"/>
  <c r="D18" i="7" s="1"/>
  <c r="C137" i="5" s="1"/>
  <c r="J137" i="5" s="1"/>
  <c r="C169" i="5" s="1"/>
  <c r="E18" i="7" l="1"/>
  <c r="D137" i="5" s="1"/>
  <c r="K137" i="5" l="1"/>
  <c r="C180" i="5" s="1"/>
  <c r="E137" i="5"/>
  <c r="G18" i="7"/>
  <c r="C19" i="7" s="1"/>
  <c r="D19" i="7" s="1"/>
  <c r="E19" i="7" l="1"/>
  <c r="G19" i="7" l="1"/>
  <c r="C20" i="7" s="1"/>
  <c r="D20" i="7" s="1"/>
  <c r="E20" i="7" l="1"/>
  <c r="G20" i="7" l="1"/>
  <c r="C21" i="7" s="1"/>
  <c r="D21" i="7" s="1"/>
  <c r="E21" i="7" l="1"/>
  <c r="G21" i="7" l="1"/>
  <c r="C22" i="7" s="1"/>
  <c r="D22" i="7" s="1"/>
  <c r="E22" i="7" s="1"/>
  <c r="G22" i="7" s="1"/>
  <c r="C23" i="7" s="1"/>
  <c r="D23" i="7" s="1"/>
  <c r="E23" i="7" s="1"/>
  <c r="G23" i="7" s="1"/>
  <c r="C24" i="7" s="1"/>
  <c r="D24" i="7" s="1"/>
  <c r="E24" i="7" s="1"/>
  <c r="G24" i="7" s="1"/>
  <c r="C25" i="7" s="1"/>
  <c r="D25" i="7" s="1"/>
  <c r="E25" i="7" s="1"/>
  <c r="G25" i="7" s="1"/>
  <c r="C26" i="7" s="1"/>
  <c r="D26" i="7" s="1"/>
  <c r="E26" i="7" s="1"/>
  <c r="G26" i="7" s="1"/>
  <c r="C27" i="7" s="1"/>
  <c r="D27" i="7" s="1"/>
  <c r="E27" i="7" s="1"/>
  <c r="C171" i="5"/>
  <c r="C182" i="5" s="1"/>
  <c r="C183" i="5" l="1"/>
  <c r="G27" i="7"/>
  <c r="C28" i="7" s="1"/>
  <c r="D28" i="7" s="1"/>
  <c r="C184" i="5" l="1"/>
  <c r="E28" i="7"/>
  <c r="G28" i="7" l="1"/>
  <c r="C29" i="7" s="1"/>
  <c r="D29" i="7" s="1"/>
  <c r="E29" i="7" l="1"/>
  <c r="G29" i="7" l="1"/>
  <c r="C30" i="7" s="1"/>
  <c r="D30" i="7" s="1"/>
  <c r="C138" i="5" s="1"/>
  <c r="J138" i="5" s="1"/>
  <c r="E30" i="7" l="1"/>
  <c r="D138" i="5" s="1"/>
  <c r="K138" i="5" s="1"/>
  <c r="D180" i="5" s="1"/>
  <c r="G30" i="7" l="1"/>
  <c r="C31" i="7" s="1"/>
  <c r="D31" i="7" l="1"/>
  <c r="E31" i="7" l="1"/>
  <c r="G31" i="7" l="1"/>
  <c r="C32" i="7" s="1"/>
  <c r="D32" i="7" s="1"/>
  <c r="E32" i="7" l="1"/>
  <c r="G32" i="7" l="1"/>
  <c r="C33" i="7" s="1"/>
  <c r="D33" i="7" l="1"/>
  <c r="E33" i="7" l="1"/>
  <c r="G33" i="7" l="1"/>
  <c r="C34" i="7" s="1"/>
  <c r="D34" i="7" s="1"/>
  <c r="E34" i="7" s="1"/>
  <c r="G34" i="7" s="1"/>
  <c r="C35" i="7" s="1"/>
  <c r="D35" i="7" s="1"/>
  <c r="E35" i="7" s="1"/>
  <c r="G35" i="7" s="1"/>
  <c r="C36" i="7" s="1"/>
  <c r="D36" i="7" s="1"/>
  <c r="E36" i="7" s="1"/>
  <c r="G36" i="7" s="1"/>
  <c r="C37" i="7" s="1"/>
  <c r="D37" i="7" s="1"/>
  <c r="E37" i="7" s="1"/>
  <c r="G37" i="7" s="1"/>
  <c r="C38" i="7" s="1"/>
  <c r="D38" i="7" s="1"/>
  <c r="E38" i="7" s="1"/>
  <c r="G38" i="7" s="1"/>
  <c r="C39" i="7" s="1"/>
  <c r="D39" i="7" s="1"/>
  <c r="E39" i="7" s="1"/>
  <c r="D169" i="5"/>
  <c r="D170" i="5" s="1"/>
  <c r="D171" i="5" l="1"/>
  <c r="G39" i="7"/>
  <c r="C40" i="7" s="1"/>
  <c r="D40" i="7" s="1"/>
  <c r="D182" i="5" l="1"/>
  <c r="E138" i="5"/>
  <c r="E40" i="7"/>
  <c r="D183" i="5" l="1"/>
  <c r="D184" i="5" s="1"/>
  <c r="G40" i="7"/>
  <c r="C41" i="7" s="1"/>
  <c r="D41" i="7" l="1"/>
  <c r="E41" i="7" l="1"/>
  <c r="G41" i="7" l="1"/>
  <c r="C42" i="7" s="1"/>
  <c r="D42" i="7" s="1"/>
  <c r="C139" i="5" s="1"/>
  <c r="J139" i="5" s="1"/>
  <c r="E42" i="7" l="1"/>
  <c r="D139" i="5" s="1"/>
  <c r="K139" i="5" s="1"/>
  <c r="E180" i="5" s="1"/>
  <c r="G42" i="7" l="1"/>
  <c r="C43" i="7" s="1"/>
  <c r="D43" i="7" s="1"/>
  <c r="E43" i="7" l="1"/>
  <c r="G43" i="7" l="1"/>
  <c r="C44" i="7" s="1"/>
  <c r="D44" i="7" l="1"/>
  <c r="E44" i="7" l="1"/>
  <c r="G44" i="7" l="1"/>
  <c r="C45" i="7" s="1"/>
  <c r="D45" i="7" s="1"/>
  <c r="E45" i="7" l="1"/>
  <c r="G45" i="7" l="1"/>
  <c r="C46" i="7" s="1"/>
  <c r="D46" i="7" s="1"/>
  <c r="E46" i="7" s="1"/>
  <c r="G46" i="7" s="1"/>
  <c r="C47" i="7" s="1"/>
  <c r="D47" i="7" s="1"/>
  <c r="E47" i="7" s="1"/>
  <c r="G47" i="7" s="1"/>
  <c r="C48" i="7" s="1"/>
  <c r="D48" i="7" s="1"/>
  <c r="E48" i="7" s="1"/>
  <c r="G48" i="7" s="1"/>
  <c r="C49" i="7" s="1"/>
  <c r="D49" i="7" s="1"/>
  <c r="E49" i="7" s="1"/>
  <c r="G49" i="7" s="1"/>
  <c r="C50" i="7" s="1"/>
  <c r="D50" i="7" s="1"/>
  <c r="E50" i="7" s="1"/>
  <c r="G50" i="7" s="1"/>
  <c r="C51" i="7" s="1"/>
  <c r="D51" i="7" s="1"/>
  <c r="E51" i="7" s="1"/>
  <c r="E169" i="5"/>
  <c r="E170" i="5" s="1"/>
  <c r="E171" i="5" s="1"/>
  <c r="G51" i="7" l="1"/>
  <c r="C52" i="7" s="1"/>
  <c r="D52" i="7" s="1"/>
  <c r="E182" i="5" l="1"/>
  <c r="E139" i="5"/>
  <c r="E52" i="7"/>
  <c r="E183" i="5" l="1"/>
  <c r="E184" i="5" s="1"/>
  <c r="G52" i="7"/>
  <c r="C53" i="7" s="1"/>
  <c r="D53" i="7" s="1"/>
  <c r="E53" i="7" l="1"/>
  <c r="G53" i="7" l="1"/>
  <c r="C54" i="7" s="1"/>
  <c r="D54" i="7" s="1"/>
  <c r="C140" i="5" s="1"/>
  <c r="J140" i="5" s="1"/>
  <c r="E54" i="7" l="1"/>
  <c r="D140" i="5" s="1"/>
  <c r="K140" i="5" s="1"/>
  <c r="F180" i="5" s="1"/>
  <c r="G54" i="7" l="1"/>
  <c r="C55" i="7" s="1"/>
  <c r="D55" i="7" l="1"/>
  <c r="E55" i="7" l="1"/>
  <c r="G55" i="7" l="1"/>
  <c r="C56" i="7" s="1"/>
  <c r="D56" i="7" s="1"/>
  <c r="E56" i="7" l="1"/>
  <c r="G56" i="7" l="1"/>
  <c r="C57" i="7" s="1"/>
  <c r="D57" i="7" l="1"/>
  <c r="E57" i="7" l="1"/>
  <c r="G57" i="7" l="1"/>
  <c r="C58" i="7" s="1"/>
  <c r="D58" i="7" s="1"/>
  <c r="E58" i="7" s="1"/>
  <c r="G58" i="7" s="1"/>
  <c r="C59" i="7" s="1"/>
  <c r="D59" i="7" s="1"/>
  <c r="E59" i="7" s="1"/>
  <c r="G59" i="7" s="1"/>
  <c r="C60" i="7" s="1"/>
  <c r="D60" i="7" s="1"/>
  <c r="E60" i="7" s="1"/>
  <c r="G60" i="7" s="1"/>
  <c r="C61" i="7" s="1"/>
  <c r="F169" i="5"/>
  <c r="F170" i="5" s="1"/>
  <c r="D61" i="7" l="1"/>
  <c r="E61" i="7" s="1"/>
  <c r="G61" i="7" s="1"/>
  <c r="C62" i="7" s="1"/>
  <c r="D62" i="7" s="1"/>
  <c r="E62" i="7" s="1"/>
  <c r="G62" i="7" s="1"/>
  <c r="C63" i="7" s="1"/>
  <c r="F171" i="5"/>
  <c r="D63" i="7" l="1"/>
  <c r="E63" i="7" s="1"/>
  <c r="G63" i="7" s="1"/>
  <c r="C64" i="7" s="1"/>
  <c r="D64" i="7" s="1"/>
  <c r="E64" i="7" s="1"/>
  <c r="F182" i="5"/>
  <c r="E140" i="5"/>
  <c r="F183" i="5" l="1"/>
  <c r="F184" i="5" s="1"/>
  <c r="G64" i="7"/>
  <c r="C65" i="7" s="1"/>
  <c r="D65" i="7" l="1"/>
  <c r="E65" i="7" l="1"/>
  <c r="G65" i="7" l="1"/>
  <c r="C66" i="7" s="1"/>
  <c r="D66" i="7" s="1"/>
  <c r="C141" i="5" s="1"/>
  <c r="J141" i="5" s="1"/>
  <c r="E66" i="7" l="1"/>
  <c r="D141" i="5" s="1"/>
  <c r="K141" i="5" s="1"/>
  <c r="G180" i="5" s="1"/>
  <c r="G66" i="7" l="1"/>
  <c r="C67" i="7" s="1"/>
  <c r="D67" i="7" s="1"/>
  <c r="E67" i="7" l="1"/>
  <c r="G67" i="7" l="1"/>
  <c r="C68" i="7" s="1"/>
  <c r="D68" i="7" s="1"/>
  <c r="E68" i="7" l="1"/>
  <c r="G68" i="7" l="1"/>
  <c r="C69" i="7" s="1"/>
  <c r="D69" i="7" s="1"/>
  <c r="E69" i="7" s="1"/>
  <c r="G69" i="7" s="1"/>
  <c r="C70" i="7" s="1"/>
  <c r="D70" i="7" s="1"/>
  <c r="E70" i="7" s="1"/>
  <c r="G70" i="7" s="1"/>
  <c r="C71" i="7" s="1"/>
  <c r="D71" i="7" s="1"/>
  <c r="E71" i="7" s="1"/>
  <c r="G71" i="7" s="1"/>
  <c r="C72" i="7" s="1"/>
  <c r="D72" i="7" s="1"/>
  <c r="E72" i="7" s="1"/>
  <c r="G72" i="7" s="1"/>
  <c r="C73" i="7" s="1"/>
  <c r="D73" i="7" s="1"/>
  <c r="E73" i="7" s="1"/>
  <c r="G73" i="7" s="1"/>
  <c r="C74" i="7" s="1"/>
  <c r="D74" i="7" s="1"/>
  <c r="E74" i="7" s="1"/>
  <c r="G74" i="7" s="1"/>
  <c r="C75" i="7" s="1"/>
  <c r="D75" i="7" s="1"/>
  <c r="E75" i="7" l="1"/>
  <c r="G169" i="5"/>
  <c r="G170" i="5" s="1"/>
  <c r="G171" i="5" l="1"/>
  <c r="G182" i="5" s="1"/>
  <c r="G75" i="7"/>
  <c r="C76" i="7" s="1"/>
  <c r="D76" i="7" s="1"/>
  <c r="E76" i="7" s="1"/>
  <c r="G76" i="7" s="1"/>
  <c r="C77" i="7" s="1"/>
  <c r="D77" i="7" s="1"/>
  <c r="E77" i="7" s="1"/>
  <c r="G77" i="7" s="1"/>
  <c r="C78" i="7" s="1"/>
  <c r="D78" i="7" s="1"/>
  <c r="E78" i="7" s="1"/>
  <c r="G78" i="7" s="1"/>
  <c r="C79" i="7" s="1"/>
  <c r="D79" i="7" s="1"/>
  <c r="E79" i="7" s="1"/>
  <c r="G79" i="7" s="1"/>
  <c r="C80" i="7" s="1"/>
  <c r="D80" i="7" s="1"/>
  <c r="E80" i="7" s="1"/>
  <c r="G80" i="7" s="1"/>
  <c r="C81" i="7" s="1"/>
  <c r="B186" i="5" l="1"/>
  <c r="B185" i="5"/>
  <c r="G183" i="5"/>
  <c r="E141" i="5"/>
  <c r="D81" i="7"/>
  <c r="E81" i="7" s="1"/>
  <c r="G81" i="7" s="1"/>
  <c r="C82" i="7" s="1"/>
  <c r="D82" i="7" s="1"/>
  <c r="E82" i="7" s="1"/>
  <c r="G82" i="7" s="1"/>
  <c r="C83" i="7" s="1"/>
  <c r="D83" i="7" s="1"/>
  <c r="E83" i="7" s="1"/>
  <c r="G83" i="7" s="1"/>
  <c r="C84" i="7" s="1"/>
  <c r="G184" i="5" l="1"/>
  <c r="D84" i="7"/>
  <c r="E84" i="7" s="1"/>
  <c r="G84" i="7" s="1"/>
  <c r="C85" i="7" s="1"/>
  <c r="D85" i="7" s="1"/>
  <c r="E85" i="7" s="1"/>
  <c r="G85" i="7" s="1"/>
  <c r="C86" i="7" s="1"/>
  <c r="D86" i="7" s="1"/>
  <c r="E86" i="7" s="1"/>
  <c r="G86" i="7" s="1"/>
  <c r="C87" i="7" s="1"/>
  <c r="D87" i="7" s="1"/>
  <c r="E87" i="7" s="1"/>
  <c r="G87" i="7" s="1"/>
</calcChain>
</file>

<file path=xl/sharedStrings.xml><?xml version="1.0" encoding="utf-8"?>
<sst xmlns="http://schemas.openxmlformats.org/spreadsheetml/2006/main" count="704" uniqueCount="289">
  <si>
    <t xml:space="preserve">EVALUACIÓN FINANCIERA </t>
  </si>
  <si>
    <t>UNIDADES DE ANÁLISIS</t>
  </si>
  <si>
    <t>Millones de pesos CORRIENTES</t>
  </si>
  <si>
    <t>TÍTULO DEL PROYECTO:</t>
  </si>
  <si>
    <t>FECHA DE REALIZACIÓN</t>
  </si>
  <si>
    <t>Nombre del analista</t>
  </si>
  <si>
    <t>Tabla 1. Inflación proyectada</t>
  </si>
  <si>
    <t>Analizar cambios en la TIR para cambios en precio</t>
  </si>
  <si>
    <t>Año</t>
  </si>
  <si>
    <t>Inflación PROYECTADA</t>
  </si>
  <si>
    <t>Nombre de escenario</t>
  </si>
  <si>
    <t>Precio de venta</t>
  </si>
  <si>
    <t>COSTOS VARIABLES Y UNITARIOS</t>
  </si>
  <si>
    <t>TIR</t>
  </si>
  <si>
    <t>Precio base</t>
  </si>
  <si>
    <t>Precio + 10%</t>
  </si>
  <si>
    <t>Precio crítico</t>
  </si>
  <si>
    <t>Precio + 20%</t>
  </si>
  <si>
    <t>Promedio</t>
  </si>
  <si>
    <t>Precio + 30%</t>
  </si>
  <si>
    <t>Valores base</t>
  </si>
  <si>
    <t>Tabla 2. Ingresos operacionales</t>
  </si>
  <si>
    <t>Precio +10%  -5% costos variables</t>
  </si>
  <si>
    <t>INGRESOS OPERACIONALES Y NO OPERACIONALES</t>
  </si>
  <si>
    <t>Precio + 5%  costos variables -10%</t>
  </si>
  <si>
    <t>Precio +0%  y costos variables -15%</t>
  </si>
  <si>
    <t>Precio +20% y costos variables -10%</t>
  </si>
  <si>
    <t xml:space="preserve">CAPACIDAD DE PRODUCCIÒN </t>
  </si>
  <si>
    <t>Porcentaje de utilizaciòn de la capacidad instalada</t>
  </si>
  <si>
    <t>Producción (millones de kg/año)</t>
  </si>
  <si>
    <t>Precio venta  ($/Kg)</t>
  </si>
  <si>
    <t xml:space="preserve">Total Ingresos operacionales </t>
  </si>
  <si>
    <t xml:space="preserve">Ingresos no operacionales </t>
  </si>
  <si>
    <t>Tabla 3. Inversiones</t>
  </si>
  <si>
    <t>INVERSIONES (millones)</t>
  </si>
  <si>
    <t>Activos fijos depreciables</t>
  </si>
  <si>
    <t>Activos diferidos</t>
  </si>
  <si>
    <t>Terrenos</t>
  </si>
  <si>
    <t>Capital de trabajo</t>
  </si>
  <si>
    <t>Total inversión</t>
  </si>
  <si>
    <t>Tabla 4. Datos para el cálculo de la depreciación y amortización de activos</t>
  </si>
  <si>
    <t>Datos para cálculo de depreciación y amortización de activos</t>
  </si>
  <si>
    <t>Vida útil activos depreciables (años</t>
  </si>
  <si>
    <t>Periodo amortización diferidos e intangibles (años)</t>
  </si>
  <si>
    <t>Valor activos fijos depreciables que se venden</t>
  </si>
  <si>
    <t>Depreciación anual del activo que se vende</t>
  </si>
  <si>
    <t>Valor en libros del activo que se vende en el año 3</t>
  </si>
  <si>
    <t>Tabla 5. Datos apra el cálculo de los egresos</t>
  </si>
  <si>
    <t>DATOS PARA EL CÁLCULO DE EGRESOS</t>
  </si>
  <si>
    <t>Costo variable unitario ($/kg)</t>
  </si>
  <si>
    <t>Costos variables totales (millones de pesos)</t>
  </si>
  <si>
    <t xml:space="preserve">Costos fijos por año </t>
  </si>
  <si>
    <t xml:space="preserve">Gastos de administración y ventas </t>
  </si>
  <si>
    <t>Vlr de rescate (millones de pesos corrientes)</t>
  </si>
  <si>
    <t>Vlr de rescate (millones de pesos constantes)</t>
  </si>
  <si>
    <t>Tabla 6. Datos para el cálculo de la financiación</t>
  </si>
  <si>
    <t>FINANCIACIÓN</t>
  </si>
  <si>
    <t>Préstamo (millones)</t>
  </si>
  <si>
    <t>Interés efectivo</t>
  </si>
  <si>
    <t>Anual</t>
  </si>
  <si>
    <t>Forma de pago</t>
  </si>
  <si>
    <t>4 cuotas anuales pagaderas cada fin de año%</t>
  </si>
  <si>
    <t>Número de cuotas</t>
  </si>
  <si>
    <t>Tabla 7. Tarifa impositiva</t>
  </si>
  <si>
    <t>IMPUESTOS</t>
  </si>
  <si>
    <t>Impuesto de renta (%)</t>
  </si>
  <si>
    <t>Tabla 8. Cálculo de los costos de oportunidad</t>
  </si>
  <si>
    <t>COSTO DE OPORTUNIDAD</t>
  </si>
  <si>
    <t>Costo de oportunidad en términos reales</t>
  </si>
  <si>
    <t>Costo de oportunidad en térnimos nominales</t>
  </si>
  <si>
    <t xml:space="preserve">Tasa de descuento 
nominal= (1 + Tasa de descuento real)* (1+ Tasa de inflación) -1
</t>
  </si>
  <si>
    <t>Porcentaje financiado con recursos propios</t>
  </si>
  <si>
    <t>Costo de la deuda d.d.i  (k.d.d.i=Kd(1-t))</t>
  </si>
  <si>
    <t>CCPP adi en términos nominales</t>
  </si>
  <si>
    <t xml:space="preserve">COSTO PONDERADO DE CAPITAL =  
(X) (COSTO DE OPORTUNIDAD)+ (1-X) (COSTO DE LA DEUDA)
</t>
  </si>
  <si>
    <t>CCPP ddi en términos nominales</t>
  </si>
  <si>
    <t xml:space="preserve">COSTO PONDERADO DE CAPITAL =  
(X) (COSTO DE OPORTUNIDAD)+ (1-X) (COSTO DE LA DEUDA ddi)
</t>
  </si>
  <si>
    <t>CCP ddi en términos nominales</t>
  </si>
  <si>
    <t>Tabla 9</t>
  </si>
  <si>
    <t>Flujo de caja proyectado para el calculo de la TIR y VPN del proyecto puro antes de impuestos</t>
  </si>
  <si>
    <t>Concepto</t>
  </si>
  <si>
    <t>Ventas netas (Ingreso por ventas/Ingresos operacionales)</t>
  </si>
  <si>
    <t xml:space="preserve">  - Costo de producción variable totales</t>
  </si>
  <si>
    <t xml:space="preserve">  - Costo de producción fijo</t>
  </si>
  <si>
    <t xml:space="preserve">  - Gastos de administración y ventas</t>
  </si>
  <si>
    <t xml:space="preserve">  = Renta bruta</t>
  </si>
  <si>
    <t>- Activos fijos depreciables</t>
  </si>
  <si>
    <t>- Activos diferidos</t>
  </si>
  <si>
    <t>- Terrenos</t>
  </si>
  <si>
    <t>(-)Capital de trabajo</t>
  </si>
  <si>
    <t>(+) Recuperacion del capital de trabajo</t>
  </si>
  <si>
    <t>No se recupera el capital de trabajo porque el valor de rescate se calculó por el método de valor económico.</t>
  </si>
  <si>
    <t>+Valor de rescate</t>
  </si>
  <si>
    <t xml:space="preserve">Flujo de caja proyectado </t>
  </si>
  <si>
    <t xml:space="preserve"> = Flujo de caja del proyecto puro a.d.i actualizado</t>
  </si>
  <si>
    <t xml:space="preserve"> = Flujo de caja acumulado</t>
  </si>
  <si>
    <t>No se  recupera la inversión en el periodo de evaluación considerado</t>
  </si>
  <si>
    <t>Tir pp a.d.i</t>
  </si>
  <si>
    <t>términos nominales</t>
  </si>
  <si>
    <t>VPN(CCPP a.d.i)</t>
  </si>
  <si>
    <t>Tabla 10.</t>
  </si>
  <si>
    <t>Tabla 11</t>
  </si>
  <si>
    <t xml:space="preserve">Depreciación </t>
  </si>
  <si>
    <t>Amortización de Inversiones</t>
  </si>
  <si>
    <t>Millones de pesos</t>
  </si>
  <si>
    <t>Fin Año</t>
  </si>
  <si>
    <t>Depreciación anual ( Millones de pesos corrientes)</t>
  </si>
  <si>
    <t>Depreciación anual pesos constantes</t>
  </si>
  <si>
    <t>Amortización anual pesos corrientes</t>
  </si>
  <si>
    <t>Amortización anual pesos constantes</t>
  </si>
  <si>
    <t>Tabla 12</t>
  </si>
  <si>
    <t>Flujo de caja proyectado para el calculo de la TIR y VPN del proyecto puro despues de impuestos</t>
  </si>
  <si>
    <t>+Ingresos por ventas</t>
  </si>
  <si>
    <t xml:space="preserve">  - Costo de producción variable</t>
  </si>
  <si>
    <t xml:space="preserve"> = Renta bruta</t>
  </si>
  <si>
    <t xml:space="preserve">  -Amortización   intangibles</t>
  </si>
  <si>
    <t xml:space="preserve">  -Depreciación</t>
  </si>
  <si>
    <t xml:space="preserve"> = Renta Líquida Gravable (RLG)</t>
  </si>
  <si>
    <t>-Impuesto de renta</t>
  </si>
  <si>
    <t>- CREE</t>
  </si>
  <si>
    <t xml:space="preserve">  +Amortización   intangibles</t>
  </si>
  <si>
    <t xml:space="preserve">  +Depreciación</t>
  </si>
  <si>
    <t>-Activos depreciables</t>
  </si>
  <si>
    <t>-Activos Diferidos</t>
  </si>
  <si>
    <t>-Terrenos</t>
  </si>
  <si>
    <t>-Capital de Trabajo</t>
  </si>
  <si>
    <t>+Recuperación del Capital de Trabajo</t>
  </si>
  <si>
    <t>+Valor de Rescate</t>
  </si>
  <si>
    <t xml:space="preserve"> = Flujo proyecto puro d.d.i.</t>
  </si>
  <si>
    <t xml:space="preserve"> = Flujo de caja del proyecto puro d.d.i actualizado</t>
  </si>
  <si>
    <t>TIR p.p. d.d.i.</t>
  </si>
  <si>
    <t>en términos nominales o corrientes</t>
  </si>
  <si>
    <t>VPN(CCPP ddi)</t>
  </si>
  <si>
    <t>Tabla 13. Parte a</t>
  </si>
  <si>
    <t>Tabla 13. Parte b</t>
  </si>
  <si>
    <r>
      <rPr>
        <b/>
        <sz val="10"/>
        <color theme="1"/>
        <rFont val="Arial"/>
        <family val="2"/>
      </rPr>
      <t xml:space="preserve">Flujo de Caja del Préstamo e Intereses Deducibles </t>
    </r>
    <r>
      <rPr>
        <b/>
        <sz val="10"/>
        <color rgb="FFFF0000"/>
        <rFont val="Arial"/>
        <family val="2"/>
      </rPr>
      <t>(Millones de pesos)</t>
    </r>
  </si>
  <si>
    <t>Fin año</t>
  </si>
  <si>
    <r>
      <rPr>
        <b/>
        <sz val="8"/>
        <color theme="1"/>
        <rFont val="Arial"/>
        <family val="2"/>
      </rPr>
      <t xml:space="preserve">cuota en </t>
    </r>
    <r>
      <rPr>
        <b/>
        <sz val="8"/>
        <color rgb="FFFF0000"/>
        <rFont val="Arial"/>
        <family val="2"/>
      </rPr>
      <t>millones de $ corrientes</t>
    </r>
  </si>
  <si>
    <r>
      <rPr>
        <b/>
        <sz val="8"/>
        <color theme="1"/>
        <rFont val="Arial"/>
        <family val="2"/>
      </rPr>
      <t xml:space="preserve">int deducibles </t>
    </r>
    <r>
      <rPr>
        <b/>
        <sz val="8"/>
        <color rgb="FFFF0000"/>
        <rFont val="Arial"/>
        <family val="2"/>
      </rPr>
      <t>en millones de $ corrientes</t>
    </r>
  </si>
  <si>
    <t>Amortizaciòn (abono a capital)</t>
  </si>
  <si>
    <t>Saldo después del pago</t>
  </si>
  <si>
    <t xml:space="preserve">Anualidad    </t>
  </si>
  <si>
    <r>
      <rPr>
        <b/>
        <sz val="8"/>
        <color theme="1"/>
        <rFont val="Arial"/>
        <family val="2"/>
      </rPr>
      <t xml:space="preserve">Cuota en </t>
    </r>
    <r>
      <rPr>
        <b/>
        <sz val="8"/>
        <color rgb="FFFF0000"/>
        <rFont val="Arial"/>
        <family val="2"/>
      </rPr>
      <t>$ constantes del año inicial del proyecto</t>
    </r>
  </si>
  <si>
    <r>
      <rPr>
        <b/>
        <sz val="8"/>
        <color theme="1"/>
        <rFont val="Arial"/>
        <family val="2"/>
      </rPr>
      <t xml:space="preserve">Int deducibles en </t>
    </r>
    <r>
      <rPr>
        <b/>
        <sz val="8"/>
        <color rgb="FFFF0000"/>
        <rFont val="Arial"/>
        <family val="2"/>
      </rPr>
      <t>$ constantes del año inicial del proyecto</t>
    </r>
  </si>
  <si>
    <t>Amortizaciòn (abono a capital)  en términos constantes</t>
  </si>
  <si>
    <t>Tabla 14</t>
  </si>
  <si>
    <t>Flujo de caja proyectado para el calculo de la TIR y VPN del inversionista antes de impuestos</t>
  </si>
  <si>
    <t>Flujo proyecto puro a.d.i</t>
  </si>
  <si>
    <t>Préstamo</t>
  </si>
  <si>
    <t>Pago préstamo (CUOTA)</t>
  </si>
  <si>
    <t>Flujo inversionista a.d.i</t>
  </si>
  <si>
    <t xml:space="preserve"> = Flujo de caja del inversionista a.d.i actualizado</t>
  </si>
  <si>
    <t>No se recupera la inversión en el periodo de evaluación.</t>
  </si>
  <si>
    <t>TIR inv a.d.i</t>
  </si>
  <si>
    <t>EN términos nominales o corrientes</t>
  </si>
  <si>
    <t>Tabla 15</t>
  </si>
  <si>
    <t>Flujo de caja proyectado para el calculo de la TIR y VPN del inversionista despues de impuestos</t>
  </si>
  <si>
    <t>Costo de producción variable totales</t>
  </si>
  <si>
    <t>Costo de producción fijo</t>
  </si>
  <si>
    <t>Gastos de administración y ventas</t>
  </si>
  <si>
    <t xml:space="preserve"> -Amortización   intangibles</t>
  </si>
  <si>
    <t xml:space="preserve"> -Depreciación</t>
  </si>
  <si>
    <t>-Intereses</t>
  </si>
  <si>
    <t>+Amortización   intangibles</t>
  </si>
  <si>
    <t>+Depreciación</t>
  </si>
  <si>
    <t>(-)Capital de Trabajo</t>
  </si>
  <si>
    <t>+ Préstamo</t>
  </si>
  <si>
    <t xml:space="preserve"> - Abono a Capital del Préstamo</t>
  </si>
  <si>
    <t xml:space="preserve"> = Flujo de caja inversionista ddi</t>
  </si>
  <si>
    <t xml:space="preserve"> = Flujo de caja actualizado d.d.i</t>
  </si>
  <si>
    <t>NO se recupera la inversión durante el periodo de evaluación.</t>
  </si>
  <si>
    <t>Tir Inv ddi</t>
  </si>
  <si>
    <t>Términos nominales o corrientes</t>
  </si>
  <si>
    <t>Tir Inv d.d.i</t>
  </si>
  <si>
    <t>VPN(CCPP d.d.i)</t>
  </si>
  <si>
    <t>Resumen del escenario</t>
  </si>
  <si>
    <t>Valores actuales:</t>
  </si>
  <si>
    <t>Celdas cambiantes:</t>
  </si>
  <si>
    <t>Celdas de resultado:</t>
  </si>
  <si>
    <t>VPN</t>
  </si>
  <si>
    <t>Millonesde pesos</t>
  </si>
  <si>
    <t>CCPP adi en términos reales</t>
  </si>
  <si>
    <t>CCPP ddi en términos reales</t>
  </si>
  <si>
    <r>
      <rPr>
        <b/>
        <sz val="10"/>
        <color theme="1"/>
        <rFont val="Arial"/>
        <family val="2"/>
      </rPr>
      <t xml:space="preserve">Flujo de Caja del Préstamo e Intereses Deducibles </t>
    </r>
    <r>
      <rPr>
        <b/>
        <sz val="10"/>
        <color rgb="FFFF0000"/>
        <rFont val="Arial"/>
        <family val="2"/>
      </rPr>
      <t>(Millones de pesos)</t>
    </r>
  </si>
  <si>
    <r>
      <rPr>
        <b/>
        <sz val="8"/>
        <color theme="1"/>
        <rFont val="Arial"/>
        <family val="2"/>
      </rPr>
      <t xml:space="preserve">cuota en </t>
    </r>
    <r>
      <rPr>
        <b/>
        <sz val="8"/>
        <color rgb="FFFF0000"/>
        <rFont val="Arial"/>
        <family val="2"/>
      </rPr>
      <t>millones de $ corrientes</t>
    </r>
  </si>
  <si>
    <r>
      <rPr>
        <b/>
        <sz val="8"/>
        <color theme="1"/>
        <rFont val="Arial"/>
        <family val="2"/>
      </rPr>
      <t xml:space="preserve">int deducibles </t>
    </r>
    <r>
      <rPr>
        <b/>
        <sz val="8"/>
        <color rgb="FFFF0000"/>
        <rFont val="Arial"/>
        <family val="2"/>
      </rPr>
      <t>en millones de $ corrientes</t>
    </r>
  </si>
  <si>
    <r>
      <rPr>
        <b/>
        <sz val="8"/>
        <color theme="1"/>
        <rFont val="Arial"/>
        <family val="2"/>
      </rPr>
      <t xml:space="preserve">Cuota en </t>
    </r>
    <r>
      <rPr>
        <b/>
        <sz val="8"/>
        <color rgb="FFFF0000"/>
        <rFont val="Arial"/>
        <family val="2"/>
      </rPr>
      <t>$ constantes del año inicial del proyecto</t>
    </r>
  </si>
  <si>
    <r>
      <rPr>
        <b/>
        <sz val="8"/>
        <color theme="1"/>
        <rFont val="Arial"/>
        <family val="2"/>
      </rPr>
      <t xml:space="preserve">Int deducibles en </t>
    </r>
    <r>
      <rPr>
        <b/>
        <sz val="8"/>
        <color rgb="FFFF0000"/>
        <rFont val="Arial"/>
        <family val="2"/>
      </rPr>
      <t>$ constantes del año inicial del proyecto</t>
    </r>
  </si>
  <si>
    <t>Millones de pesos constantes del año cero</t>
  </si>
  <si>
    <t>Año 2021</t>
  </si>
  <si>
    <t>Precio venta</t>
  </si>
  <si>
    <t>unidades</t>
  </si>
  <si>
    <t>cerdos</t>
  </si>
  <si>
    <t>sep-21</t>
  </si>
  <si>
    <t>Peso promedio cerdo cebado</t>
  </si>
  <si>
    <t>kg</t>
  </si>
  <si>
    <t>Pagos hechos a otras entidades, como lo son Industria y Comercio, Registro de marca y todo lo relacionado con los permisos ambientales necesarios para que la granja porcícola La Juana pueda funcionar</t>
  </si>
  <si>
    <t>Costo</t>
  </si>
  <si>
    <t>Costo alimento</t>
  </si>
  <si>
    <t>Insumos, medicamentos, vacunas</t>
  </si>
  <si>
    <t>Costo anual (Ca)</t>
  </si>
  <si>
    <t>-</t>
  </si>
  <si>
    <t>Periodo de desface (n)</t>
  </si>
  <si>
    <t>ICT= (Ca/360)*n</t>
  </si>
  <si>
    <t>Tabla 5. Datos para el cálculo de los egresos</t>
  </si>
  <si>
    <t>12 cuotas anuales pagaderas cada fin de mes</t>
  </si>
  <si>
    <t>-%</t>
  </si>
  <si>
    <r>
      <rPr>
        <b/>
        <sz val="10"/>
        <color theme="1"/>
        <rFont val="Arial"/>
        <family val="2"/>
      </rPr>
      <t xml:space="preserve">Flujo de Caja del Préstamo e Intereses Deducibles </t>
    </r>
    <r>
      <rPr>
        <b/>
        <sz val="10"/>
        <color rgb="FFFF0000"/>
        <rFont val="Arial"/>
        <family val="2"/>
      </rPr>
      <t>(Millones de pesos)</t>
    </r>
  </si>
  <si>
    <r>
      <rPr>
        <b/>
        <sz val="8"/>
        <color theme="1"/>
        <rFont val="Arial"/>
        <family val="2"/>
      </rPr>
      <t xml:space="preserve">cuota en </t>
    </r>
    <r>
      <rPr>
        <b/>
        <sz val="8"/>
        <color rgb="FFFF0000"/>
        <rFont val="Arial"/>
        <family val="2"/>
      </rPr>
      <t>millones de $ corrientes</t>
    </r>
  </si>
  <si>
    <r>
      <rPr>
        <b/>
        <sz val="8"/>
        <color theme="1"/>
        <rFont val="Arial"/>
        <family val="2"/>
      </rPr>
      <t xml:space="preserve">int deducibles </t>
    </r>
    <r>
      <rPr>
        <b/>
        <sz val="8"/>
        <color rgb="FFFF0000"/>
        <rFont val="Arial"/>
        <family val="2"/>
      </rPr>
      <t>en millones de $ corrientes</t>
    </r>
  </si>
  <si>
    <r>
      <rPr>
        <b/>
        <sz val="8"/>
        <color theme="1"/>
        <rFont val="Arial"/>
        <family val="2"/>
      </rPr>
      <t xml:space="preserve">Cuota en </t>
    </r>
    <r>
      <rPr>
        <b/>
        <sz val="8"/>
        <color rgb="FFFF0000"/>
        <rFont val="Arial"/>
        <family val="2"/>
      </rPr>
      <t>$ constantes del año inicial del proyecto</t>
    </r>
  </si>
  <si>
    <r>
      <rPr>
        <b/>
        <sz val="8"/>
        <color theme="1"/>
        <rFont val="Arial"/>
        <family val="2"/>
      </rPr>
      <t xml:space="preserve">Int deducibles en </t>
    </r>
    <r>
      <rPr>
        <b/>
        <sz val="8"/>
        <color rgb="FFFF0000"/>
        <rFont val="Arial"/>
        <family val="2"/>
      </rPr>
      <t>$ constantes del año inicial del proyecto</t>
    </r>
  </si>
  <si>
    <t>Edificio</t>
  </si>
  <si>
    <t>Vida útil</t>
  </si>
  <si>
    <t>Maquinaria</t>
  </si>
  <si>
    <t>Equipos de oficina y computo</t>
  </si>
  <si>
    <t>años</t>
  </si>
  <si>
    <t>Depre anual</t>
  </si>
  <si>
    <t>Depre Acum</t>
  </si>
  <si>
    <t>valor en libros</t>
  </si>
  <si>
    <t>Tabla amortización Obligaciones Financieras a largo plazo</t>
  </si>
  <si>
    <t># cuota</t>
  </si>
  <si>
    <t>Período</t>
  </si>
  <si>
    <t>saldo inicial</t>
  </si>
  <si>
    <t>Intereses</t>
  </si>
  <si>
    <t>Abono</t>
  </si>
  <si>
    <t>Cuota</t>
  </si>
  <si>
    <t>Saldo final</t>
  </si>
  <si>
    <t>kg/anuales</t>
  </si>
  <si>
    <t>Interes mensual</t>
  </si>
  <si>
    <t>Cuota fija</t>
  </si>
  <si>
    <t>Producción (kg/año)</t>
  </si>
  <si>
    <t>compararb67</t>
  </si>
  <si>
    <t>Creado por Microsoft Office User el 1/04/2022</t>
  </si>
  <si>
    <t>Precio - 10%</t>
  </si>
  <si>
    <t>Creado por Microsoft Office User el 1/04/2022
Modificado por Microsoft Office User el 1/04/2022</t>
  </si>
  <si>
    <t>Precio+5%</t>
  </si>
  <si>
    <t>Precio-5%</t>
  </si>
  <si>
    <t>TIRR</t>
  </si>
  <si>
    <t>Kg(Produccion) - 10%</t>
  </si>
  <si>
    <t>Kg(Produccion) - 3%</t>
  </si>
  <si>
    <t>Kg(Produccion) - 1%</t>
  </si>
  <si>
    <t>Kg(Produccion)-5%</t>
  </si>
  <si>
    <t>Cantidad de cerdos producidos</t>
  </si>
  <si>
    <t>Costo alimento + 10%</t>
  </si>
  <si>
    <t>Creado por Microsoft Office User el 1/04/2022
Modificado por Microsoft Office User el 1/04/2022
Modificado por Microsoft Office User el 17/04/2022</t>
  </si>
  <si>
    <t>Costo alimento + 3%</t>
  </si>
  <si>
    <t>Costo alimento + 1%</t>
  </si>
  <si>
    <t>Costo alimento + 5%</t>
  </si>
  <si>
    <t>Proyecto financiado 61,1%</t>
  </si>
  <si>
    <t>Proyecto financiado 75%</t>
  </si>
  <si>
    <t>Proyecto financiado 85%</t>
  </si>
  <si>
    <t>Proyecto financiado 95%</t>
  </si>
  <si>
    <t>Proyecto financiado 100%</t>
  </si>
  <si>
    <t>Prestamo</t>
  </si>
  <si>
    <t>n (cuotas en meses)</t>
  </si>
  <si>
    <t>(+) Recuperación del capital de trabajo</t>
  </si>
  <si>
    <t>Flujo de caja proyectado para el calculo de la TIR y VPN del proyecto puro después de impuestos</t>
  </si>
  <si>
    <t>Amortización (abono a capital)</t>
  </si>
  <si>
    <t>Amortización (abono a capital)  en términos constantes</t>
  </si>
  <si>
    <t>Flujo de caja proyectado para el calculo de la TIR y VPN del inversionista después de impuestos</t>
  </si>
  <si>
    <t>Ocupación máxima</t>
  </si>
  <si>
    <t xml:space="preserve">CAPACIDAD DE PRODUCCIÓN </t>
  </si>
  <si>
    <t>Porcentaje de utilización de la capacidad instalada</t>
  </si>
  <si>
    <t>días (15 semanas * 7 días)</t>
  </si>
  <si>
    <t>valor económico</t>
  </si>
  <si>
    <t xml:space="preserve">TÍTULO DEL PROYECTO: ESTUDIO DE FACTIBILIDAD PARA LA CREACIÓN DE LA GRANJA PORCICOLA LA JUANA, EMPRESA DEDICADA AL LEVANTAMIENTO Y CEBA DE LECHONES  </t>
  </si>
  <si>
    <t>FECHA DE REALIZACIÓN: 23 de marzo de 2022</t>
  </si>
  <si>
    <t>Nombre del analista: Carlos Alberto Agudelo Aristizábal y María Alejandra Grisales Hernández</t>
  </si>
  <si>
    <t>Costo y gasto de producción (Arrendamiento y servicios públicos)</t>
  </si>
  <si>
    <t>Costo y gasto de administración y ventas (Salarios, prestaciones sociales, seguridad social y flete)</t>
  </si>
  <si>
    <t>Devengado Operario</t>
  </si>
  <si>
    <t>Devengado Supervisor</t>
  </si>
  <si>
    <t>Devengado Administrador</t>
  </si>
  <si>
    <t>Salario Operario</t>
  </si>
  <si>
    <t>Seguridad Social</t>
  </si>
  <si>
    <t>Salud (8.5%)</t>
  </si>
  <si>
    <t>Pensión (12%)</t>
  </si>
  <si>
    <t>Riesgos laborales (Riesgo I- 0,552%)</t>
  </si>
  <si>
    <t>Total</t>
  </si>
  <si>
    <t>Prestaciones Sociales</t>
  </si>
  <si>
    <t xml:space="preserve">Prima de servicios </t>
  </si>
  <si>
    <t>Cesantías</t>
  </si>
  <si>
    <t>Intereses sobre cesantías</t>
  </si>
  <si>
    <t xml:space="preserve">Vacaciones </t>
  </si>
  <si>
    <t xml:space="preserve">Total nómina </t>
  </si>
  <si>
    <t>Total nómina *2 operarios</t>
  </si>
  <si>
    <t>Costo anual promedio de materia prima (lechones puesto en granja)</t>
  </si>
  <si>
    <t>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</si>
</sst>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#,##0;[Red]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0.0%"/>
    <numFmt numFmtId="168" formatCode="0.0"/>
    <numFmt numFmtId="169" formatCode="#,##0.00_ ;\-#,##0.00\ "/>
    <numFmt numFmtId="170" formatCode="&quot;$&quot;\ #,##0.00;[Red]&quot;$&quot;\ \-#,##0.00"/>
    <numFmt numFmtId="171" formatCode="mmm\-d"/>
    <numFmt numFmtId="172" formatCode="[$ $]#,##0"/>
    <numFmt numFmtId="173" formatCode="yyyy\-m"/>
    <numFmt numFmtId="174" formatCode="&quot;$&quot;#,##0;[Red]&quot;$&quot;#,##0"/>
    <numFmt numFmtId="175" formatCode="_-&quot;$&quot;\ * #,##0_-;\-&quot;$&quot;\ * #,##0_-;_-&quot;$&quot;\ * &quot;-&quot;??_-;_-@_-"/>
    <numFmt numFmtId="176" formatCode="&quot;$&quot;\ #,##0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b/>
      <sz val="8"/>
      <color theme="0"/>
      <name val="Arial"/>
      <family val="2"/>
    </font>
    <font>
      <u/>
      <sz val="11"/>
      <color theme="1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B05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0000"/>
      <name val="Times New Roman"/>
      <family val="1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  <font>
      <b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8496B0"/>
        <bgColor rgb="FF8496B0"/>
      </patternFill>
    </fill>
    <fill>
      <patternFill patternType="solid">
        <fgColor rgb="FFD8D8D8"/>
        <bgColor rgb="FFD8D8D8"/>
      </patternFill>
    </fill>
    <fill>
      <patternFill patternType="solid">
        <fgColor rgb="FFFFD965"/>
        <bgColor rgb="FFFFD965"/>
      </patternFill>
    </fill>
    <fill>
      <patternFill patternType="solid">
        <fgColor rgb="FF0070C0"/>
        <bgColor rgb="FF0070C0"/>
      </patternFill>
    </fill>
    <fill>
      <patternFill patternType="solid">
        <fgColor rgb="FFC0C0C0"/>
        <bgColor rgb="FFC0C0C0"/>
      </patternFill>
    </fill>
    <fill>
      <patternFill patternType="solid">
        <fgColor rgb="FF7F7F7F"/>
        <bgColor rgb="FF7F7F7F"/>
      </patternFill>
    </fill>
    <fill>
      <patternFill patternType="solid">
        <fgColor rgb="FFA8D08D"/>
        <bgColor rgb="FFA8D08D"/>
      </patternFill>
    </fill>
    <fill>
      <patternFill patternType="solid">
        <fgColor rgb="FF1E4E79"/>
        <bgColor rgb="FF1E4E79"/>
      </patternFill>
    </fill>
    <fill>
      <patternFill patternType="solid">
        <fgColor rgb="FFFFE598"/>
        <bgColor rgb="FFFFE598"/>
      </patternFill>
    </fill>
    <fill>
      <patternFill patternType="solid">
        <fgColor rgb="FFD0CECE"/>
        <bgColor rgb="FFD0CECE"/>
      </patternFill>
    </fill>
    <fill>
      <patternFill patternType="solid">
        <fgColor rgb="FFE6E6E6"/>
        <bgColor rgb="FFE6E6E6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4B084"/>
        <bgColor rgb="FFF4B08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rgb="FFFF0000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3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" fontId="4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10" fontId="4" fillId="4" borderId="9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164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10" fontId="4" fillId="4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9" fillId="5" borderId="17" xfId="0" applyFont="1" applyFill="1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6" borderId="19" xfId="0" applyFont="1" applyFill="1" applyBorder="1" applyAlignment="1">
      <alignment horizontal="center" vertical="top"/>
    </xf>
    <xf numFmtId="0" fontId="7" fillId="6" borderId="20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/>
    </xf>
    <xf numFmtId="2" fontId="4" fillId="4" borderId="21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right"/>
    </xf>
    <xf numFmtId="4" fontId="4" fillId="4" borderId="5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left"/>
    </xf>
    <xf numFmtId="2" fontId="4" fillId="4" borderId="22" xfId="0" applyNumberFormat="1" applyFont="1" applyFill="1" applyBorder="1" applyAlignment="1">
      <alignment horizontal="center"/>
    </xf>
    <xf numFmtId="4" fontId="4" fillId="4" borderId="22" xfId="0" applyNumberFormat="1" applyFont="1" applyFill="1" applyBorder="1" applyAlignment="1">
      <alignment horizontal="right"/>
    </xf>
    <xf numFmtId="4" fontId="4" fillId="4" borderId="9" xfId="0" applyNumberFormat="1" applyFont="1" applyFill="1" applyBorder="1" applyAlignment="1">
      <alignment horizontal="right"/>
    </xf>
    <xf numFmtId="0" fontId="7" fillId="7" borderId="8" xfId="0" applyFont="1" applyFill="1" applyBorder="1"/>
    <xf numFmtId="0" fontId="4" fillId="7" borderId="22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 vertical="center" wrapText="1"/>
    </xf>
    <xf numFmtId="4" fontId="4" fillId="7" borderId="9" xfId="0" applyNumberFormat="1" applyFont="1" applyFill="1" applyBorder="1" applyAlignment="1">
      <alignment horizontal="right"/>
    </xf>
    <xf numFmtId="0" fontId="4" fillId="7" borderId="23" xfId="0" applyFont="1" applyFill="1" applyBorder="1"/>
    <xf numFmtId="0" fontId="7" fillId="0" borderId="8" xfId="0" applyFont="1" applyBorder="1" applyAlignment="1">
      <alignment horizontal="left" wrapText="1"/>
    </xf>
    <xf numFmtId="4" fontId="4" fillId="8" borderId="22" xfId="0" applyNumberFormat="1" applyFont="1" applyFill="1" applyBorder="1"/>
    <xf numFmtId="4" fontId="4" fillId="0" borderId="9" xfId="0" applyNumberFormat="1" applyFont="1" applyBorder="1"/>
    <xf numFmtId="0" fontId="7" fillId="0" borderId="8" xfId="0" applyFont="1" applyBorder="1"/>
    <xf numFmtId="0" fontId="4" fillId="0" borderId="22" xfId="0" applyFont="1" applyBorder="1" applyAlignment="1">
      <alignment horizontal="center"/>
    </xf>
    <xf numFmtId="4" fontId="4" fillId="0" borderId="22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7" fillId="0" borderId="24" xfId="0" applyFont="1" applyBorder="1"/>
    <xf numFmtId="0" fontId="4" fillId="4" borderId="25" xfId="0" applyFont="1" applyFill="1" applyBorder="1" applyAlignment="1">
      <alignment horizontal="center"/>
    </xf>
    <xf numFmtId="4" fontId="4" fillId="4" borderId="25" xfId="0" applyNumberFormat="1" applyFont="1" applyFill="1" applyBorder="1" applyAlignment="1">
      <alignment horizontal="center"/>
    </xf>
    <xf numFmtId="4" fontId="4" fillId="4" borderId="13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4" borderId="21" xfId="0" applyNumberFormat="1" applyFont="1" applyFill="1" applyBorder="1"/>
    <xf numFmtId="4" fontId="4" fillId="4" borderId="5" xfId="0" applyNumberFormat="1" applyFont="1" applyFill="1" applyBorder="1"/>
    <xf numFmtId="0" fontId="8" fillId="0" borderId="0" xfId="0" applyFont="1" applyAlignment="1">
      <alignment horizontal="left" vertical="center"/>
    </xf>
    <xf numFmtId="4" fontId="4" fillId="4" borderId="22" xfId="0" applyNumberFormat="1" applyFont="1" applyFill="1" applyBorder="1"/>
    <xf numFmtId="4" fontId="4" fillId="4" borderId="9" xfId="0" applyNumberFormat="1" applyFont="1" applyFill="1" applyBorder="1"/>
    <xf numFmtId="0" fontId="7" fillId="0" borderId="28" xfId="0" applyFont="1" applyBorder="1" applyAlignment="1">
      <alignment horizontal="left"/>
    </xf>
    <xf numFmtId="4" fontId="4" fillId="4" borderId="29" xfId="0" applyNumberFormat="1" applyFont="1" applyFill="1" applyBorder="1" applyAlignment="1">
      <alignment horizontal="right"/>
    </xf>
    <xf numFmtId="4" fontId="4" fillId="4" borderId="29" xfId="0" applyNumberFormat="1" applyFont="1" applyFill="1" applyBorder="1"/>
    <xf numFmtId="4" fontId="4" fillId="4" borderId="30" xfId="0" applyNumberFormat="1" applyFont="1" applyFill="1" applyBorder="1"/>
    <xf numFmtId="0" fontId="10" fillId="0" borderId="0" xfId="0" applyFont="1" applyAlignment="1">
      <alignment horizontal="left" vertical="center"/>
    </xf>
    <xf numFmtId="0" fontId="7" fillId="0" borderId="31" xfId="0" applyFont="1" applyBorder="1" applyAlignment="1">
      <alignment horizontal="left"/>
    </xf>
    <xf numFmtId="4" fontId="4" fillId="0" borderId="32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center"/>
    </xf>
    <xf numFmtId="4" fontId="4" fillId="0" borderId="33" xfId="0" applyNumberFormat="1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4" fontId="4" fillId="0" borderId="35" xfId="0" applyNumberFormat="1" applyFont="1" applyBorder="1" applyAlignment="1">
      <alignment horizontal="right"/>
    </xf>
    <xf numFmtId="0" fontId="7" fillId="0" borderId="18" xfId="0" applyFont="1" applyBorder="1" applyAlignment="1">
      <alignment horizontal="left"/>
    </xf>
    <xf numFmtId="4" fontId="4" fillId="0" borderId="36" xfId="0" applyNumberFormat="1" applyFont="1" applyBorder="1" applyAlignment="1">
      <alignment horizontal="right"/>
    </xf>
    <xf numFmtId="0" fontId="7" fillId="4" borderId="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4" borderId="13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top"/>
    </xf>
    <xf numFmtId="0" fontId="7" fillId="0" borderId="22" xfId="0" applyFont="1" applyBorder="1" applyAlignment="1">
      <alignment horizontal="left"/>
    </xf>
    <xf numFmtId="4" fontId="4" fillId="0" borderId="22" xfId="0" applyNumberFormat="1" applyFont="1" applyBorder="1"/>
    <xf numFmtId="0" fontId="7" fillId="0" borderId="37" xfId="0" applyFont="1" applyBorder="1" applyAlignment="1">
      <alignment horizontal="left"/>
    </xf>
    <xf numFmtId="4" fontId="4" fillId="8" borderId="38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22" xfId="0" applyFont="1" applyBorder="1" applyAlignment="1">
      <alignment horizontal="center"/>
    </xf>
    <xf numFmtId="4" fontId="4" fillId="4" borderId="22" xfId="0" applyNumberFormat="1" applyFont="1" applyFill="1" applyBorder="1" applyAlignment="1">
      <alignment horizontal="center"/>
    </xf>
    <xf numFmtId="10" fontId="4" fillId="4" borderId="22" xfId="0" applyNumberFormat="1" applyFont="1" applyFill="1" applyBorder="1" applyAlignment="1">
      <alignment horizontal="center"/>
    </xf>
    <xf numFmtId="10" fontId="4" fillId="0" borderId="22" xfId="0" applyNumberFormat="1" applyFont="1" applyBorder="1" applyAlignment="1">
      <alignment horizontal="left"/>
    </xf>
    <xf numFmtId="1" fontId="4" fillId="4" borderId="22" xfId="0" applyNumberFormat="1" applyFont="1" applyFill="1" applyBorder="1" applyAlignment="1">
      <alignment horizontal="center"/>
    </xf>
    <xf numFmtId="1" fontId="4" fillId="4" borderId="23" xfId="0" applyNumberFormat="1" applyFont="1" applyFill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4" borderId="22" xfId="0" applyNumberFormat="1" applyFont="1" applyFill="1" applyBorder="1" applyAlignment="1">
      <alignment horizontal="center"/>
    </xf>
    <xf numFmtId="167" fontId="4" fillId="8" borderId="22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167" fontId="4" fillId="0" borderId="22" xfId="0" applyNumberFormat="1" applyFont="1" applyBorder="1" applyAlignment="1">
      <alignment horizontal="center"/>
    </xf>
    <xf numFmtId="9" fontId="4" fillId="4" borderId="22" xfId="0" applyNumberFormat="1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9" fontId="4" fillId="0" borderId="0" xfId="0" applyNumberFormat="1" applyFont="1"/>
    <xf numFmtId="0" fontId="3" fillId="9" borderId="22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49" fontId="3" fillId="0" borderId="22" xfId="0" applyNumberFormat="1" applyFont="1" applyBorder="1" applyAlignment="1">
      <alignment wrapText="1"/>
    </xf>
    <xf numFmtId="4" fontId="4" fillId="8" borderId="22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2" fontId="11" fillId="8" borderId="22" xfId="0" applyNumberFormat="1" applyFont="1" applyFill="1" applyBorder="1" applyAlignment="1">
      <alignment horizontal="center"/>
    </xf>
    <xf numFmtId="2" fontId="12" fillId="8" borderId="22" xfId="0" applyNumberFormat="1" applyFont="1" applyFill="1" applyBorder="1" applyAlignment="1">
      <alignment horizontal="center"/>
    </xf>
    <xf numFmtId="49" fontId="3" fillId="10" borderId="22" xfId="0" applyNumberFormat="1" applyFont="1" applyFill="1" applyBorder="1"/>
    <xf numFmtId="0" fontId="4" fillId="10" borderId="22" xfId="0" applyFont="1" applyFill="1" applyBorder="1" applyAlignment="1">
      <alignment horizontal="center"/>
    </xf>
    <xf numFmtId="2" fontId="7" fillId="10" borderId="22" xfId="0" applyNumberFormat="1" applyFont="1" applyFill="1" applyBorder="1" applyAlignment="1">
      <alignment horizontal="center"/>
    </xf>
    <xf numFmtId="49" fontId="3" fillId="11" borderId="22" xfId="0" applyNumberFormat="1" applyFont="1" applyFill="1" applyBorder="1"/>
    <xf numFmtId="2" fontId="11" fillId="0" borderId="22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49" fontId="3" fillId="0" borderId="22" xfId="0" applyNumberFormat="1" applyFont="1" applyBorder="1"/>
    <xf numFmtId="2" fontId="7" fillId="3" borderId="22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8" borderId="22" xfId="0" applyNumberFormat="1" applyFont="1" applyFill="1" applyBorder="1" applyAlignment="1">
      <alignment horizontal="center"/>
    </xf>
    <xf numFmtId="49" fontId="13" fillId="12" borderId="22" xfId="0" applyNumberFormat="1" applyFont="1" applyFill="1" applyBorder="1"/>
    <xf numFmtId="2" fontId="9" fillId="12" borderId="22" xfId="0" applyNumberFormat="1" applyFont="1" applyFill="1" applyBorder="1" applyAlignment="1">
      <alignment horizontal="center"/>
    </xf>
    <xf numFmtId="0" fontId="14" fillId="12" borderId="23" xfId="0" applyFont="1" applyFill="1" applyBorder="1"/>
    <xf numFmtId="0" fontId="3" fillId="0" borderId="22" xfId="0" applyFont="1" applyBorder="1"/>
    <xf numFmtId="2" fontId="4" fillId="0" borderId="22" xfId="0" applyNumberFormat="1" applyFont="1" applyBorder="1" applyAlignment="1">
      <alignment horizontal="right"/>
    </xf>
    <xf numFmtId="9" fontId="4" fillId="8" borderId="22" xfId="0" applyNumberFormat="1" applyFont="1" applyFill="1" applyBorder="1"/>
    <xf numFmtId="168" fontId="4" fillId="0" borderId="0" xfId="0" applyNumberFormat="1" applyFont="1"/>
    <xf numFmtId="2" fontId="11" fillId="8" borderId="22" xfId="0" applyNumberFormat="1" applyFont="1" applyFill="1" applyBorder="1" applyAlignment="1">
      <alignment horizontal="right"/>
    </xf>
    <xf numFmtId="10" fontId="7" fillId="0" borderId="0" xfId="0" applyNumberFormat="1" applyFont="1" applyAlignment="1">
      <alignment horizontal="center"/>
    </xf>
    <xf numFmtId="0" fontId="3" fillId="9" borderId="43" xfId="0" applyFont="1" applyFill="1" applyBorder="1" applyAlignment="1">
      <alignment horizontal="center" vertical="center" wrapText="1"/>
    </xf>
    <xf numFmtId="0" fontId="7" fillId="9" borderId="44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2" fontId="4" fillId="0" borderId="22" xfId="0" applyNumberFormat="1" applyFont="1" applyBorder="1"/>
    <xf numFmtId="0" fontId="7" fillId="0" borderId="22" xfId="0" applyFont="1" applyBorder="1"/>
    <xf numFmtId="0" fontId="4" fillId="0" borderId="22" xfId="0" applyFont="1" applyBorder="1"/>
    <xf numFmtId="2" fontId="4" fillId="0" borderId="0" xfId="0" applyNumberFormat="1" applyFont="1"/>
    <xf numFmtId="0" fontId="3" fillId="0" borderId="22" xfId="0" applyFont="1" applyBorder="1" applyAlignment="1">
      <alignment wrapText="1"/>
    </xf>
    <xf numFmtId="0" fontId="13" fillId="10" borderId="22" xfId="0" applyFont="1" applyFill="1" applyBorder="1" applyAlignment="1">
      <alignment wrapText="1"/>
    </xf>
    <xf numFmtId="2" fontId="14" fillId="10" borderId="22" xfId="0" applyNumberFormat="1" applyFont="1" applyFill="1" applyBorder="1" applyAlignment="1">
      <alignment horizontal="center"/>
    </xf>
    <xf numFmtId="0" fontId="14" fillId="10" borderId="23" xfId="0" applyFont="1" applyFill="1" applyBorder="1"/>
    <xf numFmtId="2" fontId="15" fillId="0" borderId="22" xfId="0" applyNumberFormat="1" applyFont="1" applyBorder="1" applyAlignment="1">
      <alignment horizontal="center"/>
    </xf>
    <xf numFmtId="2" fontId="9" fillId="10" borderId="22" xfId="0" applyNumberFormat="1" applyFont="1" applyFill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left" wrapText="1"/>
    </xf>
    <xf numFmtId="0" fontId="3" fillId="2" borderId="22" xfId="0" applyFont="1" applyFill="1" applyBorder="1" applyAlignment="1">
      <alignment wrapText="1"/>
    </xf>
    <xf numFmtId="2" fontId="12" fillId="0" borderId="22" xfId="0" applyNumberFormat="1" applyFont="1" applyBorder="1" applyAlignment="1">
      <alignment horizontal="center"/>
    </xf>
    <xf numFmtId="2" fontId="7" fillId="13" borderId="22" xfId="0" applyNumberFormat="1" applyFont="1" applyFill="1" applyBorder="1" applyAlignment="1">
      <alignment horizontal="center"/>
    </xf>
    <xf numFmtId="0" fontId="3" fillId="14" borderId="22" xfId="0" applyFont="1" applyFill="1" applyBorder="1" applyAlignment="1">
      <alignment wrapText="1"/>
    </xf>
    <xf numFmtId="2" fontId="4" fillId="14" borderId="22" xfId="0" applyNumberFormat="1" applyFont="1" applyFill="1" applyBorder="1" applyAlignment="1">
      <alignment horizontal="center"/>
    </xf>
    <xf numFmtId="0" fontId="4" fillId="14" borderId="46" xfId="0" applyFont="1" applyFill="1" applyBorder="1"/>
    <xf numFmtId="0" fontId="3" fillId="15" borderId="22" xfId="0" applyFont="1" applyFill="1" applyBorder="1" applyAlignment="1">
      <alignment wrapText="1"/>
    </xf>
    <xf numFmtId="0" fontId="3" fillId="0" borderId="0" xfId="0" applyFont="1" applyAlignment="1">
      <alignment wrapText="1"/>
    </xf>
    <xf numFmtId="2" fontId="4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3" fillId="9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right"/>
    </xf>
    <xf numFmtId="169" fontId="4" fillId="0" borderId="22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8" fontId="4" fillId="0" borderId="22" xfId="0" applyNumberFormat="1" applyFont="1" applyBorder="1" applyAlignment="1">
      <alignment horizontal="right" vertical="center"/>
    </xf>
    <xf numFmtId="8" fontId="4" fillId="0" borderId="22" xfId="0" applyNumberFormat="1" applyFont="1" applyBorder="1" applyAlignment="1">
      <alignment horizontal="center" vertical="center"/>
    </xf>
    <xf numFmtId="10" fontId="7" fillId="0" borderId="0" xfId="0" applyNumberFormat="1" applyFont="1"/>
    <xf numFmtId="0" fontId="3" fillId="3" borderId="22" xfId="0" applyFont="1" applyFill="1" applyBorder="1"/>
    <xf numFmtId="2" fontId="4" fillId="3" borderId="22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/>
    <xf numFmtId="0" fontId="4" fillId="3" borderId="22" xfId="0" applyFont="1" applyFill="1" applyBorder="1" applyAlignment="1">
      <alignment horizontal="center" vertical="center"/>
    </xf>
    <xf numFmtId="169" fontId="4" fillId="3" borderId="22" xfId="0" applyNumberFormat="1" applyFont="1" applyFill="1" applyBorder="1" applyAlignment="1">
      <alignment horizontal="center" vertical="center"/>
    </xf>
    <xf numFmtId="0" fontId="13" fillId="10" borderId="22" xfId="0" applyFont="1" applyFill="1" applyBorder="1"/>
    <xf numFmtId="0" fontId="14" fillId="0" borderId="0" xfId="0" applyFont="1"/>
    <xf numFmtId="0" fontId="3" fillId="0" borderId="37" xfId="0" applyFont="1" applyBorder="1"/>
    <xf numFmtId="9" fontId="4" fillId="0" borderId="22" xfId="0" applyNumberFormat="1" applyFont="1" applyBorder="1"/>
    <xf numFmtId="0" fontId="17" fillId="0" borderId="0" xfId="0" applyFont="1"/>
    <xf numFmtId="0" fontId="3" fillId="9" borderId="4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3" fillId="6" borderId="8" xfId="0" applyFont="1" applyFill="1" applyBorder="1"/>
    <xf numFmtId="2" fontId="4" fillId="6" borderId="22" xfId="0" applyNumberFormat="1" applyFont="1" applyFill="1" applyBorder="1"/>
    <xf numFmtId="0" fontId="4" fillId="6" borderId="23" xfId="0" applyFont="1" applyFill="1" applyBorder="1"/>
    <xf numFmtId="0" fontId="3" fillId="3" borderId="8" xfId="0" applyFont="1" applyFill="1" applyBorder="1"/>
    <xf numFmtId="2" fontId="4" fillId="3" borderId="22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16" fillId="0" borderId="22" xfId="0" applyNumberFormat="1" applyFont="1" applyBorder="1" applyAlignment="1">
      <alignment horizontal="right"/>
    </xf>
    <xf numFmtId="0" fontId="3" fillId="2" borderId="8" xfId="0" applyFont="1" applyFill="1" applyBorder="1"/>
    <xf numFmtId="2" fontId="11" fillId="0" borderId="22" xfId="0" applyNumberFormat="1" applyFont="1" applyBorder="1"/>
    <xf numFmtId="2" fontId="11" fillId="0" borderId="9" xfId="0" applyNumberFormat="1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22" xfId="0" applyNumberFormat="1" applyFont="1" applyFill="1" applyBorder="1"/>
    <xf numFmtId="0" fontId="4" fillId="3" borderId="22" xfId="0" applyFont="1" applyFill="1" applyBorder="1"/>
    <xf numFmtId="2" fontId="11" fillId="3" borderId="22" xfId="0" applyNumberFormat="1" applyFont="1" applyFill="1" applyBorder="1"/>
    <xf numFmtId="2" fontId="11" fillId="3" borderId="9" xfId="0" applyNumberFormat="1" applyFont="1" applyFill="1" applyBorder="1"/>
    <xf numFmtId="2" fontId="4" fillId="0" borderId="9" xfId="0" applyNumberFormat="1" applyFont="1" applyBorder="1" applyAlignment="1">
      <alignment horizontal="right"/>
    </xf>
    <xf numFmtId="0" fontId="3" fillId="16" borderId="24" xfId="0" applyFont="1" applyFill="1" applyBorder="1"/>
    <xf numFmtId="2" fontId="4" fillId="16" borderId="25" xfId="0" applyNumberFormat="1" applyFont="1" applyFill="1" applyBorder="1" applyAlignment="1">
      <alignment horizontal="center"/>
    </xf>
    <xf numFmtId="10" fontId="7" fillId="0" borderId="37" xfId="0" applyNumberFormat="1" applyFont="1" applyBorder="1" applyAlignment="1">
      <alignment horizontal="center"/>
    </xf>
    <xf numFmtId="170" fontId="4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" fontId="4" fillId="4" borderId="38" xfId="0" applyNumberFormat="1" applyFont="1" applyFill="1" applyBorder="1" applyAlignment="1">
      <alignment horizontal="right"/>
    </xf>
    <xf numFmtId="4" fontId="4" fillId="0" borderId="22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right"/>
    </xf>
    <xf numFmtId="171" fontId="21" fillId="0" borderId="22" xfId="0" applyNumberFormat="1" applyFont="1" applyBorder="1" applyAlignment="1">
      <alignment horizontal="center"/>
    </xf>
    <xf numFmtId="172" fontId="21" fillId="0" borderId="22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4" fillId="7" borderId="1" xfId="0" applyFont="1" applyFill="1" applyBorder="1"/>
    <xf numFmtId="0" fontId="4" fillId="7" borderId="22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3" fontId="4" fillId="0" borderId="22" xfId="0" applyNumberFormat="1" applyFont="1" applyBorder="1" applyAlignment="1">
      <alignment horizontal="center"/>
    </xf>
    <xf numFmtId="172" fontId="4" fillId="4" borderId="21" xfId="0" applyNumberFormat="1" applyFont="1" applyFill="1" applyBorder="1" applyAlignment="1">
      <alignment horizontal="right"/>
    </xf>
    <xf numFmtId="172" fontId="4" fillId="4" borderId="22" xfId="0" applyNumberFormat="1" applyFont="1" applyFill="1" applyBorder="1" applyAlignment="1">
      <alignment horizontal="right"/>
    </xf>
    <xf numFmtId="172" fontId="4" fillId="4" borderId="29" xfId="0" applyNumberFormat="1" applyFont="1" applyFill="1" applyBorder="1" applyAlignment="1">
      <alignment horizontal="right"/>
    </xf>
    <xf numFmtId="0" fontId="22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center" vertical="center"/>
    </xf>
    <xf numFmtId="172" fontId="4" fillId="0" borderId="32" xfId="0" applyNumberFormat="1" applyFont="1" applyBorder="1" applyAlignment="1">
      <alignment horizontal="right"/>
    </xf>
    <xf numFmtId="0" fontId="20" fillId="0" borderId="22" xfId="0" applyFont="1" applyBorder="1"/>
    <xf numFmtId="172" fontId="20" fillId="0" borderId="22" xfId="0" applyNumberFormat="1" applyFont="1" applyBorder="1"/>
    <xf numFmtId="0" fontId="21" fillId="0" borderId="0" xfId="0" applyFont="1"/>
    <xf numFmtId="0" fontId="4" fillId="0" borderId="22" xfId="0" applyFont="1" applyBorder="1" applyAlignment="1">
      <alignment horizontal="left" wrapText="1"/>
    </xf>
    <xf numFmtId="0" fontId="4" fillId="4" borderId="22" xfId="0" applyFont="1" applyFill="1" applyBorder="1" applyAlignment="1">
      <alignment horizontal="center"/>
    </xf>
    <xf numFmtId="0" fontId="25" fillId="0" borderId="0" xfId="0" applyFont="1"/>
    <xf numFmtId="0" fontId="25" fillId="0" borderId="45" xfId="0" applyFont="1" applyBorder="1"/>
    <xf numFmtId="0" fontId="18" fillId="0" borderId="49" xfId="0" applyFont="1" applyBorder="1" applyAlignment="1">
      <alignment horizontal="center"/>
    </xf>
    <xf numFmtId="0" fontId="26" fillId="0" borderId="45" xfId="0" applyFont="1" applyBorder="1" applyAlignment="1">
      <alignment horizontal="right"/>
    </xf>
    <xf numFmtId="0" fontId="18" fillId="0" borderId="45" xfId="0" applyFont="1" applyBorder="1"/>
    <xf numFmtId="0" fontId="18" fillId="0" borderId="37" xfId="0" applyFont="1" applyBorder="1"/>
    <xf numFmtId="0" fontId="26" fillId="0" borderId="51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1" xfId="0" applyFont="1" applyBorder="1"/>
    <xf numFmtId="0" fontId="18" fillId="0" borderId="37" xfId="0" applyFont="1" applyBorder="1" applyAlignment="1">
      <alignment horizontal="right"/>
    </xf>
    <xf numFmtId="3" fontId="18" fillId="0" borderId="51" xfId="0" applyNumberFormat="1" applyFont="1" applyBorder="1"/>
    <xf numFmtId="3" fontId="18" fillId="0" borderId="37" xfId="0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22" xfId="0" applyFont="1" applyBorder="1"/>
    <xf numFmtId="173" fontId="27" fillId="0" borderId="22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0" fontId="27" fillId="17" borderId="22" xfId="0" applyFont="1" applyFill="1" applyBorder="1"/>
    <xf numFmtId="173" fontId="27" fillId="17" borderId="22" xfId="0" applyNumberFormat="1" applyFont="1" applyFill="1" applyBorder="1" applyAlignment="1">
      <alignment horizontal="center"/>
    </xf>
    <xf numFmtId="3" fontId="27" fillId="17" borderId="22" xfId="0" applyNumberFormat="1" applyFont="1" applyFill="1" applyBorder="1" applyAlignment="1">
      <alignment horizontal="center"/>
    </xf>
    <xf numFmtId="0" fontId="27" fillId="18" borderId="0" xfId="0" applyFont="1" applyFill="1"/>
    <xf numFmtId="1" fontId="27" fillId="18" borderId="0" xfId="0" applyNumberFormat="1" applyFont="1" applyFill="1" applyAlignment="1">
      <alignment horizontal="right"/>
    </xf>
    <xf numFmtId="166" fontId="4" fillId="4" borderId="22" xfId="1" applyFont="1" applyFill="1" applyBorder="1" applyAlignment="1">
      <alignment horizontal="right"/>
    </xf>
    <xf numFmtId="166" fontId="4" fillId="4" borderId="22" xfId="1" applyFont="1" applyFill="1" applyBorder="1" applyAlignment="1">
      <alignment horizontal="center"/>
    </xf>
    <xf numFmtId="166" fontId="4" fillId="0" borderId="22" xfId="1" applyFont="1" applyBorder="1" applyAlignment="1">
      <alignment horizontal="center"/>
    </xf>
    <xf numFmtId="166" fontId="11" fillId="0" borderId="22" xfId="1" applyFont="1" applyBorder="1" applyAlignment="1">
      <alignment horizontal="center"/>
    </xf>
    <xf numFmtId="166" fontId="12" fillId="0" borderId="22" xfId="1" applyFont="1" applyBorder="1" applyAlignment="1">
      <alignment horizontal="center"/>
    </xf>
    <xf numFmtId="166" fontId="7" fillId="10" borderId="22" xfId="1" applyFont="1" applyFill="1" applyBorder="1" applyAlignment="1">
      <alignment horizontal="center"/>
    </xf>
    <xf numFmtId="166" fontId="7" fillId="0" borderId="22" xfId="1" applyFont="1" applyBorder="1" applyAlignment="1">
      <alignment horizontal="center"/>
    </xf>
    <xf numFmtId="166" fontId="7" fillId="3" borderId="22" xfId="1" applyFont="1" applyFill="1" applyBorder="1" applyAlignment="1">
      <alignment horizontal="center"/>
    </xf>
    <xf numFmtId="166" fontId="9" fillId="12" borderId="22" xfId="1" applyFont="1" applyFill="1" applyBorder="1" applyAlignment="1">
      <alignment horizontal="center"/>
    </xf>
    <xf numFmtId="166" fontId="4" fillId="0" borderId="22" xfId="1" applyFont="1" applyBorder="1"/>
    <xf numFmtId="166" fontId="4" fillId="0" borderId="22" xfId="1" applyFont="1" applyBorder="1" applyAlignment="1">
      <alignment horizontal="right"/>
    </xf>
    <xf numFmtId="172" fontId="4" fillId="4" borderId="22" xfId="1" applyNumberFormat="1" applyFont="1" applyFill="1" applyBorder="1" applyAlignment="1">
      <alignment horizontal="right"/>
    </xf>
    <xf numFmtId="166" fontId="14" fillId="10" borderId="22" xfId="1" applyFont="1" applyFill="1" applyBorder="1" applyAlignment="1">
      <alignment horizontal="center"/>
    </xf>
    <xf numFmtId="166" fontId="9" fillId="10" borderId="22" xfId="1" applyFont="1" applyFill="1" applyBorder="1" applyAlignment="1">
      <alignment horizontal="center"/>
    </xf>
    <xf numFmtId="166" fontId="4" fillId="17" borderId="22" xfId="1" applyFont="1" applyFill="1" applyBorder="1" applyAlignment="1">
      <alignment horizontal="center"/>
    </xf>
    <xf numFmtId="166" fontId="4" fillId="14" borderId="22" xfId="1" applyFont="1" applyFill="1" applyBorder="1" applyAlignment="1">
      <alignment horizontal="center"/>
    </xf>
    <xf numFmtId="172" fontId="4" fillId="0" borderId="0" xfId="0" applyNumberFormat="1" applyFont="1"/>
    <xf numFmtId="172" fontId="0" fillId="0" borderId="0" xfId="0" applyNumberFormat="1"/>
    <xf numFmtId="9" fontId="4" fillId="0" borderId="0" xfId="2" applyFont="1"/>
    <xf numFmtId="166" fontId="11" fillId="0" borderId="22" xfId="1" applyFont="1" applyBorder="1" applyAlignment="1">
      <alignment horizontal="right"/>
    </xf>
    <xf numFmtId="166" fontId="7" fillId="0" borderId="22" xfId="1" applyFont="1" applyFill="1" applyBorder="1" applyAlignment="1">
      <alignment horizontal="center"/>
    </xf>
    <xf numFmtId="166" fontId="4" fillId="19" borderId="22" xfId="1" applyFont="1" applyFill="1" applyBorder="1" applyAlignment="1">
      <alignment horizontal="center"/>
    </xf>
    <xf numFmtId="166" fontId="4" fillId="3" borderId="22" xfId="1" applyFont="1" applyFill="1" applyBorder="1" applyAlignment="1">
      <alignment horizontal="center"/>
    </xf>
    <xf numFmtId="166" fontId="4" fillId="17" borderId="22" xfId="1" applyFont="1" applyFill="1" applyBorder="1" applyAlignment="1">
      <alignment horizontal="center" vertical="center"/>
    </xf>
    <xf numFmtId="166" fontId="4" fillId="0" borderId="22" xfId="1" applyFont="1" applyBorder="1" applyAlignment="1">
      <alignment horizontal="center" vertical="center"/>
    </xf>
    <xf numFmtId="166" fontId="3" fillId="0" borderId="22" xfId="1" applyFont="1" applyBorder="1" applyAlignment="1">
      <alignment horizontal="center" vertical="center"/>
    </xf>
    <xf numFmtId="166" fontId="4" fillId="6" borderId="22" xfId="1" applyFont="1" applyFill="1" applyBorder="1"/>
    <xf numFmtId="166" fontId="4" fillId="16" borderId="25" xfId="1" applyFont="1" applyFill="1" applyBorder="1" applyAlignment="1">
      <alignment horizontal="center"/>
    </xf>
    <xf numFmtId="3" fontId="7" fillId="0" borderId="0" xfId="0" applyNumberFormat="1" applyFont="1"/>
    <xf numFmtId="166" fontId="4" fillId="0" borderId="0" xfId="0" applyNumberFormat="1" applyFont="1"/>
    <xf numFmtId="3" fontId="18" fillId="19" borderId="51" xfId="0" applyNumberFormat="1" applyFont="1" applyFill="1" applyBorder="1"/>
    <xf numFmtId="166" fontId="9" fillId="20" borderId="22" xfId="1" applyFont="1" applyFill="1" applyBorder="1" applyAlignment="1">
      <alignment horizontal="center"/>
    </xf>
    <xf numFmtId="0" fontId="27" fillId="21" borderId="0" xfId="0" applyFont="1" applyFill="1"/>
    <xf numFmtId="0" fontId="27" fillId="22" borderId="0" xfId="0" applyFont="1" applyFill="1"/>
    <xf numFmtId="10" fontId="27" fillId="22" borderId="0" xfId="0" applyNumberFormat="1" applyFont="1" applyFill="1" applyAlignment="1">
      <alignment horizontal="right"/>
    </xf>
    <xf numFmtId="10" fontId="4" fillId="0" borderId="22" xfId="0" applyNumberFormat="1" applyFont="1" applyBorder="1" applyAlignment="1">
      <alignment horizontal="center"/>
    </xf>
    <xf numFmtId="0" fontId="0" fillId="0" borderId="23" xfId="0" applyBorder="1"/>
    <xf numFmtId="9" fontId="0" fillId="0" borderId="23" xfId="0" applyNumberFormat="1" applyBorder="1"/>
    <xf numFmtId="0" fontId="31" fillId="23" borderId="55" xfId="0" applyFont="1" applyFill="1" applyBorder="1" applyAlignment="1">
      <alignment horizontal="left"/>
    </xf>
    <xf numFmtId="0" fontId="31" fillId="23" borderId="53" xfId="0" applyFont="1" applyFill="1" applyBorder="1" applyAlignment="1">
      <alignment horizontal="left"/>
    </xf>
    <xf numFmtId="0" fontId="0" fillId="0" borderId="56" xfId="0" applyBorder="1"/>
    <xf numFmtId="0" fontId="32" fillId="24" borderId="23" xfId="0" applyFont="1" applyFill="1" applyBorder="1" applyAlignment="1">
      <alignment horizontal="left"/>
    </xf>
    <xf numFmtId="0" fontId="33" fillId="24" borderId="56" xfId="0" applyFont="1" applyFill="1" applyBorder="1" applyAlignment="1">
      <alignment horizontal="left"/>
    </xf>
    <xf numFmtId="0" fontId="32" fillId="24" borderId="54" xfId="0" applyFont="1" applyFill="1" applyBorder="1" applyAlignment="1">
      <alignment horizontal="left"/>
    </xf>
    <xf numFmtId="0" fontId="34" fillId="23" borderId="53" xfId="0" applyFont="1" applyFill="1" applyBorder="1" applyAlignment="1">
      <alignment horizontal="right"/>
    </xf>
    <xf numFmtId="0" fontId="34" fillId="23" borderId="55" xfId="0" applyFont="1" applyFill="1" applyBorder="1" applyAlignment="1">
      <alignment horizontal="right"/>
    </xf>
    <xf numFmtId="0" fontId="35" fillId="0" borderId="23" xfId="0" applyFont="1" applyBorder="1" applyAlignment="1">
      <alignment vertical="top" wrapText="1"/>
    </xf>
    <xf numFmtId="0" fontId="0" fillId="25" borderId="23" xfId="0" applyFill="1" applyBorder="1"/>
    <xf numFmtId="174" fontId="4" fillId="0" borderId="22" xfId="1" applyNumberFormat="1" applyFont="1" applyBorder="1" applyAlignment="1">
      <alignment horizontal="right"/>
    </xf>
    <xf numFmtId="0" fontId="0" fillId="0" borderId="0" xfId="0" applyAlignment="1">
      <alignment wrapText="1"/>
    </xf>
    <xf numFmtId="174" fontId="0" fillId="0" borderId="54" xfId="0" applyNumberFormat="1" applyBorder="1"/>
    <xf numFmtId="175" fontId="27" fillId="21" borderId="0" xfId="3" applyNumberFormat="1" applyFont="1" applyFill="1" applyAlignment="1">
      <alignment horizontal="right"/>
    </xf>
    <xf numFmtId="175" fontId="27" fillId="22" borderId="0" xfId="3" applyNumberFormat="1" applyFont="1" applyFill="1" applyAlignment="1"/>
    <xf numFmtId="0" fontId="34" fillId="23" borderId="55" xfId="0" applyFont="1" applyFill="1" applyBorder="1" applyAlignment="1">
      <alignment horizontal="center" wrapText="1"/>
    </xf>
    <xf numFmtId="0" fontId="2" fillId="0" borderId="0" xfId="0" applyFont="1"/>
    <xf numFmtId="172" fontId="20" fillId="19" borderId="22" xfId="0" applyNumberFormat="1" applyFont="1" applyFill="1" applyBorder="1"/>
    <xf numFmtId="0" fontId="1" fillId="19" borderId="22" xfId="0" applyFont="1" applyFill="1" applyBorder="1"/>
    <xf numFmtId="0" fontId="37" fillId="0" borderId="23" xfId="0" applyFont="1" applyBorder="1" applyAlignment="1">
      <alignment vertical="center"/>
    </xf>
    <xf numFmtId="0" fontId="37" fillId="0" borderId="58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176" fontId="38" fillId="0" borderId="57" xfId="0" applyNumberFormat="1" applyFont="1" applyBorder="1" applyAlignment="1">
      <alignment vertical="center"/>
    </xf>
    <xf numFmtId="176" fontId="38" fillId="0" borderId="23" xfId="0" applyNumberFormat="1" applyFont="1" applyBorder="1" applyAlignment="1">
      <alignment vertical="center"/>
    </xf>
    <xf numFmtId="0" fontId="38" fillId="0" borderId="57" xfId="0" applyFont="1" applyBorder="1" applyAlignment="1">
      <alignment horizontal="left" vertical="center"/>
    </xf>
    <xf numFmtId="176" fontId="38" fillId="0" borderId="57" xfId="0" applyNumberFormat="1" applyFont="1" applyBorder="1" applyAlignment="1">
      <alignment horizontal="right" vertical="center"/>
    </xf>
    <xf numFmtId="0" fontId="37" fillId="0" borderId="57" xfId="0" applyFont="1" applyBorder="1" applyAlignment="1">
      <alignment horizontal="left" vertical="center"/>
    </xf>
    <xf numFmtId="176" fontId="39" fillId="0" borderId="57" xfId="0" applyNumberFormat="1" applyFont="1" applyBorder="1" applyAlignment="1">
      <alignment horizontal="right" vertical="center"/>
    </xf>
    <xf numFmtId="0" fontId="38" fillId="0" borderId="57" xfId="0" applyFont="1" applyBorder="1" applyAlignment="1">
      <alignment vertical="center"/>
    </xf>
    <xf numFmtId="0" fontId="39" fillId="0" borderId="59" xfId="0" applyFont="1" applyBorder="1" applyAlignment="1">
      <alignment vertical="center"/>
    </xf>
    <xf numFmtId="176" fontId="40" fillId="0" borderId="57" xfId="0" applyNumberFormat="1" applyFont="1" applyBorder="1"/>
    <xf numFmtId="0" fontId="39" fillId="0" borderId="23" xfId="0" applyFont="1" applyBorder="1" applyAlignment="1">
      <alignment vertical="center"/>
    </xf>
    <xf numFmtId="176" fontId="40" fillId="0" borderId="23" xfId="0" applyNumberFormat="1" applyFont="1" applyBorder="1"/>
    <xf numFmtId="0" fontId="39" fillId="0" borderId="23" xfId="0" applyFont="1" applyBorder="1" applyAlignment="1">
      <alignment horizontal="center" vertical="center"/>
    </xf>
    <xf numFmtId="176" fontId="39" fillId="0" borderId="23" xfId="0" applyNumberFormat="1" applyFont="1" applyBorder="1" applyAlignment="1">
      <alignment horizontal="center" vertical="center"/>
    </xf>
    <xf numFmtId="176" fontId="39" fillId="0" borderId="23" xfId="0" applyNumberFormat="1" applyFont="1" applyBorder="1" applyAlignment="1">
      <alignment horizontal="right" vertical="center"/>
    </xf>
    <xf numFmtId="0" fontId="1" fillId="0" borderId="22" xfId="0" applyFont="1" applyBorder="1"/>
    <xf numFmtId="0" fontId="7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10" fontId="4" fillId="0" borderId="57" xfId="0" applyNumberFormat="1" applyFont="1" applyBorder="1" applyAlignment="1">
      <alignment horizontal="center" vertical="center"/>
    </xf>
    <xf numFmtId="0" fontId="1" fillId="0" borderId="0" xfId="0" applyFont="1"/>
    <xf numFmtId="176" fontId="0" fillId="0" borderId="0" xfId="0" applyNumberFormat="1"/>
    <xf numFmtId="166" fontId="0" fillId="0" borderId="23" xfId="0" applyNumberFormat="1" applyBorder="1"/>
    <xf numFmtId="166" fontId="0" fillId="25" borderId="23" xfId="0" applyNumberFormat="1" applyFill="1" applyBorder="1"/>
    <xf numFmtId="172" fontId="0" fillId="0" borderId="23" xfId="0" applyNumberFormat="1" applyBorder="1"/>
    <xf numFmtId="172" fontId="0" fillId="25" borderId="23" xfId="0" applyNumberFormat="1" applyFill="1" applyBorder="1"/>
    <xf numFmtId="3" fontId="0" fillId="0" borderId="23" xfId="0" applyNumberFormat="1" applyBorder="1"/>
    <xf numFmtId="3" fontId="0" fillId="25" borderId="23" xfId="0" applyNumberFormat="1" applyFill="1" applyBorder="1"/>
    <xf numFmtId="0" fontId="36" fillId="0" borderId="0" xfId="0" applyFont="1"/>
    <xf numFmtId="168" fontId="36" fillId="0" borderId="0" xfId="0" applyNumberFormat="1" applyFont="1"/>
    <xf numFmtId="166" fontId="4" fillId="0" borderId="22" xfId="1" applyFont="1" applyFill="1" applyBorder="1" applyAlignment="1">
      <alignment horizontal="center"/>
    </xf>
    <xf numFmtId="166" fontId="4" fillId="0" borderId="22" xfId="1" applyFont="1" applyFill="1" applyBorder="1"/>
    <xf numFmtId="166" fontId="4" fillId="0" borderId="22" xfId="1" applyFont="1" applyFill="1" applyBorder="1" applyAlignment="1">
      <alignment horizontal="right" vertical="center"/>
    </xf>
    <xf numFmtId="166" fontId="4" fillId="0" borderId="9" xfId="1" applyFont="1" applyFill="1" applyBorder="1" applyAlignment="1">
      <alignment horizontal="right" vertical="center"/>
    </xf>
    <xf numFmtId="166" fontId="4" fillId="0" borderId="9" xfId="1" applyFont="1" applyFill="1" applyBorder="1" applyAlignment="1">
      <alignment horizontal="center"/>
    </xf>
    <xf numFmtId="166" fontId="4" fillId="0" borderId="9" xfId="1" applyFont="1" applyFill="1" applyBorder="1" applyAlignment="1">
      <alignment horizontal="right"/>
    </xf>
    <xf numFmtId="166" fontId="4" fillId="0" borderId="9" xfId="1" applyFont="1" applyFill="1" applyBorder="1"/>
    <xf numFmtId="166" fontId="4" fillId="0" borderId="22" xfId="1" applyFont="1" applyFill="1" applyBorder="1" applyAlignment="1">
      <alignment horizontal="right"/>
    </xf>
    <xf numFmtId="0" fontId="17" fillId="6" borderId="8" xfId="0" applyFont="1" applyFill="1" applyBorder="1"/>
    <xf numFmtId="0" fontId="4" fillId="0" borderId="23" xfId="0" applyFont="1" applyBorder="1"/>
    <xf numFmtId="6" fontId="0" fillId="0" borderId="54" xfId="0" applyNumberFormat="1" applyBorder="1"/>
    <xf numFmtId="176" fontId="18" fillId="0" borderId="51" xfId="0" applyNumberFormat="1" applyFont="1" applyBorder="1"/>
    <xf numFmtId="0" fontId="4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9" fillId="5" borderId="14" xfId="0" applyFont="1" applyFill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9" fillId="5" borderId="26" xfId="0" applyFont="1" applyFill="1" applyBorder="1" applyAlignment="1">
      <alignment horizontal="center"/>
    </xf>
    <xf numFmtId="0" fontId="6" fillId="0" borderId="27" xfId="0" applyFont="1" applyBorder="1"/>
    <xf numFmtId="0" fontId="6" fillId="0" borderId="7" xfId="0" applyFont="1" applyBorder="1"/>
    <xf numFmtId="0" fontId="6" fillId="0" borderId="39" xfId="0" applyFont="1" applyBorder="1"/>
    <xf numFmtId="0" fontId="9" fillId="5" borderId="40" xfId="0" applyFont="1" applyFill="1" applyBorder="1" applyAlignment="1">
      <alignment horizontal="center"/>
    </xf>
    <xf numFmtId="0" fontId="6" fillId="0" borderId="41" xfId="0" applyFont="1" applyBorder="1"/>
    <xf numFmtId="0" fontId="4" fillId="0" borderId="0" xfId="0" applyFont="1" applyAlignment="1">
      <alignment horizontal="center" wrapText="1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6" fillId="0" borderId="45" xfId="0" applyFont="1" applyBorder="1"/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7" fillId="0" borderId="57" xfId="0" applyFont="1" applyBorder="1" applyAlignment="1">
      <alignment horizontal="center" vertical="center"/>
    </xf>
    <xf numFmtId="0" fontId="27" fillId="5" borderId="52" xfId="0" applyFont="1" applyFill="1" applyBorder="1" applyAlignment="1">
      <alignment horizontal="center" vertical="center"/>
    </xf>
    <xf numFmtId="0" fontId="6" fillId="0" borderId="37" xfId="0" applyFont="1" applyBorder="1"/>
    <xf numFmtId="0" fontId="19" fillId="0" borderId="0" xfId="0" applyFont="1"/>
    <xf numFmtId="0" fontId="20" fillId="0" borderId="0" xfId="0" applyFont="1" applyAlignment="1">
      <alignment horizontal="center" vertical="top" wrapText="1"/>
    </xf>
    <xf numFmtId="0" fontId="4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23" xfId="0" applyFont="1" applyFill="1" applyBorder="1"/>
    <xf numFmtId="0" fontId="0" fillId="0" borderId="0" xfId="0" applyFill="1"/>
    <xf numFmtId="0" fontId="19" fillId="0" borderId="0" xfId="0" applyFont="1" applyFill="1"/>
    <xf numFmtId="0" fontId="21" fillId="0" borderId="0" xfId="0" applyFont="1" applyFill="1"/>
    <xf numFmtId="0" fontId="21" fillId="0" borderId="49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10" fontId="2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0" fontId="19" fillId="0" borderId="49" xfId="0" applyNumberFormat="1" applyFont="1" applyFill="1" applyBorder="1" applyAlignment="1">
      <alignment horizontal="center"/>
    </xf>
    <xf numFmtId="3" fontId="19" fillId="0" borderId="49" xfId="0" applyNumberFormat="1" applyFont="1" applyFill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14" fillId="0" borderId="23" xfId="0" applyFont="1" applyFill="1" applyBorder="1"/>
    <xf numFmtId="0" fontId="14" fillId="0" borderId="0" xfId="0" applyFont="1" applyFill="1"/>
    <xf numFmtId="166" fontId="4" fillId="14" borderId="60" xfId="1" applyFont="1" applyFill="1" applyBorder="1" applyAlignment="1">
      <alignment horizontal="center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134</xdr:row>
          <xdr:rowOff>38100</xdr:rowOff>
        </xdr:from>
        <xdr:to>
          <xdr:col>7</xdr:col>
          <xdr:colOff>466725</xdr:colOff>
          <xdr:row>137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134</xdr:row>
          <xdr:rowOff>38100</xdr:rowOff>
        </xdr:from>
        <xdr:to>
          <xdr:col>7</xdr:col>
          <xdr:colOff>466725</xdr:colOff>
          <xdr:row>137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6</xdr:row>
      <xdr:rowOff>45720</xdr:rowOff>
    </xdr:from>
    <xdr:ext cx="6305550" cy="1123950"/>
    <xdr:pic>
      <xdr:nvPicPr>
        <xdr:cNvPr id="2" name="image3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68190" y="1005840"/>
          <a:ext cx="6305550" cy="11239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135</xdr:row>
          <xdr:rowOff>38100</xdr:rowOff>
        </xdr:from>
        <xdr:to>
          <xdr:col>7</xdr:col>
          <xdr:colOff>19050</xdr:colOff>
          <xdr:row>138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zoomScale="138" workbookViewId="0"/>
  </sheetViews>
  <sheetFormatPr baseColWidth="10" defaultColWidth="14.42578125" defaultRowHeight="15" customHeight="1" x14ac:dyDescent="0.25"/>
  <cols>
    <col min="1" max="1" width="47.7109375" customWidth="1"/>
    <col min="2" max="3" width="12" customWidth="1"/>
    <col min="4" max="4" width="11.140625" customWidth="1"/>
    <col min="5" max="5" width="9.42578125" customWidth="1"/>
    <col min="6" max="6" width="10.85546875" customWidth="1"/>
    <col min="7" max="7" width="13.42578125" customWidth="1"/>
    <col min="8" max="9" width="11.42578125" customWidth="1"/>
    <col min="10" max="10" width="16.28515625" customWidth="1"/>
    <col min="11" max="11" width="12.7109375" customWidth="1"/>
    <col min="12" max="12" width="19.42578125" customWidth="1"/>
    <col min="13" max="33" width="11.42578125" customWidth="1"/>
  </cols>
  <sheetData>
    <row r="1" spans="1:33" ht="12.75" customHeight="1" x14ac:dyDescent="0.25">
      <c r="A1" s="1" t="s">
        <v>0</v>
      </c>
      <c r="B1" s="2"/>
      <c r="C1" s="2"/>
      <c r="D1" s="3" t="s">
        <v>1</v>
      </c>
      <c r="E1" s="2"/>
      <c r="F1" s="347" t="s">
        <v>2</v>
      </c>
      <c r="G1" s="348"/>
      <c r="H1" s="3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2.75" customHeight="1" x14ac:dyDescent="0.25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2.75" customHeight="1" x14ac:dyDescent="0.25">
      <c r="A3" s="4" t="s">
        <v>4</v>
      </c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75" customHeight="1" x14ac:dyDescent="0.25">
      <c r="A4" s="4" t="s">
        <v>5</v>
      </c>
      <c r="B4" s="5"/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2.75" customHeight="1" x14ac:dyDescent="0.25">
      <c r="A5" s="6" t="s">
        <v>6</v>
      </c>
      <c r="B5" s="5"/>
      <c r="C5" s="5"/>
      <c r="D5" s="5"/>
      <c r="E5" s="5"/>
      <c r="F5" s="2"/>
      <c r="G5" s="2"/>
      <c r="H5" s="2"/>
      <c r="I5" s="2"/>
      <c r="J5" s="2" t="s">
        <v>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2.75" customHeight="1" x14ac:dyDescent="0.25">
      <c r="A6" s="7" t="s">
        <v>8</v>
      </c>
      <c r="B6" s="8" t="s">
        <v>9</v>
      </c>
      <c r="C6" s="9"/>
      <c r="D6" s="10"/>
      <c r="E6" s="9"/>
      <c r="F6" s="9"/>
      <c r="G6" s="9"/>
      <c r="H6" s="2"/>
      <c r="I6" s="2"/>
      <c r="J6" s="11" t="s">
        <v>10</v>
      </c>
      <c r="K6" s="12" t="s">
        <v>11</v>
      </c>
      <c r="L6" s="12" t="s">
        <v>12</v>
      </c>
      <c r="M6" s="12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2.75" customHeight="1" x14ac:dyDescent="0.25">
      <c r="A7" s="13">
        <v>2023</v>
      </c>
      <c r="B7" s="14">
        <v>3.5000000000000003E-2</v>
      </c>
      <c r="C7" s="9"/>
      <c r="D7" s="15"/>
      <c r="E7" s="9"/>
      <c r="F7" s="9"/>
      <c r="G7" s="9"/>
      <c r="H7" s="2"/>
      <c r="I7" s="2"/>
      <c r="J7" s="16" t="s">
        <v>14</v>
      </c>
      <c r="K7" s="17">
        <v>660</v>
      </c>
      <c r="L7" s="18"/>
      <c r="M7" s="1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.75" customHeight="1" x14ac:dyDescent="0.25">
      <c r="A8" s="13">
        <f t="shared" ref="A8:A10" si="0">+A7+1</f>
        <v>2024</v>
      </c>
      <c r="B8" s="14">
        <v>3.4000000000000002E-2</v>
      </c>
      <c r="C8" s="9"/>
      <c r="D8" s="15"/>
      <c r="E8" s="9"/>
      <c r="F8" s="9"/>
      <c r="G8" s="9"/>
      <c r="H8" s="2"/>
      <c r="I8" s="2"/>
      <c r="J8" s="16" t="s">
        <v>15</v>
      </c>
      <c r="K8" s="18">
        <f>+K7*1.1</f>
        <v>726.00000000000011</v>
      </c>
      <c r="L8" s="18"/>
      <c r="M8" s="1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2.75" customHeight="1" x14ac:dyDescent="0.25">
      <c r="A9" s="13">
        <f t="shared" si="0"/>
        <v>2025</v>
      </c>
      <c r="B9" s="14">
        <v>3.4000000000000002E-2</v>
      </c>
      <c r="C9" s="9"/>
      <c r="D9" s="15"/>
      <c r="E9" s="9"/>
      <c r="F9" s="9"/>
      <c r="G9" s="9"/>
      <c r="H9" s="2"/>
      <c r="I9" s="2"/>
      <c r="J9" s="16" t="s">
        <v>16</v>
      </c>
      <c r="K9" s="19">
        <v>757.5</v>
      </c>
      <c r="L9" s="18"/>
      <c r="M9" s="1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8" customHeight="1" x14ac:dyDescent="0.25">
      <c r="A10" s="13">
        <f t="shared" si="0"/>
        <v>2026</v>
      </c>
      <c r="B10" s="14">
        <v>3.4000000000000002E-2</v>
      </c>
      <c r="C10" s="9"/>
      <c r="D10" s="15"/>
      <c r="E10" s="9"/>
      <c r="F10" s="9"/>
      <c r="G10" s="9"/>
      <c r="H10" s="2"/>
      <c r="I10" s="2"/>
      <c r="J10" s="16" t="s">
        <v>17</v>
      </c>
      <c r="K10" s="18">
        <f>+K7*1.2</f>
        <v>792</v>
      </c>
      <c r="L10" s="18"/>
      <c r="M10" s="1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0.25" customHeight="1" x14ac:dyDescent="0.25">
      <c r="A11" s="20" t="s">
        <v>18</v>
      </c>
      <c r="B11" s="21">
        <f>+AVERAGE(B7:B10)</f>
        <v>3.4250000000000003E-2</v>
      </c>
      <c r="C11" s="9"/>
      <c r="D11" s="15"/>
      <c r="E11" s="9"/>
      <c r="F11" s="9"/>
      <c r="G11" s="9"/>
      <c r="H11" s="2"/>
      <c r="I11" s="2"/>
      <c r="J11" s="16" t="s">
        <v>19</v>
      </c>
      <c r="K11" s="18">
        <f>+K7*1.3</f>
        <v>858</v>
      </c>
      <c r="L11" s="18"/>
      <c r="M11" s="1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0.25" customHeight="1" x14ac:dyDescent="0.25">
      <c r="A12" s="22"/>
      <c r="B12" s="23"/>
      <c r="C12" s="9"/>
      <c r="D12" s="15"/>
      <c r="E12" s="9"/>
      <c r="F12" s="9"/>
      <c r="G12" s="9"/>
      <c r="H12" s="2"/>
      <c r="I12" s="2"/>
      <c r="J12" s="16" t="s">
        <v>20</v>
      </c>
      <c r="K12" s="18">
        <v>660</v>
      </c>
      <c r="L12" s="18">
        <v>265</v>
      </c>
      <c r="M12" s="1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75" customHeight="1" x14ac:dyDescent="0.25">
      <c r="A13" s="5"/>
      <c r="B13" s="350" t="s">
        <v>21</v>
      </c>
      <c r="C13" s="351"/>
      <c r="D13" s="351"/>
      <c r="E13" s="351"/>
      <c r="F13" s="2"/>
      <c r="G13" s="2"/>
      <c r="H13" s="2"/>
      <c r="I13" s="2"/>
      <c r="J13" s="16" t="s">
        <v>22</v>
      </c>
      <c r="K13" s="18">
        <f>+K7*1.1</f>
        <v>726.00000000000011</v>
      </c>
      <c r="L13" s="18">
        <f>+L12*0.95</f>
        <v>251.75</v>
      </c>
      <c r="M13" s="1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.75" customHeight="1" x14ac:dyDescent="0.25">
      <c r="A14" s="352" t="s">
        <v>23</v>
      </c>
      <c r="B14" s="353"/>
      <c r="C14" s="353"/>
      <c r="D14" s="353"/>
      <c r="E14" s="353"/>
      <c r="F14" s="353"/>
      <c r="G14" s="354"/>
      <c r="H14" s="2"/>
      <c r="I14" s="2"/>
      <c r="J14" s="16" t="s">
        <v>24</v>
      </c>
      <c r="K14" s="18">
        <f>+K12*1.05</f>
        <v>693</v>
      </c>
      <c r="L14" s="18">
        <f>+L12*0.9</f>
        <v>238.5</v>
      </c>
      <c r="M14" s="1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.75" customHeight="1" x14ac:dyDescent="0.25">
      <c r="A15" s="24"/>
      <c r="B15" s="24" t="str">
        <f>+F1</f>
        <v>Millones de pesos CORRIENTES</v>
      </c>
      <c r="C15" s="24"/>
      <c r="D15" s="24"/>
      <c r="E15" s="24"/>
      <c r="F15" s="24"/>
      <c r="G15" s="24"/>
      <c r="H15" s="2"/>
      <c r="I15" s="2"/>
      <c r="J15" s="16" t="s">
        <v>25</v>
      </c>
      <c r="K15" s="18">
        <f>+K12</f>
        <v>660</v>
      </c>
      <c r="L15" s="18">
        <f>+L12*0.85</f>
        <v>225.25</v>
      </c>
      <c r="M15" s="1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.75" customHeight="1" x14ac:dyDescent="0.25">
      <c r="A16" s="25" t="s">
        <v>8</v>
      </c>
      <c r="B16" s="26">
        <v>0</v>
      </c>
      <c r="C16" s="26">
        <f t="shared" ref="C16:G16" si="1">+B16+1</f>
        <v>1</v>
      </c>
      <c r="D16" s="26">
        <f t="shared" si="1"/>
        <v>2</v>
      </c>
      <c r="E16" s="26">
        <f t="shared" si="1"/>
        <v>3</v>
      </c>
      <c r="F16" s="27">
        <f t="shared" si="1"/>
        <v>4</v>
      </c>
      <c r="G16" s="27">
        <f t="shared" si="1"/>
        <v>5</v>
      </c>
      <c r="H16" s="5"/>
      <c r="I16" s="5"/>
      <c r="J16" s="16" t="s">
        <v>26</v>
      </c>
      <c r="K16" s="18">
        <f>+K12*1.2</f>
        <v>792</v>
      </c>
      <c r="L16" s="18">
        <f>+L12*0.9</f>
        <v>238.5</v>
      </c>
      <c r="M16" s="18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2.75" customHeight="1" x14ac:dyDescent="0.25">
      <c r="A17" s="28" t="s">
        <v>27</v>
      </c>
      <c r="B17" s="29"/>
      <c r="C17" s="30"/>
      <c r="D17" s="30"/>
      <c r="E17" s="30"/>
      <c r="F17" s="30"/>
      <c r="G17" s="31"/>
      <c r="H17" s="2"/>
      <c r="I17" s="2"/>
      <c r="J17" s="16"/>
      <c r="K17" s="18"/>
      <c r="L17" s="18"/>
      <c r="M17" s="1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.75" customHeight="1" x14ac:dyDescent="0.25">
      <c r="A18" s="32" t="s">
        <v>28</v>
      </c>
      <c r="B18" s="33"/>
      <c r="C18" s="34"/>
      <c r="D18" s="34"/>
      <c r="E18" s="34"/>
      <c r="F18" s="34"/>
      <c r="G18" s="3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.75" customHeight="1" x14ac:dyDescent="0.25">
      <c r="A19" s="36" t="s">
        <v>29</v>
      </c>
      <c r="B19" s="37"/>
      <c r="C19" s="38">
        <v>0.62</v>
      </c>
      <c r="D19" s="38">
        <v>0.62</v>
      </c>
      <c r="E19" s="38">
        <v>0.7</v>
      </c>
      <c r="F19" s="38">
        <v>0.7</v>
      </c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12" customHeight="1" x14ac:dyDescent="0.25">
      <c r="A20" s="41" t="s">
        <v>30</v>
      </c>
      <c r="B20" s="34">
        <v>660</v>
      </c>
      <c r="C20" s="42">
        <f>+B20*(1+$B$7)</f>
        <v>683.09999999999991</v>
      </c>
      <c r="D20" s="42">
        <f>+C20*(1+$B$8)</f>
        <v>706.32539999999995</v>
      </c>
      <c r="E20" s="42">
        <f>+D20*(1+$B$9)</f>
        <v>730.34046360000002</v>
      </c>
      <c r="F20" s="42">
        <f>+E20*(1+$B$10)</f>
        <v>755.17203936240003</v>
      </c>
      <c r="G20" s="4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.75" customHeight="1" x14ac:dyDescent="0.25">
      <c r="A21" s="44" t="s">
        <v>31</v>
      </c>
      <c r="B21" s="45"/>
      <c r="C21" s="46">
        <f t="shared" ref="C21:F21" si="2">+C19*C20</f>
        <v>423.52199999999993</v>
      </c>
      <c r="D21" s="46">
        <f t="shared" si="2"/>
        <v>437.92174799999998</v>
      </c>
      <c r="E21" s="46">
        <f t="shared" si="2"/>
        <v>511.23832451999999</v>
      </c>
      <c r="F21" s="46">
        <f t="shared" si="2"/>
        <v>528.62042755367997</v>
      </c>
      <c r="G21" s="4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.75" customHeight="1" x14ac:dyDescent="0.25">
      <c r="A22" s="48" t="s">
        <v>32</v>
      </c>
      <c r="B22" s="49"/>
      <c r="C22" s="50"/>
      <c r="D22" s="50"/>
      <c r="E22" s="50"/>
      <c r="F22" s="50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.75" customHeight="1" x14ac:dyDescent="0.25">
      <c r="A23" s="52"/>
      <c r="B23" s="53"/>
      <c r="C23" s="54"/>
      <c r="D23" s="54"/>
      <c r="E23" s="54"/>
      <c r="F23" s="54"/>
      <c r="G23" s="5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.75" customHeight="1" x14ac:dyDescent="0.25">
      <c r="A24" s="5"/>
      <c r="B24" s="5" t="s">
        <v>33</v>
      </c>
      <c r="C24" s="9"/>
      <c r="D24" s="9"/>
      <c r="E24" s="9"/>
      <c r="F24" s="9"/>
      <c r="G24" s="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.75" customHeight="1" x14ac:dyDescent="0.25">
      <c r="A25" s="355" t="s">
        <v>34</v>
      </c>
      <c r="B25" s="356"/>
      <c r="C25" s="356"/>
      <c r="D25" s="356"/>
      <c r="E25" s="356"/>
      <c r="F25" s="356"/>
      <c r="G25" s="35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.75" customHeight="1" x14ac:dyDescent="0.25">
      <c r="A26" s="28" t="s">
        <v>35</v>
      </c>
      <c r="B26" s="30">
        <f>(114100000+573700000)</f>
        <v>687800000</v>
      </c>
      <c r="C26" s="55"/>
      <c r="D26" s="55"/>
      <c r="E26" s="55"/>
      <c r="F26" s="56"/>
      <c r="G26" s="56"/>
      <c r="H26" s="57"/>
      <c r="J26" s="5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.75" customHeight="1" x14ac:dyDescent="0.25">
      <c r="A27" s="32" t="s">
        <v>36</v>
      </c>
      <c r="B27" s="34">
        <v>100</v>
      </c>
      <c r="C27" s="58"/>
      <c r="D27" s="58"/>
      <c r="E27" s="58"/>
      <c r="F27" s="59"/>
      <c r="G27" s="59"/>
      <c r="H27" s="57"/>
      <c r="J27" s="5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.75" customHeight="1" x14ac:dyDescent="0.25">
      <c r="A28" s="32" t="s">
        <v>37</v>
      </c>
      <c r="B28" s="34">
        <v>150</v>
      </c>
      <c r="C28" s="58"/>
      <c r="D28" s="58"/>
      <c r="E28" s="58"/>
      <c r="F28" s="59"/>
      <c r="G28" s="59"/>
      <c r="H28" s="57"/>
      <c r="L28" s="5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.75" customHeight="1" x14ac:dyDescent="0.25">
      <c r="A29" s="60" t="s">
        <v>38</v>
      </c>
      <c r="B29" s="61">
        <v>80</v>
      </c>
      <c r="C29" s="62"/>
      <c r="D29" s="62"/>
      <c r="E29" s="62"/>
      <c r="F29" s="63"/>
      <c r="G29" s="63"/>
      <c r="H29" s="57"/>
      <c r="J29" s="57"/>
      <c r="K29" s="6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.75" customHeight="1" x14ac:dyDescent="0.25">
      <c r="A30" s="65" t="s">
        <v>39</v>
      </c>
      <c r="B30" s="66">
        <f>SUM(B26:B29)</f>
        <v>687800330</v>
      </c>
      <c r="C30" s="67"/>
      <c r="D30" s="67"/>
      <c r="E30" s="67"/>
      <c r="F30" s="67"/>
      <c r="G30" s="68"/>
      <c r="H30" s="57"/>
      <c r="M30" s="5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.75" customHeight="1" x14ac:dyDescent="0.25">
      <c r="A31" s="69"/>
      <c r="B31" s="70"/>
      <c r="C31" s="54"/>
      <c r="D31" s="54"/>
      <c r="E31" s="54"/>
      <c r="F31" s="54"/>
      <c r="G31" s="5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.75" customHeight="1" x14ac:dyDescent="0.25">
      <c r="A32" s="71" t="s">
        <v>40</v>
      </c>
      <c r="B32" s="72"/>
      <c r="C32" s="54"/>
      <c r="D32" s="54"/>
      <c r="E32" s="54"/>
      <c r="F32" s="54"/>
      <c r="G32" s="5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customHeight="1" x14ac:dyDescent="0.25">
      <c r="A33" s="355" t="s">
        <v>41</v>
      </c>
      <c r="B33" s="357"/>
      <c r="C33" s="54"/>
      <c r="D33" s="54"/>
      <c r="E33" s="54"/>
      <c r="F33" s="54"/>
      <c r="G33" s="5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.75" customHeight="1" x14ac:dyDescent="0.25">
      <c r="A34" s="28" t="s">
        <v>42</v>
      </c>
      <c r="B34" s="73">
        <v>5</v>
      </c>
      <c r="C34" s="9"/>
      <c r="D34" s="9"/>
      <c r="E34" s="9"/>
      <c r="F34" s="9"/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.75" customHeight="1" x14ac:dyDescent="0.25">
      <c r="A35" s="32" t="s">
        <v>43</v>
      </c>
      <c r="B35" s="74">
        <v>4</v>
      </c>
      <c r="C35" s="9"/>
      <c r="D35" s="9"/>
      <c r="E35" s="9"/>
      <c r="F35" s="9"/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.75" customHeight="1" x14ac:dyDescent="0.25">
      <c r="A36" s="32" t="s">
        <v>44</v>
      </c>
      <c r="B36" s="74"/>
      <c r="C36" s="9"/>
      <c r="D36" s="9"/>
      <c r="E36" s="9"/>
      <c r="F36" s="9"/>
      <c r="G36" s="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.75" customHeight="1" x14ac:dyDescent="0.25">
      <c r="A37" s="32" t="s">
        <v>45</v>
      </c>
      <c r="B37" s="74"/>
      <c r="C37" s="9"/>
      <c r="D37" s="9"/>
      <c r="E37" s="9"/>
      <c r="F37" s="9"/>
      <c r="G37" s="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.75" customHeight="1" x14ac:dyDescent="0.25">
      <c r="A38" s="75" t="s">
        <v>46</v>
      </c>
      <c r="B38" s="76"/>
      <c r="C38" s="9"/>
      <c r="D38" s="9"/>
      <c r="E38" s="9"/>
      <c r="F38" s="9"/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.75" customHeight="1" x14ac:dyDescent="0.25">
      <c r="A39" s="5"/>
      <c r="B39" s="5"/>
      <c r="C39" s="9"/>
      <c r="D39" s="9"/>
      <c r="E39" s="9"/>
      <c r="F39" s="9"/>
      <c r="G39" s="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.75" customHeight="1" x14ac:dyDescent="0.25">
      <c r="A40" s="2"/>
      <c r="B40" s="2" t="s">
        <v>47</v>
      </c>
      <c r="C40" s="9"/>
      <c r="D40" s="9"/>
      <c r="E40" s="9"/>
      <c r="F40" s="9"/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.75" customHeight="1" x14ac:dyDescent="0.25">
      <c r="A41" s="355" t="s">
        <v>48</v>
      </c>
      <c r="B41" s="356"/>
      <c r="C41" s="356"/>
      <c r="D41" s="356"/>
      <c r="E41" s="356"/>
      <c r="F41" s="356"/>
      <c r="G41" s="35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.75" customHeight="1" x14ac:dyDescent="0.25">
      <c r="A42" s="77" t="s">
        <v>8</v>
      </c>
      <c r="B42" s="26">
        <v>0</v>
      </c>
      <c r="C42" s="26">
        <f t="shared" ref="C42:G42" si="3">+B42+1</f>
        <v>1</v>
      </c>
      <c r="D42" s="26">
        <f t="shared" si="3"/>
        <v>2</v>
      </c>
      <c r="E42" s="26">
        <f t="shared" si="3"/>
        <v>3</v>
      </c>
      <c r="F42" s="27">
        <f t="shared" si="3"/>
        <v>4</v>
      </c>
      <c r="G42" s="27">
        <f t="shared" si="3"/>
        <v>5</v>
      </c>
      <c r="H42" s="5"/>
      <c r="I42" s="5"/>
      <c r="J42" s="350">
        <f>+(265-$B$43)/265</f>
        <v>0</v>
      </c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</row>
    <row r="43" spans="1:33" ht="12.75" customHeight="1" x14ac:dyDescent="0.25">
      <c r="A43" s="78" t="s">
        <v>49</v>
      </c>
      <c r="B43" s="34">
        <v>265</v>
      </c>
      <c r="C43" s="42">
        <f>+B43*(1+$B$7)</f>
        <v>274.27499999999998</v>
      </c>
      <c r="D43" s="42">
        <f>+C43*(1+$B$8)</f>
        <v>283.60034999999999</v>
      </c>
      <c r="E43" s="42">
        <f>+D43*(1+$B$9)</f>
        <v>293.2427619</v>
      </c>
      <c r="F43" s="42">
        <f>+E43*(1+$B$10)</f>
        <v>303.21301580459999</v>
      </c>
      <c r="G43" s="7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.75" customHeight="1" x14ac:dyDescent="0.25">
      <c r="A44" s="78" t="s">
        <v>50</v>
      </c>
      <c r="B44" s="34"/>
      <c r="C44" s="79">
        <f t="shared" ref="C44:F44" si="4">+C43*C19</f>
        <v>170.05049999999997</v>
      </c>
      <c r="D44" s="79">
        <f t="shared" si="4"/>
        <v>175.83221699999999</v>
      </c>
      <c r="E44" s="79">
        <f t="shared" si="4"/>
        <v>205.26993332999999</v>
      </c>
      <c r="F44" s="79">
        <f t="shared" si="4"/>
        <v>212.24911106321997</v>
      </c>
      <c r="G44" s="7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.75" customHeight="1" x14ac:dyDescent="0.25">
      <c r="A45" s="78" t="s">
        <v>51</v>
      </c>
      <c r="B45" s="34">
        <v>85</v>
      </c>
      <c r="C45" s="42">
        <f t="shared" ref="C45:C46" si="5">+B45*(1+$B$7)</f>
        <v>87.974999999999994</v>
      </c>
      <c r="D45" s="42">
        <f t="shared" ref="D45:D46" si="6">+C45*(1+$B$8)</f>
        <v>90.966149999999999</v>
      </c>
      <c r="E45" s="42">
        <f t="shared" ref="E45:E46" si="7">+D45*(1+$B$9)</f>
        <v>94.058999100000008</v>
      </c>
      <c r="F45" s="42">
        <f t="shared" ref="F45:F46" si="8">+E45*(1+$B$10)</f>
        <v>97.257005069400009</v>
      </c>
      <c r="G45" s="7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x14ac:dyDescent="0.25">
      <c r="A46" s="78" t="s">
        <v>52</v>
      </c>
      <c r="B46" s="34">
        <v>20</v>
      </c>
      <c r="C46" s="42">
        <f t="shared" si="5"/>
        <v>20.7</v>
      </c>
      <c r="D46" s="42">
        <f t="shared" si="6"/>
        <v>21.4038</v>
      </c>
      <c r="E46" s="42">
        <f t="shared" si="7"/>
        <v>22.131529200000003</v>
      </c>
      <c r="F46" s="42">
        <f t="shared" si="8"/>
        <v>22.884001192800003</v>
      </c>
      <c r="G46" s="7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.75" customHeight="1" x14ac:dyDescent="0.25">
      <c r="A47" s="80" t="s">
        <v>53</v>
      </c>
      <c r="B47" s="81">
        <f>+B48*(1+B7)*(1+B8)*(1+B9)*(1+B10)</f>
        <v>318.68260061093275</v>
      </c>
      <c r="C47" s="5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.75" customHeight="1" x14ac:dyDescent="0.25">
      <c r="A48" s="78" t="s">
        <v>54</v>
      </c>
      <c r="B48" s="34">
        <v>278.52</v>
      </c>
      <c r="C48" s="5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.75" customHeight="1" x14ac:dyDescent="0.25">
      <c r="A49" s="5"/>
      <c r="B49" s="82"/>
      <c r="C49" s="5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.75" customHeight="1" x14ac:dyDescent="0.25">
      <c r="A50" s="52" t="s">
        <v>55</v>
      </c>
      <c r="B50" s="2"/>
      <c r="C50" s="5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.75" customHeight="1" x14ac:dyDescent="0.25">
      <c r="A51" s="355" t="s">
        <v>56</v>
      </c>
      <c r="B51" s="358"/>
      <c r="C51" s="5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.75" customHeight="1" x14ac:dyDescent="0.25">
      <c r="A52" s="83" t="s">
        <v>57</v>
      </c>
      <c r="B52" s="84">
        <v>90</v>
      </c>
      <c r="C52" s="5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.75" customHeight="1" x14ac:dyDescent="0.25">
      <c r="A53" s="83" t="s">
        <v>58</v>
      </c>
      <c r="B53" s="85">
        <v>0.2</v>
      </c>
      <c r="C53" s="52" t="s">
        <v>59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.75" customHeight="1" x14ac:dyDescent="0.25">
      <c r="A54" s="83" t="s">
        <v>60</v>
      </c>
      <c r="B54" s="86" t="s">
        <v>61</v>
      </c>
      <c r="C54" s="5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.75" customHeight="1" x14ac:dyDescent="0.25">
      <c r="A55" s="83" t="s">
        <v>62</v>
      </c>
      <c r="B55" s="87">
        <v>4</v>
      </c>
      <c r="C55" s="5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.75" customHeight="1" x14ac:dyDescent="0.25">
      <c r="A56" s="5"/>
      <c r="B56" s="88"/>
      <c r="C56" s="5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.75" customHeight="1" x14ac:dyDescent="0.25">
      <c r="A57" s="5" t="s">
        <v>63</v>
      </c>
      <c r="B57" s="88"/>
      <c r="C57" s="5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.75" customHeight="1" x14ac:dyDescent="0.25">
      <c r="A58" s="355" t="s">
        <v>64</v>
      </c>
      <c r="B58" s="358"/>
      <c r="C58" s="5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.75" customHeight="1" x14ac:dyDescent="0.25">
      <c r="A59" s="83" t="s">
        <v>65</v>
      </c>
      <c r="B59" s="85">
        <v>0.34</v>
      </c>
      <c r="C59" s="5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.75" customHeight="1" x14ac:dyDescent="0.25">
      <c r="A60" s="5"/>
      <c r="B60" s="89"/>
      <c r="C60" s="5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.75" customHeight="1" x14ac:dyDescent="0.25">
      <c r="A61" s="5" t="s">
        <v>66</v>
      </c>
      <c r="B61" s="89"/>
      <c r="C61" s="5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.75" customHeight="1" x14ac:dyDescent="0.25">
      <c r="A62" s="359" t="s">
        <v>67</v>
      </c>
      <c r="B62" s="360"/>
      <c r="C62" s="5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7.25" customHeight="1" x14ac:dyDescent="0.25">
      <c r="A63" s="83" t="s">
        <v>68</v>
      </c>
      <c r="B63" s="90">
        <v>0.18</v>
      </c>
      <c r="C63" s="52"/>
      <c r="D63" s="2"/>
      <c r="E63" s="361"/>
      <c r="F63" s="35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02" customHeight="1" x14ac:dyDescent="0.25">
      <c r="A64" s="83" t="s">
        <v>69</v>
      </c>
      <c r="B64" s="91">
        <f>+(1+B63)*(1+B11)-1</f>
        <v>0.22041500000000003</v>
      </c>
      <c r="C64" s="2"/>
      <c r="D64" s="2"/>
      <c r="E64" s="92" t="s">
        <v>70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.75" customHeight="1" x14ac:dyDescent="0.25">
      <c r="A65" s="83" t="s">
        <v>71</v>
      </c>
      <c r="B65" s="90">
        <f>+(B30-B52)/B30</f>
        <v>0.99999986914807093</v>
      </c>
      <c r="C65" s="5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.75" customHeight="1" x14ac:dyDescent="0.25">
      <c r="A66" s="83" t="s">
        <v>72</v>
      </c>
      <c r="B66" s="90">
        <f>+B53*(1-B59)</f>
        <v>0.13199999999999998</v>
      </c>
      <c r="C66" s="5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.75" customHeight="1" x14ac:dyDescent="0.25">
      <c r="A67" s="83" t="s">
        <v>73</v>
      </c>
      <c r="B67" s="93">
        <f>+(B65*B64)+((1-B65)*B53)</f>
        <v>0.22041499732865788</v>
      </c>
      <c r="C67" s="362" t="s">
        <v>74</v>
      </c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.75" customHeight="1" x14ac:dyDescent="0.25">
      <c r="A68" s="83" t="s">
        <v>75</v>
      </c>
      <c r="B68" s="93">
        <f>+B65*B64+((1-B65)*B66)</f>
        <v>0.22041498843072671</v>
      </c>
      <c r="C68" s="363" t="s">
        <v>76</v>
      </c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.75" customHeight="1" x14ac:dyDescent="0.25">
      <c r="A69" s="83" t="s">
        <v>77</v>
      </c>
      <c r="B69" s="9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.75" customHeight="1" x14ac:dyDescent="0.25">
      <c r="A70" s="5"/>
      <c r="B70" s="95"/>
      <c r="C70" s="8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9.75" customHeight="1" x14ac:dyDescent="0.25">
      <c r="A71" s="2"/>
      <c r="B71" s="9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.75" customHeight="1" x14ac:dyDescent="0.25">
      <c r="A72" s="364" t="s">
        <v>78</v>
      </c>
      <c r="B72" s="351"/>
      <c r="C72" s="351"/>
      <c r="D72" s="351"/>
      <c r="E72" s="351"/>
      <c r="F72" s="35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.75" customHeight="1" x14ac:dyDescent="0.25">
      <c r="A73" s="364" t="s">
        <v>79</v>
      </c>
      <c r="B73" s="351"/>
      <c r="C73" s="351"/>
      <c r="D73" s="351"/>
      <c r="E73" s="351"/>
      <c r="F73" s="35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.75" customHeight="1" x14ac:dyDescent="0.25">
      <c r="A74" s="364" t="str">
        <f>+F1</f>
        <v>Millones de pesos CORRIENTES</v>
      </c>
      <c r="B74" s="351"/>
      <c r="C74" s="351"/>
      <c r="D74" s="351"/>
      <c r="E74" s="351"/>
      <c r="F74" s="35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.75" customHeight="1" x14ac:dyDescent="0.25">
      <c r="A75" s="97" t="s">
        <v>80</v>
      </c>
      <c r="B75" s="98">
        <v>0</v>
      </c>
      <c r="C75" s="98">
        <f t="shared" ref="C75:F75" si="9">+B75+1</f>
        <v>1</v>
      </c>
      <c r="D75" s="98">
        <f t="shared" si="9"/>
        <v>2</v>
      </c>
      <c r="E75" s="98">
        <f t="shared" si="9"/>
        <v>3</v>
      </c>
      <c r="F75" s="98">
        <f t="shared" si="9"/>
        <v>4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30.75" customHeight="1" x14ac:dyDescent="0.25">
      <c r="A76" s="99" t="s">
        <v>81</v>
      </c>
      <c r="B76" s="45"/>
      <c r="C76" s="100">
        <f t="shared" ref="C76:F76" si="10">+C21</f>
        <v>423.52199999999993</v>
      </c>
      <c r="D76" s="100">
        <f t="shared" si="10"/>
        <v>437.92174799999998</v>
      </c>
      <c r="E76" s="100">
        <f t="shared" si="10"/>
        <v>511.23832451999999</v>
      </c>
      <c r="F76" s="100">
        <f t="shared" si="10"/>
        <v>528.62042755367997</v>
      </c>
      <c r="G76" s="5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.75" customHeight="1" x14ac:dyDescent="0.25">
      <c r="A77" s="101" t="s">
        <v>82</v>
      </c>
      <c r="B77" s="45"/>
      <c r="C77" s="102">
        <f t="shared" ref="C77:F77" si="11">+C44</f>
        <v>170.05049999999997</v>
      </c>
      <c r="D77" s="102">
        <f t="shared" si="11"/>
        <v>175.83221699999999</v>
      </c>
      <c r="E77" s="102">
        <f t="shared" si="11"/>
        <v>205.26993332999999</v>
      </c>
      <c r="F77" s="102">
        <f t="shared" si="11"/>
        <v>212.24911106321997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.75" customHeight="1" x14ac:dyDescent="0.25">
      <c r="A78" s="101" t="s">
        <v>83</v>
      </c>
      <c r="B78" s="45"/>
      <c r="C78" s="103">
        <f t="shared" ref="C78:F78" si="12">+C45</f>
        <v>87.974999999999994</v>
      </c>
      <c r="D78" s="103">
        <f t="shared" si="12"/>
        <v>90.966149999999999</v>
      </c>
      <c r="E78" s="103">
        <f t="shared" si="12"/>
        <v>94.058999100000008</v>
      </c>
      <c r="F78" s="103">
        <f t="shared" si="12"/>
        <v>97.257005069400009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.75" customHeight="1" x14ac:dyDescent="0.25">
      <c r="A79" s="101" t="s">
        <v>84</v>
      </c>
      <c r="B79" s="45"/>
      <c r="C79" s="103">
        <f t="shared" ref="C79:F79" si="13">+C46</f>
        <v>20.7</v>
      </c>
      <c r="D79" s="103">
        <f t="shared" si="13"/>
        <v>21.4038</v>
      </c>
      <c r="E79" s="103">
        <f t="shared" si="13"/>
        <v>22.131529200000003</v>
      </c>
      <c r="F79" s="103">
        <f t="shared" si="13"/>
        <v>22.884001192800003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.75" customHeight="1" x14ac:dyDescent="0.25">
      <c r="A80" s="104" t="s">
        <v>85</v>
      </c>
      <c r="B80" s="105"/>
      <c r="C80" s="106">
        <f t="shared" ref="C80:F80" si="14">+C76-C77-C78-C79</f>
        <v>144.79649999999998</v>
      </c>
      <c r="D80" s="106">
        <f t="shared" si="14"/>
        <v>149.71958099999998</v>
      </c>
      <c r="E80" s="106">
        <f t="shared" si="14"/>
        <v>189.77786289000005</v>
      </c>
      <c r="F80" s="106">
        <f t="shared" si="14"/>
        <v>196.23031022825998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.75" customHeight="1" x14ac:dyDescent="0.25">
      <c r="A81" s="107" t="s">
        <v>86</v>
      </c>
      <c r="B81" s="108">
        <f t="shared" ref="B81:B84" si="15">+B26</f>
        <v>687800000</v>
      </c>
      <c r="C81" s="109"/>
      <c r="D81" s="109"/>
      <c r="E81" s="109"/>
      <c r="F81" s="10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.75" customHeight="1" x14ac:dyDescent="0.25">
      <c r="A82" s="107" t="s">
        <v>87</v>
      </c>
      <c r="B82" s="108">
        <f t="shared" si="15"/>
        <v>100</v>
      </c>
      <c r="C82" s="109"/>
      <c r="D82" s="109"/>
      <c r="E82" s="109"/>
      <c r="F82" s="10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.75" customHeight="1" x14ac:dyDescent="0.25">
      <c r="A83" s="107" t="s">
        <v>88</v>
      </c>
      <c r="B83" s="108">
        <f t="shared" si="15"/>
        <v>150</v>
      </c>
      <c r="C83" s="109"/>
      <c r="D83" s="109"/>
      <c r="E83" s="109"/>
      <c r="F83" s="10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.75" customHeight="1" x14ac:dyDescent="0.25">
      <c r="A84" s="107" t="s">
        <v>89</v>
      </c>
      <c r="B84" s="108">
        <f t="shared" si="15"/>
        <v>80</v>
      </c>
      <c r="C84" s="109"/>
      <c r="D84" s="109"/>
      <c r="E84" s="109"/>
      <c r="F84" s="10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.75" customHeight="1" x14ac:dyDescent="0.25">
      <c r="A85" s="110" t="s">
        <v>90</v>
      </c>
      <c r="B85" s="108"/>
      <c r="C85" s="109"/>
      <c r="D85" s="109"/>
      <c r="E85" s="109"/>
      <c r="F85" s="111"/>
      <c r="G85" s="2" t="s">
        <v>91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.75" customHeight="1" x14ac:dyDescent="0.25">
      <c r="A86" s="110" t="s">
        <v>92</v>
      </c>
      <c r="B86" s="108"/>
      <c r="C86" s="112"/>
      <c r="D86" s="112"/>
      <c r="E86" s="112"/>
      <c r="F86" s="113">
        <f>+B47</f>
        <v>318.68260061093275</v>
      </c>
      <c r="G86" s="5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.75" customHeight="1" x14ac:dyDescent="0.25">
      <c r="A87" s="114" t="s">
        <v>93</v>
      </c>
      <c r="B87" s="115">
        <f t="shared" ref="B87:F87" si="16">+B80-B81-B82-B83-B84+B85+B86</f>
        <v>-687800330</v>
      </c>
      <c r="C87" s="115">
        <f t="shared" si="16"/>
        <v>144.79649999999998</v>
      </c>
      <c r="D87" s="115">
        <f t="shared" si="16"/>
        <v>149.71958099999998</v>
      </c>
      <c r="E87" s="115">
        <f t="shared" si="16"/>
        <v>189.77786289000005</v>
      </c>
      <c r="F87" s="115">
        <f t="shared" si="16"/>
        <v>514.9129108391927</v>
      </c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</row>
    <row r="88" spans="1:33" ht="12.75" customHeight="1" x14ac:dyDescent="0.25">
      <c r="A88" s="117" t="s">
        <v>94</v>
      </c>
      <c r="B88" s="112"/>
      <c r="C88" s="113">
        <f>+C87/(1+$B$64)</f>
        <v>118.64529688671475</v>
      </c>
      <c r="D88" s="42">
        <f>+D87/((1+$B$64)*(1+B64))</f>
        <v>100.52255747500894</v>
      </c>
      <c r="E88" s="42">
        <f>+E87/((1+$B$64)*(1+$B$64)*(1+$B$64))</f>
        <v>104.40539506539457</v>
      </c>
      <c r="F88" s="42">
        <f>+F87/((1+$B$64)*(1+$B$64)*(1+$B$64)*(1+$B$64))</f>
        <v>232.11522824841327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.75" customHeight="1" x14ac:dyDescent="0.25">
      <c r="A89" s="117" t="s">
        <v>95</v>
      </c>
      <c r="B89" s="112"/>
      <c r="C89" s="112">
        <f>+C88</f>
        <v>118.64529688671475</v>
      </c>
      <c r="D89" s="118">
        <f t="shared" ref="D89:F89" si="17">+C89+D88</f>
        <v>219.1678543617237</v>
      </c>
      <c r="E89" s="118">
        <f t="shared" si="17"/>
        <v>323.5732494271183</v>
      </c>
      <c r="F89" s="118">
        <f t="shared" si="17"/>
        <v>555.68847767553154</v>
      </c>
      <c r="G89" s="2" t="s">
        <v>96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.75" customHeight="1" x14ac:dyDescent="0.25">
      <c r="A90" s="117" t="s">
        <v>97</v>
      </c>
      <c r="B90" s="119" t="e">
        <f>IRR(B87:F87)</f>
        <v>#NUM!</v>
      </c>
      <c r="C90" s="96" t="s">
        <v>98</v>
      </c>
      <c r="D90" s="2"/>
      <c r="E90" s="120"/>
      <c r="F90" s="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.75" customHeight="1" x14ac:dyDescent="0.25">
      <c r="A91" s="117" t="s">
        <v>99</v>
      </c>
      <c r="B91" s="121">
        <f t="array" ref="B91">+NPV(B64,C87:F87)+B87</f>
        <v>-687799774.31152236</v>
      </c>
      <c r="C91" s="2"/>
      <c r="D91" s="52"/>
      <c r="E91" s="120"/>
      <c r="F91" s="12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.75" customHeight="1" x14ac:dyDescent="0.25">
      <c r="A92" s="1"/>
      <c r="B92" s="122"/>
      <c r="C92" s="2"/>
      <c r="D92" s="2"/>
      <c r="E92" s="120"/>
      <c r="F92" s="12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25">
      <c r="A93" s="1"/>
      <c r="B93" s="122"/>
      <c r="C93" s="2"/>
      <c r="D93" s="2"/>
      <c r="E93" s="120"/>
      <c r="F93" s="12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29.25" customHeight="1" x14ac:dyDescent="0.25">
      <c r="A94" s="364" t="s">
        <v>100</v>
      </c>
      <c r="B94" s="351"/>
      <c r="C94" s="351"/>
      <c r="D94" s="2"/>
      <c r="E94" s="365" t="s">
        <v>101</v>
      </c>
      <c r="F94" s="351"/>
      <c r="G94" s="35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.75" customHeight="1" x14ac:dyDescent="0.25">
      <c r="A95" s="364" t="s">
        <v>102</v>
      </c>
      <c r="B95" s="351"/>
      <c r="C95" s="351"/>
      <c r="D95" s="2"/>
      <c r="E95" s="350" t="s">
        <v>103</v>
      </c>
      <c r="F95" s="351"/>
      <c r="G95" s="35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.75" customHeight="1" x14ac:dyDescent="0.25">
      <c r="A96" s="366" t="s">
        <v>104</v>
      </c>
      <c r="B96" s="353"/>
      <c r="C96" s="354"/>
      <c r="D96" s="2"/>
      <c r="E96" s="369" t="s">
        <v>104</v>
      </c>
      <c r="F96" s="348"/>
      <c r="G96" s="34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.75" customHeight="1" x14ac:dyDescent="0.25">
      <c r="A97" s="123" t="s">
        <v>105</v>
      </c>
      <c r="B97" s="124" t="s">
        <v>106</v>
      </c>
      <c r="C97" s="125" t="s">
        <v>107</v>
      </c>
      <c r="D97" s="2"/>
      <c r="E97" s="126" t="s">
        <v>105</v>
      </c>
      <c r="F97" s="126" t="s">
        <v>108</v>
      </c>
      <c r="G97" s="126" t="s">
        <v>109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.75" customHeight="1" x14ac:dyDescent="0.25">
      <c r="A98" s="127">
        <v>1</v>
      </c>
      <c r="B98" s="112">
        <f t="shared" ref="B98:B101" si="18">+B$26/$B$34</f>
        <v>137560000</v>
      </c>
      <c r="C98" s="112"/>
      <c r="D98" s="2"/>
      <c r="E98" s="83">
        <v>1</v>
      </c>
      <c r="F98" s="112">
        <f t="shared" ref="F98:F101" si="19">+B$27/B$35</f>
        <v>25</v>
      </c>
      <c r="G98" s="11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.75" customHeight="1" x14ac:dyDescent="0.25">
      <c r="A99" s="127">
        <f t="shared" ref="A99:A101" si="20">A98+1</f>
        <v>2</v>
      </c>
      <c r="B99" s="112">
        <f t="shared" si="18"/>
        <v>137560000</v>
      </c>
      <c r="C99" s="112"/>
      <c r="D99" s="2"/>
      <c r="E99" s="83">
        <f t="shared" ref="E99:E101" si="21">E98+1</f>
        <v>2</v>
      </c>
      <c r="F99" s="112">
        <f t="shared" si="19"/>
        <v>25</v>
      </c>
      <c r="G99" s="11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.75" customHeight="1" x14ac:dyDescent="0.25">
      <c r="A100" s="127">
        <f t="shared" si="20"/>
        <v>3</v>
      </c>
      <c r="B100" s="112">
        <f t="shared" si="18"/>
        <v>137560000</v>
      </c>
      <c r="C100" s="112"/>
      <c r="D100" s="2"/>
      <c r="E100" s="83">
        <f t="shared" si="21"/>
        <v>3</v>
      </c>
      <c r="F100" s="112">
        <f t="shared" si="19"/>
        <v>25</v>
      </c>
      <c r="G100" s="11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.75" customHeight="1" x14ac:dyDescent="0.25">
      <c r="A101" s="127">
        <f t="shared" si="20"/>
        <v>4</v>
      </c>
      <c r="B101" s="112">
        <f t="shared" si="18"/>
        <v>137560000</v>
      </c>
      <c r="C101" s="112"/>
      <c r="D101" s="2"/>
      <c r="E101" s="83">
        <f t="shared" si="21"/>
        <v>4</v>
      </c>
      <c r="F101" s="112">
        <f t="shared" si="19"/>
        <v>25</v>
      </c>
      <c r="G101" s="11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.75" customHeight="1" x14ac:dyDescent="0.25">
      <c r="A102" s="127"/>
      <c r="B102" s="112"/>
      <c r="C102" s="128"/>
      <c r="D102" s="2"/>
      <c r="E102" s="129"/>
      <c r="F102" s="112"/>
      <c r="G102" s="13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customHeight="1" x14ac:dyDescent="0.25">
      <c r="A103" s="1"/>
      <c r="B103" s="131"/>
      <c r="C103" s="131"/>
      <c r="D103" s="2"/>
      <c r="E103" s="5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.75" customHeight="1" x14ac:dyDescent="0.25">
      <c r="A104" s="364" t="s">
        <v>110</v>
      </c>
      <c r="B104" s="351"/>
      <c r="C104" s="351"/>
      <c r="D104" s="351"/>
      <c r="E104" s="351"/>
      <c r="F104" s="35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.75" customHeight="1" x14ac:dyDescent="0.25">
      <c r="A105" s="364" t="s">
        <v>111</v>
      </c>
      <c r="B105" s="351"/>
      <c r="C105" s="351"/>
      <c r="D105" s="351"/>
      <c r="E105" s="351"/>
      <c r="F105" s="35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" customHeight="1" x14ac:dyDescent="0.25">
      <c r="A106" s="367" t="str">
        <f>+F1</f>
        <v>Millones de pesos CORRIENTES</v>
      </c>
      <c r="B106" s="368"/>
      <c r="C106" s="368"/>
      <c r="D106" s="368"/>
      <c r="E106" s="368"/>
      <c r="F106" s="36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.75" customHeight="1" x14ac:dyDescent="0.25">
      <c r="A107" s="97" t="s">
        <v>80</v>
      </c>
      <c r="B107" s="98">
        <f t="shared" ref="B107:F107" si="22">+B75</f>
        <v>0</v>
      </c>
      <c r="C107" s="98">
        <f t="shared" si="22"/>
        <v>1</v>
      </c>
      <c r="D107" s="98">
        <f t="shared" si="22"/>
        <v>2</v>
      </c>
      <c r="E107" s="98">
        <f t="shared" si="22"/>
        <v>3</v>
      </c>
      <c r="F107" s="98">
        <f t="shared" si="22"/>
        <v>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.75" customHeight="1" x14ac:dyDescent="0.25">
      <c r="A108" s="132" t="s">
        <v>112</v>
      </c>
      <c r="B108" s="112">
        <f t="shared" ref="B108:F108" si="23">+B76</f>
        <v>0</v>
      </c>
      <c r="C108" s="113">
        <f t="shared" si="23"/>
        <v>423.52199999999993</v>
      </c>
      <c r="D108" s="113">
        <f t="shared" si="23"/>
        <v>437.92174799999998</v>
      </c>
      <c r="E108" s="113">
        <f t="shared" si="23"/>
        <v>511.23832451999999</v>
      </c>
      <c r="F108" s="113">
        <f t="shared" si="23"/>
        <v>528.62042755367997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.75" customHeight="1" x14ac:dyDescent="0.25">
      <c r="A109" s="101" t="s">
        <v>113</v>
      </c>
      <c r="B109" s="112">
        <f t="shared" ref="B109:F109" si="24">+B77</f>
        <v>0</v>
      </c>
      <c r="C109" s="113">
        <f t="shared" si="24"/>
        <v>170.05049999999997</v>
      </c>
      <c r="D109" s="113">
        <f t="shared" si="24"/>
        <v>175.83221699999999</v>
      </c>
      <c r="E109" s="113">
        <f t="shared" si="24"/>
        <v>205.26993332999999</v>
      </c>
      <c r="F109" s="113">
        <f t="shared" si="24"/>
        <v>212.24911106321997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.75" customHeight="1" x14ac:dyDescent="0.25">
      <c r="A110" s="101" t="s">
        <v>83</v>
      </c>
      <c r="B110" s="112">
        <f t="shared" ref="B110:F110" si="25">+B78</f>
        <v>0</v>
      </c>
      <c r="C110" s="113">
        <f t="shared" si="25"/>
        <v>87.974999999999994</v>
      </c>
      <c r="D110" s="113">
        <f t="shared" si="25"/>
        <v>90.966149999999999</v>
      </c>
      <c r="E110" s="113">
        <f t="shared" si="25"/>
        <v>94.058999100000008</v>
      </c>
      <c r="F110" s="113">
        <f t="shared" si="25"/>
        <v>97.257005069400009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.75" customHeight="1" x14ac:dyDescent="0.25">
      <c r="A111" s="101" t="s">
        <v>84</v>
      </c>
      <c r="B111" s="112">
        <f t="shared" ref="B111:F111" si="26">+B79</f>
        <v>0</v>
      </c>
      <c r="C111" s="113">
        <f t="shared" si="26"/>
        <v>20.7</v>
      </c>
      <c r="D111" s="113">
        <f t="shared" si="26"/>
        <v>21.4038</v>
      </c>
      <c r="E111" s="113">
        <f t="shared" si="26"/>
        <v>22.131529200000003</v>
      </c>
      <c r="F111" s="113">
        <f t="shared" si="26"/>
        <v>22.884001192800003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.75" customHeight="1" x14ac:dyDescent="0.25">
      <c r="A112" s="133" t="s">
        <v>114</v>
      </c>
      <c r="B112" s="134">
        <f t="shared" ref="B112:F112" si="27">+B80</f>
        <v>0</v>
      </c>
      <c r="C112" s="134">
        <f t="shared" si="27"/>
        <v>144.79649999999998</v>
      </c>
      <c r="D112" s="134">
        <f t="shared" si="27"/>
        <v>149.71958099999998</v>
      </c>
      <c r="E112" s="134">
        <f t="shared" si="27"/>
        <v>189.77786289000005</v>
      </c>
      <c r="F112" s="134">
        <f t="shared" si="27"/>
        <v>196.23031022825998</v>
      </c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</row>
    <row r="113" spans="1:33" ht="12.75" customHeight="1" x14ac:dyDescent="0.25">
      <c r="A113" s="132" t="s">
        <v>115</v>
      </c>
      <c r="B113" s="112"/>
      <c r="C113" s="136">
        <f>F98</f>
        <v>25</v>
      </c>
      <c r="D113" s="136">
        <f>+F99</f>
        <v>25</v>
      </c>
      <c r="E113" s="136">
        <f>+F100</f>
        <v>25</v>
      </c>
      <c r="F113" s="136">
        <f>+F101</f>
        <v>25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.75" customHeight="1" x14ac:dyDescent="0.25">
      <c r="A114" s="132" t="s">
        <v>116</v>
      </c>
      <c r="B114" s="112"/>
      <c r="C114" s="136">
        <f>+B98</f>
        <v>137560000</v>
      </c>
      <c r="D114" s="136">
        <f>+B99</f>
        <v>137560000</v>
      </c>
      <c r="E114" s="136">
        <f>+B100</f>
        <v>137560000</v>
      </c>
      <c r="F114" s="136">
        <f>+B101</f>
        <v>137560000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.75" customHeight="1" x14ac:dyDescent="0.25">
      <c r="A115" s="133" t="s">
        <v>117</v>
      </c>
      <c r="B115" s="137"/>
      <c r="C115" s="137">
        <f t="shared" ref="C115:F115" si="28">+C112-C113-C114</f>
        <v>-137559880.2035</v>
      </c>
      <c r="D115" s="137">
        <f t="shared" si="28"/>
        <v>-137559875.28041899</v>
      </c>
      <c r="E115" s="137">
        <f t="shared" si="28"/>
        <v>-137559835.22213712</v>
      </c>
      <c r="F115" s="137">
        <f t="shared" si="28"/>
        <v>-137559828.76968977</v>
      </c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</row>
    <row r="116" spans="1:33" ht="12.75" customHeight="1" x14ac:dyDescent="0.25">
      <c r="A116" s="132" t="s">
        <v>118</v>
      </c>
      <c r="B116" s="109"/>
      <c r="C116" s="138">
        <f t="shared" ref="C116:F116" si="29">+C115*$B$59</f>
        <v>-46770359.269190006</v>
      </c>
      <c r="D116" s="138">
        <f t="shared" si="29"/>
        <v>-46770357.595342457</v>
      </c>
      <c r="E116" s="138">
        <f t="shared" si="29"/>
        <v>-46770343.975526623</v>
      </c>
      <c r="F116" s="138">
        <f t="shared" si="29"/>
        <v>-46770341.781694524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.75" customHeight="1" x14ac:dyDescent="0.25">
      <c r="A117" s="139" t="s">
        <v>119</v>
      </c>
      <c r="B117" s="109"/>
      <c r="C117" s="138"/>
      <c r="D117" s="138"/>
      <c r="E117" s="138"/>
      <c r="F117" s="13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.75" customHeight="1" x14ac:dyDescent="0.25">
      <c r="A118" s="132" t="s">
        <v>120</v>
      </c>
      <c r="B118" s="109"/>
      <c r="C118" s="112">
        <f t="shared" ref="C118:F118" si="30">+C113</f>
        <v>25</v>
      </c>
      <c r="D118" s="112">
        <f t="shared" si="30"/>
        <v>25</v>
      </c>
      <c r="E118" s="112">
        <f t="shared" si="30"/>
        <v>25</v>
      </c>
      <c r="F118" s="112">
        <f t="shared" si="30"/>
        <v>25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.75" customHeight="1" x14ac:dyDescent="0.25">
      <c r="A119" s="132" t="s">
        <v>121</v>
      </c>
      <c r="B119" s="109"/>
      <c r="C119" s="112">
        <f t="shared" ref="C119:F119" si="31">+C114</f>
        <v>137560000</v>
      </c>
      <c r="D119" s="112">
        <f t="shared" si="31"/>
        <v>137560000</v>
      </c>
      <c r="E119" s="112">
        <f t="shared" si="31"/>
        <v>137560000</v>
      </c>
      <c r="F119" s="112">
        <f t="shared" si="31"/>
        <v>137560000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.75" customHeight="1" x14ac:dyDescent="0.25">
      <c r="A120" s="140" t="s">
        <v>122</v>
      </c>
      <c r="B120" s="141">
        <f t="shared" ref="B120:B123" si="32">+B81</f>
        <v>687800000</v>
      </c>
      <c r="C120" s="112"/>
      <c r="D120" s="109"/>
      <c r="E120" s="109"/>
      <c r="F120" s="10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.75" customHeight="1" x14ac:dyDescent="0.25">
      <c r="A121" s="140" t="s">
        <v>123</v>
      </c>
      <c r="B121" s="141">
        <f t="shared" si="32"/>
        <v>100</v>
      </c>
      <c r="C121" s="112"/>
      <c r="D121" s="112"/>
      <c r="E121" s="112"/>
      <c r="F121" s="11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.75" customHeight="1" x14ac:dyDescent="0.25">
      <c r="A122" s="140" t="s">
        <v>124</v>
      </c>
      <c r="B122" s="141">
        <f t="shared" si="32"/>
        <v>150</v>
      </c>
      <c r="C122" s="109"/>
      <c r="D122" s="109"/>
      <c r="E122" s="109"/>
      <c r="F122" s="10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.75" customHeight="1" x14ac:dyDescent="0.25">
      <c r="A123" s="140" t="s">
        <v>125</v>
      </c>
      <c r="B123" s="141">
        <f t="shared" si="32"/>
        <v>80</v>
      </c>
      <c r="C123" s="112"/>
      <c r="D123" s="112"/>
      <c r="E123" s="112"/>
      <c r="F123" s="11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25">
      <c r="A124" s="132" t="s">
        <v>126</v>
      </c>
      <c r="B124" s="112"/>
      <c r="C124" s="109"/>
      <c r="D124" s="109"/>
      <c r="E124" s="109"/>
      <c r="F124" s="14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.75" customHeight="1" x14ac:dyDescent="0.25">
      <c r="A125" s="132" t="s">
        <v>127</v>
      </c>
      <c r="B125" s="112"/>
      <c r="C125" s="112"/>
      <c r="D125" s="112"/>
      <c r="E125" s="112"/>
      <c r="F125" s="113">
        <f>+F86</f>
        <v>318.68260061093275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.75" customHeight="1" x14ac:dyDescent="0.25">
      <c r="A126" s="143" t="s">
        <v>128</v>
      </c>
      <c r="B126" s="144">
        <f t="shared" ref="B126:F126" si="33">+B115-B116+B118+B119-B120-B121-B122-B123+B124+B125</f>
        <v>-687800330</v>
      </c>
      <c r="C126" s="144">
        <f t="shared" si="33"/>
        <v>46770504.065690011</v>
      </c>
      <c r="D126" s="144">
        <f t="shared" si="33"/>
        <v>46770507.314923465</v>
      </c>
      <c r="E126" s="144">
        <f t="shared" si="33"/>
        <v>46770533.753389508</v>
      </c>
      <c r="F126" s="144">
        <f t="shared" si="33"/>
        <v>46770856.694605373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</row>
    <row r="127" spans="1:33" ht="12.75" customHeight="1" x14ac:dyDescent="0.25">
      <c r="A127" s="117" t="s">
        <v>129</v>
      </c>
      <c r="B127" s="112"/>
      <c r="C127" s="113">
        <f>+C126/(1+$B$64)</f>
        <v>38323442.48939091</v>
      </c>
      <c r="D127" s="42">
        <f>+D126/((1+$B$64)*(1+$B$64))</f>
        <v>31401978.140051842</v>
      </c>
      <c r="E127" s="42">
        <f>+E126/((1+$B$64)*(1+$B$64)*(1+$B$64))</f>
        <v>25730588.276106611</v>
      </c>
      <c r="F127" s="42">
        <f>+F126/((1+$B$64)*(1+$B$64)*(1+$B$64)*(1+$B$64))</f>
        <v>21083619.867579032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.75" customHeight="1" x14ac:dyDescent="0.25">
      <c r="A128" s="117" t="s">
        <v>95</v>
      </c>
      <c r="B128" s="112"/>
      <c r="C128" s="112">
        <f>+C127</f>
        <v>38323442.48939091</v>
      </c>
      <c r="D128" s="118">
        <f t="shared" ref="D128:F128" si="34">+C128+D127</f>
        <v>69725420.629442751</v>
      </c>
      <c r="E128" s="118">
        <f t="shared" si="34"/>
        <v>95456008.905549362</v>
      </c>
      <c r="F128" s="118">
        <f t="shared" si="34"/>
        <v>116539628.77312839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.75" customHeight="1" x14ac:dyDescent="0.25">
      <c r="A129" s="146" t="s">
        <v>130</v>
      </c>
      <c r="B129" s="119">
        <f>IRR(B126:F126)</f>
        <v>-0.37355821306131254</v>
      </c>
      <c r="C129" s="96" t="s">
        <v>131</v>
      </c>
      <c r="D129" s="2"/>
      <c r="E129" s="120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.75" customHeight="1" x14ac:dyDescent="0.25">
      <c r="A130" s="146" t="s">
        <v>132</v>
      </c>
      <c r="B130" s="121">
        <f t="array" ref="B130">NPV(B64,C126:F126)+B126</f>
        <v>-571260701.22687161</v>
      </c>
      <c r="C130" s="2"/>
      <c r="D130" s="52"/>
      <c r="E130" s="120"/>
      <c r="F130" s="12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.75" customHeight="1" x14ac:dyDescent="0.25">
      <c r="A131" s="147"/>
      <c r="B131" s="148"/>
      <c r="C131" s="149"/>
      <c r="D131" s="150"/>
      <c r="E131" s="150"/>
      <c r="F131" s="15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.75" customHeight="1" x14ac:dyDescent="0.25">
      <c r="A132" s="364" t="s">
        <v>133</v>
      </c>
      <c r="B132" s="351"/>
      <c r="C132" s="351"/>
      <c r="D132" s="351"/>
      <c r="E132" s="351"/>
      <c r="F132" s="351"/>
      <c r="G132" s="351"/>
      <c r="H132" s="2"/>
      <c r="I132" s="2"/>
      <c r="J132" s="6" t="s">
        <v>134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.75" customHeight="1" x14ac:dyDescent="0.25">
      <c r="A133" s="364" t="s">
        <v>135</v>
      </c>
      <c r="B133" s="351"/>
      <c r="C133" s="351"/>
      <c r="D133" s="351"/>
      <c r="E133" s="351"/>
      <c r="F133" s="351"/>
      <c r="G133" s="35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76.5" customHeight="1" x14ac:dyDescent="0.25">
      <c r="A134" s="151" t="s">
        <v>136</v>
      </c>
      <c r="B134" s="126" t="s">
        <v>137</v>
      </c>
      <c r="C134" s="126" t="s">
        <v>138</v>
      </c>
      <c r="D134" s="126" t="s">
        <v>139</v>
      </c>
      <c r="E134" s="126" t="s">
        <v>140</v>
      </c>
      <c r="F134" s="2"/>
      <c r="G134" s="2" t="s">
        <v>141</v>
      </c>
      <c r="H134" s="2"/>
      <c r="I134" s="126" t="s">
        <v>142</v>
      </c>
      <c r="J134" s="126" t="s">
        <v>143</v>
      </c>
      <c r="K134" s="126" t="s">
        <v>144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.75" customHeight="1" x14ac:dyDescent="0.25">
      <c r="A135" s="152">
        <v>0</v>
      </c>
      <c r="B135" s="2"/>
      <c r="C135" s="153"/>
      <c r="D135" s="130"/>
      <c r="E135" s="154">
        <f>+B52</f>
        <v>90</v>
      </c>
      <c r="F135" s="2"/>
      <c r="G135" s="2"/>
      <c r="H135" s="2"/>
      <c r="I135" s="153"/>
      <c r="J135" s="15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.75" customHeight="1" x14ac:dyDescent="0.25">
      <c r="A136" s="152">
        <v>1</v>
      </c>
      <c r="B136" s="155">
        <f>PMT(B53,B55,B52,0)</f>
        <v>-34.766020864381531</v>
      </c>
      <c r="C136" s="154">
        <f t="shared" ref="C136:C139" si="35">+E135*$B$53</f>
        <v>18</v>
      </c>
      <c r="D136" s="128">
        <f t="shared" ref="D136:D139" si="36">+B136+C136</f>
        <v>-16.766020864381531</v>
      </c>
      <c r="E136" s="156">
        <f t="shared" ref="E136:E139" si="37">+E135+D136</f>
        <v>73.233979135618469</v>
      </c>
      <c r="F136" s="2"/>
      <c r="G136" s="2"/>
      <c r="H136" s="2"/>
      <c r="I136" s="157"/>
      <c r="J136" s="157"/>
      <c r="K136" s="15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.75" customHeight="1" x14ac:dyDescent="0.25">
      <c r="A137" s="152">
        <v>2</v>
      </c>
      <c r="B137" s="155">
        <f t="shared" ref="B137:B139" si="38">+B136</f>
        <v>-34.766020864381531</v>
      </c>
      <c r="C137" s="154">
        <f t="shared" si="35"/>
        <v>14.646795827123695</v>
      </c>
      <c r="D137" s="128">
        <f t="shared" si="36"/>
        <v>-20.119225037257834</v>
      </c>
      <c r="E137" s="156">
        <f t="shared" si="37"/>
        <v>53.114754098360635</v>
      </c>
      <c r="F137" s="2"/>
      <c r="G137" s="2"/>
      <c r="H137" s="2"/>
      <c r="I137" s="158"/>
      <c r="J137" s="158"/>
      <c r="K137" s="15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.75" customHeight="1" x14ac:dyDescent="0.25">
      <c r="A138" s="152">
        <v>3</v>
      </c>
      <c r="B138" s="159">
        <f t="shared" si="38"/>
        <v>-34.766020864381531</v>
      </c>
      <c r="C138" s="154">
        <f t="shared" si="35"/>
        <v>10.622950819672127</v>
      </c>
      <c r="D138" s="128">
        <f t="shared" si="36"/>
        <v>-24.143070044709404</v>
      </c>
      <c r="E138" s="156">
        <f t="shared" si="37"/>
        <v>28.971684053651231</v>
      </c>
      <c r="F138" s="2"/>
      <c r="G138" s="2"/>
      <c r="H138" s="2"/>
      <c r="I138" s="158"/>
      <c r="J138" s="158"/>
      <c r="K138" s="15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.75" customHeight="1" x14ac:dyDescent="0.25">
      <c r="A139" s="152">
        <v>4</v>
      </c>
      <c r="B139" s="159">
        <f t="shared" si="38"/>
        <v>-34.766020864381531</v>
      </c>
      <c r="C139" s="154">
        <f t="shared" si="35"/>
        <v>5.7943368107302469</v>
      </c>
      <c r="D139" s="128">
        <f t="shared" si="36"/>
        <v>-28.971684053651284</v>
      </c>
      <c r="E139" s="156">
        <f t="shared" si="37"/>
        <v>-5.3290705182007514E-14</v>
      </c>
      <c r="F139" s="2"/>
      <c r="G139" s="2"/>
      <c r="H139" s="2"/>
      <c r="I139" s="158"/>
      <c r="J139" s="158"/>
      <c r="K139" s="15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.75" customHeight="1" x14ac:dyDescent="0.25">
      <c r="A140" s="117"/>
      <c r="B140" s="160"/>
      <c r="C140" s="130"/>
      <c r="D140" s="130"/>
      <c r="E140" s="15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20.25" customHeight="1" x14ac:dyDescent="0.25">
      <c r="A141" s="1"/>
      <c r="B141" s="16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.75" customHeight="1" x14ac:dyDescent="0.25">
      <c r="A142" s="364" t="s">
        <v>145</v>
      </c>
      <c r="B142" s="351"/>
      <c r="C142" s="351"/>
      <c r="D142" s="351"/>
      <c r="E142" s="351"/>
      <c r="F142" s="35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.75" customHeight="1" x14ac:dyDescent="0.25">
      <c r="A143" s="364" t="s">
        <v>146</v>
      </c>
      <c r="B143" s="351"/>
      <c r="C143" s="351"/>
      <c r="D143" s="351"/>
      <c r="E143" s="351"/>
      <c r="F143" s="35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.75" customHeight="1" x14ac:dyDescent="0.25">
      <c r="A144" s="370" t="str">
        <f>+F1</f>
        <v>Millones de pesos CORRIENTES</v>
      </c>
      <c r="B144" s="348"/>
      <c r="C144" s="348"/>
      <c r="D144" s="348"/>
      <c r="E144" s="348"/>
      <c r="F144" s="34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.75" customHeight="1" x14ac:dyDescent="0.25">
      <c r="A145" s="97" t="s">
        <v>80</v>
      </c>
      <c r="B145" s="98">
        <f t="shared" ref="B145:F145" si="39">+B107</f>
        <v>0</v>
      </c>
      <c r="C145" s="98">
        <f t="shared" si="39"/>
        <v>1</v>
      </c>
      <c r="D145" s="98">
        <f t="shared" si="39"/>
        <v>2</v>
      </c>
      <c r="E145" s="98">
        <f t="shared" si="39"/>
        <v>3</v>
      </c>
      <c r="F145" s="98">
        <f t="shared" si="39"/>
        <v>4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.75" customHeight="1" x14ac:dyDescent="0.25">
      <c r="A146" s="117" t="s">
        <v>147</v>
      </c>
      <c r="B146" s="112">
        <f t="shared" ref="B146:F146" si="40">+B87</f>
        <v>-687800330</v>
      </c>
      <c r="C146" s="112">
        <f t="shared" si="40"/>
        <v>144.79649999999998</v>
      </c>
      <c r="D146" s="112">
        <f t="shared" si="40"/>
        <v>149.71958099999998</v>
      </c>
      <c r="E146" s="112">
        <f t="shared" si="40"/>
        <v>189.77786289000005</v>
      </c>
      <c r="F146" s="112">
        <f t="shared" si="40"/>
        <v>514.9129108391927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.75" customHeight="1" x14ac:dyDescent="0.25">
      <c r="A147" s="162" t="s">
        <v>148</v>
      </c>
      <c r="B147" s="163">
        <f>+E135</f>
        <v>90</v>
      </c>
      <c r="C147" s="164"/>
      <c r="D147" s="164"/>
      <c r="E147" s="164"/>
      <c r="F147" s="164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</row>
    <row r="148" spans="1:33" ht="12.75" customHeight="1" x14ac:dyDescent="0.25">
      <c r="A148" s="162" t="s">
        <v>149</v>
      </c>
      <c r="B148" s="166"/>
      <c r="C148" s="167">
        <f>-B136</f>
        <v>34.766020864381531</v>
      </c>
      <c r="D148" s="167">
        <f>-B137</f>
        <v>34.766020864381531</v>
      </c>
      <c r="E148" s="167">
        <f>-B138</f>
        <v>34.766020864381531</v>
      </c>
      <c r="F148" s="167">
        <f>-B139</f>
        <v>34.766020864381531</v>
      </c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</row>
    <row r="149" spans="1:33" ht="12.75" customHeight="1" x14ac:dyDescent="0.25">
      <c r="A149" s="168" t="s">
        <v>150</v>
      </c>
      <c r="B149" s="137">
        <f t="shared" ref="B149:F149" si="41">+B146+B147-B148</f>
        <v>-687800240</v>
      </c>
      <c r="C149" s="137">
        <f t="shared" si="41"/>
        <v>110.03047913561845</v>
      </c>
      <c r="D149" s="137">
        <f t="shared" si="41"/>
        <v>114.95356013561845</v>
      </c>
      <c r="E149" s="137">
        <f t="shared" si="41"/>
        <v>155.01184202561853</v>
      </c>
      <c r="F149" s="137">
        <f t="shared" si="41"/>
        <v>480.14688997481119</v>
      </c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</row>
    <row r="150" spans="1:33" ht="12.75" customHeight="1" x14ac:dyDescent="0.25">
      <c r="A150" s="117" t="s">
        <v>151</v>
      </c>
      <c r="B150" s="112"/>
      <c r="C150" s="113">
        <f>+C149/(1+B67)</f>
        <v>90.158248937010754</v>
      </c>
      <c r="D150" s="42">
        <f>+D149/((1+$B$67)*(1+$B$67))</f>
        <v>77.180458488435718</v>
      </c>
      <c r="E150" s="42">
        <f>+E149/((1+$B$67)*(1+$B$67)*(1+$B$67))</f>
        <v>85.279033425278456</v>
      </c>
      <c r="F150" s="42">
        <f>+F149/((1+$B$67)*(1+$B$67)*(1+$B$67)*(1+$B$67))</f>
        <v>216.44321513210676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.75" customHeight="1" x14ac:dyDescent="0.25">
      <c r="A151" s="117" t="s">
        <v>95</v>
      </c>
      <c r="B151" s="112"/>
      <c r="C151" s="112">
        <f>+C150</f>
        <v>90.158248937010754</v>
      </c>
      <c r="D151" s="112">
        <f>+D150+C151</f>
        <v>167.33870742544647</v>
      </c>
      <c r="E151" s="112">
        <f t="shared" ref="E151:F151" si="42">+D151+E150</f>
        <v>252.61774085072494</v>
      </c>
      <c r="F151" s="112">
        <f t="shared" si="42"/>
        <v>469.06095598283173</v>
      </c>
      <c r="G151" s="2" t="s">
        <v>152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.75" customHeight="1" x14ac:dyDescent="0.25">
      <c r="A152" s="170" t="s">
        <v>153</v>
      </c>
      <c r="B152" s="171" t="e">
        <f>IRR(B149:F149)</f>
        <v>#NUM!</v>
      </c>
      <c r="C152" s="96" t="s">
        <v>154</v>
      </c>
      <c r="D152" s="2"/>
      <c r="E152" s="120"/>
      <c r="F152" s="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.75" customHeight="1" x14ac:dyDescent="0.25">
      <c r="A153" s="117" t="s">
        <v>99</v>
      </c>
      <c r="B153" s="121">
        <f t="array" ref="B153">+NPV($B$67,C149:F149)+B149</f>
        <v>-687799770.939044</v>
      </c>
      <c r="C153" s="2"/>
      <c r="D153" s="52"/>
      <c r="E153" s="120"/>
      <c r="F153" s="12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.75" customHeight="1" x14ac:dyDescent="0.25">
      <c r="A154" s="17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.75" customHeight="1" x14ac:dyDescent="0.25">
      <c r="A155" s="17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.75" customHeight="1" x14ac:dyDescent="0.25">
      <c r="A156" s="17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.75" customHeight="1" x14ac:dyDescent="0.25">
      <c r="A157" s="364" t="s">
        <v>155</v>
      </c>
      <c r="B157" s="351"/>
      <c r="C157" s="351"/>
      <c r="D157" s="351"/>
      <c r="E157" s="351"/>
      <c r="F157" s="35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.75" customHeight="1" x14ac:dyDescent="0.25">
      <c r="A158" s="364" t="s">
        <v>156</v>
      </c>
      <c r="B158" s="351"/>
      <c r="C158" s="351"/>
      <c r="D158" s="351"/>
      <c r="E158" s="351"/>
      <c r="F158" s="35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.75" customHeight="1" x14ac:dyDescent="0.25">
      <c r="A159" s="364" t="str">
        <f>+F1</f>
        <v>Millones de pesos CORRIENTES</v>
      </c>
      <c r="B159" s="351"/>
      <c r="C159" s="351"/>
      <c r="D159" s="351"/>
      <c r="E159" s="351"/>
      <c r="F159" s="35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.75" customHeight="1" x14ac:dyDescent="0.25">
      <c r="A160" s="173" t="s">
        <v>80</v>
      </c>
      <c r="B160" s="174">
        <f t="shared" ref="B160:F160" si="43">+B75</f>
        <v>0</v>
      </c>
      <c r="C160" s="174">
        <f t="shared" si="43"/>
        <v>1</v>
      </c>
      <c r="D160" s="174">
        <f t="shared" si="43"/>
        <v>2</v>
      </c>
      <c r="E160" s="174">
        <f t="shared" si="43"/>
        <v>3</v>
      </c>
      <c r="F160" s="175">
        <f t="shared" si="43"/>
        <v>4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.75" customHeight="1" x14ac:dyDescent="0.25">
      <c r="A161" s="176" t="s">
        <v>112</v>
      </c>
      <c r="B161" s="128">
        <f t="shared" ref="B161:F161" si="44">+B108</f>
        <v>0</v>
      </c>
      <c r="C161" s="128">
        <f t="shared" si="44"/>
        <v>423.52199999999993</v>
      </c>
      <c r="D161" s="128">
        <f t="shared" si="44"/>
        <v>437.92174799999998</v>
      </c>
      <c r="E161" s="128">
        <f t="shared" si="44"/>
        <v>511.23832451999999</v>
      </c>
      <c r="F161" s="128">
        <f t="shared" si="44"/>
        <v>528.62042755367997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.75" customHeight="1" x14ac:dyDescent="0.25">
      <c r="A162" s="177" t="s">
        <v>157</v>
      </c>
      <c r="B162" s="128">
        <f t="shared" ref="B162:F162" si="45">+B109</f>
        <v>0</v>
      </c>
      <c r="C162" s="128">
        <f t="shared" si="45"/>
        <v>170.05049999999997</v>
      </c>
      <c r="D162" s="128">
        <f t="shared" si="45"/>
        <v>175.83221699999999</v>
      </c>
      <c r="E162" s="128">
        <f t="shared" si="45"/>
        <v>205.26993332999999</v>
      </c>
      <c r="F162" s="128">
        <f t="shared" si="45"/>
        <v>212.24911106321997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.75" customHeight="1" x14ac:dyDescent="0.25">
      <c r="A163" s="177" t="s">
        <v>158</v>
      </c>
      <c r="B163" s="128">
        <f t="shared" ref="B163:F163" si="46">+B110</f>
        <v>0</v>
      </c>
      <c r="C163" s="128">
        <f t="shared" si="46"/>
        <v>87.974999999999994</v>
      </c>
      <c r="D163" s="128">
        <f t="shared" si="46"/>
        <v>90.966149999999999</v>
      </c>
      <c r="E163" s="128">
        <f t="shared" si="46"/>
        <v>94.058999100000008</v>
      </c>
      <c r="F163" s="128">
        <f t="shared" si="46"/>
        <v>97.257005069400009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.75" customHeight="1" x14ac:dyDescent="0.25">
      <c r="A164" s="177" t="s">
        <v>159</v>
      </c>
      <c r="B164" s="128">
        <f t="shared" ref="B164:F164" si="47">+B111</f>
        <v>0</v>
      </c>
      <c r="C164" s="128">
        <f t="shared" si="47"/>
        <v>20.7</v>
      </c>
      <c r="D164" s="128">
        <f t="shared" si="47"/>
        <v>21.4038</v>
      </c>
      <c r="E164" s="128">
        <f t="shared" si="47"/>
        <v>22.131529200000003</v>
      </c>
      <c r="F164" s="128">
        <f t="shared" si="47"/>
        <v>22.884001192800003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.75" customHeight="1" x14ac:dyDescent="0.25">
      <c r="A165" s="178" t="s">
        <v>114</v>
      </c>
      <c r="B165" s="179"/>
      <c r="C165" s="179">
        <f t="shared" ref="C165:F165" si="48">+C161-C162-C163-C164</f>
        <v>144.79649999999998</v>
      </c>
      <c r="D165" s="179">
        <f t="shared" si="48"/>
        <v>149.71958099999998</v>
      </c>
      <c r="E165" s="179">
        <f t="shared" si="48"/>
        <v>189.77786289000005</v>
      </c>
      <c r="F165" s="179">
        <f t="shared" si="48"/>
        <v>196.23031022825998</v>
      </c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</row>
    <row r="166" spans="1:33" ht="12.75" customHeight="1" x14ac:dyDescent="0.25">
      <c r="A166" s="176" t="s">
        <v>160</v>
      </c>
      <c r="B166" s="128"/>
      <c r="C166" s="128">
        <f t="shared" ref="C166:F166" si="49">+C113</f>
        <v>25</v>
      </c>
      <c r="D166" s="128">
        <f t="shared" si="49"/>
        <v>25</v>
      </c>
      <c r="E166" s="128">
        <f t="shared" si="49"/>
        <v>25</v>
      </c>
      <c r="F166" s="128">
        <f t="shared" si="49"/>
        <v>25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.75" customHeight="1" x14ac:dyDescent="0.25">
      <c r="A167" s="176" t="s">
        <v>161</v>
      </c>
      <c r="B167" s="128"/>
      <c r="C167" s="128">
        <f t="shared" ref="C167:F167" si="50">+C114</f>
        <v>137560000</v>
      </c>
      <c r="D167" s="128">
        <f t="shared" si="50"/>
        <v>137560000</v>
      </c>
      <c r="E167" s="128">
        <f t="shared" si="50"/>
        <v>137560000</v>
      </c>
      <c r="F167" s="128">
        <f t="shared" si="50"/>
        <v>137560000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" customHeight="1" x14ac:dyDescent="0.25">
      <c r="A168" s="181" t="s">
        <v>162</v>
      </c>
      <c r="B168" s="166"/>
      <c r="C168" s="182">
        <f>+C136</f>
        <v>18</v>
      </c>
      <c r="D168" s="182">
        <f>+C137</f>
        <v>14.646795827123695</v>
      </c>
      <c r="E168" s="182">
        <f>+C138</f>
        <v>10.622950819672127</v>
      </c>
      <c r="F168" s="183">
        <f>+C139</f>
        <v>5.7943368107302469</v>
      </c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</row>
    <row r="169" spans="1:33" ht="12.75" customHeight="1" x14ac:dyDescent="0.25">
      <c r="A169" s="178" t="s">
        <v>117</v>
      </c>
      <c r="B169" s="179"/>
      <c r="C169" s="179">
        <f t="shared" ref="C169:F169" si="51">+C165-C166-C167-C168</f>
        <v>-137559898.2035</v>
      </c>
      <c r="D169" s="179">
        <f t="shared" si="51"/>
        <v>-137559889.92721483</v>
      </c>
      <c r="E169" s="179">
        <f t="shared" si="51"/>
        <v>-137559845.84508795</v>
      </c>
      <c r="F169" s="179">
        <f t="shared" si="51"/>
        <v>-137559834.56402659</v>
      </c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</row>
    <row r="170" spans="1:33" ht="12.75" customHeight="1" x14ac:dyDescent="0.25">
      <c r="A170" s="176" t="s">
        <v>118</v>
      </c>
      <c r="B170" s="130"/>
      <c r="C170" s="184">
        <f t="shared" ref="C170:F170" si="52">+C169*$B$59</f>
        <v>-46770365.389190003</v>
      </c>
      <c r="D170" s="184">
        <f t="shared" si="52"/>
        <v>-46770362.575253047</v>
      </c>
      <c r="E170" s="184">
        <f t="shared" si="52"/>
        <v>-46770347.587329902</v>
      </c>
      <c r="F170" s="184">
        <f t="shared" si="52"/>
        <v>-46770343.751769044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.75" customHeight="1" x14ac:dyDescent="0.25">
      <c r="A171" s="176" t="s">
        <v>163</v>
      </c>
      <c r="B171" s="128"/>
      <c r="C171" s="128">
        <f t="shared" ref="C171:F171" si="53">+C166</f>
        <v>25</v>
      </c>
      <c r="D171" s="128">
        <f t="shared" si="53"/>
        <v>25</v>
      </c>
      <c r="E171" s="128">
        <f t="shared" si="53"/>
        <v>25</v>
      </c>
      <c r="F171" s="128">
        <f t="shared" si="53"/>
        <v>25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.75" customHeight="1" x14ac:dyDescent="0.25">
      <c r="A172" s="176" t="s">
        <v>164</v>
      </c>
      <c r="B172" s="128"/>
      <c r="C172" s="128">
        <f t="shared" ref="C172:F172" si="54">+C167</f>
        <v>137560000</v>
      </c>
      <c r="D172" s="128">
        <f t="shared" si="54"/>
        <v>137560000</v>
      </c>
      <c r="E172" s="128">
        <f t="shared" si="54"/>
        <v>137560000</v>
      </c>
      <c r="F172" s="128">
        <f t="shared" si="54"/>
        <v>137560000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.75" customHeight="1" x14ac:dyDescent="0.25">
      <c r="A173" s="185" t="s">
        <v>122</v>
      </c>
      <c r="B173" s="186">
        <f t="shared" ref="B173:B176" si="55">+B120</f>
        <v>687800000</v>
      </c>
      <c r="C173" s="186"/>
      <c r="D173" s="186"/>
      <c r="E173" s="186"/>
      <c r="F173" s="18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.75" customHeight="1" x14ac:dyDescent="0.25">
      <c r="A174" s="185" t="s">
        <v>123</v>
      </c>
      <c r="B174" s="186">
        <f t="shared" si="55"/>
        <v>100</v>
      </c>
      <c r="C174" s="186"/>
      <c r="D174" s="186"/>
      <c r="E174" s="186"/>
      <c r="F174" s="18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.75" customHeight="1" x14ac:dyDescent="0.25">
      <c r="A175" s="185" t="s">
        <v>124</v>
      </c>
      <c r="B175" s="186">
        <f t="shared" si="55"/>
        <v>150</v>
      </c>
      <c r="C175" s="186"/>
      <c r="D175" s="186"/>
      <c r="E175" s="186"/>
      <c r="F175" s="18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.75" customHeight="1" x14ac:dyDescent="0.25">
      <c r="A176" s="185" t="s">
        <v>165</v>
      </c>
      <c r="B176" s="186">
        <f t="shared" si="55"/>
        <v>80</v>
      </c>
      <c r="C176" s="186"/>
      <c r="D176" s="186"/>
      <c r="E176" s="186"/>
      <c r="F176" s="18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7.25" customHeight="1" x14ac:dyDescent="0.25">
      <c r="A177" s="176" t="s">
        <v>126</v>
      </c>
      <c r="B177" s="130"/>
      <c r="C177" s="112"/>
      <c r="D177" s="112"/>
      <c r="E177" s="112"/>
      <c r="F177" s="18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.75" customHeight="1" x14ac:dyDescent="0.25">
      <c r="A178" s="181" t="s">
        <v>166</v>
      </c>
      <c r="B178" s="189">
        <f>+E135</f>
        <v>90</v>
      </c>
      <c r="C178" s="163"/>
      <c r="D178" s="163"/>
      <c r="E178" s="163"/>
      <c r="F178" s="188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</row>
    <row r="179" spans="1:33" ht="12.75" customHeight="1" x14ac:dyDescent="0.25">
      <c r="A179" s="181" t="s">
        <v>167</v>
      </c>
      <c r="B179" s="190"/>
      <c r="C179" s="191">
        <f>-D136</f>
        <v>16.766020864381531</v>
      </c>
      <c r="D179" s="191">
        <f>-D137</f>
        <v>20.119225037257834</v>
      </c>
      <c r="E179" s="191">
        <f>-+D138</f>
        <v>24.143070044709404</v>
      </c>
      <c r="F179" s="192">
        <f>-D139</f>
        <v>28.971684053651284</v>
      </c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</row>
    <row r="180" spans="1:33" ht="12.75" customHeight="1" x14ac:dyDescent="0.25">
      <c r="A180" s="176" t="s">
        <v>127</v>
      </c>
      <c r="B180" s="130"/>
      <c r="C180" s="112"/>
      <c r="D180" s="112"/>
      <c r="E180" s="112"/>
      <c r="F180" s="193">
        <f>+F125</f>
        <v>318.68260061093275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.75" customHeight="1" x14ac:dyDescent="0.25">
      <c r="A181" s="194" t="s">
        <v>168</v>
      </c>
      <c r="B181" s="195">
        <f t="shared" ref="B181:F181" si="56">+B169-B170+B171+B172-B173-B174-B175-B176+B177+B178-B179+B180</f>
        <v>-687800240</v>
      </c>
      <c r="C181" s="195">
        <f t="shared" si="56"/>
        <v>46770475.419669136</v>
      </c>
      <c r="D181" s="195">
        <f t="shared" si="56"/>
        <v>46770477.528813168</v>
      </c>
      <c r="E181" s="195">
        <f t="shared" si="56"/>
        <v>46770502.599171907</v>
      </c>
      <c r="F181" s="195">
        <f t="shared" si="56"/>
        <v>46770823.898658998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.75" customHeight="1" x14ac:dyDescent="0.25">
      <c r="A182" s="170" t="s">
        <v>169</v>
      </c>
      <c r="B182" s="112"/>
      <c r="C182" s="113">
        <f>+C181/(1+B68)</f>
        <v>38323419.380328208</v>
      </c>
      <c r="D182" s="42">
        <f>+D181/((1+$B$68)*(1+$B$68))</f>
        <v>31401958.736859813</v>
      </c>
      <c r="E182" s="42">
        <f>+E181/((1+$B$68)*(1+$B$68)*(1+$B$68))</f>
        <v>25730571.868521873</v>
      </c>
      <c r="F182" s="42">
        <f>+F181/((1+$B$68)*(1+$B$68)*(1+$B$68)*(1+$B$68))</f>
        <v>21083605.883117158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.75" customHeight="1" x14ac:dyDescent="0.25">
      <c r="A183" s="117" t="s">
        <v>95</v>
      </c>
      <c r="B183" s="112"/>
      <c r="C183" s="112">
        <f>+C182</f>
        <v>38323419.380328208</v>
      </c>
      <c r="D183" s="112">
        <f>+D182+C183</f>
        <v>69725378.117188022</v>
      </c>
      <c r="E183" s="112">
        <f t="shared" ref="E183:F183" si="57">+D183+E182</f>
        <v>95455949.985709891</v>
      </c>
      <c r="F183" s="112">
        <f t="shared" si="57"/>
        <v>116539555.86882704</v>
      </c>
      <c r="G183" s="2" t="s">
        <v>170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.75" customHeight="1" x14ac:dyDescent="0.25">
      <c r="A184" s="117" t="s">
        <v>171</v>
      </c>
      <c r="B184" s="119">
        <f>IRR(B181:F181)</f>
        <v>-0.3735583239013851</v>
      </c>
      <c r="C184" s="96" t="s">
        <v>172</v>
      </c>
      <c r="D184" s="2"/>
      <c r="E184" s="120"/>
      <c r="F184" s="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.75" customHeight="1" x14ac:dyDescent="0.25">
      <c r="A185" s="117" t="s">
        <v>132</v>
      </c>
      <c r="B185" s="121">
        <f t="array" ref="B185">+NPV($B$68,C181:F181)+B181</f>
        <v>-571260684.1311729</v>
      </c>
      <c r="C185" s="2"/>
      <c r="D185" s="52"/>
      <c r="E185" s="120"/>
      <c r="F185" s="12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.75" hidden="1" customHeight="1" x14ac:dyDescent="0.25">
      <c r="A186" s="170" t="s">
        <v>173</v>
      </c>
      <c r="B186" s="19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.75" hidden="1" customHeight="1" x14ac:dyDescent="0.25">
      <c r="A187" s="117" t="s">
        <v>174</v>
      </c>
      <c r="B187" s="10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.75" customHeight="1" x14ac:dyDescent="0.25">
      <c r="A188" s="17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.75" customHeight="1" x14ac:dyDescent="0.25">
      <c r="A191" s="17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.75" customHeight="1" x14ac:dyDescent="0.25">
      <c r="A192" s="17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.75" customHeight="1" x14ac:dyDescent="0.25">
      <c r="A193" s="17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.75" customHeight="1" x14ac:dyDescent="0.25">
      <c r="A194" s="172"/>
      <c r="B194" s="197"/>
      <c r="C194" s="19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.75" customHeight="1" x14ac:dyDescent="0.25">
      <c r="A195" s="172"/>
      <c r="B195" s="96"/>
      <c r="C195" s="9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.75" customHeight="1" x14ac:dyDescent="0.25">
      <c r="A196" s="17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.75" customHeight="1" x14ac:dyDescent="0.25">
      <c r="A197" s="17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.75" customHeight="1" x14ac:dyDescent="0.25">
      <c r="A198" s="17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.75" customHeight="1" x14ac:dyDescent="0.25">
      <c r="A199" s="17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.75" customHeight="1" x14ac:dyDescent="0.25">
      <c r="A200" s="17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.75" customHeight="1" x14ac:dyDescent="0.25">
      <c r="A201" s="17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.75" customHeight="1" x14ac:dyDescent="0.25">
      <c r="A202" s="17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.75" customHeight="1" x14ac:dyDescent="0.25">
      <c r="A203" s="17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.75" customHeight="1" x14ac:dyDescent="0.25">
      <c r="A204" s="17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.75" customHeight="1" x14ac:dyDescent="0.25">
      <c r="A205" s="17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.75" customHeight="1" x14ac:dyDescent="0.25">
      <c r="A206" s="17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.75" customHeight="1" x14ac:dyDescent="0.25">
      <c r="A207" s="17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.75" customHeight="1" x14ac:dyDescent="0.25">
      <c r="A208" s="17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.75" customHeight="1" x14ac:dyDescent="0.25">
      <c r="A209" s="17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.75" customHeight="1" x14ac:dyDescent="0.25">
      <c r="A210" s="17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.75" customHeight="1" x14ac:dyDescent="0.25">
      <c r="A211" s="17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.75" customHeight="1" x14ac:dyDescent="0.25">
      <c r="A212" s="17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.75" customHeight="1" x14ac:dyDescent="0.25">
      <c r="A213" s="17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.75" customHeight="1" x14ac:dyDescent="0.25">
      <c r="A214" s="17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.75" customHeight="1" x14ac:dyDescent="0.25">
      <c r="A215" s="17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.75" customHeight="1" x14ac:dyDescent="0.25">
      <c r="A216" s="17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.75" customHeight="1" x14ac:dyDescent="0.25">
      <c r="A217" s="17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.75" customHeight="1" x14ac:dyDescent="0.25">
      <c r="A218" s="17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.75" customHeight="1" x14ac:dyDescent="0.25">
      <c r="A219" s="17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.75" customHeight="1" x14ac:dyDescent="0.25">
      <c r="A220" s="17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.75" customHeight="1" x14ac:dyDescent="0.25">
      <c r="A221" s="17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.75" customHeight="1" x14ac:dyDescent="0.25">
      <c r="A222" s="17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.75" customHeight="1" x14ac:dyDescent="0.25">
      <c r="A223" s="17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.75" customHeight="1" x14ac:dyDescent="0.25">
      <c r="A224" s="17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.75" customHeight="1" x14ac:dyDescent="0.25">
      <c r="A225" s="17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.75" customHeight="1" x14ac:dyDescent="0.25">
      <c r="A226" s="17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.75" customHeight="1" x14ac:dyDescent="0.25">
      <c r="A227" s="17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.75" customHeight="1" x14ac:dyDescent="0.25">
      <c r="A228" s="17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.75" customHeight="1" x14ac:dyDescent="0.25">
      <c r="A229" s="17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.75" customHeight="1" x14ac:dyDescent="0.25">
      <c r="A230" s="17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.75" customHeight="1" x14ac:dyDescent="0.25">
      <c r="A231" s="17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.75" customHeight="1" x14ac:dyDescent="0.25">
      <c r="A232" s="17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.75" customHeight="1" x14ac:dyDescent="0.25">
      <c r="A233" s="17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.75" customHeight="1" x14ac:dyDescent="0.25">
      <c r="A234" s="17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.75" customHeight="1" x14ac:dyDescent="0.25">
      <c r="A235" s="17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.75" customHeight="1" x14ac:dyDescent="0.25">
      <c r="A236" s="17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.75" customHeight="1" x14ac:dyDescent="0.25">
      <c r="A237" s="17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.75" customHeight="1" x14ac:dyDescent="0.25">
      <c r="A238" s="17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.75" customHeight="1" x14ac:dyDescent="0.25">
      <c r="A239" s="17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.75" customHeight="1" x14ac:dyDescent="0.25">
      <c r="A240" s="17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.75" customHeight="1" x14ac:dyDescent="0.25">
      <c r="A241" s="17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.75" customHeight="1" x14ac:dyDescent="0.25">
      <c r="A242" s="17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.75" customHeight="1" x14ac:dyDescent="0.25">
      <c r="A243" s="17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.75" customHeight="1" x14ac:dyDescent="0.25">
      <c r="A244" s="17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.75" customHeight="1" x14ac:dyDescent="0.25">
      <c r="A245" s="17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.75" customHeight="1" x14ac:dyDescent="0.25">
      <c r="A246" s="17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.75" customHeight="1" x14ac:dyDescent="0.25">
      <c r="A247" s="17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.75" customHeight="1" x14ac:dyDescent="0.25">
      <c r="A248" s="17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.75" customHeight="1" x14ac:dyDescent="0.25">
      <c r="A249" s="17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.75" customHeight="1" x14ac:dyDescent="0.25">
      <c r="A250" s="17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.75" customHeight="1" x14ac:dyDescent="0.25">
      <c r="A251" s="17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.75" customHeight="1" x14ac:dyDescent="0.25">
      <c r="A252" s="17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.75" customHeight="1" x14ac:dyDescent="0.25">
      <c r="A253" s="17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.75" customHeight="1" x14ac:dyDescent="0.25">
      <c r="A254" s="17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.75" customHeight="1" x14ac:dyDescent="0.25">
      <c r="A255" s="17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.75" customHeight="1" x14ac:dyDescent="0.25">
      <c r="A256" s="17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.75" customHeight="1" x14ac:dyDescent="0.25">
      <c r="A257" s="17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.75" customHeight="1" x14ac:dyDescent="0.25">
      <c r="A258" s="17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.75" customHeight="1" x14ac:dyDescent="0.25">
      <c r="A259" s="17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.75" customHeight="1" x14ac:dyDescent="0.25">
      <c r="A260" s="17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.75" customHeight="1" x14ac:dyDescent="0.25">
      <c r="A261" s="17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.75" customHeight="1" x14ac:dyDescent="0.25">
      <c r="A262" s="17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.75" customHeight="1" x14ac:dyDescent="0.25">
      <c r="A263" s="17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.75" customHeight="1" x14ac:dyDescent="0.25">
      <c r="A264" s="17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.75" customHeight="1" x14ac:dyDescent="0.25">
      <c r="A265" s="17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.75" customHeight="1" x14ac:dyDescent="0.25">
      <c r="A266" s="17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.75" customHeight="1" x14ac:dyDescent="0.25">
      <c r="A267" s="17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.75" customHeight="1" x14ac:dyDescent="0.25">
      <c r="A268" s="17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.75" customHeight="1" x14ac:dyDescent="0.25">
      <c r="A269" s="17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.75" customHeight="1" x14ac:dyDescent="0.25">
      <c r="A270" s="17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.75" customHeight="1" x14ac:dyDescent="0.25">
      <c r="A271" s="17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.75" customHeight="1" x14ac:dyDescent="0.25">
      <c r="A272" s="17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.75" customHeight="1" x14ac:dyDescent="0.25">
      <c r="A273" s="17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.75" customHeight="1" x14ac:dyDescent="0.25">
      <c r="A274" s="17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.75" customHeight="1" x14ac:dyDescent="0.25">
      <c r="A275" s="17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.75" customHeight="1" x14ac:dyDescent="0.25">
      <c r="A276" s="17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.75" customHeight="1" x14ac:dyDescent="0.25">
      <c r="A277" s="17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.75" customHeight="1" x14ac:dyDescent="0.25">
      <c r="A278" s="17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.75" customHeight="1" x14ac:dyDescent="0.25">
      <c r="A279" s="17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.75" customHeight="1" x14ac:dyDescent="0.25">
      <c r="A280" s="17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.75" customHeight="1" x14ac:dyDescent="0.25">
      <c r="A281" s="17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.75" customHeight="1" x14ac:dyDescent="0.25">
      <c r="A282" s="17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.75" customHeight="1" x14ac:dyDescent="0.25">
      <c r="A283" s="17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.75" customHeight="1" x14ac:dyDescent="0.25">
      <c r="A284" s="17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.75" customHeight="1" x14ac:dyDescent="0.25">
      <c r="A285" s="17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.75" customHeight="1" x14ac:dyDescent="0.25">
      <c r="A286" s="17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.75" customHeight="1" x14ac:dyDescent="0.25">
      <c r="A287" s="17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.75" customHeight="1" x14ac:dyDescent="0.25">
      <c r="A288" s="17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.75" customHeight="1" x14ac:dyDescent="0.25">
      <c r="A289" s="17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.75" customHeight="1" x14ac:dyDescent="0.25">
      <c r="A290" s="17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.75" customHeight="1" x14ac:dyDescent="0.25">
      <c r="A291" s="17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.75" customHeight="1" x14ac:dyDescent="0.25">
      <c r="A292" s="17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.75" customHeight="1" x14ac:dyDescent="0.25">
      <c r="A293" s="17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.75" customHeight="1" x14ac:dyDescent="0.25">
      <c r="A294" s="17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.75" customHeight="1" x14ac:dyDescent="0.25">
      <c r="A295" s="17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.75" customHeight="1" x14ac:dyDescent="0.25">
      <c r="A296" s="17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.75" customHeight="1" x14ac:dyDescent="0.25">
      <c r="A297" s="17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.75" customHeight="1" x14ac:dyDescent="0.25">
      <c r="A298" s="17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.75" customHeight="1" x14ac:dyDescent="0.25">
      <c r="A299" s="17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.75" customHeight="1" x14ac:dyDescent="0.25">
      <c r="A300" s="17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.75" customHeight="1" x14ac:dyDescent="0.25">
      <c r="A301" s="17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.75" customHeight="1" x14ac:dyDescent="0.25">
      <c r="A302" s="17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.75" customHeight="1" x14ac:dyDescent="0.25">
      <c r="A303" s="17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.75" customHeight="1" x14ac:dyDescent="0.25">
      <c r="A304" s="17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.75" customHeight="1" x14ac:dyDescent="0.25">
      <c r="A305" s="17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.75" customHeight="1" x14ac:dyDescent="0.25">
      <c r="A306" s="17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.75" customHeight="1" x14ac:dyDescent="0.25">
      <c r="A307" s="17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.75" customHeight="1" x14ac:dyDescent="0.25">
      <c r="A308" s="17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.75" customHeight="1" x14ac:dyDescent="0.25">
      <c r="A309" s="17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.75" customHeight="1" x14ac:dyDescent="0.25">
      <c r="A310" s="17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.75" customHeight="1" x14ac:dyDescent="0.25">
      <c r="A311" s="17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.75" customHeight="1" x14ac:dyDescent="0.25">
      <c r="A312" s="17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.75" customHeight="1" x14ac:dyDescent="0.25">
      <c r="A313" s="17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.75" customHeight="1" x14ac:dyDescent="0.25">
      <c r="A314" s="17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.75" customHeight="1" x14ac:dyDescent="0.25">
      <c r="A315" s="17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.75" customHeight="1" x14ac:dyDescent="0.25">
      <c r="A316" s="17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.75" customHeight="1" x14ac:dyDescent="0.25">
      <c r="A317" s="17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.75" customHeight="1" x14ac:dyDescent="0.25">
      <c r="A318" s="17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.75" customHeight="1" x14ac:dyDescent="0.25">
      <c r="A319" s="17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.75" customHeight="1" x14ac:dyDescent="0.25">
      <c r="A320" s="17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.75" customHeight="1" x14ac:dyDescent="0.25">
      <c r="A321" s="17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.75" customHeight="1" x14ac:dyDescent="0.25">
      <c r="A322" s="17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.75" customHeight="1" x14ac:dyDescent="0.25">
      <c r="A323" s="17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.75" customHeight="1" x14ac:dyDescent="0.25">
      <c r="A324" s="17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.75" customHeight="1" x14ac:dyDescent="0.25">
      <c r="A325" s="17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.75" customHeight="1" x14ac:dyDescent="0.25">
      <c r="A326" s="17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.75" customHeight="1" x14ac:dyDescent="0.25">
      <c r="A327" s="17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.75" customHeight="1" x14ac:dyDescent="0.25">
      <c r="A328" s="17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.75" customHeight="1" x14ac:dyDescent="0.25">
      <c r="A329" s="17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.75" customHeight="1" x14ac:dyDescent="0.25">
      <c r="A330" s="17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.75" customHeight="1" x14ac:dyDescent="0.25">
      <c r="A331" s="17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.75" customHeight="1" x14ac:dyDescent="0.25">
      <c r="A332" s="17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.75" customHeight="1" x14ac:dyDescent="0.25">
      <c r="A333" s="17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.75" customHeight="1" x14ac:dyDescent="0.25">
      <c r="A334" s="17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.75" customHeight="1" x14ac:dyDescent="0.25">
      <c r="A335" s="17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.75" customHeight="1" x14ac:dyDescent="0.25">
      <c r="A336" s="17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.75" customHeight="1" x14ac:dyDescent="0.25">
      <c r="A337" s="17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.75" customHeight="1" x14ac:dyDescent="0.25">
      <c r="A338" s="17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.75" customHeight="1" x14ac:dyDescent="0.25">
      <c r="A339" s="17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.75" customHeight="1" x14ac:dyDescent="0.25">
      <c r="A340" s="17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.75" customHeight="1" x14ac:dyDescent="0.25">
      <c r="A341" s="17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.75" customHeight="1" x14ac:dyDescent="0.25">
      <c r="A342" s="17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.75" customHeight="1" x14ac:dyDescent="0.25">
      <c r="A343" s="17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.75" customHeight="1" x14ac:dyDescent="0.25">
      <c r="A344" s="17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.75" customHeight="1" x14ac:dyDescent="0.25">
      <c r="A345" s="17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.75" customHeight="1" x14ac:dyDescent="0.25">
      <c r="A346" s="17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.75" customHeight="1" x14ac:dyDescent="0.25">
      <c r="A347" s="17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.75" customHeight="1" x14ac:dyDescent="0.25">
      <c r="A348" s="17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.75" customHeight="1" x14ac:dyDescent="0.25">
      <c r="A349" s="17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.75" customHeight="1" x14ac:dyDescent="0.25">
      <c r="A350" s="17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.75" customHeight="1" x14ac:dyDescent="0.25">
      <c r="A351" s="17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2.75" customHeight="1" x14ac:dyDescent="0.25">
      <c r="A352" s="17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.75" customHeight="1" x14ac:dyDescent="0.25">
      <c r="A353" s="17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.75" customHeight="1" x14ac:dyDescent="0.25">
      <c r="A354" s="17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.75" customHeight="1" x14ac:dyDescent="0.25">
      <c r="A355" s="17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.75" customHeight="1" x14ac:dyDescent="0.25">
      <c r="A356" s="17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2.75" customHeight="1" x14ac:dyDescent="0.25">
      <c r="A357" s="17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2.75" customHeight="1" x14ac:dyDescent="0.25">
      <c r="A358" s="17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2.75" customHeight="1" x14ac:dyDescent="0.25">
      <c r="A359" s="17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2.75" customHeight="1" x14ac:dyDescent="0.25">
      <c r="A360" s="17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2.75" customHeight="1" x14ac:dyDescent="0.25">
      <c r="A361" s="17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2.75" customHeight="1" x14ac:dyDescent="0.25">
      <c r="A362" s="17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2.75" customHeight="1" x14ac:dyDescent="0.25">
      <c r="A363" s="17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2.75" customHeight="1" x14ac:dyDescent="0.25">
      <c r="A364" s="17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2.75" customHeight="1" x14ac:dyDescent="0.25">
      <c r="A365" s="17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2.75" customHeight="1" x14ac:dyDescent="0.25">
      <c r="A366" s="17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2.75" customHeight="1" x14ac:dyDescent="0.25">
      <c r="A367" s="17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2.75" customHeight="1" x14ac:dyDescent="0.25">
      <c r="A368" s="17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2.75" customHeight="1" x14ac:dyDescent="0.25">
      <c r="A369" s="17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2.75" customHeight="1" x14ac:dyDescent="0.25">
      <c r="A370" s="17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2.75" customHeight="1" x14ac:dyDescent="0.25">
      <c r="A371" s="17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2.75" customHeight="1" x14ac:dyDescent="0.25">
      <c r="A372" s="17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2.75" customHeight="1" x14ac:dyDescent="0.25">
      <c r="A373" s="17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2.75" customHeight="1" x14ac:dyDescent="0.25">
      <c r="A374" s="17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2.75" customHeight="1" x14ac:dyDescent="0.25">
      <c r="A375" s="17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2.75" customHeight="1" x14ac:dyDescent="0.25">
      <c r="A376" s="17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2.75" customHeight="1" x14ac:dyDescent="0.25">
      <c r="A377" s="17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2.75" customHeight="1" x14ac:dyDescent="0.25">
      <c r="A378" s="17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2.75" customHeight="1" x14ac:dyDescent="0.25">
      <c r="A379" s="17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2.75" customHeight="1" x14ac:dyDescent="0.25">
      <c r="A380" s="17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2.75" customHeight="1" x14ac:dyDescent="0.25">
      <c r="A381" s="17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2.75" customHeight="1" x14ac:dyDescent="0.25">
      <c r="A382" s="17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2.75" customHeight="1" x14ac:dyDescent="0.25">
      <c r="A383" s="17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2.75" customHeight="1" x14ac:dyDescent="0.25">
      <c r="A384" s="17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2.75" customHeight="1" x14ac:dyDescent="0.25">
      <c r="A385" s="17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2.75" customHeight="1" x14ac:dyDescent="0.25">
      <c r="A386" s="17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2.75" customHeight="1" x14ac:dyDescent="0.25">
      <c r="A387" s="17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2.75" customHeight="1" x14ac:dyDescent="0.25">
      <c r="A388" s="17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2.75" customHeight="1" x14ac:dyDescent="0.25">
      <c r="A389" s="17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2.75" customHeight="1" x14ac:dyDescent="0.25">
      <c r="A390" s="17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2.75" customHeight="1" x14ac:dyDescent="0.25">
      <c r="A391" s="17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2.75" customHeight="1" x14ac:dyDescent="0.25">
      <c r="A392" s="17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2.75" customHeight="1" x14ac:dyDescent="0.25">
      <c r="A393" s="17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2.75" customHeight="1" x14ac:dyDescent="0.25">
      <c r="A394" s="17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2.75" customHeight="1" x14ac:dyDescent="0.25">
      <c r="A395" s="17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2.75" customHeight="1" x14ac:dyDescent="0.25">
      <c r="A396" s="17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2.75" customHeight="1" x14ac:dyDescent="0.25">
      <c r="A397" s="17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2.75" customHeight="1" x14ac:dyDescent="0.25">
      <c r="A398" s="17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2.75" customHeight="1" x14ac:dyDescent="0.25">
      <c r="A399" s="17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2.75" customHeight="1" x14ac:dyDescent="0.25">
      <c r="A400" s="17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2.75" customHeight="1" x14ac:dyDescent="0.25">
      <c r="A401" s="17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2.75" customHeight="1" x14ac:dyDescent="0.25">
      <c r="A402" s="17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2.75" customHeight="1" x14ac:dyDescent="0.25">
      <c r="A403" s="17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2.75" customHeight="1" x14ac:dyDescent="0.25">
      <c r="A404" s="17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2.75" customHeight="1" x14ac:dyDescent="0.25">
      <c r="A405" s="17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2.75" customHeight="1" x14ac:dyDescent="0.25">
      <c r="A406" s="17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2.75" customHeight="1" x14ac:dyDescent="0.25">
      <c r="A407" s="17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2.75" customHeight="1" x14ac:dyDescent="0.25">
      <c r="A408" s="17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2.75" customHeight="1" x14ac:dyDescent="0.25">
      <c r="A409" s="17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2.75" customHeight="1" x14ac:dyDescent="0.25">
      <c r="A410" s="17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2.75" customHeight="1" x14ac:dyDescent="0.25">
      <c r="A411" s="17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2.75" customHeight="1" x14ac:dyDescent="0.25">
      <c r="A412" s="17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2.75" customHeight="1" x14ac:dyDescent="0.25">
      <c r="A413" s="17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2.75" customHeight="1" x14ac:dyDescent="0.25">
      <c r="A414" s="17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2.75" customHeight="1" x14ac:dyDescent="0.25">
      <c r="A415" s="17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2.75" customHeight="1" x14ac:dyDescent="0.25">
      <c r="A416" s="17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2.75" customHeight="1" x14ac:dyDescent="0.25">
      <c r="A417" s="17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2.75" customHeight="1" x14ac:dyDescent="0.25">
      <c r="A418" s="17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2.75" customHeight="1" x14ac:dyDescent="0.25">
      <c r="A419" s="17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2.75" customHeight="1" x14ac:dyDescent="0.25">
      <c r="A420" s="17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2.75" customHeight="1" x14ac:dyDescent="0.25">
      <c r="A421" s="17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2.75" customHeight="1" x14ac:dyDescent="0.25">
      <c r="A422" s="17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2.75" customHeight="1" x14ac:dyDescent="0.25">
      <c r="A423" s="17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2.75" customHeight="1" x14ac:dyDescent="0.25">
      <c r="A424" s="17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2.75" customHeight="1" x14ac:dyDescent="0.25">
      <c r="A425" s="17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2.75" customHeight="1" x14ac:dyDescent="0.25">
      <c r="A426" s="17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2.75" customHeight="1" x14ac:dyDescent="0.25">
      <c r="A427" s="17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2.75" customHeight="1" x14ac:dyDescent="0.25">
      <c r="A428" s="17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2.75" customHeight="1" x14ac:dyDescent="0.25">
      <c r="A429" s="17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2.75" customHeight="1" x14ac:dyDescent="0.25">
      <c r="A430" s="17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2.75" customHeight="1" x14ac:dyDescent="0.25">
      <c r="A431" s="17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2.75" customHeight="1" x14ac:dyDescent="0.25">
      <c r="A432" s="17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2.75" customHeight="1" x14ac:dyDescent="0.25">
      <c r="A433" s="17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2.75" customHeight="1" x14ac:dyDescent="0.25">
      <c r="A434" s="17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2.75" customHeight="1" x14ac:dyDescent="0.25">
      <c r="A435" s="17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2.75" customHeight="1" x14ac:dyDescent="0.25">
      <c r="A436" s="17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2.75" customHeight="1" x14ac:dyDescent="0.25">
      <c r="A437" s="17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2.75" customHeight="1" x14ac:dyDescent="0.25">
      <c r="A438" s="17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2.75" customHeight="1" x14ac:dyDescent="0.25">
      <c r="A439" s="17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2.75" customHeight="1" x14ac:dyDescent="0.25">
      <c r="A440" s="17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2.75" customHeight="1" x14ac:dyDescent="0.25">
      <c r="A441" s="17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2.75" customHeight="1" x14ac:dyDescent="0.25">
      <c r="A442" s="17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2.75" customHeight="1" x14ac:dyDescent="0.25">
      <c r="A443" s="17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2.75" customHeight="1" x14ac:dyDescent="0.25">
      <c r="A444" s="17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2.75" customHeight="1" x14ac:dyDescent="0.25">
      <c r="A445" s="17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2.75" customHeight="1" x14ac:dyDescent="0.25">
      <c r="A446" s="17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2.75" customHeight="1" x14ac:dyDescent="0.25">
      <c r="A447" s="17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2.75" customHeight="1" x14ac:dyDescent="0.25">
      <c r="A448" s="17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2.75" customHeight="1" x14ac:dyDescent="0.25">
      <c r="A449" s="17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2.75" customHeight="1" x14ac:dyDescent="0.25">
      <c r="A450" s="17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2.75" customHeight="1" x14ac:dyDescent="0.25">
      <c r="A451" s="17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2.75" customHeight="1" x14ac:dyDescent="0.25">
      <c r="A452" s="17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2.75" customHeight="1" x14ac:dyDescent="0.25">
      <c r="A453" s="17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2.75" customHeight="1" x14ac:dyDescent="0.25">
      <c r="A454" s="17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2.75" customHeight="1" x14ac:dyDescent="0.25">
      <c r="A455" s="17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2.75" customHeight="1" x14ac:dyDescent="0.25">
      <c r="A456" s="17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2.75" customHeight="1" x14ac:dyDescent="0.25">
      <c r="A457" s="17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2.75" customHeight="1" x14ac:dyDescent="0.25">
      <c r="A458" s="17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2.75" customHeight="1" x14ac:dyDescent="0.25">
      <c r="A459" s="17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2.75" customHeight="1" x14ac:dyDescent="0.25">
      <c r="A460" s="17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2.75" customHeight="1" x14ac:dyDescent="0.25">
      <c r="A461" s="17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2.75" customHeight="1" x14ac:dyDescent="0.25">
      <c r="A462" s="17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2.75" customHeight="1" x14ac:dyDescent="0.25">
      <c r="A463" s="17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2.75" customHeight="1" x14ac:dyDescent="0.25">
      <c r="A464" s="17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2.75" customHeight="1" x14ac:dyDescent="0.25">
      <c r="A465" s="17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2.75" customHeight="1" x14ac:dyDescent="0.25">
      <c r="A466" s="17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2.75" customHeight="1" x14ac:dyDescent="0.25">
      <c r="A467" s="17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2.75" customHeight="1" x14ac:dyDescent="0.25">
      <c r="A468" s="17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2.75" customHeight="1" x14ac:dyDescent="0.25">
      <c r="A469" s="17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2.75" customHeight="1" x14ac:dyDescent="0.25">
      <c r="A470" s="17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2.75" customHeight="1" x14ac:dyDescent="0.25">
      <c r="A471" s="17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2.75" customHeight="1" x14ac:dyDescent="0.25">
      <c r="A472" s="17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2.75" customHeight="1" x14ac:dyDescent="0.25">
      <c r="A473" s="17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2.75" customHeight="1" x14ac:dyDescent="0.25">
      <c r="A474" s="17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2.75" customHeight="1" x14ac:dyDescent="0.25">
      <c r="A475" s="17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2.75" customHeight="1" x14ac:dyDescent="0.25">
      <c r="A476" s="17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2.75" customHeight="1" x14ac:dyDescent="0.25">
      <c r="A477" s="17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2.75" customHeight="1" x14ac:dyDescent="0.25">
      <c r="A478" s="17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2.75" customHeight="1" x14ac:dyDescent="0.25">
      <c r="A479" s="17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2.75" customHeight="1" x14ac:dyDescent="0.25">
      <c r="A480" s="17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2.75" customHeight="1" x14ac:dyDescent="0.25">
      <c r="A481" s="17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2.75" customHeight="1" x14ac:dyDescent="0.25">
      <c r="A482" s="17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2.75" customHeight="1" x14ac:dyDescent="0.25">
      <c r="A483" s="17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2.75" customHeight="1" x14ac:dyDescent="0.25">
      <c r="A484" s="17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2.75" customHeight="1" x14ac:dyDescent="0.25">
      <c r="A485" s="17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2.75" customHeight="1" x14ac:dyDescent="0.25">
      <c r="A486" s="17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2.75" customHeight="1" x14ac:dyDescent="0.25">
      <c r="A487" s="17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2.75" customHeight="1" x14ac:dyDescent="0.25">
      <c r="A488" s="17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2.75" customHeight="1" x14ac:dyDescent="0.25">
      <c r="A489" s="17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2.75" customHeight="1" x14ac:dyDescent="0.25">
      <c r="A490" s="17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2.75" customHeight="1" x14ac:dyDescent="0.25">
      <c r="A491" s="17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2.75" customHeight="1" x14ac:dyDescent="0.25">
      <c r="A492" s="17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2.75" customHeight="1" x14ac:dyDescent="0.25">
      <c r="A493" s="17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2.75" customHeight="1" x14ac:dyDescent="0.25">
      <c r="A494" s="17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2.75" customHeight="1" x14ac:dyDescent="0.25">
      <c r="A495" s="17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2.75" customHeight="1" x14ac:dyDescent="0.25">
      <c r="A496" s="17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2.75" customHeight="1" x14ac:dyDescent="0.25">
      <c r="A497" s="17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2.75" customHeight="1" x14ac:dyDescent="0.25">
      <c r="A498" s="17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2.75" customHeight="1" x14ac:dyDescent="0.25">
      <c r="A499" s="17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2.75" customHeight="1" x14ac:dyDescent="0.25">
      <c r="A500" s="17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2.75" customHeight="1" x14ac:dyDescent="0.25">
      <c r="A501" s="17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2.75" customHeight="1" x14ac:dyDescent="0.25">
      <c r="A502" s="17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2.75" customHeight="1" x14ac:dyDescent="0.25">
      <c r="A503" s="17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2.75" customHeight="1" x14ac:dyDescent="0.25">
      <c r="A504" s="17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2.75" customHeight="1" x14ac:dyDescent="0.25">
      <c r="A505" s="17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2.75" customHeight="1" x14ac:dyDescent="0.25">
      <c r="A506" s="17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2.75" customHeight="1" x14ac:dyDescent="0.25">
      <c r="A507" s="17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2.75" customHeight="1" x14ac:dyDescent="0.25">
      <c r="A508" s="17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2.75" customHeight="1" x14ac:dyDescent="0.25">
      <c r="A509" s="17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2.75" customHeight="1" x14ac:dyDescent="0.25">
      <c r="A510" s="17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2.75" customHeight="1" x14ac:dyDescent="0.25">
      <c r="A511" s="17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2.75" customHeight="1" x14ac:dyDescent="0.25">
      <c r="A512" s="17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2.75" customHeight="1" x14ac:dyDescent="0.25">
      <c r="A513" s="17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2.75" customHeight="1" x14ac:dyDescent="0.25">
      <c r="A514" s="17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2.75" customHeight="1" x14ac:dyDescent="0.25">
      <c r="A515" s="17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2.75" customHeight="1" x14ac:dyDescent="0.25">
      <c r="A516" s="17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2.75" customHeight="1" x14ac:dyDescent="0.25">
      <c r="A517" s="17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2.75" customHeight="1" x14ac:dyDescent="0.25">
      <c r="A518" s="17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2.75" customHeight="1" x14ac:dyDescent="0.25">
      <c r="A519" s="17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2.75" customHeight="1" x14ac:dyDescent="0.25">
      <c r="A520" s="17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2.75" customHeight="1" x14ac:dyDescent="0.25">
      <c r="A521" s="17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2.75" customHeight="1" x14ac:dyDescent="0.25">
      <c r="A522" s="17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2.75" customHeight="1" x14ac:dyDescent="0.25">
      <c r="A523" s="17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2.75" customHeight="1" x14ac:dyDescent="0.25">
      <c r="A524" s="17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2.75" customHeight="1" x14ac:dyDescent="0.25">
      <c r="A525" s="17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2.75" customHeight="1" x14ac:dyDescent="0.25">
      <c r="A526" s="17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2.75" customHeight="1" x14ac:dyDescent="0.25">
      <c r="A527" s="17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2.75" customHeight="1" x14ac:dyDescent="0.25">
      <c r="A528" s="17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2.75" customHeight="1" x14ac:dyDescent="0.25">
      <c r="A529" s="17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2.75" customHeight="1" x14ac:dyDescent="0.25">
      <c r="A530" s="17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2.75" customHeight="1" x14ac:dyDescent="0.25">
      <c r="A531" s="17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2.75" customHeight="1" x14ac:dyDescent="0.25">
      <c r="A532" s="17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2.75" customHeight="1" x14ac:dyDescent="0.25">
      <c r="A533" s="17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2.75" customHeight="1" x14ac:dyDescent="0.25">
      <c r="A534" s="17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2.75" customHeight="1" x14ac:dyDescent="0.25">
      <c r="A535" s="17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2.75" customHeight="1" x14ac:dyDescent="0.25">
      <c r="A536" s="17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2.75" customHeight="1" x14ac:dyDescent="0.25">
      <c r="A537" s="17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2.75" customHeight="1" x14ac:dyDescent="0.25">
      <c r="A538" s="17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2.75" customHeight="1" x14ac:dyDescent="0.25">
      <c r="A539" s="17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2.75" customHeight="1" x14ac:dyDescent="0.25">
      <c r="A540" s="17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2.75" customHeight="1" x14ac:dyDescent="0.25">
      <c r="A541" s="17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2.75" customHeight="1" x14ac:dyDescent="0.25">
      <c r="A542" s="17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2.75" customHeight="1" x14ac:dyDescent="0.25">
      <c r="A543" s="17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2.75" customHeight="1" x14ac:dyDescent="0.25">
      <c r="A544" s="17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2.75" customHeight="1" x14ac:dyDescent="0.25">
      <c r="A545" s="17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2.75" customHeight="1" x14ac:dyDescent="0.25">
      <c r="A546" s="17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2.75" customHeight="1" x14ac:dyDescent="0.25">
      <c r="A547" s="17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2.75" customHeight="1" x14ac:dyDescent="0.25">
      <c r="A548" s="17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2.75" customHeight="1" x14ac:dyDescent="0.25">
      <c r="A549" s="17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2.75" customHeight="1" x14ac:dyDescent="0.25">
      <c r="A550" s="17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2.75" customHeight="1" x14ac:dyDescent="0.25">
      <c r="A551" s="17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2.75" customHeight="1" x14ac:dyDescent="0.25">
      <c r="A552" s="17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2.75" customHeight="1" x14ac:dyDescent="0.25">
      <c r="A553" s="17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2.75" customHeight="1" x14ac:dyDescent="0.25">
      <c r="A554" s="17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2.75" customHeight="1" x14ac:dyDescent="0.25">
      <c r="A555" s="17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2.75" customHeight="1" x14ac:dyDescent="0.25">
      <c r="A556" s="17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2.75" customHeight="1" x14ac:dyDescent="0.25">
      <c r="A557" s="17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2.75" customHeight="1" x14ac:dyDescent="0.25">
      <c r="A558" s="17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2.75" customHeight="1" x14ac:dyDescent="0.25">
      <c r="A559" s="17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2.75" customHeight="1" x14ac:dyDescent="0.25">
      <c r="A560" s="17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2.75" customHeight="1" x14ac:dyDescent="0.25">
      <c r="A561" s="17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2.75" customHeight="1" x14ac:dyDescent="0.25">
      <c r="A562" s="17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2.75" customHeight="1" x14ac:dyDescent="0.25">
      <c r="A563" s="17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2.75" customHeight="1" x14ac:dyDescent="0.25">
      <c r="A564" s="17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2.75" customHeight="1" x14ac:dyDescent="0.25">
      <c r="A565" s="17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2.75" customHeight="1" x14ac:dyDescent="0.25">
      <c r="A566" s="17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2.75" customHeight="1" x14ac:dyDescent="0.25">
      <c r="A567" s="17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2.75" customHeight="1" x14ac:dyDescent="0.25">
      <c r="A568" s="17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2.75" customHeight="1" x14ac:dyDescent="0.25">
      <c r="A569" s="17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2.75" customHeight="1" x14ac:dyDescent="0.25">
      <c r="A570" s="17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2.75" customHeight="1" x14ac:dyDescent="0.25">
      <c r="A571" s="17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2.75" customHeight="1" x14ac:dyDescent="0.25">
      <c r="A572" s="17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2.75" customHeight="1" x14ac:dyDescent="0.25">
      <c r="A573" s="17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2.75" customHeight="1" x14ac:dyDescent="0.25">
      <c r="A574" s="17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2.75" customHeight="1" x14ac:dyDescent="0.25">
      <c r="A575" s="17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2.75" customHeight="1" x14ac:dyDescent="0.25">
      <c r="A576" s="17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2.75" customHeight="1" x14ac:dyDescent="0.25">
      <c r="A577" s="17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2.75" customHeight="1" x14ac:dyDescent="0.25">
      <c r="A578" s="17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2.75" customHeight="1" x14ac:dyDescent="0.25">
      <c r="A579" s="17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2.75" customHeight="1" x14ac:dyDescent="0.25">
      <c r="A580" s="17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2.75" customHeight="1" x14ac:dyDescent="0.25">
      <c r="A581" s="17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2.75" customHeight="1" x14ac:dyDescent="0.25">
      <c r="A582" s="17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2.75" customHeight="1" x14ac:dyDescent="0.25">
      <c r="A583" s="17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2.75" customHeight="1" x14ac:dyDescent="0.25">
      <c r="A584" s="17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2.75" customHeight="1" x14ac:dyDescent="0.25">
      <c r="A585" s="17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2.75" customHeight="1" x14ac:dyDescent="0.25">
      <c r="A586" s="17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2.75" customHeight="1" x14ac:dyDescent="0.25">
      <c r="A587" s="17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2.75" customHeight="1" x14ac:dyDescent="0.25">
      <c r="A588" s="17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2.75" customHeight="1" x14ac:dyDescent="0.25">
      <c r="A589" s="17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2.75" customHeight="1" x14ac:dyDescent="0.25">
      <c r="A590" s="17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2.75" customHeight="1" x14ac:dyDescent="0.25">
      <c r="A591" s="17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2.75" customHeight="1" x14ac:dyDescent="0.25">
      <c r="A592" s="17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2.75" customHeight="1" x14ac:dyDescent="0.25">
      <c r="A593" s="17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2.75" customHeight="1" x14ac:dyDescent="0.25">
      <c r="A594" s="17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2.75" customHeight="1" x14ac:dyDescent="0.25">
      <c r="A595" s="17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2.75" customHeight="1" x14ac:dyDescent="0.25">
      <c r="A596" s="17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2.75" customHeight="1" x14ac:dyDescent="0.25">
      <c r="A597" s="17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2.75" customHeight="1" x14ac:dyDescent="0.25">
      <c r="A598" s="17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2.75" customHeight="1" x14ac:dyDescent="0.25">
      <c r="A599" s="17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2.75" customHeight="1" x14ac:dyDescent="0.25">
      <c r="A600" s="17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2.75" customHeight="1" x14ac:dyDescent="0.25">
      <c r="A601" s="17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2.75" customHeight="1" x14ac:dyDescent="0.25">
      <c r="A602" s="17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2.75" customHeight="1" x14ac:dyDescent="0.25">
      <c r="A603" s="17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2.75" customHeight="1" x14ac:dyDescent="0.25">
      <c r="A604" s="17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2.75" customHeight="1" x14ac:dyDescent="0.25">
      <c r="A605" s="17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2.75" customHeight="1" x14ac:dyDescent="0.25">
      <c r="A606" s="17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2.75" customHeight="1" x14ac:dyDescent="0.25">
      <c r="A607" s="17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2.75" customHeight="1" x14ac:dyDescent="0.25">
      <c r="A608" s="17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2.75" customHeight="1" x14ac:dyDescent="0.25">
      <c r="A609" s="17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2.75" customHeight="1" x14ac:dyDescent="0.25">
      <c r="A610" s="17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2.75" customHeight="1" x14ac:dyDescent="0.25">
      <c r="A611" s="17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2.75" customHeight="1" x14ac:dyDescent="0.25">
      <c r="A612" s="17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2.75" customHeight="1" x14ac:dyDescent="0.25">
      <c r="A613" s="17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2.75" customHeight="1" x14ac:dyDescent="0.25">
      <c r="A614" s="17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2.75" customHeight="1" x14ac:dyDescent="0.25">
      <c r="A615" s="17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2.75" customHeight="1" x14ac:dyDescent="0.25">
      <c r="A616" s="17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2.75" customHeight="1" x14ac:dyDescent="0.25">
      <c r="A617" s="17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2.75" customHeight="1" x14ac:dyDescent="0.25">
      <c r="A618" s="17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2.75" customHeight="1" x14ac:dyDescent="0.25">
      <c r="A619" s="17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2.75" customHeight="1" x14ac:dyDescent="0.25">
      <c r="A620" s="17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2.75" customHeight="1" x14ac:dyDescent="0.25">
      <c r="A621" s="17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2.75" customHeight="1" x14ac:dyDescent="0.25">
      <c r="A622" s="17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2.75" customHeight="1" x14ac:dyDescent="0.25">
      <c r="A623" s="17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2.75" customHeight="1" x14ac:dyDescent="0.25">
      <c r="A624" s="17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2.75" customHeight="1" x14ac:dyDescent="0.25">
      <c r="A625" s="17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2.75" customHeight="1" x14ac:dyDescent="0.25">
      <c r="A626" s="17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2.75" customHeight="1" x14ac:dyDescent="0.25">
      <c r="A627" s="17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2.75" customHeight="1" x14ac:dyDescent="0.25">
      <c r="A628" s="17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2.75" customHeight="1" x14ac:dyDescent="0.25">
      <c r="A629" s="17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2.75" customHeight="1" x14ac:dyDescent="0.25">
      <c r="A630" s="17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2.75" customHeight="1" x14ac:dyDescent="0.25">
      <c r="A631" s="17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2.75" customHeight="1" x14ac:dyDescent="0.25">
      <c r="A632" s="17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2.75" customHeight="1" x14ac:dyDescent="0.25">
      <c r="A633" s="17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2.75" customHeight="1" x14ac:dyDescent="0.25">
      <c r="A634" s="17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2.75" customHeight="1" x14ac:dyDescent="0.25">
      <c r="A635" s="17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2.75" customHeight="1" x14ac:dyDescent="0.25">
      <c r="A636" s="17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2.75" customHeight="1" x14ac:dyDescent="0.25">
      <c r="A637" s="17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2.75" customHeight="1" x14ac:dyDescent="0.25">
      <c r="A638" s="17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2.75" customHeight="1" x14ac:dyDescent="0.25">
      <c r="A639" s="17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2.75" customHeight="1" x14ac:dyDescent="0.25">
      <c r="A640" s="17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2.75" customHeight="1" x14ac:dyDescent="0.25">
      <c r="A641" s="17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2.75" customHeight="1" x14ac:dyDescent="0.25">
      <c r="A642" s="17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2.75" customHeight="1" x14ac:dyDescent="0.25">
      <c r="A643" s="17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2.75" customHeight="1" x14ac:dyDescent="0.25">
      <c r="A644" s="17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2.75" customHeight="1" x14ac:dyDescent="0.25">
      <c r="A645" s="17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2.75" customHeight="1" x14ac:dyDescent="0.25">
      <c r="A646" s="17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2.75" customHeight="1" x14ac:dyDescent="0.25">
      <c r="A647" s="17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2.75" customHeight="1" x14ac:dyDescent="0.25">
      <c r="A648" s="17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2.75" customHeight="1" x14ac:dyDescent="0.25">
      <c r="A649" s="17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2.75" customHeight="1" x14ac:dyDescent="0.25">
      <c r="A650" s="17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2.75" customHeight="1" x14ac:dyDescent="0.25">
      <c r="A651" s="17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2.75" customHeight="1" x14ac:dyDescent="0.25">
      <c r="A652" s="17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2.75" customHeight="1" x14ac:dyDescent="0.25">
      <c r="A653" s="17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2.75" customHeight="1" x14ac:dyDescent="0.25">
      <c r="A654" s="17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2.75" customHeight="1" x14ac:dyDescent="0.25">
      <c r="A655" s="17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2.75" customHeight="1" x14ac:dyDescent="0.25">
      <c r="A656" s="17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2.75" customHeight="1" x14ac:dyDescent="0.25">
      <c r="A657" s="17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2.75" customHeight="1" x14ac:dyDescent="0.25">
      <c r="A658" s="17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2.75" customHeight="1" x14ac:dyDescent="0.25">
      <c r="A659" s="17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2.75" customHeight="1" x14ac:dyDescent="0.25">
      <c r="A660" s="17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2.75" customHeight="1" x14ac:dyDescent="0.25">
      <c r="A661" s="17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2.75" customHeight="1" x14ac:dyDescent="0.25">
      <c r="A662" s="17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2.75" customHeight="1" x14ac:dyDescent="0.25">
      <c r="A663" s="17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2.75" customHeight="1" x14ac:dyDescent="0.25">
      <c r="A664" s="17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2.75" customHeight="1" x14ac:dyDescent="0.25">
      <c r="A665" s="17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2.75" customHeight="1" x14ac:dyDescent="0.25">
      <c r="A666" s="17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2.75" customHeight="1" x14ac:dyDescent="0.25">
      <c r="A667" s="17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2.75" customHeight="1" x14ac:dyDescent="0.25">
      <c r="A668" s="17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2.75" customHeight="1" x14ac:dyDescent="0.25">
      <c r="A669" s="17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2.75" customHeight="1" x14ac:dyDescent="0.25">
      <c r="A670" s="17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2.75" customHeight="1" x14ac:dyDescent="0.25">
      <c r="A671" s="17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2.75" customHeight="1" x14ac:dyDescent="0.25">
      <c r="A672" s="17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2.75" customHeight="1" x14ac:dyDescent="0.25">
      <c r="A673" s="17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2.75" customHeight="1" x14ac:dyDescent="0.25">
      <c r="A674" s="17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2.75" customHeight="1" x14ac:dyDescent="0.25">
      <c r="A675" s="17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2.75" customHeight="1" x14ac:dyDescent="0.25">
      <c r="A676" s="17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2.75" customHeight="1" x14ac:dyDescent="0.25">
      <c r="A677" s="17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2.75" customHeight="1" x14ac:dyDescent="0.25">
      <c r="A678" s="17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2.75" customHeight="1" x14ac:dyDescent="0.25">
      <c r="A679" s="17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2.75" customHeight="1" x14ac:dyDescent="0.25">
      <c r="A680" s="17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2.75" customHeight="1" x14ac:dyDescent="0.25">
      <c r="A681" s="17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2.75" customHeight="1" x14ac:dyDescent="0.25">
      <c r="A682" s="17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2.75" customHeight="1" x14ac:dyDescent="0.25">
      <c r="A683" s="17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2.75" customHeight="1" x14ac:dyDescent="0.25">
      <c r="A684" s="17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2.75" customHeight="1" x14ac:dyDescent="0.25">
      <c r="A685" s="17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2.75" customHeight="1" x14ac:dyDescent="0.25">
      <c r="A686" s="17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2.75" customHeight="1" x14ac:dyDescent="0.25">
      <c r="A687" s="17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2.75" customHeight="1" x14ac:dyDescent="0.25">
      <c r="A688" s="17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2.75" customHeight="1" x14ac:dyDescent="0.25">
      <c r="A689" s="17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2.75" customHeight="1" x14ac:dyDescent="0.25">
      <c r="A690" s="17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2.75" customHeight="1" x14ac:dyDescent="0.25">
      <c r="A691" s="17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2.75" customHeight="1" x14ac:dyDescent="0.25">
      <c r="A692" s="17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2.75" customHeight="1" x14ac:dyDescent="0.25">
      <c r="A693" s="17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2.75" customHeight="1" x14ac:dyDescent="0.25">
      <c r="A694" s="17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2.75" customHeight="1" x14ac:dyDescent="0.25">
      <c r="A695" s="17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2.75" customHeight="1" x14ac:dyDescent="0.25">
      <c r="A696" s="17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2.75" customHeight="1" x14ac:dyDescent="0.25">
      <c r="A697" s="17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2.75" customHeight="1" x14ac:dyDescent="0.25">
      <c r="A698" s="17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2.75" customHeight="1" x14ac:dyDescent="0.25">
      <c r="A699" s="17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2.75" customHeight="1" x14ac:dyDescent="0.25">
      <c r="A700" s="17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2.75" customHeight="1" x14ac:dyDescent="0.25">
      <c r="A701" s="17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2.75" customHeight="1" x14ac:dyDescent="0.25">
      <c r="A702" s="17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2.75" customHeight="1" x14ac:dyDescent="0.25">
      <c r="A703" s="17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2.75" customHeight="1" x14ac:dyDescent="0.25">
      <c r="A704" s="17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2.75" customHeight="1" x14ac:dyDescent="0.25">
      <c r="A705" s="17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2.75" customHeight="1" x14ac:dyDescent="0.25">
      <c r="A706" s="17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2.75" customHeight="1" x14ac:dyDescent="0.25">
      <c r="A707" s="17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2.75" customHeight="1" x14ac:dyDescent="0.25">
      <c r="A708" s="17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2.75" customHeight="1" x14ac:dyDescent="0.25">
      <c r="A709" s="17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2.75" customHeight="1" x14ac:dyDescent="0.25">
      <c r="A710" s="17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2.75" customHeight="1" x14ac:dyDescent="0.25">
      <c r="A711" s="17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2.75" customHeight="1" x14ac:dyDescent="0.25">
      <c r="A712" s="17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2.75" customHeight="1" x14ac:dyDescent="0.25">
      <c r="A713" s="17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2.75" customHeight="1" x14ac:dyDescent="0.25">
      <c r="A714" s="17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2.75" customHeight="1" x14ac:dyDescent="0.25">
      <c r="A715" s="17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2.75" customHeight="1" x14ac:dyDescent="0.25">
      <c r="A716" s="17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2.75" customHeight="1" x14ac:dyDescent="0.25">
      <c r="A717" s="17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2.75" customHeight="1" x14ac:dyDescent="0.25">
      <c r="A718" s="17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2.75" customHeight="1" x14ac:dyDescent="0.25">
      <c r="A719" s="17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2.75" customHeight="1" x14ac:dyDescent="0.25">
      <c r="A720" s="17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2.75" customHeight="1" x14ac:dyDescent="0.25">
      <c r="A721" s="17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2.75" customHeight="1" x14ac:dyDescent="0.25">
      <c r="A722" s="17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2.75" customHeight="1" x14ac:dyDescent="0.25">
      <c r="A723" s="17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2.75" customHeight="1" x14ac:dyDescent="0.25">
      <c r="A724" s="17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2.75" customHeight="1" x14ac:dyDescent="0.25">
      <c r="A725" s="17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2.75" customHeight="1" x14ac:dyDescent="0.25">
      <c r="A726" s="17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2.75" customHeight="1" x14ac:dyDescent="0.25">
      <c r="A727" s="17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2.75" customHeight="1" x14ac:dyDescent="0.25">
      <c r="A728" s="17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2.75" customHeight="1" x14ac:dyDescent="0.25">
      <c r="A729" s="17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2.75" customHeight="1" x14ac:dyDescent="0.25">
      <c r="A730" s="17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2.75" customHeight="1" x14ac:dyDescent="0.25">
      <c r="A731" s="17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2.75" customHeight="1" x14ac:dyDescent="0.25">
      <c r="A732" s="17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2.75" customHeight="1" x14ac:dyDescent="0.25">
      <c r="A733" s="17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2.75" customHeight="1" x14ac:dyDescent="0.25">
      <c r="A734" s="17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2.75" customHeight="1" x14ac:dyDescent="0.25">
      <c r="A735" s="17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2.75" customHeight="1" x14ac:dyDescent="0.25">
      <c r="A736" s="17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2.75" customHeight="1" x14ac:dyDescent="0.25">
      <c r="A737" s="17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2.75" customHeight="1" x14ac:dyDescent="0.25">
      <c r="A738" s="17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2.75" customHeight="1" x14ac:dyDescent="0.25">
      <c r="A739" s="17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2.75" customHeight="1" x14ac:dyDescent="0.25">
      <c r="A740" s="17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2.75" customHeight="1" x14ac:dyDescent="0.25">
      <c r="A741" s="17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2.75" customHeight="1" x14ac:dyDescent="0.25">
      <c r="A742" s="17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2.75" customHeight="1" x14ac:dyDescent="0.25">
      <c r="A743" s="17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2.75" customHeight="1" x14ac:dyDescent="0.25">
      <c r="A744" s="17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2.75" customHeight="1" x14ac:dyDescent="0.25">
      <c r="A745" s="17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2.75" customHeight="1" x14ac:dyDescent="0.25">
      <c r="A746" s="17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2.75" customHeight="1" x14ac:dyDescent="0.25">
      <c r="A747" s="17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2.75" customHeight="1" x14ac:dyDescent="0.25">
      <c r="A748" s="17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2.75" customHeight="1" x14ac:dyDescent="0.25">
      <c r="A749" s="17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2.75" customHeight="1" x14ac:dyDescent="0.25">
      <c r="A750" s="17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2.75" customHeight="1" x14ac:dyDescent="0.25">
      <c r="A751" s="17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2.75" customHeight="1" x14ac:dyDescent="0.25">
      <c r="A752" s="17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2.75" customHeight="1" x14ac:dyDescent="0.25">
      <c r="A753" s="17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2.75" customHeight="1" x14ac:dyDescent="0.25">
      <c r="A754" s="17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2.75" customHeight="1" x14ac:dyDescent="0.25">
      <c r="A755" s="17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2.75" customHeight="1" x14ac:dyDescent="0.25">
      <c r="A756" s="17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2.75" customHeight="1" x14ac:dyDescent="0.25">
      <c r="A757" s="17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2.75" customHeight="1" x14ac:dyDescent="0.25">
      <c r="A758" s="17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2.75" customHeight="1" x14ac:dyDescent="0.25">
      <c r="A759" s="17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2.75" customHeight="1" x14ac:dyDescent="0.25">
      <c r="A760" s="17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2.75" customHeight="1" x14ac:dyDescent="0.25">
      <c r="A761" s="17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2.75" customHeight="1" x14ac:dyDescent="0.25">
      <c r="A762" s="17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2.75" customHeight="1" x14ac:dyDescent="0.25">
      <c r="A763" s="17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2.75" customHeight="1" x14ac:dyDescent="0.25">
      <c r="A764" s="17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2.75" customHeight="1" x14ac:dyDescent="0.25">
      <c r="A765" s="17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2.75" customHeight="1" x14ac:dyDescent="0.25">
      <c r="A766" s="17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2.75" customHeight="1" x14ac:dyDescent="0.25">
      <c r="A767" s="17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2.75" customHeight="1" x14ac:dyDescent="0.25">
      <c r="A768" s="17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2.75" customHeight="1" x14ac:dyDescent="0.25">
      <c r="A769" s="17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2.75" customHeight="1" x14ac:dyDescent="0.25">
      <c r="A770" s="17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2.75" customHeight="1" x14ac:dyDescent="0.25">
      <c r="A771" s="17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2.75" customHeight="1" x14ac:dyDescent="0.25">
      <c r="A772" s="17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2.75" customHeight="1" x14ac:dyDescent="0.25">
      <c r="A773" s="17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2.75" customHeight="1" x14ac:dyDescent="0.25">
      <c r="A774" s="17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2.75" customHeight="1" x14ac:dyDescent="0.25">
      <c r="A775" s="17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2.75" customHeight="1" x14ac:dyDescent="0.25">
      <c r="A776" s="17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2.75" customHeight="1" x14ac:dyDescent="0.25">
      <c r="A777" s="17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2.75" customHeight="1" x14ac:dyDescent="0.25">
      <c r="A778" s="17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2.75" customHeight="1" x14ac:dyDescent="0.25">
      <c r="A779" s="17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2.75" customHeight="1" x14ac:dyDescent="0.25">
      <c r="A780" s="17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2.75" customHeight="1" x14ac:dyDescent="0.25">
      <c r="A781" s="17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2.75" customHeight="1" x14ac:dyDescent="0.25">
      <c r="A782" s="17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2.75" customHeight="1" x14ac:dyDescent="0.25">
      <c r="A783" s="17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2.75" customHeight="1" x14ac:dyDescent="0.25">
      <c r="A784" s="17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2.75" customHeight="1" x14ac:dyDescent="0.25">
      <c r="A785" s="17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2.75" customHeight="1" x14ac:dyDescent="0.25">
      <c r="A786" s="17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2.75" customHeight="1" x14ac:dyDescent="0.25">
      <c r="A787" s="17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2.75" customHeight="1" x14ac:dyDescent="0.25">
      <c r="A788" s="17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2.75" customHeight="1" x14ac:dyDescent="0.25">
      <c r="A789" s="17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2.75" customHeight="1" x14ac:dyDescent="0.25">
      <c r="A790" s="17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2.75" customHeight="1" x14ac:dyDescent="0.25">
      <c r="A791" s="17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2.75" customHeight="1" x14ac:dyDescent="0.25">
      <c r="A792" s="17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2.75" customHeight="1" x14ac:dyDescent="0.25">
      <c r="A793" s="17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2.75" customHeight="1" x14ac:dyDescent="0.25">
      <c r="A794" s="17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2.75" customHeight="1" x14ac:dyDescent="0.25">
      <c r="A795" s="17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2.75" customHeight="1" x14ac:dyDescent="0.25">
      <c r="A796" s="17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2.75" customHeight="1" x14ac:dyDescent="0.25">
      <c r="A797" s="17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2.75" customHeight="1" x14ac:dyDescent="0.25">
      <c r="A798" s="17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2.75" customHeight="1" x14ac:dyDescent="0.25">
      <c r="A799" s="17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2.75" customHeight="1" x14ac:dyDescent="0.25">
      <c r="A800" s="17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2.75" customHeight="1" x14ac:dyDescent="0.25">
      <c r="A801" s="17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2.75" customHeight="1" x14ac:dyDescent="0.25">
      <c r="A802" s="17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2.75" customHeight="1" x14ac:dyDescent="0.25">
      <c r="A803" s="17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2.75" customHeight="1" x14ac:dyDescent="0.25">
      <c r="A804" s="17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2.75" customHeight="1" x14ac:dyDescent="0.25">
      <c r="A805" s="17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2.75" customHeight="1" x14ac:dyDescent="0.25">
      <c r="A806" s="17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2.75" customHeight="1" x14ac:dyDescent="0.25">
      <c r="A807" s="17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2.75" customHeight="1" x14ac:dyDescent="0.25">
      <c r="A808" s="17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2.75" customHeight="1" x14ac:dyDescent="0.25">
      <c r="A809" s="17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2.75" customHeight="1" x14ac:dyDescent="0.25">
      <c r="A810" s="17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2.75" customHeight="1" x14ac:dyDescent="0.25">
      <c r="A811" s="17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2.75" customHeight="1" x14ac:dyDescent="0.25">
      <c r="A812" s="17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2.75" customHeight="1" x14ac:dyDescent="0.25">
      <c r="A813" s="17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2.75" customHeight="1" x14ac:dyDescent="0.25">
      <c r="A814" s="17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2.75" customHeight="1" x14ac:dyDescent="0.25">
      <c r="A815" s="17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2.75" customHeight="1" x14ac:dyDescent="0.25">
      <c r="A816" s="17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2.75" customHeight="1" x14ac:dyDescent="0.25">
      <c r="A817" s="17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2.75" customHeight="1" x14ac:dyDescent="0.25">
      <c r="A818" s="17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2.75" customHeight="1" x14ac:dyDescent="0.25">
      <c r="A819" s="17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2.75" customHeight="1" x14ac:dyDescent="0.25">
      <c r="A820" s="17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2.75" customHeight="1" x14ac:dyDescent="0.25">
      <c r="A821" s="17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2.75" customHeight="1" x14ac:dyDescent="0.25">
      <c r="A822" s="17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2.75" customHeight="1" x14ac:dyDescent="0.25">
      <c r="A823" s="17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2.75" customHeight="1" x14ac:dyDescent="0.25">
      <c r="A824" s="17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2.75" customHeight="1" x14ac:dyDescent="0.25">
      <c r="A825" s="17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2.75" customHeight="1" x14ac:dyDescent="0.25">
      <c r="A826" s="17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2.75" customHeight="1" x14ac:dyDescent="0.25">
      <c r="A827" s="17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2.75" customHeight="1" x14ac:dyDescent="0.25">
      <c r="A828" s="17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2.75" customHeight="1" x14ac:dyDescent="0.25">
      <c r="A829" s="17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2.75" customHeight="1" x14ac:dyDescent="0.25">
      <c r="A830" s="17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2.75" customHeight="1" x14ac:dyDescent="0.25">
      <c r="A831" s="17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2.75" customHeight="1" x14ac:dyDescent="0.25">
      <c r="A832" s="17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2.75" customHeight="1" x14ac:dyDescent="0.25">
      <c r="A833" s="17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2.75" customHeight="1" x14ac:dyDescent="0.25">
      <c r="A834" s="17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2.75" customHeight="1" x14ac:dyDescent="0.25">
      <c r="A835" s="17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2.75" customHeight="1" x14ac:dyDescent="0.25">
      <c r="A836" s="17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2.75" customHeight="1" x14ac:dyDescent="0.25">
      <c r="A837" s="17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2.75" customHeight="1" x14ac:dyDescent="0.25">
      <c r="A838" s="17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2.75" customHeight="1" x14ac:dyDescent="0.25">
      <c r="A839" s="17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2.75" customHeight="1" x14ac:dyDescent="0.25">
      <c r="A840" s="17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2.75" customHeight="1" x14ac:dyDescent="0.25">
      <c r="A841" s="17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2.75" customHeight="1" x14ac:dyDescent="0.25">
      <c r="A842" s="17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2.75" customHeight="1" x14ac:dyDescent="0.25">
      <c r="A843" s="17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2.75" customHeight="1" x14ac:dyDescent="0.25">
      <c r="A844" s="17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2.75" customHeight="1" x14ac:dyDescent="0.25">
      <c r="A845" s="17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2.75" customHeight="1" x14ac:dyDescent="0.25">
      <c r="A846" s="17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2.75" customHeight="1" x14ac:dyDescent="0.25">
      <c r="A847" s="17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2.75" customHeight="1" x14ac:dyDescent="0.25">
      <c r="A848" s="17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2.75" customHeight="1" x14ac:dyDescent="0.25">
      <c r="A849" s="17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2.75" customHeight="1" x14ac:dyDescent="0.25">
      <c r="A850" s="17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2.75" customHeight="1" x14ac:dyDescent="0.25">
      <c r="A851" s="17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2.75" customHeight="1" x14ac:dyDescent="0.25">
      <c r="A852" s="17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2.75" customHeight="1" x14ac:dyDescent="0.25">
      <c r="A853" s="17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2.75" customHeight="1" x14ac:dyDescent="0.25">
      <c r="A854" s="17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2.75" customHeight="1" x14ac:dyDescent="0.25">
      <c r="A855" s="17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2.75" customHeight="1" x14ac:dyDescent="0.25">
      <c r="A856" s="17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2.75" customHeight="1" x14ac:dyDescent="0.25">
      <c r="A857" s="17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2.75" customHeight="1" x14ac:dyDescent="0.25">
      <c r="A858" s="17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2.75" customHeight="1" x14ac:dyDescent="0.25">
      <c r="A859" s="17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2.75" customHeight="1" x14ac:dyDescent="0.25">
      <c r="A860" s="17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2.75" customHeight="1" x14ac:dyDescent="0.25">
      <c r="A861" s="17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2.75" customHeight="1" x14ac:dyDescent="0.25">
      <c r="A862" s="17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2.75" customHeight="1" x14ac:dyDescent="0.25">
      <c r="A863" s="17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2.75" customHeight="1" x14ac:dyDescent="0.25">
      <c r="A864" s="17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2.75" customHeight="1" x14ac:dyDescent="0.25">
      <c r="A865" s="17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2.75" customHeight="1" x14ac:dyDescent="0.25">
      <c r="A866" s="17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2.75" customHeight="1" x14ac:dyDescent="0.25">
      <c r="A867" s="17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2.75" customHeight="1" x14ac:dyDescent="0.25">
      <c r="A868" s="17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2.75" customHeight="1" x14ac:dyDescent="0.25">
      <c r="A869" s="17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2.75" customHeight="1" x14ac:dyDescent="0.25">
      <c r="A870" s="17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2.75" customHeight="1" x14ac:dyDescent="0.25">
      <c r="A871" s="17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2.75" customHeight="1" x14ac:dyDescent="0.25">
      <c r="A872" s="17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2.75" customHeight="1" x14ac:dyDescent="0.25">
      <c r="A873" s="17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2.75" customHeight="1" x14ac:dyDescent="0.25">
      <c r="A874" s="17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2.75" customHeight="1" x14ac:dyDescent="0.25">
      <c r="A875" s="17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2.75" customHeight="1" x14ac:dyDescent="0.25">
      <c r="A876" s="17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2.75" customHeight="1" x14ac:dyDescent="0.25">
      <c r="A877" s="17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2.75" customHeight="1" x14ac:dyDescent="0.25">
      <c r="A878" s="17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2.75" customHeight="1" x14ac:dyDescent="0.25">
      <c r="A879" s="17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2.75" customHeight="1" x14ac:dyDescent="0.25">
      <c r="A880" s="17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2.75" customHeight="1" x14ac:dyDescent="0.25">
      <c r="A881" s="17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2.75" customHeight="1" x14ac:dyDescent="0.25">
      <c r="A882" s="17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2.75" customHeight="1" x14ac:dyDescent="0.25">
      <c r="A883" s="17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2.75" customHeight="1" x14ac:dyDescent="0.25">
      <c r="A884" s="17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2.75" customHeight="1" x14ac:dyDescent="0.25">
      <c r="A885" s="17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2.75" customHeight="1" x14ac:dyDescent="0.25">
      <c r="A886" s="17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2.75" customHeight="1" x14ac:dyDescent="0.25">
      <c r="A887" s="17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2.75" customHeight="1" x14ac:dyDescent="0.25">
      <c r="A888" s="17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2.75" customHeight="1" x14ac:dyDescent="0.25">
      <c r="A889" s="17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2.75" customHeight="1" x14ac:dyDescent="0.25">
      <c r="A890" s="17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2.75" customHeight="1" x14ac:dyDescent="0.25">
      <c r="A891" s="17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2.75" customHeight="1" x14ac:dyDescent="0.25">
      <c r="A892" s="17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2.75" customHeight="1" x14ac:dyDescent="0.25">
      <c r="A893" s="17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2.75" customHeight="1" x14ac:dyDescent="0.25">
      <c r="A894" s="17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2.75" customHeight="1" x14ac:dyDescent="0.25">
      <c r="A895" s="17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2.75" customHeight="1" x14ac:dyDescent="0.25">
      <c r="A896" s="17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2.75" customHeight="1" x14ac:dyDescent="0.25">
      <c r="A897" s="17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2.75" customHeight="1" x14ac:dyDescent="0.25">
      <c r="A898" s="17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2.75" customHeight="1" x14ac:dyDescent="0.25">
      <c r="A899" s="17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2.75" customHeight="1" x14ac:dyDescent="0.25">
      <c r="A900" s="17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2.75" customHeight="1" x14ac:dyDescent="0.25">
      <c r="A901" s="17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2.75" customHeight="1" x14ac:dyDescent="0.25">
      <c r="A902" s="17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2.75" customHeight="1" x14ac:dyDescent="0.25">
      <c r="A903" s="17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2.75" customHeight="1" x14ac:dyDescent="0.25">
      <c r="A904" s="17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2.75" customHeight="1" x14ac:dyDescent="0.25">
      <c r="A905" s="17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2.75" customHeight="1" x14ac:dyDescent="0.25">
      <c r="A906" s="17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2.75" customHeight="1" x14ac:dyDescent="0.25">
      <c r="A907" s="17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2.75" customHeight="1" x14ac:dyDescent="0.25">
      <c r="A908" s="17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2.75" customHeight="1" x14ac:dyDescent="0.25">
      <c r="A909" s="17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2.75" customHeight="1" x14ac:dyDescent="0.25">
      <c r="A910" s="17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2.75" customHeight="1" x14ac:dyDescent="0.25">
      <c r="A911" s="17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2.75" customHeight="1" x14ac:dyDescent="0.25">
      <c r="A912" s="17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2.75" customHeight="1" x14ac:dyDescent="0.25">
      <c r="A913" s="17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2.75" customHeight="1" x14ac:dyDescent="0.25">
      <c r="A914" s="17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2.75" customHeight="1" x14ac:dyDescent="0.25">
      <c r="A915" s="17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2.75" customHeight="1" x14ac:dyDescent="0.25">
      <c r="A916" s="17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2.75" customHeight="1" x14ac:dyDescent="0.25">
      <c r="A917" s="17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2.75" customHeight="1" x14ac:dyDescent="0.25">
      <c r="A918" s="17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2.75" customHeight="1" x14ac:dyDescent="0.25">
      <c r="A919" s="17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2.75" customHeight="1" x14ac:dyDescent="0.25">
      <c r="A920" s="17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2.75" customHeight="1" x14ac:dyDescent="0.25">
      <c r="A921" s="17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2.75" customHeight="1" x14ac:dyDescent="0.25">
      <c r="A922" s="17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2.75" customHeight="1" x14ac:dyDescent="0.25">
      <c r="A923" s="17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2.75" customHeight="1" x14ac:dyDescent="0.25">
      <c r="A924" s="17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2.75" customHeight="1" x14ac:dyDescent="0.25">
      <c r="A925" s="17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2.75" customHeight="1" x14ac:dyDescent="0.25">
      <c r="A926" s="17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2.75" customHeight="1" x14ac:dyDescent="0.25">
      <c r="A927" s="17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2.75" customHeight="1" x14ac:dyDescent="0.25">
      <c r="A928" s="17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2.75" customHeight="1" x14ac:dyDescent="0.25">
      <c r="A929" s="17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2.75" customHeight="1" x14ac:dyDescent="0.25">
      <c r="A930" s="17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2.75" customHeight="1" x14ac:dyDescent="0.25">
      <c r="A931" s="17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2.75" customHeight="1" x14ac:dyDescent="0.25">
      <c r="A932" s="17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2.75" customHeight="1" x14ac:dyDescent="0.25">
      <c r="A933" s="17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2.75" customHeight="1" x14ac:dyDescent="0.25">
      <c r="A934" s="17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2.75" customHeight="1" x14ac:dyDescent="0.25">
      <c r="A935" s="17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2.75" customHeight="1" x14ac:dyDescent="0.25">
      <c r="A936" s="17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2.75" customHeight="1" x14ac:dyDescent="0.25">
      <c r="A937" s="17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2.75" customHeight="1" x14ac:dyDescent="0.25">
      <c r="A938" s="17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2.75" customHeight="1" x14ac:dyDescent="0.25">
      <c r="A939" s="17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2.75" customHeight="1" x14ac:dyDescent="0.25">
      <c r="A940" s="17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2.75" customHeight="1" x14ac:dyDescent="0.25">
      <c r="A941" s="17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2.75" customHeight="1" x14ac:dyDescent="0.25">
      <c r="A942" s="17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2.75" customHeight="1" x14ac:dyDescent="0.25">
      <c r="A943" s="17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2.75" customHeight="1" x14ac:dyDescent="0.25">
      <c r="A944" s="17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2.75" customHeight="1" x14ac:dyDescent="0.25">
      <c r="A945" s="17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2.75" customHeight="1" x14ac:dyDescent="0.25">
      <c r="A946" s="17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2.75" customHeight="1" x14ac:dyDescent="0.25">
      <c r="A947" s="17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2.75" customHeight="1" x14ac:dyDescent="0.25">
      <c r="A948" s="17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2.75" customHeight="1" x14ac:dyDescent="0.25">
      <c r="A949" s="17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2.75" customHeight="1" x14ac:dyDescent="0.25">
      <c r="A950" s="17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2.75" customHeight="1" x14ac:dyDescent="0.25">
      <c r="A951" s="17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2.75" customHeight="1" x14ac:dyDescent="0.25">
      <c r="A952" s="17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2.75" customHeight="1" x14ac:dyDescent="0.25">
      <c r="A953" s="17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2.75" customHeight="1" x14ac:dyDescent="0.25">
      <c r="A954" s="17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2.75" customHeight="1" x14ac:dyDescent="0.25">
      <c r="A955" s="17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2.75" customHeight="1" x14ac:dyDescent="0.25">
      <c r="A956" s="17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2.75" customHeight="1" x14ac:dyDescent="0.25">
      <c r="A957" s="17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2.75" customHeight="1" x14ac:dyDescent="0.25">
      <c r="A958" s="17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2.75" customHeight="1" x14ac:dyDescent="0.25">
      <c r="A959" s="17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2.75" customHeight="1" x14ac:dyDescent="0.25">
      <c r="A960" s="17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2.75" customHeight="1" x14ac:dyDescent="0.25">
      <c r="A961" s="17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2.75" customHeight="1" x14ac:dyDescent="0.25">
      <c r="A962" s="17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2.75" customHeight="1" x14ac:dyDescent="0.25">
      <c r="A963" s="17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2.75" customHeight="1" x14ac:dyDescent="0.25">
      <c r="A964" s="17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2.75" customHeight="1" x14ac:dyDescent="0.25">
      <c r="A965" s="17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2.75" customHeight="1" x14ac:dyDescent="0.25">
      <c r="A966" s="17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2.75" customHeight="1" x14ac:dyDescent="0.25">
      <c r="A967" s="17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2.75" customHeight="1" x14ac:dyDescent="0.25">
      <c r="A968" s="17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2.75" customHeight="1" x14ac:dyDescent="0.25">
      <c r="A969" s="17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2.75" customHeight="1" x14ac:dyDescent="0.25">
      <c r="A970" s="17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2.75" customHeight="1" x14ac:dyDescent="0.25">
      <c r="A971" s="17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2.75" customHeight="1" x14ac:dyDescent="0.25">
      <c r="A972" s="17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2.75" customHeight="1" x14ac:dyDescent="0.25">
      <c r="A973" s="17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2.75" customHeight="1" x14ac:dyDescent="0.25">
      <c r="A974" s="17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2.75" customHeight="1" x14ac:dyDescent="0.25">
      <c r="A975" s="17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2.75" customHeight="1" x14ac:dyDescent="0.25">
      <c r="A976" s="17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2.75" customHeight="1" x14ac:dyDescent="0.25">
      <c r="A977" s="17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2.75" customHeight="1" x14ac:dyDescent="0.25">
      <c r="A978" s="17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2.75" customHeight="1" x14ac:dyDescent="0.25">
      <c r="A979" s="17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2.75" customHeight="1" x14ac:dyDescent="0.25">
      <c r="A980" s="17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2.75" customHeight="1" x14ac:dyDescent="0.25">
      <c r="A981" s="17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2.75" customHeight="1" x14ac:dyDescent="0.25">
      <c r="A982" s="17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2.75" customHeight="1" x14ac:dyDescent="0.25">
      <c r="A983" s="17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2.75" customHeight="1" x14ac:dyDescent="0.25">
      <c r="A984" s="17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2.75" customHeight="1" x14ac:dyDescent="0.25">
      <c r="A985" s="17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2.75" customHeight="1" x14ac:dyDescent="0.25">
      <c r="A986" s="17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2.75" customHeight="1" x14ac:dyDescent="0.25">
      <c r="A987" s="17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2.75" customHeight="1" x14ac:dyDescent="0.25">
      <c r="A988" s="17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2.75" customHeight="1" x14ac:dyDescent="0.25">
      <c r="A989" s="17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2.75" customHeight="1" x14ac:dyDescent="0.25">
      <c r="A990" s="17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2.75" customHeight="1" x14ac:dyDescent="0.25">
      <c r="A991" s="17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2.75" customHeight="1" x14ac:dyDescent="0.25">
      <c r="A992" s="17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2.75" customHeight="1" x14ac:dyDescent="0.25">
      <c r="A993" s="17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2.75" customHeight="1" x14ac:dyDescent="0.25">
      <c r="A994" s="17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2.75" customHeight="1" x14ac:dyDescent="0.25">
      <c r="A995" s="17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2.75" customHeight="1" x14ac:dyDescent="0.25">
      <c r="A996" s="17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2.75" customHeight="1" x14ac:dyDescent="0.25">
      <c r="A997" s="17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2.75" customHeight="1" x14ac:dyDescent="0.25">
      <c r="A998" s="17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2.75" customHeight="1" x14ac:dyDescent="0.25">
      <c r="A999" s="17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2.75" customHeight="1" x14ac:dyDescent="0.25">
      <c r="A1000" s="17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33">
    <mergeCell ref="A159:F159"/>
    <mergeCell ref="A96:C96"/>
    <mergeCell ref="A104:F104"/>
    <mergeCell ref="A105:F105"/>
    <mergeCell ref="A106:F106"/>
    <mergeCell ref="A132:G132"/>
    <mergeCell ref="A133:G133"/>
    <mergeCell ref="A142:F142"/>
    <mergeCell ref="E96:G96"/>
    <mergeCell ref="A143:F143"/>
    <mergeCell ref="A144:F144"/>
    <mergeCell ref="A157:F157"/>
    <mergeCell ref="A158:F158"/>
    <mergeCell ref="A74:F74"/>
    <mergeCell ref="A94:C94"/>
    <mergeCell ref="E94:G94"/>
    <mergeCell ref="A95:C95"/>
    <mergeCell ref="E95:G95"/>
    <mergeCell ref="E63:F63"/>
    <mergeCell ref="C67:Q67"/>
    <mergeCell ref="C68:Q68"/>
    <mergeCell ref="A72:F72"/>
    <mergeCell ref="A73:F73"/>
    <mergeCell ref="A41:G41"/>
    <mergeCell ref="J42:AG42"/>
    <mergeCell ref="A51:B51"/>
    <mergeCell ref="A58:B58"/>
    <mergeCell ref="A62:B62"/>
    <mergeCell ref="F1:H1"/>
    <mergeCell ref="B13:E13"/>
    <mergeCell ref="A14:G14"/>
    <mergeCell ref="A25:G25"/>
    <mergeCell ref="A33:B33"/>
  </mergeCells>
  <pageMargins left="0.39370078740157483" right="0.35433070866141736" top="0.39370078740157483" bottom="0.98425196850393704" header="0" footer="0"/>
  <pageSetup paperSize="9" orientation="landscape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6</xdr:col>
                <xdr:colOff>85725</xdr:colOff>
                <xdr:row>134</xdr:row>
                <xdr:rowOff>38100</xdr:rowOff>
              </from>
              <to>
                <xdr:col>7</xdr:col>
                <xdr:colOff>466725</xdr:colOff>
                <xdr:row>137</xdr:row>
                <xdr:rowOff>38100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36" zoomScale="192" workbookViewId="0">
      <selection activeCell="C115" sqref="C115"/>
    </sheetView>
  </sheetViews>
  <sheetFormatPr baseColWidth="10" defaultColWidth="14.42578125" defaultRowHeight="15" customHeight="1" x14ac:dyDescent="0.25"/>
  <cols>
    <col min="1" max="1" width="47.7109375" customWidth="1"/>
    <col min="2" max="3" width="12" customWidth="1"/>
    <col min="4" max="4" width="11.140625" customWidth="1"/>
    <col min="5" max="5" width="9.42578125" customWidth="1"/>
    <col min="6" max="6" width="10.85546875" customWidth="1"/>
    <col min="7" max="7" width="13.42578125" customWidth="1"/>
    <col min="8" max="10" width="11.42578125" customWidth="1"/>
    <col min="11" max="11" width="12.7109375" customWidth="1"/>
    <col min="12" max="27" width="11.42578125" customWidth="1"/>
  </cols>
  <sheetData>
    <row r="1" spans="1:27" ht="12.75" customHeight="1" x14ac:dyDescent="0.25">
      <c r="A1" s="1" t="s">
        <v>0</v>
      </c>
      <c r="B1" s="2"/>
      <c r="C1" s="2"/>
      <c r="D1" s="3" t="s">
        <v>1</v>
      </c>
      <c r="E1" s="2"/>
      <c r="F1" s="347" t="s">
        <v>180</v>
      </c>
      <c r="G1" s="348"/>
      <c r="H1" s="3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5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25">
      <c r="A3" s="4" t="s">
        <v>4</v>
      </c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5">
      <c r="A4" s="4" t="s">
        <v>5</v>
      </c>
      <c r="B4" s="5"/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5">
      <c r="A5" s="6" t="s">
        <v>6</v>
      </c>
      <c r="B5" s="5"/>
      <c r="C5" s="5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5">
      <c r="A6" s="198" t="s">
        <v>8</v>
      </c>
      <c r="B6" s="8" t="s">
        <v>9</v>
      </c>
      <c r="C6" s="9"/>
      <c r="D6" s="10"/>
      <c r="E6" s="9"/>
      <c r="F6" s="9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25">
      <c r="A7" s="199">
        <f>+C16</f>
        <v>1</v>
      </c>
      <c r="B7" s="14">
        <v>0</v>
      </c>
      <c r="C7" s="9"/>
      <c r="D7" s="15"/>
      <c r="E7" s="9"/>
      <c r="F7" s="9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5">
      <c r="A8" s="199">
        <f t="shared" ref="A8:A11" si="0">+A7+1</f>
        <v>2</v>
      </c>
      <c r="B8" s="14">
        <v>0</v>
      </c>
      <c r="C8" s="9"/>
      <c r="D8" s="15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5">
      <c r="A9" s="199">
        <f t="shared" si="0"/>
        <v>3</v>
      </c>
      <c r="B9" s="14">
        <v>0</v>
      </c>
      <c r="C9" s="9"/>
      <c r="D9" s="15"/>
      <c r="E9" s="9"/>
      <c r="F9" s="9"/>
      <c r="G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1.25" customHeight="1" x14ac:dyDescent="0.25">
      <c r="A10" s="199">
        <f t="shared" si="0"/>
        <v>4</v>
      </c>
      <c r="B10" s="14">
        <v>0</v>
      </c>
      <c r="C10" s="9"/>
      <c r="D10" s="15"/>
      <c r="E10" s="9"/>
      <c r="F10" s="9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9.75" customHeight="1" x14ac:dyDescent="0.25">
      <c r="A11" s="200">
        <f t="shared" si="0"/>
        <v>5</v>
      </c>
      <c r="B11" s="21">
        <v>0</v>
      </c>
      <c r="C11" s="9"/>
      <c r="D11" s="15"/>
      <c r="E11" s="9"/>
      <c r="F11" s="9"/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9.75" customHeight="1" x14ac:dyDescent="0.25">
      <c r="A12" s="22"/>
      <c r="B12" s="23"/>
      <c r="C12" s="9"/>
      <c r="D12" s="15"/>
      <c r="E12" s="9"/>
      <c r="F12" s="9"/>
      <c r="G12" s="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25">
      <c r="A13" s="5"/>
      <c r="B13" s="350" t="s">
        <v>21</v>
      </c>
      <c r="C13" s="351"/>
      <c r="D13" s="351"/>
      <c r="E13" s="35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5">
      <c r="A14" s="352" t="s">
        <v>23</v>
      </c>
      <c r="B14" s="353"/>
      <c r="C14" s="353"/>
      <c r="D14" s="353"/>
      <c r="E14" s="353"/>
      <c r="F14" s="353"/>
      <c r="G14" s="35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5">
      <c r="A15" s="24"/>
      <c r="B15" s="24" t="str">
        <f>+F1</f>
        <v>Millonesde pesos</v>
      </c>
      <c r="C15" s="24"/>
      <c r="D15" s="24"/>
      <c r="E15" s="24"/>
      <c r="F15" s="24"/>
      <c r="G15" s="2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5">
      <c r="A16" s="25" t="s">
        <v>8</v>
      </c>
      <c r="B16" s="26">
        <v>0</v>
      </c>
      <c r="C16" s="26">
        <f t="shared" ref="C16:G16" si="1">+B16+1</f>
        <v>1</v>
      </c>
      <c r="D16" s="26">
        <f t="shared" si="1"/>
        <v>2</v>
      </c>
      <c r="E16" s="26">
        <f t="shared" si="1"/>
        <v>3</v>
      </c>
      <c r="F16" s="27">
        <f t="shared" si="1"/>
        <v>4</v>
      </c>
      <c r="G16" s="27">
        <f t="shared" si="1"/>
        <v>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2.75" customHeight="1" x14ac:dyDescent="0.25">
      <c r="A17" s="28" t="s">
        <v>27</v>
      </c>
      <c r="B17" s="29"/>
      <c r="C17" s="30"/>
      <c r="D17" s="30"/>
      <c r="E17" s="30"/>
      <c r="F17" s="30"/>
      <c r="G17" s="3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25">
      <c r="A18" s="32" t="s">
        <v>28</v>
      </c>
      <c r="B18" s="33"/>
      <c r="C18" s="34"/>
      <c r="D18" s="34"/>
      <c r="E18" s="34"/>
      <c r="F18" s="34"/>
      <c r="G18" s="3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5">
      <c r="A19" s="36" t="s">
        <v>29</v>
      </c>
      <c r="B19" s="37"/>
      <c r="C19" s="38">
        <v>0.62</v>
      </c>
      <c r="D19" s="38">
        <v>0.62</v>
      </c>
      <c r="E19" s="38">
        <v>0.7</v>
      </c>
      <c r="F19" s="38">
        <v>0.7</v>
      </c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2" customHeight="1" x14ac:dyDescent="0.25">
      <c r="A20" s="41" t="s">
        <v>30</v>
      </c>
      <c r="B20" s="34">
        <v>660</v>
      </c>
      <c r="C20" s="79">
        <f t="shared" ref="C20:F20" si="2">+B20</f>
        <v>660</v>
      </c>
      <c r="D20" s="79">
        <f t="shared" si="2"/>
        <v>660</v>
      </c>
      <c r="E20" s="79">
        <f t="shared" si="2"/>
        <v>660</v>
      </c>
      <c r="F20" s="79">
        <f t="shared" si="2"/>
        <v>660</v>
      </c>
      <c r="G20" s="4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 x14ac:dyDescent="0.25">
      <c r="A21" s="44" t="s">
        <v>31</v>
      </c>
      <c r="B21" s="45"/>
      <c r="C21" s="46">
        <f t="shared" ref="C21:F21" si="3">+C19*C20</f>
        <v>409.2</v>
      </c>
      <c r="D21" s="46">
        <f t="shared" si="3"/>
        <v>409.2</v>
      </c>
      <c r="E21" s="46">
        <f t="shared" si="3"/>
        <v>461.99999999999994</v>
      </c>
      <c r="F21" s="46">
        <f t="shared" si="3"/>
        <v>461.99999999999994</v>
      </c>
      <c r="G21" s="4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25">
      <c r="A22" s="48" t="s">
        <v>32</v>
      </c>
      <c r="B22" s="49"/>
      <c r="C22" s="50"/>
      <c r="D22" s="50"/>
      <c r="E22" s="50"/>
      <c r="F22" s="50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 x14ac:dyDescent="0.25">
      <c r="A23" s="52"/>
      <c r="B23" s="53"/>
      <c r="C23" s="54"/>
      <c r="D23" s="54"/>
      <c r="E23" s="54"/>
      <c r="F23" s="54"/>
      <c r="G23" s="5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 x14ac:dyDescent="0.25">
      <c r="A24" s="5"/>
      <c r="B24" s="5" t="s">
        <v>33</v>
      </c>
      <c r="C24" s="9"/>
      <c r="D24" s="9"/>
      <c r="E24" s="9"/>
      <c r="F24" s="9"/>
      <c r="G24" s="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 x14ac:dyDescent="0.25">
      <c r="A25" s="355" t="s">
        <v>34</v>
      </c>
      <c r="B25" s="356"/>
      <c r="C25" s="356"/>
      <c r="D25" s="356"/>
      <c r="E25" s="356"/>
      <c r="F25" s="356"/>
      <c r="G25" s="35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 x14ac:dyDescent="0.25">
      <c r="A26" s="28" t="s">
        <v>35</v>
      </c>
      <c r="B26" s="30">
        <v>300</v>
      </c>
      <c r="C26" s="55"/>
      <c r="D26" s="55"/>
      <c r="E26" s="55"/>
      <c r="F26" s="56"/>
      <c r="G26" s="56"/>
      <c r="H26" s="57"/>
      <c r="J26" s="5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 x14ac:dyDescent="0.25">
      <c r="A27" s="32" t="s">
        <v>36</v>
      </c>
      <c r="B27" s="34">
        <v>100</v>
      </c>
      <c r="C27" s="58"/>
      <c r="D27" s="58"/>
      <c r="E27" s="58"/>
      <c r="F27" s="59"/>
      <c r="G27" s="59"/>
      <c r="H27" s="57"/>
      <c r="J27" s="5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25">
      <c r="A28" s="32" t="s">
        <v>37</v>
      </c>
      <c r="B28" s="34">
        <v>150</v>
      </c>
      <c r="C28" s="58"/>
      <c r="D28" s="58"/>
      <c r="E28" s="58"/>
      <c r="F28" s="59"/>
      <c r="G28" s="59"/>
      <c r="H28" s="57"/>
      <c r="L28" s="5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25">
      <c r="A29" s="60" t="s">
        <v>38</v>
      </c>
      <c r="B29" s="61">
        <v>80</v>
      </c>
      <c r="C29" s="62"/>
      <c r="D29" s="62"/>
      <c r="E29" s="62"/>
      <c r="F29" s="63"/>
      <c r="G29" s="63"/>
      <c r="H29" s="57"/>
      <c r="J29" s="57"/>
      <c r="K29" s="6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25">
      <c r="A30" s="65" t="s">
        <v>39</v>
      </c>
      <c r="B30" s="66">
        <f>SUM(B26:B29)</f>
        <v>630</v>
      </c>
      <c r="C30" s="67"/>
      <c r="D30" s="67"/>
      <c r="E30" s="67"/>
      <c r="F30" s="67"/>
      <c r="G30" s="68"/>
      <c r="H30" s="57"/>
      <c r="M30" s="5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25">
      <c r="A31" s="69"/>
      <c r="B31" s="70"/>
      <c r="C31" s="54"/>
      <c r="D31" s="54"/>
      <c r="E31" s="54"/>
      <c r="F31" s="54"/>
      <c r="G31" s="5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25">
      <c r="A32" s="71" t="s">
        <v>40</v>
      </c>
      <c r="B32" s="72"/>
      <c r="C32" s="54"/>
      <c r="D32" s="54"/>
      <c r="E32" s="54"/>
      <c r="F32" s="54"/>
      <c r="G32" s="5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355" t="s">
        <v>41</v>
      </c>
      <c r="B33" s="357"/>
      <c r="C33" s="54"/>
      <c r="D33" s="54"/>
      <c r="E33" s="54"/>
      <c r="F33" s="54"/>
      <c r="G33" s="5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25">
      <c r="A34" s="28" t="s">
        <v>42</v>
      </c>
      <c r="B34" s="73">
        <v>5</v>
      </c>
      <c r="C34" s="9"/>
      <c r="D34" s="9"/>
      <c r="E34" s="9"/>
      <c r="F34" s="9"/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25">
      <c r="A35" s="32" t="s">
        <v>43</v>
      </c>
      <c r="B35" s="74">
        <v>4</v>
      </c>
      <c r="C35" s="9"/>
      <c r="D35" s="9"/>
      <c r="E35" s="9"/>
      <c r="F35" s="9"/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25">
      <c r="A36" s="32" t="s">
        <v>44</v>
      </c>
      <c r="B36" s="74"/>
      <c r="C36" s="9"/>
      <c r="D36" s="9"/>
      <c r="E36" s="9"/>
      <c r="F36" s="9"/>
      <c r="G36" s="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25">
      <c r="A37" s="32" t="s">
        <v>45</v>
      </c>
      <c r="B37" s="74"/>
      <c r="C37" s="9"/>
      <c r="D37" s="9"/>
      <c r="E37" s="9"/>
      <c r="F37" s="9"/>
      <c r="G37" s="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x14ac:dyDescent="0.25">
      <c r="A38" s="75" t="s">
        <v>46</v>
      </c>
      <c r="B38" s="76"/>
      <c r="C38" s="9"/>
      <c r="D38" s="9"/>
      <c r="E38" s="9"/>
      <c r="F38" s="9"/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 x14ac:dyDescent="0.25">
      <c r="A39" s="5"/>
      <c r="B39" s="5"/>
      <c r="C39" s="9"/>
      <c r="D39" s="9"/>
      <c r="E39" s="9"/>
      <c r="F39" s="9"/>
      <c r="G39" s="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 x14ac:dyDescent="0.25">
      <c r="A40" s="2"/>
      <c r="B40" s="2" t="s">
        <v>47</v>
      </c>
      <c r="C40" s="9"/>
      <c r="D40" s="9"/>
      <c r="E40" s="9"/>
      <c r="F40" s="9"/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25">
      <c r="A41" s="355" t="s">
        <v>48</v>
      </c>
      <c r="B41" s="356"/>
      <c r="C41" s="356"/>
      <c r="D41" s="356"/>
      <c r="E41" s="356"/>
      <c r="F41" s="356"/>
      <c r="G41" s="35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25">
      <c r="A42" s="77" t="s">
        <v>8</v>
      </c>
      <c r="B42" s="26">
        <v>0</v>
      </c>
      <c r="C42" s="26">
        <f t="shared" ref="C42:G42" si="4">+B42+1</f>
        <v>1</v>
      </c>
      <c r="D42" s="26">
        <f t="shared" si="4"/>
        <v>2</v>
      </c>
      <c r="E42" s="26">
        <f t="shared" si="4"/>
        <v>3</v>
      </c>
      <c r="F42" s="27">
        <f t="shared" si="4"/>
        <v>4</v>
      </c>
      <c r="G42" s="27">
        <f t="shared" si="4"/>
        <v>5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2.75" customHeight="1" x14ac:dyDescent="0.25">
      <c r="A43" s="78" t="s">
        <v>49</v>
      </c>
      <c r="B43" s="34">
        <v>265</v>
      </c>
      <c r="C43" s="79">
        <f t="shared" ref="C43:F43" si="5">+B43</f>
        <v>265</v>
      </c>
      <c r="D43" s="79">
        <f t="shared" si="5"/>
        <v>265</v>
      </c>
      <c r="E43" s="79">
        <f t="shared" si="5"/>
        <v>265</v>
      </c>
      <c r="F43" s="79">
        <f t="shared" si="5"/>
        <v>265</v>
      </c>
      <c r="G43" s="7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78" t="s">
        <v>50</v>
      </c>
      <c r="B44" s="34"/>
      <c r="C44" s="79">
        <f>+C43*C19</f>
        <v>164.3</v>
      </c>
      <c r="D44" s="79">
        <f t="shared" ref="D44:F44" si="6">+D43*D19</f>
        <v>164.3</v>
      </c>
      <c r="E44" s="79">
        <f t="shared" si="6"/>
        <v>185.5</v>
      </c>
      <c r="F44" s="79">
        <f t="shared" si="6"/>
        <v>185.5</v>
      </c>
      <c r="G44" s="7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5">
      <c r="A45" s="78" t="s">
        <v>51</v>
      </c>
      <c r="B45" s="34">
        <v>85</v>
      </c>
      <c r="C45" s="79">
        <f t="shared" ref="C45:F45" si="7">+B45</f>
        <v>85</v>
      </c>
      <c r="D45" s="79">
        <f t="shared" si="7"/>
        <v>85</v>
      </c>
      <c r="E45" s="79">
        <f t="shared" si="7"/>
        <v>85</v>
      </c>
      <c r="F45" s="79">
        <f t="shared" si="7"/>
        <v>85</v>
      </c>
      <c r="G45" s="7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5">
      <c r="A46" s="78" t="s">
        <v>52</v>
      </c>
      <c r="B46" s="34">
        <v>20</v>
      </c>
      <c r="C46" s="79">
        <f t="shared" ref="C46:F46" si="8">+B46</f>
        <v>20</v>
      </c>
      <c r="D46" s="79">
        <f t="shared" si="8"/>
        <v>20</v>
      </c>
      <c r="E46" s="79">
        <f t="shared" si="8"/>
        <v>20</v>
      </c>
      <c r="F46" s="79">
        <f t="shared" si="8"/>
        <v>20</v>
      </c>
      <c r="G46" s="7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5">
      <c r="A47" s="80" t="s">
        <v>53</v>
      </c>
      <c r="B47" s="201"/>
      <c r="C47" s="5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5">
      <c r="A48" s="78" t="s">
        <v>54</v>
      </c>
      <c r="B48" s="34">
        <v>278.52</v>
      </c>
      <c r="C48" s="5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5">
      <c r="A49" s="5"/>
      <c r="B49" s="82"/>
      <c r="C49" s="5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5">
      <c r="A50" s="52" t="s">
        <v>55</v>
      </c>
      <c r="B50" s="2"/>
      <c r="C50" s="5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5">
      <c r="A51" s="355" t="s">
        <v>56</v>
      </c>
      <c r="B51" s="358"/>
      <c r="C51" s="5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5">
      <c r="A52" s="83" t="s">
        <v>57</v>
      </c>
      <c r="B52" s="84">
        <v>90</v>
      </c>
      <c r="C52" s="5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5">
      <c r="A53" s="83" t="s">
        <v>58</v>
      </c>
      <c r="B53" s="85">
        <v>0.2</v>
      </c>
      <c r="C53" s="52" t="s">
        <v>59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5">
      <c r="A54" s="83" t="s">
        <v>60</v>
      </c>
      <c r="B54" s="86" t="s">
        <v>61</v>
      </c>
      <c r="C54" s="5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5">
      <c r="A55" s="83" t="s">
        <v>62</v>
      </c>
      <c r="B55" s="87">
        <v>4</v>
      </c>
      <c r="C55" s="5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5">
      <c r="A56" s="5"/>
      <c r="B56" s="88"/>
      <c r="C56" s="5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5">
      <c r="A57" s="5" t="s">
        <v>63</v>
      </c>
      <c r="B57" s="88"/>
      <c r="C57" s="5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5">
      <c r="A58" s="355" t="s">
        <v>64</v>
      </c>
      <c r="B58" s="358"/>
      <c r="C58" s="5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5">
      <c r="A59" s="83" t="s">
        <v>65</v>
      </c>
      <c r="B59" s="85">
        <v>0.34</v>
      </c>
      <c r="C59" s="5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5">
      <c r="A60" s="5"/>
      <c r="B60" s="89"/>
      <c r="C60" s="5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5" t="s">
        <v>66</v>
      </c>
      <c r="B61" s="89"/>
      <c r="C61" s="5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359" t="s">
        <v>67</v>
      </c>
      <c r="B62" s="360"/>
      <c r="C62" s="5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7.25" customHeight="1" x14ac:dyDescent="0.25">
      <c r="A63" s="83" t="s">
        <v>68</v>
      </c>
      <c r="B63" s="90">
        <v>0.18</v>
      </c>
      <c r="C63" s="52"/>
      <c r="D63" s="2"/>
      <c r="E63" s="361"/>
      <c r="F63" s="35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83" t="s">
        <v>69</v>
      </c>
      <c r="B64" s="9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83" t="s">
        <v>71</v>
      </c>
      <c r="B65" s="90"/>
      <c r="C65" s="5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83" t="s">
        <v>72</v>
      </c>
      <c r="B66" s="90"/>
      <c r="C66" s="5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5">
      <c r="A67" s="83" t="s">
        <v>181</v>
      </c>
      <c r="B67" s="93"/>
      <c r="C67" s="362"/>
      <c r="D67" s="351"/>
      <c r="E67" s="351"/>
      <c r="F67" s="35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5">
      <c r="A68" s="83" t="s">
        <v>182</v>
      </c>
      <c r="B68" s="93"/>
      <c r="C68" s="8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5">
      <c r="A69" s="83" t="s">
        <v>77</v>
      </c>
      <c r="B69" s="94"/>
      <c r="C69" s="8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5">
      <c r="A70" s="5"/>
      <c r="B70" s="95"/>
      <c r="C70" s="8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9.75" customHeight="1" x14ac:dyDescent="0.25">
      <c r="A71" s="2"/>
      <c r="B71" s="9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364" t="s">
        <v>78</v>
      </c>
      <c r="B72" s="351"/>
      <c r="C72" s="351"/>
      <c r="D72" s="351"/>
      <c r="E72" s="351"/>
      <c r="F72" s="35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364" t="s">
        <v>79</v>
      </c>
      <c r="B73" s="351"/>
      <c r="C73" s="351"/>
      <c r="D73" s="351"/>
      <c r="E73" s="351"/>
      <c r="F73" s="35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364" t="str">
        <f>+F1</f>
        <v>Millonesde pesos</v>
      </c>
      <c r="B74" s="351"/>
      <c r="C74" s="351"/>
      <c r="D74" s="351"/>
      <c r="E74" s="351"/>
      <c r="F74" s="35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97" t="s">
        <v>80</v>
      </c>
      <c r="B75" s="98">
        <v>0</v>
      </c>
      <c r="C75" s="98">
        <f t="shared" ref="C75:F75" si="9">+B75+1</f>
        <v>1</v>
      </c>
      <c r="D75" s="98">
        <f t="shared" si="9"/>
        <v>2</v>
      </c>
      <c r="E75" s="98">
        <f t="shared" si="9"/>
        <v>3</v>
      </c>
      <c r="F75" s="98">
        <f t="shared" si="9"/>
        <v>4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30.75" customHeight="1" x14ac:dyDescent="0.25">
      <c r="A76" s="99" t="s">
        <v>81</v>
      </c>
      <c r="B76" s="45"/>
      <c r="C76" s="202">
        <f t="shared" ref="C76:F76" si="10">+C21</f>
        <v>409.2</v>
      </c>
      <c r="D76" s="202">
        <f t="shared" si="10"/>
        <v>409.2</v>
      </c>
      <c r="E76" s="202">
        <f t="shared" si="10"/>
        <v>461.99999999999994</v>
      </c>
      <c r="F76" s="202">
        <f t="shared" si="10"/>
        <v>461.99999999999994</v>
      </c>
      <c r="G76" s="5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101" t="s">
        <v>82</v>
      </c>
      <c r="B77" s="45"/>
      <c r="C77" s="108">
        <f t="shared" ref="C77:F77" si="11">+C44</f>
        <v>164.3</v>
      </c>
      <c r="D77" s="108">
        <f t="shared" si="11"/>
        <v>164.3</v>
      </c>
      <c r="E77" s="108">
        <f t="shared" si="11"/>
        <v>185.5</v>
      </c>
      <c r="F77" s="108">
        <f t="shared" si="11"/>
        <v>185.5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101" t="s">
        <v>83</v>
      </c>
      <c r="B78" s="45"/>
      <c r="C78" s="141">
        <f t="shared" ref="C78:F78" si="12">+C45</f>
        <v>85</v>
      </c>
      <c r="D78" s="141">
        <f t="shared" si="12"/>
        <v>85</v>
      </c>
      <c r="E78" s="141">
        <f t="shared" si="12"/>
        <v>85</v>
      </c>
      <c r="F78" s="141">
        <f t="shared" si="12"/>
        <v>85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101" t="s">
        <v>84</v>
      </c>
      <c r="B79" s="45"/>
      <c r="C79" s="141">
        <f t="shared" ref="C79:F79" si="13">+C46</f>
        <v>20</v>
      </c>
      <c r="D79" s="141">
        <f t="shared" si="13"/>
        <v>20</v>
      </c>
      <c r="E79" s="141">
        <f t="shared" si="13"/>
        <v>20</v>
      </c>
      <c r="F79" s="141">
        <f t="shared" si="13"/>
        <v>20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104" t="s">
        <v>85</v>
      </c>
      <c r="B80" s="105"/>
      <c r="C80" s="106">
        <f t="shared" ref="C80:F80" si="14">+C76-C77-C78-C79</f>
        <v>139.89999999999998</v>
      </c>
      <c r="D80" s="106">
        <f t="shared" si="14"/>
        <v>139.89999999999998</v>
      </c>
      <c r="E80" s="106">
        <f t="shared" si="14"/>
        <v>171.49999999999994</v>
      </c>
      <c r="F80" s="106">
        <f t="shared" si="14"/>
        <v>171.49999999999994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107" t="s">
        <v>86</v>
      </c>
      <c r="B81" s="108">
        <f t="shared" ref="B81:B84" si="15">+B26</f>
        <v>300</v>
      </c>
      <c r="C81" s="109"/>
      <c r="D81" s="109"/>
      <c r="E81" s="109"/>
      <c r="F81" s="10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107" t="s">
        <v>87</v>
      </c>
      <c r="B82" s="108">
        <f t="shared" si="15"/>
        <v>100</v>
      </c>
      <c r="C82" s="109"/>
      <c r="D82" s="109"/>
      <c r="E82" s="109"/>
      <c r="F82" s="10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107" t="s">
        <v>88</v>
      </c>
      <c r="B83" s="108">
        <f t="shared" si="15"/>
        <v>150</v>
      </c>
      <c r="C83" s="109"/>
      <c r="D83" s="109"/>
      <c r="E83" s="109"/>
      <c r="F83" s="10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107" t="s">
        <v>89</v>
      </c>
      <c r="B84" s="108">
        <f t="shared" si="15"/>
        <v>80</v>
      </c>
      <c r="C84" s="109"/>
      <c r="D84" s="109"/>
      <c r="E84" s="109"/>
      <c r="F84" s="10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110" t="s">
        <v>90</v>
      </c>
      <c r="B85" s="108"/>
      <c r="C85" s="109"/>
      <c r="D85" s="109"/>
      <c r="E85" s="109"/>
      <c r="F85" s="111"/>
      <c r="G85" s="2" t="s">
        <v>91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110" t="s">
        <v>92</v>
      </c>
      <c r="B86" s="108"/>
      <c r="C86" s="112"/>
      <c r="D86" s="112"/>
      <c r="E86" s="112"/>
      <c r="F86" s="112">
        <f>+B48</f>
        <v>278.52</v>
      </c>
      <c r="G86" s="5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114" t="s">
        <v>93</v>
      </c>
      <c r="B87" s="115">
        <f t="shared" ref="B87:F87" si="16">+B80-B81-B82-B83-B84+B85+B86</f>
        <v>-630</v>
      </c>
      <c r="C87" s="115">
        <f t="shared" si="16"/>
        <v>139.89999999999998</v>
      </c>
      <c r="D87" s="115">
        <f t="shared" si="16"/>
        <v>139.89999999999998</v>
      </c>
      <c r="E87" s="115">
        <f t="shared" si="16"/>
        <v>171.49999999999994</v>
      </c>
      <c r="F87" s="115">
        <f t="shared" si="16"/>
        <v>450.01999999999992</v>
      </c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</row>
    <row r="88" spans="1:27" ht="12.75" customHeight="1" x14ac:dyDescent="0.25">
      <c r="A88" s="117" t="s">
        <v>94</v>
      </c>
      <c r="B88" s="112"/>
      <c r="C88" s="112">
        <f>+C87/(1+$B$63)</f>
        <v>118.5593220338983</v>
      </c>
      <c r="D88" s="79">
        <f>+D87/((1+$B$63)*(1+B63))</f>
        <v>100.47400172364263</v>
      </c>
      <c r="E88" s="79">
        <f>+E87/((1+$B$63)*(1+$B$63)*(1+$B$63))</f>
        <v>104.38019466449829</v>
      </c>
      <c r="F88" s="79">
        <f>+F87/((1+$B$63)*(1+$B$63)*(1+$B$63)*(1+$B$63))</f>
        <v>232.11530959587651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117" t="s">
        <v>95</v>
      </c>
      <c r="B89" s="112"/>
      <c r="C89" s="112">
        <f>+C88</f>
        <v>118.5593220338983</v>
      </c>
      <c r="D89" s="118">
        <f t="shared" ref="D89:F89" si="17">+C89+D88</f>
        <v>219.03332375754093</v>
      </c>
      <c r="E89" s="118">
        <f t="shared" si="17"/>
        <v>323.4135184220392</v>
      </c>
      <c r="F89" s="118">
        <f t="shared" si="17"/>
        <v>555.52882801791566</v>
      </c>
      <c r="G89" s="2" t="s">
        <v>96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117" t="s">
        <v>97</v>
      </c>
      <c r="B90" s="171">
        <f>IRR(B87:F87)</f>
        <v>0.128894197634426</v>
      </c>
      <c r="C90" s="96"/>
      <c r="D90" s="2"/>
      <c r="E90" s="120"/>
      <c r="F90" s="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117" t="s">
        <v>99</v>
      </c>
      <c r="B91" s="203">
        <f t="array" ref="B91">+NPV(B63,C87:F87)+B87</f>
        <v>-74.471171982084229</v>
      </c>
      <c r="C91" s="2"/>
      <c r="D91" s="52"/>
      <c r="E91" s="120"/>
      <c r="F91" s="12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1"/>
      <c r="B92" s="122"/>
      <c r="C92" s="2"/>
      <c r="D92" s="2"/>
      <c r="E92" s="120"/>
      <c r="F92" s="12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5">
      <c r="A93" s="1"/>
      <c r="B93" s="122"/>
      <c r="C93" s="2"/>
      <c r="D93" s="2"/>
      <c r="E93" s="120"/>
      <c r="F93" s="12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9.25" customHeight="1" x14ac:dyDescent="0.25">
      <c r="A94" s="364" t="s">
        <v>100</v>
      </c>
      <c r="B94" s="351"/>
      <c r="C94" s="351"/>
      <c r="D94" s="2"/>
      <c r="E94" s="365" t="s">
        <v>101</v>
      </c>
      <c r="F94" s="351"/>
      <c r="G94" s="35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364" t="s">
        <v>102</v>
      </c>
      <c r="B95" s="351"/>
      <c r="C95" s="351"/>
      <c r="D95" s="2"/>
      <c r="E95" s="350" t="s">
        <v>103</v>
      </c>
      <c r="F95" s="351"/>
      <c r="G95" s="35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366" t="s">
        <v>104</v>
      </c>
      <c r="B96" s="353"/>
      <c r="C96" s="354"/>
      <c r="D96" s="2"/>
      <c r="E96" s="369" t="s">
        <v>104</v>
      </c>
      <c r="F96" s="348"/>
      <c r="G96" s="34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123" t="s">
        <v>105</v>
      </c>
      <c r="B97" s="124" t="s">
        <v>106</v>
      </c>
      <c r="C97" s="125" t="s">
        <v>107</v>
      </c>
      <c r="D97" s="2"/>
      <c r="E97" s="126" t="s">
        <v>105</v>
      </c>
      <c r="F97" s="126" t="s">
        <v>108</v>
      </c>
      <c r="G97" s="126" t="s">
        <v>109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127">
        <v>1</v>
      </c>
      <c r="B98" s="112">
        <f t="shared" ref="B98:B101" si="18">+B$26/$B$34</f>
        <v>60</v>
      </c>
      <c r="C98" s="112"/>
      <c r="D98" s="2"/>
      <c r="E98" s="83">
        <v>1</v>
      </c>
      <c r="F98" s="112">
        <f t="shared" ref="F98:F101" si="19">+B$27/B$35</f>
        <v>25</v>
      </c>
      <c r="G98" s="11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127">
        <f t="shared" ref="A99:A101" si="20">A98+1</f>
        <v>2</v>
      </c>
      <c r="B99" s="112">
        <f t="shared" si="18"/>
        <v>60</v>
      </c>
      <c r="C99" s="112"/>
      <c r="D99" s="2"/>
      <c r="E99" s="83">
        <f t="shared" ref="E99:E101" si="21">E98+1</f>
        <v>2</v>
      </c>
      <c r="F99" s="112">
        <f t="shared" si="19"/>
        <v>25</v>
      </c>
      <c r="G99" s="11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127">
        <f t="shared" si="20"/>
        <v>3</v>
      </c>
      <c r="B100" s="112">
        <f t="shared" si="18"/>
        <v>60</v>
      </c>
      <c r="C100" s="112"/>
      <c r="D100" s="2"/>
      <c r="E100" s="83">
        <f t="shared" si="21"/>
        <v>3</v>
      </c>
      <c r="F100" s="112">
        <f t="shared" si="19"/>
        <v>25</v>
      </c>
      <c r="G100" s="11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127">
        <f t="shared" si="20"/>
        <v>4</v>
      </c>
      <c r="B101" s="112">
        <f t="shared" si="18"/>
        <v>60</v>
      </c>
      <c r="C101" s="112"/>
      <c r="D101" s="2"/>
      <c r="E101" s="83">
        <f t="shared" si="21"/>
        <v>4</v>
      </c>
      <c r="F101" s="112">
        <f t="shared" si="19"/>
        <v>25</v>
      </c>
      <c r="G101" s="11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127"/>
      <c r="B102" s="112"/>
      <c r="C102" s="128"/>
      <c r="D102" s="2"/>
      <c r="E102" s="129"/>
      <c r="F102" s="112"/>
      <c r="G102" s="13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1"/>
      <c r="B103" s="131"/>
      <c r="C103" s="131"/>
      <c r="D103" s="2"/>
      <c r="E103" s="5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364" t="s">
        <v>110</v>
      </c>
      <c r="B104" s="351"/>
      <c r="C104" s="351"/>
      <c r="D104" s="351"/>
      <c r="E104" s="351"/>
      <c r="F104" s="35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364" t="s">
        <v>111</v>
      </c>
      <c r="B105" s="351"/>
      <c r="C105" s="351"/>
      <c r="D105" s="351"/>
      <c r="E105" s="351"/>
      <c r="F105" s="35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customHeight="1" x14ac:dyDescent="0.25">
      <c r="A106" s="367" t="str">
        <f>+F1</f>
        <v>Millonesde pesos</v>
      </c>
      <c r="B106" s="368"/>
      <c r="C106" s="368"/>
      <c r="D106" s="368"/>
      <c r="E106" s="368"/>
      <c r="F106" s="36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97" t="s">
        <v>80</v>
      </c>
      <c r="B107" s="98">
        <f t="shared" ref="B107:F107" si="22">+B75</f>
        <v>0</v>
      </c>
      <c r="C107" s="98">
        <f t="shared" si="22"/>
        <v>1</v>
      </c>
      <c r="D107" s="98">
        <f t="shared" si="22"/>
        <v>2</v>
      </c>
      <c r="E107" s="98">
        <f t="shared" si="22"/>
        <v>3</v>
      </c>
      <c r="F107" s="98">
        <f t="shared" si="22"/>
        <v>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132" t="s">
        <v>112</v>
      </c>
      <c r="B108" s="112">
        <f t="shared" ref="B108:F108" si="23">+B76</f>
        <v>0</v>
      </c>
      <c r="C108" s="112">
        <f t="shared" si="23"/>
        <v>409.2</v>
      </c>
      <c r="D108" s="112">
        <f t="shared" si="23"/>
        <v>409.2</v>
      </c>
      <c r="E108" s="112">
        <f t="shared" si="23"/>
        <v>461.99999999999994</v>
      </c>
      <c r="F108" s="112">
        <f t="shared" si="23"/>
        <v>461.99999999999994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101" t="s">
        <v>113</v>
      </c>
      <c r="B109" s="112">
        <f t="shared" ref="B109:F109" si="24">+B77</f>
        <v>0</v>
      </c>
      <c r="C109" s="112">
        <f t="shared" si="24"/>
        <v>164.3</v>
      </c>
      <c r="D109" s="112">
        <f t="shared" si="24"/>
        <v>164.3</v>
      </c>
      <c r="E109" s="112">
        <f t="shared" si="24"/>
        <v>185.5</v>
      </c>
      <c r="F109" s="112">
        <f t="shared" si="24"/>
        <v>185.5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101" t="s">
        <v>83</v>
      </c>
      <c r="B110" s="112">
        <f t="shared" ref="B110:F110" si="25">+B78</f>
        <v>0</v>
      </c>
      <c r="C110" s="112">
        <f t="shared" si="25"/>
        <v>85</v>
      </c>
      <c r="D110" s="112">
        <f t="shared" si="25"/>
        <v>85</v>
      </c>
      <c r="E110" s="112">
        <f t="shared" si="25"/>
        <v>85</v>
      </c>
      <c r="F110" s="112">
        <f t="shared" si="25"/>
        <v>85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101" t="s">
        <v>84</v>
      </c>
      <c r="B111" s="112">
        <f t="shared" ref="B111:F111" si="26">+B79</f>
        <v>0</v>
      </c>
      <c r="C111" s="112">
        <f t="shared" si="26"/>
        <v>20</v>
      </c>
      <c r="D111" s="112">
        <f t="shared" si="26"/>
        <v>20</v>
      </c>
      <c r="E111" s="112">
        <f t="shared" si="26"/>
        <v>20</v>
      </c>
      <c r="F111" s="112">
        <f t="shared" si="26"/>
        <v>20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133" t="s">
        <v>114</v>
      </c>
      <c r="B112" s="134">
        <f t="shared" ref="B112:F112" si="27">+B80</f>
        <v>0</v>
      </c>
      <c r="C112" s="134">
        <f t="shared" si="27"/>
        <v>139.89999999999998</v>
      </c>
      <c r="D112" s="134">
        <f t="shared" si="27"/>
        <v>139.89999999999998</v>
      </c>
      <c r="E112" s="134">
        <f t="shared" si="27"/>
        <v>171.49999999999994</v>
      </c>
      <c r="F112" s="134">
        <f t="shared" si="27"/>
        <v>171.49999999999994</v>
      </c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</row>
    <row r="113" spans="1:27" ht="12.75" customHeight="1" x14ac:dyDescent="0.25">
      <c r="A113" s="132" t="s">
        <v>115</v>
      </c>
      <c r="B113" s="112"/>
      <c r="C113" s="136">
        <f>F98</f>
        <v>25</v>
      </c>
      <c r="D113" s="136">
        <f>+F99</f>
        <v>25</v>
      </c>
      <c r="E113" s="136">
        <f>+F100</f>
        <v>25</v>
      </c>
      <c r="F113" s="136">
        <f>+F101</f>
        <v>25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132" t="s">
        <v>116</v>
      </c>
      <c r="B114" s="112"/>
      <c r="C114" s="136">
        <f>+B98</f>
        <v>60</v>
      </c>
      <c r="D114" s="136">
        <f>+B99</f>
        <v>60</v>
      </c>
      <c r="E114" s="136">
        <f>+B100</f>
        <v>60</v>
      </c>
      <c r="F114" s="136">
        <f>+B101</f>
        <v>60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133" t="s">
        <v>117</v>
      </c>
      <c r="B115" s="137"/>
      <c r="C115" s="137">
        <f t="shared" ref="C115:F115" si="28">+C112-C113-C114</f>
        <v>54.899999999999977</v>
      </c>
      <c r="D115" s="137">
        <f t="shared" si="28"/>
        <v>54.899999999999977</v>
      </c>
      <c r="E115" s="137">
        <f t="shared" si="28"/>
        <v>86.499999999999943</v>
      </c>
      <c r="F115" s="137">
        <f t="shared" si="28"/>
        <v>86.499999999999943</v>
      </c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ht="12.75" customHeight="1" x14ac:dyDescent="0.25">
      <c r="A116" s="132" t="s">
        <v>118</v>
      </c>
      <c r="B116" s="109"/>
      <c r="C116" s="138">
        <f t="shared" ref="C116:F116" si="29">+C115*$B$59</f>
        <v>18.665999999999993</v>
      </c>
      <c r="D116" s="138">
        <f t="shared" si="29"/>
        <v>18.665999999999993</v>
      </c>
      <c r="E116" s="138">
        <f t="shared" si="29"/>
        <v>29.409999999999982</v>
      </c>
      <c r="F116" s="138">
        <f t="shared" si="29"/>
        <v>29.409999999999982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hidden="1" customHeight="1" x14ac:dyDescent="0.25">
      <c r="A117" s="139" t="s">
        <v>119</v>
      </c>
      <c r="B117" s="109"/>
      <c r="C117" s="138"/>
      <c r="D117" s="138"/>
      <c r="E117" s="138"/>
      <c r="F117" s="13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132" t="s">
        <v>120</v>
      </c>
      <c r="B118" s="109"/>
      <c r="C118" s="112">
        <f t="shared" ref="C118:F118" si="30">+C113</f>
        <v>25</v>
      </c>
      <c r="D118" s="112">
        <f t="shared" si="30"/>
        <v>25</v>
      </c>
      <c r="E118" s="112">
        <f t="shared" si="30"/>
        <v>25</v>
      </c>
      <c r="F118" s="112">
        <f t="shared" si="30"/>
        <v>25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132" t="s">
        <v>121</v>
      </c>
      <c r="B119" s="109"/>
      <c r="C119" s="112">
        <f t="shared" ref="C119:F119" si="31">+C114</f>
        <v>60</v>
      </c>
      <c r="D119" s="112">
        <f t="shared" si="31"/>
        <v>60</v>
      </c>
      <c r="E119" s="112">
        <f t="shared" si="31"/>
        <v>60</v>
      </c>
      <c r="F119" s="112">
        <f t="shared" si="31"/>
        <v>60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140" t="s">
        <v>122</v>
      </c>
      <c r="B120" s="141">
        <f t="shared" ref="B120:B123" si="32">+B81</f>
        <v>300</v>
      </c>
      <c r="C120" s="112"/>
      <c r="D120" s="109"/>
      <c r="E120" s="109"/>
      <c r="F120" s="10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140" t="s">
        <v>123</v>
      </c>
      <c r="B121" s="141">
        <f t="shared" si="32"/>
        <v>100</v>
      </c>
      <c r="C121" s="112"/>
      <c r="D121" s="112"/>
      <c r="E121" s="112"/>
      <c r="F121" s="11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140" t="s">
        <v>124</v>
      </c>
      <c r="B122" s="141">
        <f t="shared" si="32"/>
        <v>150</v>
      </c>
      <c r="C122" s="109"/>
      <c r="D122" s="109"/>
      <c r="E122" s="109"/>
      <c r="F122" s="10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140" t="s">
        <v>125</v>
      </c>
      <c r="B123" s="141">
        <f t="shared" si="32"/>
        <v>80</v>
      </c>
      <c r="C123" s="112"/>
      <c r="D123" s="112"/>
      <c r="E123" s="112"/>
      <c r="F123" s="11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5">
      <c r="A124" s="132" t="s">
        <v>126</v>
      </c>
      <c r="B124" s="112"/>
      <c r="C124" s="109"/>
      <c r="D124" s="109"/>
      <c r="E124" s="109"/>
      <c r="F124" s="14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132" t="s">
        <v>127</v>
      </c>
      <c r="B125" s="112"/>
      <c r="C125" s="112"/>
      <c r="D125" s="112"/>
      <c r="E125" s="112"/>
      <c r="F125" s="112">
        <f>+F86</f>
        <v>278.52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143" t="s">
        <v>128</v>
      </c>
      <c r="B126" s="144">
        <f t="shared" ref="B126:F126" si="33">+B115-B116+B118+B119-B120-B121-B122-B123+B124+B125</f>
        <v>-630</v>
      </c>
      <c r="C126" s="144">
        <f t="shared" si="33"/>
        <v>121.23399999999998</v>
      </c>
      <c r="D126" s="144">
        <f t="shared" si="33"/>
        <v>121.23399999999998</v>
      </c>
      <c r="E126" s="144">
        <f t="shared" si="33"/>
        <v>142.08999999999997</v>
      </c>
      <c r="F126" s="144">
        <f t="shared" si="33"/>
        <v>420.60999999999996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</row>
    <row r="127" spans="1:27" ht="12.75" customHeight="1" x14ac:dyDescent="0.25">
      <c r="A127" s="117" t="s">
        <v>129</v>
      </c>
      <c r="B127" s="112"/>
      <c r="C127" s="112">
        <f>+C126/(1+$B$63)</f>
        <v>102.74067796610169</v>
      </c>
      <c r="D127" s="79">
        <f>+D126/((1+$B$63)*(1+$B$63))</f>
        <v>87.068371157713301</v>
      </c>
      <c r="E127" s="79">
        <f>+E126/((1+$B$63)*(1+$B$63)*(1+$B$63))</f>
        <v>86.480360699000386</v>
      </c>
      <c r="F127" s="79">
        <f>+F126/((1+$B$63)*(1+$B$63)*(1+$B$63)*(1+$B$63))</f>
        <v>216.94595877765795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117" t="s">
        <v>95</v>
      </c>
      <c r="B128" s="112"/>
      <c r="C128" s="112">
        <f>+C127</f>
        <v>102.74067796610169</v>
      </c>
      <c r="D128" s="118">
        <f t="shared" ref="D128:F128" si="34">+C128+D127</f>
        <v>189.80904912381499</v>
      </c>
      <c r="E128" s="118">
        <f t="shared" si="34"/>
        <v>276.2894098228154</v>
      </c>
      <c r="F128" s="118">
        <f t="shared" si="34"/>
        <v>493.23536860047335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146" t="s">
        <v>130</v>
      </c>
      <c r="B129" s="171">
        <f>IRR(B126:F126)</f>
        <v>8.46884653725406E-2</v>
      </c>
      <c r="C129" s="96"/>
      <c r="D129" s="2"/>
      <c r="E129" s="120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146" t="s">
        <v>132</v>
      </c>
      <c r="B130" s="203">
        <f t="array" ref="B130">NPV(B63,C126:F126)+B126</f>
        <v>-136.76463139952671</v>
      </c>
      <c r="C130" s="2"/>
      <c r="D130" s="52"/>
      <c r="E130" s="120"/>
      <c r="F130" s="12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147"/>
      <c r="B131" s="148"/>
      <c r="C131" s="149"/>
      <c r="D131" s="150"/>
      <c r="E131" s="150"/>
      <c r="F131" s="15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364" t="s">
        <v>133</v>
      </c>
      <c r="B132" s="351"/>
      <c r="C132" s="351"/>
      <c r="D132" s="351"/>
      <c r="E132" s="351"/>
      <c r="F132" s="351"/>
      <c r="G132" s="351"/>
      <c r="H132" s="2"/>
      <c r="I132" s="2"/>
      <c r="J132" s="6" t="s">
        <v>134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364" t="s">
        <v>183</v>
      </c>
      <c r="B133" s="351"/>
      <c r="C133" s="351"/>
      <c r="D133" s="351"/>
      <c r="E133" s="351"/>
      <c r="F133" s="351"/>
      <c r="G133" s="35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76.5" customHeight="1" x14ac:dyDescent="0.25">
      <c r="A134" s="151" t="s">
        <v>136</v>
      </c>
      <c r="B134" s="126" t="s">
        <v>184</v>
      </c>
      <c r="C134" s="126" t="s">
        <v>185</v>
      </c>
      <c r="D134" s="126" t="s">
        <v>139</v>
      </c>
      <c r="E134" s="126" t="s">
        <v>140</v>
      </c>
      <c r="F134" s="2"/>
      <c r="G134" s="2" t="s">
        <v>141</v>
      </c>
      <c r="H134" s="2"/>
      <c r="I134" s="126" t="s">
        <v>186</v>
      </c>
      <c r="J134" s="126" t="s">
        <v>187</v>
      </c>
      <c r="K134" s="126" t="s">
        <v>144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152">
        <v>0</v>
      </c>
      <c r="B135" s="2"/>
      <c r="C135" s="153"/>
      <c r="D135" s="130"/>
      <c r="E135" s="154">
        <f>+B52</f>
        <v>90</v>
      </c>
      <c r="F135" s="2"/>
      <c r="G135" s="2"/>
      <c r="H135" s="2"/>
      <c r="I135" s="153"/>
      <c r="J135" s="15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152">
        <v>1</v>
      </c>
      <c r="B136" s="155">
        <f>PMT(B53,B55,B52,0)</f>
        <v>-34.766020864381531</v>
      </c>
      <c r="C136" s="154">
        <f t="shared" ref="C136:C139" si="35">+E135*$B$53</f>
        <v>18</v>
      </c>
      <c r="D136" s="128">
        <f t="shared" ref="D136:D139" si="36">+B136+C136</f>
        <v>-16.766020864381531</v>
      </c>
      <c r="E136" s="156">
        <f t="shared" ref="E136:E139" si="37">+E135+D136</f>
        <v>73.233979135618469</v>
      </c>
      <c r="F136" s="2"/>
      <c r="G136" s="2"/>
      <c r="H136" s="2"/>
      <c r="I136" s="157"/>
      <c r="J136" s="157"/>
      <c r="K136" s="15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152">
        <v>2</v>
      </c>
      <c r="B137" s="155">
        <f t="shared" ref="B137:B139" si="38">+B136</f>
        <v>-34.766020864381531</v>
      </c>
      <c r="C137" s="154">
        <f t="shared" si="35"/>
        <v>14.646795827123695</v>
      </c>
      <c r="D137" s="128">
        <f t="shared" si="36"/>
        <v>-20.119225037257834</v>
      </c>
      <c r="E137" s="156">
        <f t="shared" si="37"/>
        <v>53.114754098360635</v>
      </c>
      <c r="F137" s="2"/>
      <c r="G137" s="2"/>
      <c r="H137" s="2"/>
      <c r="I137" s="158"/>
      <c r="J137" s="158"/>
      <c r="K137" s="15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152">
        <v>3</v>
      </c>
      <c r="B138" s="159">
        <f t="shared" si="38"/>
        <v>-34.766020864381531</v>
      </c>
      <c r="C138" s="154">
        <f t="shared" si="35"/>
        <v>10.622950819672127</v>
      </c>
      <c r="D138" s="128">
        <f t="shared" si="36"/>
        <v>-24.143070044709404</v>
      </c>
      <c r="E138" s="156">
        <f t="shared" si="37"/>
        <v>28.971684053651231</v>
      </c>
      <c r="F138" s="2"/>
      <c r="G138" s="2"/>
      <c r="H138" s="2"/>
      <c r="I138" s="158"/>
      <c r="J138" s="158"/>
      <c r="K138" s="15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152">
        <v>4</v>
      </c>
      <c r="B139" s="159">
        <f t="shared" si="38"/>
        <v>-34.766020864381531</v>
      </c>
      <c r="C139" s="154">
        <f t="shared" si="35"/>
        <v>5.7943368107302469</v>
      </c>
      <c r="D139" s="128">
        <f t="shared" si="36"/>
        <v>-28.971684053651284</v>
      </c>
      <c r="E139" s="156">
        <f t="shared" si="37"/>
        <v>-5.3290705182007514E-14</v>
      </c>
      <c r="F139" s="2"/>
      <c r="G139" s="2"/>
      <c r="H139" s="2"/>
      <c r="I139" s="158"/>
      <c r="J139" s="158"/>
      <c r="K139" s="15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117"/>
      <c r="B140" s="160"/>
      <c r="C140" s="130"/>
      <c r="D140" s="130"/>
      <c r="E140" s="15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0.25" customHeight="1" x14ac:dyDescent="0.25">
      <c r="A141" s="1"/>
      <c r="B141" s="16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364" t="s">
        <v>145</v>
      </c>
      <c r="B142" s="351"/>
      <c r="C142" s="351"/>
      <c r="D142" s="351"/>
      <c r="E142" s="351"/>
      <c r="F142" s="35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364" t="s">
        <v>146</v>
      </c>
      <c r="B143" s="351"/>
      <c r="C143" s="351"/>
      <c r="D143" s="351"/>
      <c r="E143" s="351"/>
      <c r="F143" s="35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370" t="str">
        <f>+F1</f>
        <v>Millonesde pesos</v>
      </c>
      <c r="B144" s="348"/>
      <c r="C144" s="348"/>
      <c r="D144" s="348"/>
      <c r="E144" s="348"/>
      <c r="F144" s="34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97" t="s">
        <v>80</v>
      </c>
      <c r="B145" s="98">
        <f t="shared" ref="B145:F145" si="39">+B107</f>
        <v>0</v>
      </c>
      <c r="C145" s="98">
        <f t="shared" si="39"/>
        <v>1</v>
      </c>
      <c r="D145" s="98">
        <f t="shared" si="39"/>
        <v>2</v>
      </c>
      <c r="E145" s="98">
        <f t="shared" si="39"/>
        <v>3</v>
      </c>
      <c r="F145" s="98">
        <f t="shared" si="39"/>
        <v>4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117" t="s">
        <v>147</v>
      </c>
      <c r="B146" s="112">
        <f t="shared" ref="B146:F146" si="40">+B87</f>
        <v>-630</v>
      </c>
      <c r="C146" s="112">
        <f t="shared" si="40"/>
        <v>139.89999999999998</v>
      </c>
      <c r="D146" s="112">
        <f t="shared" si="40"/>
        <v>139.89999999999998</v>
      </c>
      <c r="E146" s="112">
        <f t="shared" si="40"/>
        <v>171.49999999999994</v>
      </c>
      <c r="F146" s="112">
        <f t="shared" si="40"/>
        <v>450.01999999999992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162" t="s">
        <v>148</v>
      </c>
      <c r="B147" s="163">
        <f>+E135</f>
        <v>90</v>
      </c>
      <c r="C147" s="164"/>
      <c r="D147" s="164"/>
      <c r="E147" s="164"/>
      <c r="F147" s="164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</row>
    <row r="148" spans="1:27" ht="12.75" customHeight="1" x14ac:dyDescent="0.25">
      <c r="A148" s="162" t="s">
        <v>149</v>
      </c>
      <c r="B148" s="166"/>
      <c r="C148" s="167">
        <f>-B136</f>
        <v>34.766020864381531</v>
      </c>
      <c r="D148" s="167">
        <f>-B137</f>
        <v>34.766020864381531</v>
      </c>
      <c r="E148" s="167">
        <f>-B138</f>
        <v>34.766020864381531</v>
      </c>
      <c r="F148" s="167">
        <f>-B139</f>
        <v>34.766020864381531</v>
      </c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</row>
    <row r="149" spans="1:27" ht="12.75" customHeight="1" x14ac:dyDescent="0.25">
      <c r="A149" s="168" t="s">
        <v>150</v>
      </c>
      <c r="B149" s="137">
        <f t="shared" ref="B149:F149" si="41">+B146+B147-B148</f>
        <v>-540</v>
      </c>
      <c r="C149" s="137">
        <f t="shared" si="41"/>
        <v>105.13397913561845</v>
      </c>
      <c r="D149" s="137">
        <f t="shared" si="41"/>
        <v>105.13397913561845</v>
      </c>
      <c r="E149" s="137">
        <f t="shared" si="41"/>
        <v>136.73397913561843</v>
      </c>
      <c r="F149" s="137">
        <f t="shared" si="41"/>
        <v>415.25397913561841</v>
      </c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</row>
    <row r="150" spans="1:27" ht="12.75" customHeight="1" x14ac:dyDescent="0.25">
      <c r="A150" s="117" t="s">
        <v>151</v>
      </c>
      <c r="B150" s="112"/>
      <c r="C150" s="112">
        <f>+C149/(1+$B$63)</f>
        <v>89.096592487812245</v>
      </c>
      <c r="D150" s="79">
        <f>+D149/((1+$B$63)*(1+$B$63))</f>
        <v>75.505586854078174</v>
      </c>
      <c r="E150" s="79">
        <f>+E149/((1+$B$63)*(1+$B$63)*(1+$B$63))</f>
        <v>83.220521046223354</v>
      </c>
      <c r="F150" s="79">
        <f>+F149/((1+$B$63)*(1+$B$63)*(1+$B$63)*(1+$B$63))</f>
        <v>214.18338280072825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117" t="s">
        <v>95</v>
      </c>
      <c r="B151" s="112"/>
      <c r="C151" s="112">
        <f>+C150</f>
        <v>89.096592487812245</v>
      </c>
      <c r="D151" s="112">
        <f>+D150+C151</f>
        <v>164.60217934189041</v>
      </c>
      <c r="E151" s="112">
        <f t="shared" ref="E151:F151" si="42">+D151+E150</f>
        <v>247.82270038811376</v>
      </c>
      <c r="F151" s="112">
        <f t="shared" si="42"/>
        <v>462.00608318884201</v>
      </c>
      <c r="G151" s="2" t="s">
        <v>152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170" t="s">
        <v>153</v>
      </c>
      <c r="B152" s="171">
        <f>IRR(B149:F149)</f>
        <v>0.11924087535988548</v>
      </c>
      <c r="C152" s="96"/>
      <c r="D152" s="2"/>
      <c r="E152" s="120"/>
      <c r="F152" s="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117" t="s">
        <v>99</v>
      </c>
      <c r="B153" s="203">
        <f t="array" ref="B153">+NPV($B$63,C149:F149)+B149</f>
        <v>-77.993916811157987</v>
      </c>
      <c r="C153" s="2"/>
      <c r="D153" s="52"/>
      <c r="E153" s="120"/>
      <c r="F153" s="12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17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17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17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364" t="s">
        <v>155</v>
      </c>
      <c r="B157" s="351"/>
      <c r="C157" s="351"/>
      <c r="D157" s="351"/>
      <c r="E157" s="351"/>
      <c r="F157" s="35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364" t="s">
        <v>156</v>
      </c>
      <c r="B158" s="351"/>
      <c r="C158" s="351"/>
      <c r="D158" s="351"/>
      <c r="E158" s="351"/>
      <c r="F158" s="35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364" t="str">
        <f>+F1</f>
        <v>Millonesde pesos</v>
      </c>
      <c r="B159" s="351"/>
      <c r="C159" s="351"/>
      <c r="D159" s="351"/>
      <c r="E159" s="351"/>
      <c r="F159" s="35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173" t="s">
        <v>80</v>
      </c>
      <c r="B160" s="174">
        <f t="shared" ref="B160:F160" si="43">+B75</f>
        <v>0</v>
      </c>
      <c r="C160" s="174">
        <f t="shared" si="43"/>
        <v>1</v>
      </c>
      <c r="D160" s="174">
        <f t="shared" si="43"/>
        <v>2</v>
      </c>
      <c r="E160" s="174">
        <f t="shared" si="43"/>
        <v>3</v>
      </c>
      <c r="F160" s="175">
        <f t="shared" si="43"/>
        <v>4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176" t="s">
        <v>112</v>
      </c>
      <c r="B161" s="128">
        <f t="shared" ref="B161:F161" si="44">+B108</f>
        <v>0</v>
      </c>
      <c r="C161" s="128">
        <f t="shared" si="44"/>
        <v>409.2</v>
      </c>
      <c r="D161" s="128">
        <f t="shared" si="44"/>
        <v>409.2</v>
      </c>
      <c r="E161" s="128">
        <f t="shared" si="44"/>
        <v>461.99999999999994</v>
      </c>
      <c r="F161" s="128">
        <f t="shared" si="44"/>
        <v>461.99999999999994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177" t="s">
        <v>157</v>
      </c>
      <c r="B162" s="128">
        <f t="shared" ref="B162:F162" si="45">+B109</f>
        <v>0</v>
      </c>
      <c r="C162" s="128">
        <f t="shared" si="45"/>
        <v>164.3</v>
      </c>
      <c r="D162" s="128">
        <f t="shared" si="45"/>
        <v>164.3</v>
      </c>
      <c r="E162" s="128">
        <f t="shared" si="45"/>
        <v>185.5</v>
      </c>
      <c r="F162" s="128">
        <f t="shared" si="45"/>
        <v>185.5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177" t="s">
        <v>158</v>
      </c>
      <c r="B163" s="128">
        <f t="shared" ref="B163:F163" si="46">+B110</f>
        <v>0</v>
      </c>
      <c r="C163" s="128">
        <f t="shared" si="46"/>
        <v>85</v>
      </c>
      <c r="D163" s="128">
        <f t="shared" si="46"/>
        <v>85</v>
      </c>
      <c r="E163" s="128">
        <f t="shared" si="46"/>
        <v>85</v>
      </c>
      <c r="F163" s="128">
        <f t="shared" si="46"/>
        <v>85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177" t="s">
        <v>159</v>
      </c>
      <c r="B164" s="128">
        <f t="shared" ref="B164:F164" si="47">+B111</f>
        <v>0</v>
      </c>
      <c r="C164" s="128">
        <f t="shared" si="47"/>
        <v>20</v>
      </c>
      <c r="D164" s="128">
        <f t="shared" si="47"/>
        <v>20</v>
      </c>
      <c r="E164" s="128">
        <f t="shared" si="47"/>
        <v>20</v>
      </c>
      <c r="F164" s="128">
        <f t="shared" si="47"/>
        <v>20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178" t="s">
        <v>114</v>
      </c>
      <c r="B165" s="179"/>
      <c r="C165" s="179">
        <f t="shared" ref="C165:F165" si="48">+C161-C162-C163-C164</f>
        <v>139.89999999999998</v>
      </c>
      <c r="D165" s="179">
        <f t="shared" si="48"/>
        <v>139.89999999999998</v>
      </c>
      <c r="E165" s="179">
        <f t="shared" si="48"/>
        <v>171.49999999999994</v>
      </c>
      <c r="F165" s="179">
        <f t="shared" si="48"/>
        <v>171.49999999999994</v>
      </c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</row>
    <row r="166" spans="1:27" ht="12.75" customHeight="1" x14ac:dyDescent="0.25">
      <c r="A166" s="176" t="s">
        <v>160</v>
      </c>
      <c r="B166" s="128"/>
      <c r="C166" s="128">
        <f t="shared" ref="C166:F166" si="49">+C113</f>
        <v>25</v>
      </c>
      <c r="D166" s="128">
        <f t="shared" si="49"/>
        <v>25</v>
      </c>
      <c r="E166" s="128">
        <f t="shared" si="49"/>
        <v>25</v>
      </c>
      <c r="F166" s="128">
        <f t="shared" si="49"/>
        <v>25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176" t="s">
        <v>161</v>
      </c>
      <c r="B167" s="128"/>
      <c r="C167" s="128">
        <f t="shared" ref="C167:F167" si="50">+C114</f>
        <v>60</v>
      </c>
      <c r="D167" s="128">
        <f t="shared" si="50"/>
        <v>60</v>
      </c>
      <c r="E167" s="128">
        <f t="shared" si="50"/>
        <v>60</v>
      </c>
      <c r="F167" s="128">
        <f t="shared" si="50"/>
        <v>60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customHeight="1" x14ac:dyDescent="0.25">
      <c r="A168" s="181" t="s">
        <v>162</v>
      </c>
      <c r="B168" s="166"/>
      <c r="C168" s="182">
        <f>+C136</f>
        <v>18</v>
      </c>
      <c r="D168" s="182">
        <f>+C137</f>
        <v>14.646795827123695</v>
      </c>
      <c r="E168" s="182">
        <f>+C138</f>
        <v>10.622950819672127</v>
      </c>
      <c r="F168" s="183">
        <f>+C139</f>
        <v>5.7943368107302469</v>
      </c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</row>
    <row r="169" spans="1:27" ht="12.75" customHeight="1" x14ac:dyDescent="0.25">
      <c r="A169" s="178" t="s">
        <v>117</v>
      </c>
      <c r="B169" s="179"/>
      <c r="C169" s="179">
        <f t="shared" ref="C169:F169" si="51">+C165-C166-C167-C168</f>
        <v>36.899999999999977</v>
      </c>
      <c r="D169" s="179">
        <f t="shared" si="51"/>
        <v>40.253204172876281</v>
      </c>
      <c r="E169" s="179">
        <f t="shared" si="51"/>
        <v>75.877049180327816</v>
      </c>
      <c r="F169" s="179">
        <f t="shared" si="51"/>
        <v>80.7056631892697</v>
      </c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</row>
    <row r="170" spans="1:27" ht="12.75" customHeight="1" x14ac:dyDescent="0.25">
      <c r="A170" s="176" t="s">
        <v>118</v>
      </c>
      <c r="B170" s="130"/>
      <c r="C170" s="184">
        <f t="shared" ref="C170:F170" si="52">+C169*$B$59</f>
        <v>12.545999999999994</v>
      </c>
      <c r="D170" s="184">
        <f t="shared" si="52"/>
        <v>13.686089418777936</v>
      </c>
      <c r="E170" s="184">
        <f t="shared" si="52"/>
        <v>25.798196721311459</v>
      </c>
      <c r="F170" s="184">
        <f t="shared" si="52"/>
        <v>27.439925484351701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176" t="s">
        <v>163</v>
      </c>
      <c r="B171" s="128"/>
      <c r="C171" s="128">
        <f t="shared" ref="C171:F171" si="53">+C166</f>
        <v>25</v>
      </c>
      <c r="D171" s="128">
        <f t="shared" si="53"/>
        <v>25</v>
      </c>
      <c r="E171" s="128">
        <f t="shared" si="53"/>
        <v>25</v>
      </c>
      <c r="F171" s="128">
        <f t="shared" si="53"/>
        <v>25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176" t="s">
        <v>164</v>
      </c>
      <c r="B172" s="128"/>
      <c r="C172" s="128">
        <f t="shared" ref="C172:F172" si="54">+C167</f>
        <v>60</v>
      </c>
      <c r="D172" s="128">
        <f t="shared" si="54"/>
        <v>60</v>
      </c>
      <c r="E172" s="128">
        <f t="shared" si="54"/>
        <v>60</v>
      </c>
      <c r="F172" s="128">
        <f t="shared" si="54"/>
        <v>60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185" t="s">
        <v>122</v>
      </c>
      <c r="B173" s="186">
        <f t="shared" ref="B173:B176" si="55">+B120</f>
        <v>300</v>
      </c>
      <c r="C173" s="186"/>
      <c r="D173" s="186"/>
      <c r="E173" s="186"/>
      <c r="F173" s="18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185" t="s">
        <v>123</v>
      </c>
      <c r="B174" s="186">
        <f t="shared" si="55"/>
        <v>100</v>
      </c>
      <c r="C174" s="186"/>
      <c r="D174" s="186"/>
      <c r="E174" s="186"/>
      <c r="F174" s="18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185" t="s">
        <v>124</v>
      </c>
      <c r="B175" s="186">
        <f t="shared" si="55"/>
        <v>150</v>
      </c>
      <c r="C175" s="186"/>
      <c r="D175" s="186"/>
      <c r="E175" s="186"/>
      <c r="F175" s="18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185" t="s">
        <v>165</v>
      </c>
      <c r="B176" s="186">
        <f t="shared" si="55"/>
        <v>80</v>
      </c>
      <c r="C176" s="186"/>
      <c r="D176" s="186"/>
      <c r="E176" s="186"/>
      <c r="F176" s="18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7.25" customHeight="1" x14ac:dyDescent="0.25">
      <c r="A177" s="176" t="s">
        <v>126</v>
      </c>
      <c r="B177" s="130"/>
      <c r="C177" s="112"/>
      <c r="D177" s="112"/>
      <c r="E177" s="112"/>
      <c r="F177" s="18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181" t="s">
        <v>166</v>
      </c>
      <c r="B178" s="189">
        <f>+E135</f>
        <v>90</v>
      </c>
      <c r="C178" s="163"/>
      <c r="D178" s="163"/>
      <c r="E178" s="163"/>
      <c r="F178" s="188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</row>
    <row r="179" spans="1:27" ht="12.75" customHeight="1" x14ac:dyDescent="0.25">
      <c r="A179" s="181" t="s">
        <v>167</v>
      </c>
      <c r="B179" s="190"/>
      <c r="C179" s="191">
        <f>-D136</f>
        <v>16.766020864381531</v>
      </c>
      <c r="D179" s="191">
        <f>-D137</f>
        <v>20.119225037257834</v>
      </c>
      <c r="E179" s="191">
        <f>-+D138</f>
        <v>24.143070044709404</v>
      </c>
      <c r="F179" s="192">
        <f>-D139</f>
        <v>28.971684053651284</v>
      </c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</row>
    <row r="180" spans="1:27" ht="12.75" customHeight="1" x14ac:dyDescent="0.25">
      <c r="A180" s="176" t="s">
        <v>127</v>
      </c>
      <c r="B180" s="130"/>
      <c r="C180" s="112"/>
      <c r="D180" s="112"/>
      <c r="E180" s="112"/>
      <c r="F180" s="193">
        <f>+F125</f>
        <v>278.52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194" t="s">
        <v>168</v>
      </c>
      <c r="B181" s="195">
        <f t="shared" ref="B181:F181" si="56">+B169-B170+B171+B172-B173-B174-B175-B176+B177+B178-B179+B180</f>
        <v>-540</v>
      </c>
      <c r="C181" s="195">
        <f t="shared" si="56"/>
        <v>92.587979135618454</v>
      </c>
      <c r="D181" s="195">
        <f t="shared" si="56"/>
        <v>91.447889716840507</v>
      </c>
      <c r="E181" s="195">
        <f t="shared" si="56"/>
        <v>110.93578241430696</v>
      </c>
      <c r="F181" s="195">
        <f t="shared" si="56"/>
        <v>387.8140536512667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170" t="s">
        <v>169</v>
      </c>
      <c r="B182" s="112"/>
      <c r="C182" s="112">
        <f>+C181/(1+$B$63)</f>
        <v>78.464389097981751</v>
      </c>
      <c r="D182" s="79">
        <f>+D181/((1+$B$63)*(1+$B$63))</f>
        <v>65.676450529187392</v>
      </c>
      <c r="E182" s="79">
        <f>+E181/((1+$B$63)*(1+$B$63)*(1+$B$63))</f>
        <v>67.518942062179534</v>
      </c>
      <c r="F182" s="79">
        <f>+F181/((1+$B$63)*(1+$B$63)*(1+$B$63)*(1+$B$63))</f>
        <v>200.03017450090141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117" t="s">
        <v>95</v>
      </c>
      <c r="B183" s="112"/>
      <c r="C183" s="112">
        <f>+C182</f>
        <v>78.464389097981751</v>
      </c>
      <c r="D183" s="112">
        <f>+D182+C183</f>
        <v>144.14083962716916</v>
      </c>
      <c r="E183" s="112">
        <f t="shared" ref="E183:F183" si="57">+D183+E182</f>
        <v>211.65978168934868</v>
      </c>
      <c r="F183" s="112">
        <f t="shared" si="57"/>
        <v>411.68995619025009</v>
      </c>
      <c r="G183" s="2" t="s">
        <v>170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117" t="s">
        <v>171</v>
      </c>
      <c r="B184" s="171">
        <f>IRR(B181:F181)</f>
        <v>7.820388158612479E-2</v>
      </c>
      <c r="C184" s="96"/>
      <c r="D184" s="2"/>
      <c r="E184" s="120"/>
      <c r="F184" s="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117" t="s">
        <v>132</v>
      </c>
      <c r="B185" s="203">
        <f t="array" ref="B185">+NPV($B$63,C181:F181)+B181</f>
        <v>-128.31004380974991</v>
      </c>
      <c r="C185" s="2"/>
      <c r="D185" s="52"/>
      <c r="E185" s="120"/>
      <c r="F185" s="12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hidden="1" customHeight="1" x14ac:dyDescent="0.25">
      <c r="A186" s="170" t="s">
        <v>173</v>
      </c>
      <c r="B186" s="19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hidden="1" customHeight="1" x14ac:dyDescent="0.25">
      <c r="A187" s="117" t="s">
        <v>174</v>
      </c>
      <c r="B187" s="10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17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17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17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17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172"/>
      <c r="B194" s="197"/>
      <c r="C194" s="19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172"/>
      <c r="B195" s="96"/>
      <c r="C195" s="9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17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17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17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17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17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17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17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17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17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17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17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17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17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17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17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17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17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17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17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17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17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17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17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17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17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17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17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17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17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17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17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17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17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17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17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17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17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17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17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17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17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17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17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17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17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17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17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17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17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17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17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17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17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17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17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17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17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17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17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17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17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17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17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17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17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17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17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17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17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17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17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17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17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17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17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17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17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17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17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17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17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17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17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17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17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17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17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17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17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17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17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17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17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17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17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17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17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17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17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17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17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17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17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17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17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17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17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17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17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17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17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17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17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17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17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17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17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17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17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17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17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17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17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17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17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17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17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17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17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17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17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17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17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17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17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17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17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17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17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17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17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17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17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17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17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17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17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17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17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17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17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17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17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17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17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17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17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17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17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17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17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17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17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17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17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17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17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17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17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17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17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17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17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17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17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17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17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17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17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17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17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17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17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17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17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17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17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17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17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17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17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17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17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17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17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17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17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17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17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17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17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17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17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17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17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17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17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17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17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17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17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17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17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17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17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17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17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17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17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17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17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17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17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17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17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17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17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17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17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17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17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17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17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17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17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17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17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17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17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17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17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17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17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17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17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17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17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17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17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17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17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17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17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17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17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17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17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17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17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17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17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17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17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17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17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17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17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17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17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17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17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17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17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17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17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17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17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17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17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17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17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17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17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17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17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17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17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17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17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17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17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17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17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17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17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17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17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17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17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17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17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17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17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17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17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17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17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17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17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17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17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17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17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17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17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17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17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17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17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17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17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17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17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17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17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17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17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17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17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17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17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17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17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17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17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17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17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17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17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17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17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17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17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17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17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17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17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17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17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17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17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17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17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17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17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17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17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17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17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17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17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17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17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17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17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17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17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17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17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17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17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17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17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17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17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17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17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17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17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17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17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17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17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17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17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17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17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17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17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17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17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17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17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17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17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17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17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17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17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17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17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17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17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17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17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17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17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17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17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17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17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17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17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17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17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17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17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17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17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17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17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17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17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17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17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17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17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17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17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17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17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17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17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17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17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17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17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17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17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17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17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17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17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17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17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17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17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17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17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17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17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17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17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17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17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17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17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17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17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17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17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17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17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17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17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17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17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17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17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17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17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17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17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17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17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17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17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17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17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17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17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17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17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17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17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17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17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17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17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17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17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17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17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17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17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17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17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17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17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17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17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17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17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17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17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17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17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17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17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17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17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17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17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17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17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17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17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17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17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17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17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17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17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17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17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17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17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17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17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17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17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17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17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17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17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17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17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17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17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17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17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17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17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17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17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17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17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17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17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17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17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17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17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17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17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17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17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17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17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17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17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17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17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17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17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17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17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17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17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17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17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17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17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17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17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17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17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17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17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17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17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17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17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17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17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17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17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17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17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17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17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17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17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17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17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17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17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17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17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17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17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17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17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17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17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17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17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17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17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17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17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17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17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17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17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17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17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17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17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17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17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17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17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17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17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17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17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17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17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17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17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17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17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17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17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17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17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17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17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17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17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17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17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17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17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17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17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17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17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17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17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17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17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17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17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17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17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17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17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17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17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17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17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17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17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17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17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17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17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17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17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17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17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17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17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17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17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17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17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17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17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17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17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17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17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17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17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17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17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17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17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17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17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17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17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17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17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17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17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17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17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17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17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17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17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17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17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17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17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17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17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17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17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17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17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17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17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17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17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17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17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17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17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17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17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17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17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17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17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17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17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17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17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17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17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17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17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17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17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17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17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17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17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17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17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17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17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17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17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17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17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17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17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17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17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17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17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17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17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17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17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17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17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5">
      <c r="A959" s="17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5">
      <c r="A960" s="17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5">
      <c r="A961" s="17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5">
      <c r="A962" s="17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5">
      <c r="A963" s="17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5">
      <c r="A964" s="17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5">
      <c r="A965" s="17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5">
      <c r="A966" s="17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25">
      <c r="A967" s="17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25">
      <c r="A968" s="17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25">
      <c r="A969" s="17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25">
      <c r="A970" s="17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25">
      <c r="A971" s="17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25">
      <c r="A972" s="17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25">
      <c r="A973" s="17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customHeight="1" x14ac:dyDescent="0.25">
      <c r="A974" s="17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customHeight="1" x14ac:dyDescent="0.25">
      <c r="A975" s="17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customHeight="1" x14ac:dyDescent="0.25">
      <c r="A976" s="17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customHeight="1" x14ac:dyDescent="0.25">
      <c r="A977" s="17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customHeight="1" x14ac:dyDescent="0.25">
      <c r="A978" s="17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customHeight="1" x14ac:dyDescent="0.25">
      <c r="A979" s="17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customHeight="1" x14ac:dyDescent="0.25">
      <c r="A980" s="17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customHeight="1" x14ac:dyDescent="0.25">
      <c r="A981" s="17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customHeight="1" x14ac:dyDescent="0.25">
      <c r="A982" s="17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customHeight="1" x14ac:dyDescent="0.25">
      <c r="A983" s="17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customHeight="1" x14ac:dyDescent="0.25">
      <c r="A984" s="17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customHeight="1" x14ac:dyDescent="0.25">
      <c r="A985" s="17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customHeight="1" x14ac:dyDescent="0.25">
      <c r="A986" s="17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customHeight="1" x14ac:dyDescent="0.25">
      <c r="A987" s="17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customHeight="1" x14ac:dyDescent="0.25">
      <c r="A988" s="17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customHeight="1" x14ac:dyDescent="0.25">
      <c r="A989" s="17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customHeight="1" x14ac:dyDescent="0.25">
      <c r="A990" s="17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customHeight="1" x14ac:dyDescent="0.25">
      <c r="A991" s="17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customHeight="1" x14ac:dyDescent="0.25">
      <c r="A992" s="17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customHeight="1" x14ac:dyDescent="0.25">
      <c r="A993" s="17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customHeight="1" x14ac:dyDescent="0.25">
      <c r="A994" s="17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customHeight="1" x14ac:dyDescent="0.25">
      <c r="A995" s="17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customHeight="1" x14ac:dyDescent="0.25">
      <c r="A996" s="17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customHeight="1" x14ac:dyDescent="0.25">
      <c r="A997" s="17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customHeight="1" x14ac:dyDescent="0.25">
      <c r="A998" s="17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customHeight="1" x14ac:dyDescent="0.25">
      <c r="A999" s="17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.75" customHeight="1" x14ac:dyDescent="0.25">
      <c r="A1000" s="17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1">
    <mergeCell ref="A157:F157"/>
    <mergeCell ref="A158:F158"/>
    <mergeCell ref="A159:F159"/>
    <mergeCell ref="A105:F105"/>
    <mergeCell ref="A106:F106"/>
    <mergeCell ref="A132:G132"/>
    <mergeCell ref="A133:G133"/>
    <mergeCell ref="A142:F142"/>
    <mergeCell ref="A143:F143"/>
    <mergeCell ref="A144:F144"/>
    <mergeCell ref="A95:C95"/>
    <mergeCell ref="E95:G95"/>
    <mergeCell ref="A96:C96"/>
    <mergeCell ref="E96:G96"/>
    <mergeCell ref="A104:F104"/>
    <mergeCell ref="C67:F67"/>
    <mergeCell ref="A72:F72"/>
    <mergeCell ref="A73:F73"/>
    <mergeCell ref="A74:F74"/>
    <mergeCell ref="A94:C94"/>
    <mergeCell ref="E94:G94"/>
    <mergeCell ref="A41:G41"/>
    <mergeCell ref="A51:B51"/>
    <mergeCell ref="A58:B58"/>
    <mergeCell ref="A62:B62"/>
    <mergeCell ref="E63:F63"/>
    <mergeCell ref="F1:H1"/>
    <mergeCell ref="B13:E13"/>
    <mergeCell ref="A14:G14"/>
    <mergeCell ref="A25:G25"/>
    <mergeCell ref="A33:B33"/>
  </mergeCells>
  <pageMargins left="0.39370078740157483" right="0.35433070866141736" top="0.39370078740157483" bottom="0.98425196850393704" header="0" footer="0"/>
  <pageSetup paperSize="9" orientation="landscape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6</xdr:col>
                <xdr:colOff>85725</xdr:colOff>
                <xdr:row>134</xdr:row>
                <xdr:rowOff>38100</xdr:rowOff>
              </from>
              <to>
                <xdr:col>7</xdr:col>
                <xdr:colOff>466725</xdr:colOff>
                <xdr:row>137</xdr:row>
                <xdr:rowOff>38100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6FF4-453A-4C01-AFB7-0F679FB91BD1}">
  <dimension ref="A1:H28"/>
  <sheetViews>
    <sheetView workbookViewId="0">
      <selection activeCell="D27" sqref="D27"/>
    </sheetView>
  </sheetViews>
  <sheetFormatPr baseColWidth="10" defaultRowHeight="15" x14ac:dyDescent="0.25"/>
  <cols>
    <col min="1" max="1" width="34.140625" bestFit="1" customWidth="1"/>
    <col min="2" max="2" width="13" bestFit="1" customWidth="1"/>
    <col min="3" max="3" width="12.42578125" bestFit="1" customWidth="1"/>
    <col min="4" max="4" width="34.140625" bestFit="1" customWidth="1"/>
    <col min="5" max="5" width="13" bestFit="1" customWidth="1"/>
    <col min="7" max="7" width="34.140625" bestFit="1" customWidth="1"/>
    <col min="8" max="8" width="13" bestFit="1" customWidth="1"/>
  </cols>
  <sheetData>
    <row r="1" spans="1:8" ht="15.75" x14ac:dyDescent="0.25">
      <c r="A1" s="371" t="s">
        <v>271</v>
      </c>
      <c r="B1" s="371"/>
      <c r="C1" s="303"/>
      <c r="D1" s="371" t="s">
        <v>272</v>
      </c>
      <c r="E1" s="371"/>
      <c r="G1" s="371" t="s">
        <v>273</v>
      </c>
      <c r="H1" s="371"/>
    </row>
    <row r="2" spans="1:8" ht="15.75" x14ac:dyDescent="0.25">
      <c r="A2" s="304"/>
      <c r="B2" s="305"/>
      <c r="C2" s="305"/>
      <c r="D2" s="304"/>
      <c r="E2" s="305"/>
      <c r="G2" s="304"/>
      <c r="H2" s="305"/>
    </row>
    <row r="3" spans="1:8" ht="15.75" x14ac:dyDescent="0.25">
      <c r="A3" s="306" t="s">
        <v>274</v>
      </c>
      <c r="B3" s="307">
        <v>1500000</v>
      </c>
      <c r="C3" s="305"/>
      <c r="D3" s="306" t="s">
        <v>274</v>
      </c>
      <c r="E3" s="307">
        <v>3000000</v>
      </c>
      <c r="G3" s="306" t="s">
        <v>274</v>
      </c>
      <c r="H3" s="307">
        <v>3000000</v>
      </c>
    </row>
    <row r="5" spans="1:8" ht="15.75" x14ac:dyDescent="0.25">
      <c r="A5" s="305" t="s">
        <v>275</v>
      </c>
      <c r="B5" s="308"/>
      <c r="C5" s="305"/>
      <c r="D5" s="305" t="s">
        <v>275</v>
      </c>
      <c r="E5" s="308"/>
      <c r="G5" s="305" t="s">
        <v>275</v>
      </c>
      <c r="H5" s="308"/>
    </row>
    <row r="6" spans="1:8" ht="15.75" x14ac:dyDescent="0.25">
      <c r="A6" s="309" t="s">
        <v>276</v>
      </c>
      <c r="B6" s="310">
        <f>B3*8.5%*12</f>
        <v>1530000.0000000002</v>
      </c>
      <c r="C6" s="305"/>
      <c r="D6" s="309" t="s">
        <v>276</v>
      </c>
      <c r="E6" s="310">
        <f>E3*8.5%*12</f>
        <v>3060000.0000000005</v>
      </c>
      <c r="G6" s="309" t="s">
        <v>276</v>
      </c>
      <c r="H6" s="310">
        <f>H3*8.5%*12</f>
        <v>3060000.0000000005</v>
      </c>
    </row>
    <row r="7" spans="1:8" ht="15.75" x14ac:dyDescent="0.25">
      <c r="A7" s="309" t="s">
        <v>277</v>
      </c>
      <c r="B7" s="310">
        <f>B3*12%*12</f>
        <v>2160000</v>
      </c>
      <c r="C7" s="305"/>
      <c r="D7" s="309" t="s">
        <v>277</v>
      </c>
      <c r="E7" s="310">
        <f>E3*12%*12</f>
        <v>4320000</v>
      </c>
      <c r="G7" s="309" t="s">
        <v>277</v>
      </c>
      <c r="H7" s="310">
        <f>H3*12%*12</f>
        <v>4320000</v>
      </c>
    </row>
    <row r="8" spans="1:8" ht="15.75" x14ac:dyDescent="0.25">
      <c r="A8" s="309" t="s">
        <v>278</v>
      </c>
      <c r="B8" s="310">
        <f>B3*0.552%*12</f>
        <v>99360</v>
      </c>
      <c r="C8" s="305"/>
      <c r="D8" s="309" t="s">
        <v>278</v>
      </c>
      <c r="E8" s="310">
        <f>E3*0.552%*12</f>
        <v>198720</v>
      </c>
      <c r="G8" s="309" t="s">
        <v>278</v>
      </c>
      <c r="H8" s="310">
        <f>H3*0.552%*12</f>
        <v>198720</v>
      </c>
    </row>
    <row r="9" spans="1:8" ht="15.75" x14ac:dyDescent="0.25">
      <c r="A9" s="311" t="s">
        <v>279</v>
      </c>
      <c r="B9" s="312">
        <f>SUM(B6:B8)</f>
        <v>3789360</v>
      </c>
      <c r="C9" s="305"/>
      <c r="D9" s="311" t="s">
        <v>279</v>
      </c>
      <c r="E9" s="312">
        <f>SUM(E6:E8)</f>
        <v>7578720</v>
      </c>
      <c r="G9" s="311" t="s">
        <v>279</v>
      </c>
      <c r="H9" s="312">
        <f>SUM(H6:H8)</f>
        <v>7578720</v>
      </c>
    </row>
    <row r="10" spans="1:8" ht="15.75" x14ac:dyDescent="0.25">
      <c r="A10" s="305"/>
      <c r="B10" s="308"/>
      <c r="C10" s="305"/>
      <c r="D10" s="305"/>
      <c r="E10" s="308"/>
      <c r="G10" s="305"/>
      <c r="H10" s="308"/>
    </row>
    <row r="11" spans="1:8" ht="15.75" x14ac:dyDescent="0.25">
      <c r="A11" s="305" t="s">
        <v>280</v>
      </c>
      <c r="B11" s="308"/>
      <c r="C11" s="305"/>
      <c r="D11" s="305" t="s">
        <v>280</v>
      </c>
      <c r="E11" s="308"/>
      <c r="G11" s="305" t="s">
        <v>280</v>
      </c>
      <c r="H11" s="308"/>
    </row>
    <row r="12" spans="1:8" ht="15.75" x14ac:dyDescent="0.25">
      <c r="A12" s="313" t="s">
        <v>281</v>
      </c>
      <c r="B12" s="307">
        <f>B3*360/360</f>
        <v>1500000</v>
      </c>
      <c r="D12" s="313" t="s">
        <v>281</v>
      </c>
      <c r="E12" s="307">
        <f>E3*360/360</f>
        <v>3000000</v>
      </c>
      <c r="G12" s="313" t="s">
        <v>281</v>
      </c>
      <c r="H12" s="307">
        <f>H3*360/360</f>
        <v>3000000</v>
      </c>
    </row>
    <row r="13" spans="1:8" ht="15.75" x14ac:dyDescent="0.25">
      <c r="A13" s="313" t="s">
        <v>282</v>
      </c>
      <c r="B13" s="307">
        <f>B3*360/360</f>
        <v>1500000</v>
      </c>
      <c r="D13" s="313" t="s">
        <v>282</v>
      </c>
      <c r="E13" s="307">
        <f>E3*360/360</f>
        <v>3000000</v>
      </c>
      <c r="G13" s="313" t="s">
        <v>282</v>
      </c>
      <c r="H13" s="307">
        <f>H3*360/360</f>
        <v>3000000</v>
      </c>
    </row>
    <row r="14" spans="1:8" ht="15.75" x14ac:dyDescent="0.25">
      <c r="A14" s="313" t="s">
        <v>283</v>
      </c>
      <c r="B14" s="307">
        <f>(B3*360*0.12)/360</f>
        <v>180000</v>
      </c>
      <c r="D14" s="313" t="s">
        <v>283</v>
      </c>
      <c r="E14" s="307">
        <f>(E3*360*0.12)/360</f>
        <v>360000</v>
      </c>
      <c r="G14" s="313" t="s">
        <v>283</v>
      </c>
      <c r="H14" s="307">
        <f>(H3*360*0.12)/360</f>
        <v>360000</v>
      </c>
    </row>
    <row r="15" spans="1:8" ht="15.75" x14ac:dyDescent="0.25">
      <c r="A15" s="313" t="s">
        <v>284</v>
      </c>
      <c r="B15" s="307">
        <f>(B3*360)/720</f>
        <v>750000</v>
      </c>
      <c r="D15" s="313" t="s">
        <v>284</v>
      </c>
      <c r="E15" s="307">
        <f>(E3*360)/720</f>
        <v>1500000</v>
      </c>
      <c r="G15" s="313" t="s">
        <v>284</v>
      </c>
      <c r="H15" s="307">
        <f>(H3*360)/720</f>
        <v>1500000</v>
      </c>
    </row>
    <row r="16" spans="1:8" ht="15.75" x14ac:dyDescent="0.25">
      <c r="A16" s="314" t="s">
        <v>279</v>
      </c>
      <c r="B16" s="315">
        <f>SUM(B12:B15)</f>
        <v>3930000</v>
      </c>
      <c r="D16" s="314" t="s">
        <v>279</v>
      </c>
      <c r="E16" s="315">
        <f>SUM(E12:E15)</f>
        <v>7860000</v>
      </c>
      <c r="G16" s="314" t="s">
        <v>279</v>
      </c>
      <c r="H16" s="315">
        <f>SUM(H12:H15)</f>
        <v>7860000</v>
      </c>
    </row>
    <row r="17" spans="1:8" ht="15.75" x14ac:dyDescent="0.25">
      <c r="A17" s="316"/>
      <c r="B17" s="316"/>
      <c r="C17" s="317"/>
      <c r="D17" s="316"/>
      <c r="E17" s="316"/>
      <c r="G17" s="316"/>
      <c r="H17" s="316"/>
    </row>
    <row r="18" spans="1:8" ht="15.75" x14ac:dyDescent="0.25">
      <c r="A18" s="318" t="s">
        <v>285</v>
      </c>
      <c r="B18" s="319">
        <f>B9+B16</f>
        <v>7719360</v>
      </c>
      <c r="C18" s="320"/>
      <c r="D18" s="318" t="s">
        <v>285</v>
      </c>
      <c r="E18" s="319">
        <f>E9+E16</f>
        <v>15438720</v>
      </c>
      <c r="G18" s="318" t="s">
        <v>285</v>
      </c>
      <c r="H18" s="319">
        <f>H9+H16</f>
        <v>15438720</v>
      </c>
    </row>
    <row r="19" spans="1:8" ht="15.75" x14ac:dyDescent="0.25">
      <c r="A19" s="318" t="s">
        <v>286</v>
      </c>
      <c r="B19" s="319">
        <f>(B9+B16)*2</f>
        <v>15438720</v>
      </c>
      <c r="D19" s="318"/>
      <c r="E19" s="319"/>
      <c r="G19" s="318"/>
      <c r="H19" s="319"/>
    </row>
    <row r="25" spans="1:8" x14ac:dyDescent="0.25">
      <c r="A25" s="325" t="s">
        <v>288</v>
      </c>
      <c r="B25" s="326">
        <f>2*B3+E3+H3</f>
        <v>9000000</v>
      </c>
      <c r="C25" s="326">
        <f>B25*12</f>
        <v>108000000</v>
      </c>
    </row>
    <row r="26" spans="1:8" x14ac:dyDescent="0.25">
      <c r="C26" s="326">
        <f>B19+E18+H18</f>
        <v>46316160</v>
      </c>
    </row>
    <row r="27" spans="1:8" x14ac:dyDescent="0.25">
      <c r="C27" s="326">
        <f>C25+C26+18000000+B9+E9+H9</f>
        <v>191262960</v>
      </c>
    </row>
    <row r="28" spans="1:8" x14ac:dyDescent="0.25">
      <c r="C28" s="326">
        <f>C27/5200</f>
        <v>36781.338461538464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workbookViewId="0">
      <selection activeCell="J15" sqref="J15"/>
    </sheetView>
  </sheetViews>
  <sheetFormatPr baseColWidth="10" defaultColWidth="14.42578125" defaultRowHeight="15" customHeight="1" x14ac:dyDescent="0.25"/>
  <cols>
    <col min="1" max="1" width="10.7109375" customWidth="1"/>
    <col min="2" max="3" width="11.7109375" customWidth="1"/>
    <col min="4" max="4" width="13.7109375" customWidth="1"/>
    <col min="5" max="5" width="10.7109375" customWidth="1"/>
    <col min="6" max="6" width="12.140625" customWidth="1"/>
    <col min="7" max="7" width="11.7109375" bestFit="1" customWidth="1"/>
    <col min="8" max="8" width="11.85546875" bestFit="1" customWidth="1"/>
    <col min="9" max="9" width="13.140625" customWidth="1"/>
    <col min="10" max="10" width="10.7109375" customWidth="1"/>
    <col min="11" max="11" width="29" customWidth="1"/>
    <col min="12" max="13" width="10.7109375" customWidth="1"/>
    <col min="14" max="14" width="13.140625" customWidth="1"/>
    <col min="15" max="23" width="10.7109375" customWidth="1"/>
  </cols>
  <sheetData>
    <row r="1" spans="1:14" ht="15.75" x14ac:dyDescent="0.25">
      <c r="A1" s="224" t="s">
        <v>212</v>
      </c>
      <c r="B1" s="225" t="s">
        <v>213</v>
      </c>
      <c r="C1" s="226">
        <v>20</v>
      </c>
      <c r="D1" s="227"/>
      <c r="E1" s="223"/>
      <c r="F1" s="224" t="s">
        <v>214</v>
      </c>
      <c r="G1" s="225" t="s">
        <v>213</v>
      </c>
      <c r="H1" s="226">
        <v>10</v>
      </c>
      <c r="I1" s="227"/>
      <c r="J1" s="223"/>
      <c r="K1" s="224" t="s">
        <v>215</v>
      </c>
      <c r="L1" s="225" t="s">
        <v>213</v>
      </c>
      <c r="M1" s="226">
        <v>5</v>
      </c>
      <c r="N1" s="227"/>
    </row>
    <row r="2" spans="1:14" x14ac:dyDescent="0.25">
      <c r="A2" s="228" t="s">
        <v>216</v>
      </c>
      <c r="B2" s="229" t="s">
        <v>217</v>
      </c>
      <c r="C2" s="230" t="s">
        <v>218</v>
      </c>
      <c r="D2" s="231" t="s">
        <v>219</v>
      </c>
      <c r="E2" s="220"/>
      <c r="F2" s="228" t="s">
        <v>216</v>
      </c>
      <c r="G2" s="229" t="s">
        <v>217</v>
      </c>
      <c r="H2" s="230" t="s">
        <v>218</v>
      </c>
      <c r="I2" s="231" t="s">
        <v>219</v>
      </c>
      <c r="J2" s="220"/>
      <c r="K2" s="228" t="s">
        <v>216</v>
      </c>
      <c r="L2" s="229" t="s">
        <v>217</v>
      </c>
      <c r="M2" s="230" t="s">
        <v>218</v>
      </c>
      <c r="N2" s="231" t="s">
        <v>219</v>
      </c>
    </row>
    <row r="3" spans="1:14" x14ac:dyDescent="0.25">
      <c r="A3" s="232">
        <v>0</v>
      </c>
      <c r="B3" s="233"/>
      <c r="C3" s="231"/>
      <c r="D3" s="346">
        <f>573700000</f>
        <v>573700000</v>
      </c>
      <c r="E3" s="220"/>
      <c r="F3" s="232">
        <v>0</v>
      </c>
      <c r="G3" s="233"/>
      <c r="H3" s="231"/>
      <c r="I3" s="346">
        <v>114100000</v>
      </c>
      <c r="J3" s="220"/>
      <c r="K3" s="234">
        <v>0</v>
      </c>
      <c r="L3" s="233"/>
      <c r="M3" s="231"/>
      <c r="N3" s="346">
        <v>2000000</v>
      </c>
    </row>
    <row r="4" spans="1:14" x14ac:dyDescent="0.25">
      <c r="A4" s="232">
        <v>1</v>
      </c>
      <c r="B4" s="233">
        <f t="shared" ref="B4:B8" si="0">$D$3/$C$1</f>
        <v>28685000</v>
      </c>
      <c r="C4" s="233">
        <f>B4</f>
        <v>28685000</v>
      </c>
      <c r="D4" s="346">
        <f t="shared" ref="D4:D8" si="1">$D$3-C4</f>
        <v>545015000</v>
      </c>
      <c r="E4" s="220"/>
      <c r="F4" s="232">
        <v>1</v>
      </c>
      <c r="G4" s="233">
        <f t="shared" ref="G4:G8" si="2">$I$3/$H$1</f>
        <v>11410000</v>
      </c>
      <c r="H4" s="233">
        <f>G4</f>
        <v>11410000</v>
      </c>
      <c r="I4" s="346">
        <f t="shared" ref="I4:I8" si="3">$I$3-H4</f>
        <v>102690000</v>
      </c>
      <c r="J4" s="220"/>
      <c r="K4" s="234">
        <v>1</v>
      </c>
      <c r="L4" s="233">
        <f t="shared" ref="L4:L8" si="4">$N$3/$M$1</f>
        <v>400000</v>
      </c>
      <c r="M4" s="233">
        <f>L4</f>
        <v>400000</v>
      </c>
      <c r="N4" s="346">
        <f t="shared" ref="N4:N8" si="5">$N$3-M4</f>
        <v>1600000</v>
      </c>
    </row>
    <row r="5" spans="1:14" x14ac:dyDescent="0.25">
      <c r="A5" s="232">
        <v>2</v>
      </c>
      <c r="B5" s="233">
        <f t="shared" si="0"/>
        <v>28685000</v>
      </c>
      <c r="C5" s="233">
        <f t="shared" ref="C5:C7" si="6">C4+B5</f>
        <v>57370000</v>
      </c>
      <c r="D5" s="346">
        <f t="shared" si="1"/>
        <v>516330000</v>
      </c>
      <c r="E5" s="220"/>
      <c r="F5" s="232">
        <v>2</v>
      </c>
      <c r="G5" s="233">
        <f t="shared" si="2"/>
        <v>11410000</v>
      </c>
      <c r="H5" s="233">
        <f t="shared" ref="H5:H8" si="7">H4+G5</f>
        <v>22820000</v>
      </c>
      <c r="I5" s="346">
        <f t="shared" si="3"/>
        <v>91280000</v>
      </c>
      <c r="J5" s="220"/>
      <c r="K5" s="234">
        <v>2</v>
      </c>
      <c r="L5" s="233">
        <f t="shared" si="4"/>
        <v>400000</v>
      </c>
      <c r="M5" s="233">
        <f t="shared" ref="M5:M8" si="8">M4+L5</f>
        <v>800000</v>
      </c>
      <c r="N5" s="346">
        <f t="shared" si="5"/>
        <v>1200000</v>
      </c>
    </row>
    <row r="6" spans="1:14" x14ac:dyDescent="0.25">
      <c r="A6" s="232">
        <v>3</v>
      </c>
      <c r="B6" s="233">
        <f t="shared" si="0"/>
        <v>28685000</v>
      </c>
      <c r="C6" s="233">
        <f t="shared" si="6"/>
        <v>86055000</v>
      </c>
      <c r="D6" s="346">
        <f t="shared" si="1"/>
        <v>487645000</v>
      </c>
      <c r="E6" s="220"/>
      <c r="F6" s="232">
        <v>3</v>
      </c>
      <c r="G6" s="233">
        <f t="shared" si="2"/>
        <v>11410000</v>
      </c>
      <c r="H6" s="233">
        <f t="shared" si="7"/>
        <v>34230000</v>
      </c>
      <c r="I6" s="346">
        <f t="shared" si="3"/>
        <v>79870000</v>
      </c>
      <c r="J6" s="220"/>
      <c r="K6" s="234">
        <v>3</v>
      </c>
      <c r="L6" s="233">
        <f t="shared" si="4"/>
        <v>400000</v>
      </c>
      <c r="M6" s="233">
        <f t="shared" si="8"/>
        <v>1200000</v>
      </c>
      <c r="N6" s="346">
        <f t="shared" si="5"/>
        <v>800000</v>
      </c>
    </row>
    <row r="7" spans="1:14" x14ac:dyDescent="0.25">
      <c r="A7" s="232">
        <v>4</v>
      </c>
      <c r="B7" s="233">
        <f t="shared" si="0"/>
        <v>28685000</v>
      </c>
      <c r="C7" s="233">
        <f t="shared" si="6"/>
        <v>114740000</v>
      </c>
      <c r="D7" s="346">
        <f t="shared" si="1"/>
        <v>458960000</v>
      </c>
      <c r="E7" s="220"/>
      <c r="F7" s="232">
        <v>4</v>
      </c>
      <c r="G7" s="233">
        <f t="shared" si="2"/>
        <v>11410000</v>
      </c>
      <c r="H7" s="233">
        <f t="shared" si="7"/>
        <v>45640000</v>
      </c>
      <c r="I7" s="346">
        <f t="shared" si="3"/>
        <v>68460000</v>
      </c>
      <c r="J7" s="220"/>
      <c r="K7" s="234">
        <v>4</v>
      </c>
      <c r="L7" s="233">
        <f t="shared" si="4"/>
        <v>400000</v>
      </c>
      <c r="M7" s="233">
        <f t="shared" si="8"/>
        <v>1600000</v>
      </c>
      <c r="N7" s="346">
        <f t="shared" si="5"/>
        <v>400000</v>
      </c>
    </row>
    <row r="8" spans="1:14" x14ac:dyDescent="0.25">
      <c r="A8" s="232">
        <v>5</v>
      </c>
      <c r="B8" s="233">
        <f t="shared" si="0"/>
        <v>28685000</v>
      </c>
      <c r="C8" s="276">
        <f>C7+B8</f>
        <v>143425000</v>
      </c>
      <c r="D8" s="346">
        <f t="shared" si="1"/>
        <v>430275000</v>
      </c>
      <c r="F8" s="232">
        <v>5</v>
      </c>
      <c r="G8" s="233">
        <f t="shared" si="2"/>
        <v>11410000</v>
      </c>
      <c r="H8" s="276">
        <f t="shared" si="7"/>
        <v>57050000</v>
      </c>
      <c r="I8" s="346">
        <f t="shared" si="3"/>
        <v>57050000</v>
      </c>
      <c r="K8" s="232">
        <v>5</v>
      </c>
      <c r="L8" s="233">
        <f t="shared" si="4"/>
        <v>400000</v>
      </c>
      <c r="M8" s="276">
        <f t="shared" si="8"/>
        <v>2000000</v>
      </c>
      <c r="N8" s="346">
        <f t="shared" si="5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87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5" max="5" width="17.42578125" customWidth="1"/>
    <col min="7" max="7" width="26.42578125" customWidth="1"/>
    <col min="8" max="8" width="4.42578125" customWidth="1"/>
    <col min="9" max="9" width="19.85546875" bestFit="1" customWidth="1"/>
    <col min="10" max="10" width="17.42578125" bestFit="1" customWidth="1"/>
  </cols>
  <sheetData>
    <row r="1" spans="1:10" ht="15" customHeight="1" x14ac:dyDescent="0.25">
      <c r="A1" s="235" t="s">
        <v>220</v>
      </c>
      <c r="B1" s="236"/>
      <c r="C1" s="236"/>
      <c r="D1" s="236"/>
      <c r="E1" s="236"/>
      <c r="F1" s="236"/>
      <c r="G1" s="237"/>
      <c r="H1" s="237"/>
      <c r="I1" s="237"/>
    </row>
    <row r="2" spans="1:10" ht="15" customHeight="1" x14ac:dyDescent="0.25">
      <c r="A2" s="372" t="s">
        <v>221</v>
      </c>
      <c r="B2" s="372" t="s">
        <v>222</v>
      </c>
      <c r="C2" s="372" t="s">
        <v>223</v>
      </c>
      <c r="D2" s="372" t="s">
        <v>224</v>
      </c>
      <c r="E2" s="372" t="s">
        <v>225</v>
      </c>
      <c r="F2" s="372" t="s">
        <v>226</v>
      </c>
      <c r="G2" s="372" t="s">
        <v>227</v>
      </c>
      <c r="H2" s="237"/>
      <c r="I2" s="237"/>
    </row>
    <row r="3" spans="1:10" ht="15" customHeight="1" x14ac:dyDescent="0.25">
      <c r="A3" s="373"/>
      <c r="B3" s="373"/>
      <c r="C3" s="373"/>
      <c r="D3" s="373"/>
      <c r="E3" s="373"/>
      <c r="F3" s="373"/>
      <c r="G3" s="373"/>
    </row>
    <row r="4" spans="1:10" ht="15" customHeight="1" x14ac:dyDescent="0.25">
      <c r="A4" s="238">
        <v>1</v>
      </c>
      <c r="B4" s="239">
        <v>44835</v>
      </c>
      <c r="C4" s="240">
        <f>CONSTANTES!B54</f>
        <v>1200000000</v>
      </c>
      <c r="D4" s="240">
        <f t="shared" ref="D4:D35" si="0">C4*$J$12</f>
        <v>12000000</v>
      </c>
      <c r="E4" s="240">
        <f>F4-D4</f>
        <v>9183279.3564885817</v>
      </c>
      <c r="F4" s="240">
        <f t="shared" ref="F4:F35" si="1">$J$14</f>
        <v>21183279.356488582</v>
      </c>
      <c r="G4" s="240">
        <f t="shared" ref="G4:G87" si="2">C4-E4</f>
        <v>1190816720.6435115</v>
      </c>
    </row>
    <row r="5" spans="1:10" ht="15" customHeight="1" x14ac:dyDescent="0.25">
      <c r="A5" s="241">
        <v>2</v>
      </c>
      <c r="B5" s="242">
        <v>44866</v>
      </c>
      <c r="C5" s="243">
        <f t="shared" ref="C5:C87" si="3">G4</f>
        <v>1190816720.6435115</v>
      </c>
      <c r="D5" s="243">
        <f t="shared" si="0"/>
        <v>11908167.206435116</v>
      </c>
      <c r="E5" s="243">
        <f t="shared" ref="E5:E87" si="4">F5-D5</f>
        <v>9275112.1500534657</v>
      </c>
      <c r="F5" s="243">
        <f t="shared" si="1"/>
        <v>21183279.356488582</v>
      </c>
      <c r="G5" s="243">
        <f t="shared" si="2"/>
        <v>1181541608.493458</v>
      </c>
    </row>
    <row r="6" spans="1:10" ht="15" customHeight="1" x14ac:dyDescent="0.25">
      <c r="A6" s="238">
        <v>3</v>
      </c>
      <c r="B6" s="239">
        <v>44896</v>
      </c>
      <c r="C6" s="240">
        <f t="shared" si="3"/>
        <v>1181541608.493458</v>
      </c>
      <c r="D6" s="240">
        <f t="shared" si="0"/>
        <v>11815416.084934581</v>
      </c>
      <c r="E6" s="240">
        <f t="shared" si="4"/>
        <v>9367863.2715540007</v>
      </c>
      <c r="F6" s="240">
        <f t="shared" si="1"/>
        <v>21183279.356488582</v>
      </c>
      <c r="G6" s="240">
        <f t="shared" si="2"/>
        <v>1172173745.221904</v>
      </c>
    </row>
    <row r="7" spans="1:10" ht="15" customHeight="1" x14ac:dyDescent="0.25">
      <c r="A7" s="241">
        <v>4</v>
      </c>
      <c r="B7" s="242">
        <v>44927</v>
      </c>
      <c r="C7" s="243">
        <f t="shared" si="3"/>
        <v>1172173745.221904</v>
      </c>
      <c r="D7" s="243">
        <f t="shared" si="0"/>
        <v>11721737.452219041</v>
      </c>
      <c r="E7" s="243">
        <f t="shared" si="4"/>
        <v>9461541.9042695407</v>
      </c>
      <c r="F7" s="243">
        <f t="shared" si="1"/>
        <v>21183279.356488582</v>
      </c>
      <c r="G7" s="243">
        <f t="shared" si="2"/>
        <v>1162712203.3176346</v>
      </c>
    </row>
    <row r="8" spans="1:10" ht="15" customHeight="1" x14ac:dyDescent="0.25">
      <c r="A8" s="238">
        <v>5</v>
      </c>
      <c r="B8" s="239">
        <v>44958</v>
      </c>
      <c r="C8" s="240">
        <f t="shared" si="3"/>
        <v>1162712203.3176346</v>
      </c>
      <c r="D8" s="240">
        <f t="shared" si="0"/>
        <v>11627122.033176346</v>
      </c>
      <c r="E8" s="240">
        <f t="shared" si="4"/>
        <v>9556157.323312236</v>
      </c>
      <c r="F8" s="240">
        <f t="shared" si="1"/>
        <v>21183279.356488582</v>
      </c>
      <c r="G8" s="240">
        <f t="shared" si="2"/>
        <v>1153156045.9943223</v>
      </c>
      <c r="H8" s="237"/>
      <c r="I8" s="237"/>
    </row>
    <row r="9" spans="1:10" ht="15" customHeight="1" x14ac:dyDescent="0.25">
      <c r="A9" s="241">
        <v>6</v>
      </c>
      <c r="B9" s="242">
        <v>44986</v>
      </c>
      <c r="C9" s="243">
        <f t="shared" si="3"/>
        <v>1153156045.9943223</v>
      </c>
      <c r="D9" s="243">
        <f t="shared" si="0"/>
        <v>11531560.459943224</v>
      </c>
      <c r="E9" s="243">
        <f t="shared" si="4"/>
        <v>9651718.896545358</v>
      </c>
      <c r="F9" s="243">
        <f t="shared" si="1"/>
        <v>21183279.356488582</v>
      </c>
      <c r="G9" s="243">
        <f t="shared" si="2"/>
        <v>1143504327.0977769</v>
      </c>
      <c r="H9" s="237"/>
      <c r="I9" s="237"/>
    </row>
    <row r="10" spans="1:10" ht="15" customHeight="1" x14ac:dyDescent="0.25">
      <c r="A10" s="238">
        <v>7</v>
      </c>
      <c r="B10" s="239">
        <v>45017</v>
      </c>
      <c r="C10" s="240">
        <f t="shared" si="3"/>
        <v>1143504327.0977769</v>
      </c>
      <c r="D10" s="240">
        <f t="shared" si="0"/>
        <v>11435043.270977769</v>
      </c>
      <c r="E10" s="240">
        <f t="shared" si="4"/>
        <v>9748236.0855108127</v>
      </c>
      <c r="F10" s="240">
        <f t="shared" si="1"/>
        <v>21183279.356488582</v>
      </c>
      <c r="G10" s="240">
        <f t="shared" si="2"/>
        <v>1133756091.0122662</v>
      </c>
    </row>
    <row r="11" spans="1:10" ht="15" customHeight="1" x14ac:dyDescent="0.25">
      <c r="A11" s="241">
        <v>8</v>
      </c>
      <c r="B11" s="242">
        <v>45047</v>
      </c>
      <c r="C11" s="243">
        <f t="shared" si="3"/>
        <v>1133756091.0122662</v>
      </c>
      <c r="D11" s="243">
        <f t="shared" si="0"/>
        <v>11337560.910122661</v>
      </c>
      <c r="E11" s="243">
        <f t="shared" si="4"/>
        <v>9845718.4463659208</v>
      </c>
      <c r="F11" s="243">
        <f t="shared" si="1"/>
        <v>21183279.356488582</v>
      </c>
      <c r="G11" s="243">
        <f t="shared" si="2"/>
        <v>1123910372.5659003</v>
      </c>
      <c r="I11" s="279" t="s">
        <v>254</v>
      </c>
      <c r="J11" s="298">
        <f>+C4</f>
        <v>1200000000</v>
      </c>
    </row>
    <row r="12" spans="1:10" ht="15" customHeight="1" x14ac:dyDescent="0.25">
      <c r="A12" s="238">
        <v>9</v>
      </c>
      <c r="B12" s="239">
        <v>45078</v>
      </c>
      <c r="C12" s="240">
        <f t="shared" si="3"/>
        <v>1123910372.5659003</v>
      </c>
      <c r="D12" s="240">
        <f t="shared" si="0"/>
        <v>11239103.725659003</v>
      </c>
      <c r="E12" s="240">
        <f t="shared" si="4"/>
        <v>9944175.6308295783</v>
      </c>
      <c r="F12" s="240">
        <f t="shared" si="1"/>
        <v>21183279.356488582</v>
      </c>
      <c r="G12" s="240">
        <f t="shared" si="2"/>
        <v>1113966196.9350708</v>
      </c>
      <c r="I12" s="279" t="s">
        <v>229</v>
      </c>
      <c r="J12" s="280">
        <f>CONSTANTES!B55/12</f>
        <v>0.01</v>
      </c>
    </row>
    <row r="13" spans="1:10" ht="15" customHeight="1" x14ac:dyDescent="0.25">
      <c r="A13" s="241">
        <v>10</v>
      </c>
      <c r="B13" s="242">
        <v>45108</v>
      </c>
      <c r="C13" s="243">
        <f t="shared" si="3"/>
        <v>1113966196.9350708</v>
      </c>
      <c r="D13" s="243">
        <f t="shared" si="0"/>
        <v>11139661.969350709</v>
      </c>
      <c r="E13" s="243">
        <f t="shared" si="4"/>
        <v>10043617.387137873</v>
      </c>
      <c r="F13" s="243">
        <f t="shared" si="1"/>
        <v>21183279.356488582</v>
      </c>
      <c r="G13" s="243">
        <f t="shared" si="2"/>
        <v>1103922579.5479329</v>
      </c>
      <c r="I13" s="244" t="s">
        <v>255</v>
      </c>
      <c r="J13" s="245">
        <f>CONSTANTES!B57</f>
        <v>84</v>
      </c>
    </row>
    <row r="14" spans="1:10" ht="15" customHeight="1" x14ac:dyDescent="0.25">
      <c r="A14" s="238">
        <v>11</v>
      </c>
      <c r="B14" s="239">
        <v>45139</v>
      </c>
      <c r="C14" s="240">
        <f t="shared" si="3"/>
        <v>1103922579.5479329</v>
      </c>
      <c r="D14" s="240">
        <f t="shared" si="0"/>
        <v>11039225.795479329</v>
      </c>
      <c r="E14" s="240">
        <f t="shared" si="4"/>
        <v>10144053.561009252</v>
      </c>
      <c r="F14" s="240">
        <f t="shared" si="1"/>
        <v>21183279.356488582</v>
      </c>
      <c r="G14" s="240">
        <f t="shared" si="2"/>
        <v>1093778525.9869237</v>
      </c>
      <c r="I14" s="278" t="s">
        <v>230</v>
      </c>
      <c r="J14" s="297">
        <f>-PMT(J12,J13,C4)</f>
        <v>21183279.356488582</v>
      </c>
    </row>
    <row r="15" spans="1:10" ht="15" customHeight="1" x14ac:dyDescent="0.25">
      <c r="A15" s="241">
        <v>12</v>
      </c>
      <c r="B15" s="242">
        <v>45170</v>
      </c>
      <c r="C15" s="243">
        <f t="shared" si="3"/>
        <v>1093778525.9869237</v>
      </c>
      <c r="D15" s="243">
        <f t="shared" si="0"/>
        <v>10937785.259869236</v>
      </c>
      <c r="E15" s="243">
        <f t="shared" si="4"/>
        <v>10245494.096619345</v>
      </c>
      <c r="F15" s="243">
        <f t="shared" si="1"/>
        <v>21183279.356488582</v>
      </c>
      <c r="G15" s="243">
        <f t="shared" si="2"/>
        <v>1083533031.8903043</v>
      </c>
    </row>
    <row r="16" spans="1:10" ht="15" customHeight="1" x14ac:dyDescent="0.25">
      <c r="A16" s="238">
        <v>13</v>
      </c>
      <c r="B16" s="239">
        <v>45200</v>
      </c>
      <c r="C16" s="240">
        <f t="shared" si="3"/>
        <v>1083533031.8903043</v>
      </c>
      <c r="D16" s="240">
        <f t="shared" si="0"/>
        <v>10835330.318903044</v>
      </c>
      <c r="E16" s="240">
        <f t="shared" si="4"/>
        <v>10347949.037585538</v>
      </c>
      <c r="F16" s="240">
        <f t="shared" si="1"/>
        <v>21183279.356488582</v>
      </c>
      <c r="G16" s="240">
        <f t="shared" si="2"/>
        <v>1073185082.8527188</v>
      </c>
    </row>
    <row r="17" spans="1:7" ht="15" customHeight="1" x14ac:dyDescent="0.25">
      <c r="A17" s="241">
        <v>14</v>
      </c>
      <c r="B17" s="242">
        <v>45231</v>
      </c>
      <c r="C17" s="243">
        <f t="shared" si="3"/>
        <v>1073185082.8527188</v>
      </c>
      <c r="D17" s="243">
        <f t="shared" si="0"/>
        <v>10731850.828527188</v>
      </c>
      <c r="E17" s="243">
        <f t="shared" si="4"/>
        <v>10451428.527961394</v>
      </c>
      <c r="F17" s="243">
        <f t="shared" si="1"/>
        <v>21183279.356488582</v>
      </c>
      <c r="G17" s="243">
        <f t="shared" si="2"/>
        <v>1062733654.3247575</v>
      </c>
    </row>
    <row r="18" spans="1:7" ht="15" customHeight="1" x14ac:dyDescent="0.25">
      <c r="A18" s="238">
        <v>15</v>
      </c>
      <c r="B18" s="239">
        <v>45261</v>
      </c>
      <c r="C18" s="240">
        <f t="shared" si="3"/>
        <v>1062733654.3247575</v>
      </c>
      <c r="D18" s="240">
        <f t="shared" si="0"/>
        <v>10627336.543247575</v>
      </c>
      <c r="E18" s="240">
        <f t="shared" si="4"/>
        <v>10555942.813241007</v>
      </c>
      <c r="F18" s="240">
        <f t="shared" si="1"/>
        <v>21183279.356488582</v>
      </c>
      <c r="G18" s="240">
        <f t="shared" si="2"/>
        <v>1052177711.5115165</v>
      </c>
    </row>
    <row r="19" spans="1:7" ht="15" customHeight="1" x14ac:dyDescent="0.25">
      <c r="A19" s="241">
        <v>16</v>
      </c>
      <c r="B19" s="242">
        <v>45292</v>
      </c>
      <c r="C19" s="243">
        <f t="shared" si="3"/>
        <v>1052177711.5115165</v>
      </c>
      <c r="D19" s="243">
        <f t="shared" si="0"/>
        <v>10521777.115115164</v>
      </c>
      <c r="E19" s="243">
        <f t="shared" si="4"/>
        <v>10661502.241373418</v>
      </c>
      <c r="F19" s="243">
        <f t="shared" si="1"/>
        <v>21183279.356488582</v>
      </c>
      <c r="G19" s="243">
        <f t="shared" si="2"/>
        <v>1041516209.270143</v>
      </c>
    </row>
    <row r="20" spans="1:7" ht="15" customHeight="1" x14ac:dyDescent="0.25">
      <c r="A20" s="238">
        <v>17</v>
      </c>
      <c r="B20" s="239">
        <v>45323</v>
      </c>
      <c r="C20" s="240">
        <f t="shared" si="3"/>
        <v>1041516209.270143</v>
      </c>
      <c r="D20" s="240">
        <f t="shared" si="0"/>
        <v>10415162.092701431</v>
      </c>
      <c r="E20" s="240">
        <f t="shared" si="4"/>
        <v>10768117.26378715</v>
      </c>
      <c r="F20" s="240">
        <f t="shared" si="1"/>
        <v>21183279.356488582</v>
      </c>
      <c r="G20" s="240">
        <f t="shared" si="2"/>
        <v>1030748092.0063559</v>
      </c>
    </row>
    <row r="21" spans="1:7" ht="15" customHeight="1" x14ac:dyDescent="0.25">
      <c r="A21" s="241">
        <v>18</v>
      </c>
      <c r="B21" s="242">
        <v>45352</v>
      </c>
      <c r="C21" s="243">
        <f t="shared" si="3"/>
        <v>1030748092.0063559</v>
      </c>
      <c r="D21" s="243">
        <f t="shared" si="0"/>
        <v>10307480.920063559</v>
      </c>
      <c r="E21" s="243">
        <f t="shared" si="4"/>
        <v>10875798.436425023</v>
      </c>
      <c r="F21" s="243">
        <f t="shared" si="1"/>
        <v>21183279.356488582</v>
      </c>
      <c r="G21" s="243">
        <f t="shared" si="2"/>
        <v>1019872293.5699309</v>
      </c>
    </row>
    <row r="22" spans="1:7" ht="15.75" x14ac:dyDescent="0.25">
      <c r="A22" s="238">
        <v>19</v>
      </c>
      <c r="B22" s="239">
        <v>45383</v>
      </c>
      <c r="C22" s="240">
        <f t="shared" si="3"/>
        <v>1019872293.5699309</v>
      </c>
      <c r="D22" s="240">
        <f t="shared" si="0"/>
        <v>10198722.93569931</v>
      </c>
      <c r="E22" s="240">
        <f t="shared" si="4"/>
        <v>10984556.420789272</v>
      </c>
      <c r="F22" s="240">
        <f t="shared" si="1"/>
        <v>21183279.356488582</v>
      </c>
      <c r="G22" s="240">
        <f t="shared" si="2"/>
        <v>1008887737.1491417</v>
      </c>
    </row>
    <row r="23" spans="1:7" ht="15.75" x14ac:dyDescent="0.25">
      <c r="A23" s="241">
        <v>20</v>
      </c>
      <c r="B23" s="242">
        <v>45413</v>
      </c>
      <c r="C23" s="243">
        <f t="shared" si="3"/>
        <v>1008887737.1491417</v>
      </c>
      <c r="D23" s="243">
        <f t="shared" si="0"/>
        <v>10088877.371491417</v>
      </c>
      <c r="E23" s="243">
        <f t="shared" si="4"/>
        <v>11094401.984997164</v>
      </c>
      <c r="F23" s="243">
        <f t="shared" si="1"/>
        <v>21183279.356488582</v>
      </c>
      <c r="G23" s="243">
        <f t="shared" si="2"/>
        <v>997793335.16414452</v>
      </c>
    </row>
    <row r="24" spans="1:7" ht="15.75" x14ac:dyDescent="0.25">
      <c r="A24" s="238">
        <v>21</v>
      </c>
      <c r="B24" s="239">
        <v>45444</v>
      </c>
      <c r="C24" s="240">
        <f t="shared" si="3"/>
        <v>997793335.16414452</v>
      </c>
      <c r="D24" s="240">
        <f t="shared" si="0"/>
        <v>9977933.3516414445</v>
      </c>
      <c r="E24" s="240">
        <f t="shared" si="4"/>
        <v>11205346.004847137</v>
      </c>
      <c r="F24" s="240">
        <f t="shared" si="1"/>
        <v>21183279.356488582</v>
      </c>
      <c r="G24" s="240">
        <f t="shared" si="2"/>
        <v>986587989.15929735</v>
      </c>
    </row>
    <row r="25" spans="1:7" ht="15.75" x14ac:dyDescent="0.25">
      <c r="A25" s="241">
        <v>22</v>
      </c>
      <c r="B25" s="242">
        <v>45474</v>
      </c>
      <c r="C25" s="243">
        <f t="shared" si="3"/>
        <v>986587989.15929735</v>
      </c>
      <c r="D25" s="243">
        <f t="shared" si="0"/>
        <v>9865879.8915929738</v>
      </c>
      <c r="E25" s="243">
        <f t="shared" si="4"/>
        <v>11317399.464895608</v>
      </c>
      <c r="F25" s="243">
        <f t="shared" si="1"/>
        <v>21183279.356488582</v>
      </c>
      <c r="G25" s="243">
        <f t="shared" si="2"/>
        <v>975270589.69440174</v>
      </c>
    </row>
    <row r="26" spans="1:7" ht="15.75" x14ac:dyDescent="0.25">
      <c r="A26" s="238">
        <v>23</v>
      </c>
      <c r="B26" s="239">
        <v>45505</v>
      </c>
      <c r="C26" s="240">
        <f t="shared" si="3"/>
        <v>975270589.69440174</v>
      </c>
      <c r="D26" s="240">
        <f t="shared" si="0"/>
        <v>9752705.8969440181</v>
      </c>
      <c r="E26" s="240">
        <f t="shared" si="4"/>
        <v>11430573.459544564</v>
      </c>
      <c r="F26" s="240">
        <f t="shared" si="1"/>
        <v>21183279.356488582</v>
      </c>
      <c r="G26" s="240">
        <f t="shared" si="2"/>
        <v>963840016.2348572</v>
      </c>
    </row>
    <row r="27" spans="1:7" ht="15.75" x14ac:dyDescent="0.25">
      <c r="A27" s="241">
        <v>24</v>
      </c>
      <c r="B27" s="242">
        <v>45536</v>
      </c>
      <c r="C27" s="243">
        <f t="shared" si="3"/>
        <v>963840016.2348572</v>
      </c>
      <c r="D27" s="243">
        <f t="shared" si="0"/>
        <v>9638400.1623485722</v>
      </c>
      <c r="E27" s="243">
        <f t="shared" si="4"/>
        <v>11544879.19414001</v>
      </c>
      <c r="F27" s="243">
        <f t="shared" si="1"/>
        <v>21183279.356488582</v>
      </c>
      <c r="G27" s="243">
        <f t="shared" si="2"/>
        <v>952295137.04071724</v>
      </c>
    </row>
    <row r="28" spans="1:7" ht="15.75" x14ac:dyDescent="0.25">
      <c r="A28" s="238">
        <v>25</v>
      </c>
      <c r="B28" s="239">
        <v>45566</v>
      </c>
      <c r="C28" s="240">
        <f t="shared" si="3"/>
        <v>952295137.04071724</v>
      </c>
      <c r="D28" s="240">
        <f t="shared" si="0"/>
        <v>9522951.3704071734</v>
      </c>
      <c r="E28" s="240">
        <f t="shared" si="4"/>
        <v>11660327.986081408</v>
      </c>
      <c r="F28" s="240">
        <f t="shared" si="1"/>
        <v>21183279.356488582</v>
      </c>
      <c r="G28" s="240">
        <f t="shared" si="2"/>
        <v>940634809.05463588</v>
      </c>
    </row>
    <row r="29" spans="1:7" ht="15.75" x14ac:dyDescent="0.25">
      <c r="A29" s="241">
        <v>26</v>
      </c>
      <c r="B29" s="242">
        <v>45597</v>
      </c>
      <c r="C29" s="243">
        <f t="shared" si="3"/>
        <v>940634809.05463588</v>
      </c>
      <c r="D29" s="243">
        <f t="shared" si="0"/>
        <v>9406348.0905463584</v>
      </c>
      <c r="E29" s="243">
        <f t="shared" si="4"/>
        <v>11776931.265942223</v>
      </c>
      <c r="F29" s="243">
        <f t="shared" si="1"/>
        <v>21183279.356488582</v>
      </c>
      <c r="G29" s="243">
        <f t="shared" si="2"/>
        <v>928857877.78869367</v>
      </c>
    </row>
    <row r="30" spans="1:7" ht="15.75" x14ac:dyDescent="0.25">
      <c r="A30" s="238">
        <v>27</v>
      </c>
      <c r="B30" s="239">
        <v>45627</v>
      </c>
      <c r="C30" s="240">
        <f t="shared" si="3"/>
        <v>928857877.78869367</v>
      </c>
      <c r="D30" s="240">
        <f t="shared" si="0"/>
        <v>9288578.7778869364</v>
      </c>
      <c r="E30" s="240">
        <f t="shared" si="4"/>
        <v>11894700.578601645</v>
      </c>
      <c r="F30" s="240">
        <f t="shared" si="1"/>
        <v>21183279.356488582</v>
      </c>
      <c r="G30" s="240">
        <f t="shared" si="2"/>
        <v>916963177.21009207</v>
      </c>
    </row>
    <row r="31" spans="1:7" ht="15.75" x14ac:dyDescent="0.25">
      <c r="A31" s="241">
        <v>28</v>
      </c>
      <c r="B31" s="242">
        <v>45658</v>
      </c>
      <c r="C31" s="243">
        <f t="shared" si="3"/>
        <v>916963177.21009207</v>
      </c>
      <c r="D31" s="243">
        <f t="shared" si="0"/>
        <v>9169631.7721009217</v>
      </c>
      <c r="E31" s="243">
        <f t="shared" si="4"/>
        <v>12013647.58438766</v>
      </c>
      <c r="F31" s="243">
        <f t="shared" si="1"/>
        <v>21183279.356488582</v>
      </c>
      <c r="G31" s="243">
        <f t="shared" si="2"/>
        <v>904949529.62570441</v>
      </c>
    </row>
    <row r="32" spans="1:7" ht="15.75" x14ac:dyDescent="0.25">
      <c r="A32" s="238">
        <v>29</v>
      </c>
      <c r="B32" s="239">
        <v>45689</v>
      </c>
      <c r="C32" s="240">
        <f t="shared" si="3"/>
        <v>904949529.62570441</v>
      </c>
      <c r="D32" s="240">
        <f t="shared" si="0"/>
        <v>9049495.2962570451</v>
      </c>
      <c r="E32" s="240">
        <f t="shared" si="4"/>
        <v>12133784.060231537</v>
      </c>
      <c r="F32" s="240">
        <f t="shared" si="1"/>
        <v>21183279.356488582</v>
      </c>
      <c r="G32" s="240">
        <f t="shared" si="2"/>
        <v>892815745.56547284</v>
      </c>
    </row>
    <row r="33" spans="1:7" ht="15.75" x14ac:dyDescent="0.25">
      <c r="A33" s="241">
        <v>30</v>
      </c>
      <c r="B33" s="242">
        <v>45717</v>
      </c>
      <c r="C33" s="243">
        <f t="shared" si="3"/>
        <v>892815745.56547284</v>
      </c>
      <c r="D33" s="243">
        <f t="shared" si="0"/>
        <v>8928157.4556547292</v>
      </c>
      <c r="E33" s="243">
        <f t="shared" si="4"/>
        <v>12255121.900833853</v>
      </c>
      <c r="F33" s="243">
        <f t="shared" si="1"/>
        <v>21183279.356488582</v>
      </c>
      <c r="G33" s="243">
        <f t="shared" si="2"/>
        <v>880560623.664639</v>
      </c>
    </row>
    <row r="34" spans="1:7" ht="15.75" x14ac:dyDescent="0.25">
      <c r="A34" s="238">
        <v>31</v>
      </c>
      <c r="B34" s="239">
        <v>45748</v>
      </c>
      <c r="C34" s="240">
        <f t="shared" si="3"/>
        <v>880560623.664639</v>
      </c>
      <c r="D34" s="240">
        <f t="shared" si="0"/>
        <v>8805606.2366463896</v>
      </c>
      <c r="E34" s="240">
        <f t="shared" si="4"/>
        <v>12377673.119842192</v>
      </c>
      <c r="F34" s="240">
        <f t="shared" si="1"/>
        <v>21183279.356488582</v>
      </c>
      <c r="G34" s="240">
        <f t="shared" si="2"/>
        <v>868182950.54479682</v>
      </c>
    </row>
    <row r="35" spans="1:7" ht="15.75" x14ac:dyDescent="0.25">
      <c r="A35" s="241">
        <v>32</v>
      </c>
      <c r="B35" s="242">
        <v>45778</v>
      </c>
      <c r="C35" s="243">
        <f t="shared" si="3"/>
        <v>868182950.54479682</v>
      </c>
      <c r="D35" s="243">
        <f t="shared" si="0"/>
        <v>8681829.5054479688</v>
      </c>
      <c r="E35" s="243">
        <f t="shared" si="4"/>
        <v>12501449.851040613</v>
      </c>
      <c r="F35" s="243">
        <f t="shared" si="1"/>
        <v>21183279.356488582</v>
      </c>
      <c r="G35" s="243">
        <f t="shared" si="2"/>
        <v>855681500.69375622</v>
      </c>
    </row>
    <row r="36" spans="1:7" ht="15.75" x14ac:dyDescent="0.25">
      <c r="A36" s="238">
        <v>33</v>
      </c>
      <c r="B36" s="239">
        <v>45809</v>
      </c>
      <c r="C36" s="240">
        <f t="shared" si="3"/>
        <v>855681500.69375622</v>
      </c>
      <c r="D36" s="240">
        <f t="shared" ref="D36:D67" si="5">C36*$J$12</f>
        <v>8556815.0069375616</v>
      </c>
      <c r="E36" s="240">
        <f t="shared" si="4"/>
        <v>12626464.34955102</v>
      </c>
      <c r="F36" s="240">
        <f t="shared" ref="F36:F67" si="6">$J$14</f>
        <v>21183279.356488582</v>
      </c>
      <c r="G36" s="240">
        <f t="shared" si="2"/>
        <v>843055036.34420526</v>
      </c>
    </row>
    <row r="37" spans="1:7" ht="15.75" x14ac:dyDescent="0.25">
      <c r="A37" s="241">
        <v>34</v>
      </c>
      <c r="B37" s="242">
        <v>45839</v>
      </c>
      <c r="C37" s="243">
        <f t="shared" si="3"/>
        <v>843055036.34420526</v>
      </c>
      <c r="D37" s="243">
        <f t="shared" si="5"/>
        <v>8430550.3634420522</v>
      </c>
      <c r="E37" s="243">
        <f t="shared" si="4"/>
        <v>12752728.99304653</v>
      </c>
      <c r="F37" s="243">
        <f t="shared" si="6"/>
        <v>21183279.356488582</v>
      </c>
      <c r="G37" s="243">
        <f t="shared" si="2"/>
        <v>830302307.35115874</v>
      </c>
    </row>
    <row r="38" spans="1:7" ht="15.75" x14ac:dyDescent="0.25">
      <c r="A38" s="238">
        <v>35</v>
      </c>
      <c r="B38" s="239">
        <v>45870</v>
      </c>
      <c r="C38" s="240">
        <f t="shared" si="3"/>
        <v>830302307.35115874</v>
      </c>
      <c r="D38" s="240">
        <f t="shared" si="5"/>
        <v>8303023.0735115875</v>
      </c>
      <c r="E38" s="240">
        <f t="shared" si="4"/>
        <v>12880256.282976994</v>
      </c>
      <c r="F38" s="240">
        <f t="shared" si="6"/>
        <v>21183279.356488582</v>
      </c>
      <c r="G38" s="240">
        <f t="shared" si="2"/>
        <v>817422051.06818175</v>
      </c>
    </row>
    <row r="39" spans="1:7" ht="15.75" x14ac:dyDescent="0.25">
      <c r="A39" s="241">
        <v>36</v>
      </c>
      <c r="B39" s="242">
        <v>45901</v>
      </c>
      <c r="C39" s="243">
        <f t="shared" si="3"/>
        <v>817422051.06818175</v>
      </c>
      <c r="D39" s="243">
        <f t="shared" si="5"/>
        <v>8174220.5106818173</v>
      </c>
      <c r="E39" s="243">
        <f t="shared" si="4"/>
        <v>13009058.845806764</v>
      </c>
      <c r="F39" s="243">
        <f t="shared" si="6"/>
        <v>21183279.356488582</v>
      </c>
      <c r="G39" s="243">
        <f t="shared" si="2"/>
        <v>804412992.22237504</v>
      </c>
    </row>
    <row r="40" spans="1:7" ht="15.75" x14ac:dyDescent="0.25">
      <c r="A40" s="238">
        <v>37</v>
      </c>
      <c r="B40" s="239">
        <v>45931</v>
      </c>
      <c r="C40" s="240">
        <f t="shared" si="3"/>
        <v>804412992.22237504</v>
      </c>
      <c r="D40" s="240">
        <f t="shared" si="5"/>
        <v>8044129.9222237505</v>
      </c>
      <c r="E40" s="240">
        <f t="shared" si="4"/>
        <v>13139149.434264831</v>
      </c>
      <c r="F40" s="240">
        <f t="shared" si="6"/>
        <v>21183279.356488582</v>
      </c>
      <c r="G40" s="240">
        <f t="shared" si="2"/>
        <v>791273842.78811026</v>
      </c>
    </row>
    <row r="41" spans="1:7" ht="15.75" x14ac:dyDescent="0.25">
      <c r="A41" s="241">
        <v>38</v>
      </c>
      <c r="B41" s="242">
        <v>45962</v>
      </c>
      <c r="C41" s="243">
        <f t="shared" si="3"/>
        <v>791273842.78811026</v>
      </c>
      <c r="D41" s="243">
        <f t="shared" si="5"/>
        <v>7912738.427881103</v>
      </c>
      <c r="E41" s="243">
        <f t="shared" si="4"/>
        <v>13270540.928607479</v>
      </c>
      <c r="F41" s="243">
        <f t="shared" si="6"/>
        <v>21183279.356488582</v>
      </c>
      <c r="G41" s="243">
        <f t="shared" si="2"/>
        <v>778003301.85950279</v>
      </c>
    </row>
    <row r="42" spans="1:7" ht="15.75" x14ac:dyDescent="0.25">
      <c r="A42" s="238">
        <v>39</v>
      </c>
      <c r="B42" s="239">
        <v>45992</v>
      </c>
      <c r="C42" s="240">
        <f t="shared" si="3"/>
        <v>778003301.85950279</v>
      </c>
      <c r="D42" s="240">
        <f t="shared" si="5"/>
        <v>7780033.0185950277</v>
      </c>
      <c r="E42" s="240">
        <f t="shared" si="4"/>
        <v>13403246.337893553</v>
      </c>
      <c r="F42" s="240">
        <f t="shared" si="6"/>
        <v>21183279.356488582</v>
      </c>
      <c r="G42" s="240">
        <f t="shared" si="2"/>
        <v>764600055.52160919</v>
      </c>
    </row>
    <row r="43" spans="1:7" ht="15.75" x14ac:dyDescent="0.25">
      <c r="A43" s="241">
        <v>40</v>
      </c>
      <c r="B43" s="242">
        <v>46023</v>
      </c>
      <c r="C43" s="243">
        <f t="shared" si="3"/>
        <v>764600055.52160919</v>
      </c>
      <c r="D43" s="243">
        <f t="shared" si="5"/>
        <v>7646000.5552160917</v>
      </c>
      <c r="E43" s="243">
        <f t="shared" si="4"/>
        <v>13537278.801272489</v>
      </c>
      <c r="F43" s="243">
        <f t="shared" si="6"/>
        <v>21183279.356488582</v>
      </c>
      <c r="G43" s="243">
        <f t="shared" si="2"/>
        <v>751062776.72033668</v>
      </c>
    </row>
    <row r="44" spans="1:7" ht="15.75" x14ac:dyDescent="0.25">
      <c r="A44" s="238">
        <v>41</v>
      </c>
      <c r="B44" s="239">
        <v>46054</v>
      </c>
      <c r="C44" s="240">
        <f t="shared" si="3"/>
        <v>751062776.72033668</v>
      </c>
      <c r="D44" s="240">
        <f t="shared" si="5"/>
        <v>7510627.7672033673</v>
      </c>
      <c r="E44" s="240">
        <f t="shared" si="4"/>
        <v>13672651.589285214</v>
      </c>
      <c r="F44" s="240">
        <f t="shared" si="6"/>
        <v>21183279.356488582</v>
      </c>
      <c r="G44" s="240">
        <f t="shared" si="2"/>
        <v>737390125.13105142</v>
      </c>
    </row>
    <row r="45" spans="1:7" ht="15.75" x14ac:dyDescent="0.25">
      <c r="A45" s="241">
        <v>42</v>
      </c>
      <c r="B45" s="242">
        <v>46082</v>
      </c>
      <c r="C45" s="243">
        <f t="shared" si="3"/>
        <v>737390125.13105142</v>
      </c>
      <c r="D45" s="243">
        <f t="shared" si="5"/>
        <v>7373901.2513105143</v>
      </c>
      <c r="E45" s="243">
        <f t="shared" si="4"/>
        <v>13809378.105178067</v>
      </c>
      <c r="F45" s="243">
        <f t="shared" si="6"/>
        <v>21183279.356488582</v>
      </c>
      <c r="G45" s="243">
        <f t="shared" si="2"/>
        <v>723580747.0258733</v>
      </c>
    </row>
    <row r="46" spans="1:7" ht="15.75" x14ac:dyDescent="0.25">
      <c r="A46" s="238">
        <v>43</v>
      </c>
      <c r="B46" s="239">
        <v>46113</v>
      </c>
      <c r="C46" s="240">
        <f t="shared" si="3"/>
        <v>723580747.0258733</v>
      </c>
      <c r="D46" s="240">
        <f t="shared" si="5"/>
        <v>7235807.4702587333</v>
      </c>
      <c r="E46" s="240">
        <f t="shared" si="4"/>
        <v>13947471.886229848</v>
      </c>
      <c r="F46" s="240">
        <f t="shared" si="6"/>
        <v>21183279.356488582</v>
      </c>
      <c r="G46" s="240">
        <f t="shared" si="2"/>
        <v>709633275.13964343</v>
      </c>
    </row>
    <row r="47" spans="1:7" ht="15.75" x14ac:dyDescent="0.25">
      <c r="A47" s="241">
        <v>44</v>
      </c>
      <c r="B47" s="242">
        <v>46143</v>
      </c>
      <c r="C47" s="243">
        <f t="shared" si="3"/>
        <v>709633275.13964343</v>
      </c>
      <c r="D47" s="243">
        <f t="shared" si="5"/>
        <v>7096332.7513964344</v>
      </c>
      <c r="E47" s="243">
        <f t="shared" si="4"/>
        <v>14086946.605092147</v>
      </c>
      <c r="F47" s="243">
        <f t="shared" si="6"/>
        <v>21183279.356488582</v>
      </c>
      <c r="G47" s="243">
        <f t="shared" si="2"/>
        <v>695546328.53455126</v>
      </c>
    </row>
    <row r="48" spans="1:7" ht="15.75" x14ac:dyDescent="0.25">
      <c r="A48" s="238">
        <v>45</v>
      </c>
      <c r="B48" s="239">
        <v>46174</v>
      </c>
      <c r="C48" s="240">
        <f t="shared" si="3"/>
        <v>695546328.53455126</v>
      </c>
      <c r="D48" s="240">
        <f t="shared" si="5"/>
        <v>6955463.2853455124</v>
      </c>
      <c r="E48" s="240">
        <f t="shared" si="4"/>
        <v>14227816.071143068</v>
      </c>
      <c r="F48" s="240">
        <f t="shared" si="6"/>
        <v>21183279.356488582</v>
      </c>
      <c r="G48" s="240">
        <f t="shared" si="2"/>
        <v>681318512.46340823</v>
      </c>
    </row>
    <row r="49" spans="1:7" ht="15.75" x14ac:dyDescent="0.25">
      <c r="A49" s="241">
        <v>46</v>
      </c>
      <c r="B49" s="242">
        <v>46204</v>
      </c>
      <c r="C49" s="243">
        <f t="shared" si="3"/>
        <v>681318512.46340823</v>
      </c>
      <c r="D49" s="243">
        <f t="shared" si="5"/>
        <v>6813185.1246340824</v>
      </c>
      <c r="E49" s="243">
        <f t="shared" si="4"/>
        <v>14370094.231854498</v>
      </c>
      <c r="F49" s="243">
        <f t="shared" si="6"/>
        <v>21183279.356488582</v>
      </c>
      <c r="G49" s="243">
        <f t="shared" si="2"/>
        <v>666948418.23155379</v>
      </c>
    </row>
    <row r="50" spans="1:7" ht="15.75" x14ac:dyDescent="0.25">
      <c r="A50" s="238">
        <v>47</v>
      </c>
      <c r="B50" s="239">
        <v>46235</v>
      </c>
      <c r="C50" s="240">
        <f t="shared" si="3"/>
        <v>666948418.23155379</v>
      </c>
      <c r="D50" s="240">
        <f t="shared" si="5"/>
        <v>6669484.1823155377</v>
      </c>
      <c r="E50" s="240">
        <f t="shared" si="4"/>
        <v>14513795.174173044</v>
      </c>
      <c r="F50" s="240">
        <f t="shared" si="6"/>
        <v>21183279.356488582</v>
      </c>
      <c r="G50" s="240">
        <f t="shared" si="2"/>
        <v>652434623.0573808</v>
      </c>
    </row>
    <row r="51" spans="1:7" ht="15.75" x14ac:dyDescent="0.25">
      <c r="A51" s="241">
        <v>48</v>
      </c>
      <c r="B51" s="242">
        <v>46266</v>
      </c>
      <c r="C51" s="243">
        <f t="shared" si="3"/>
        <v>652434623.0573808</v>
      </c>
      <c r="D51" s="243">
        <f t="shared" si="5"/>
        <v>6524346.2305738078</v>
      </c>
      <c r="E51" s="243">
        <f t="shared" si="4"/>
        <v>14658933.125914775</v>
      </c>
      <c r="F51" s="243">
        <f t="shared" si="6"/>
        <v>21183279.356488582</v>
      </c>
      <c r="G51" s="243">
        <f t="shared" si="2"/>
        <v>637775689.93146598</v>
      </c>
    </row>
    <row r="52" spans="1:7" ht="15.75" x14ac:dyDescent="0.25">
      <c r="A52" s="238">
        <v>49</v>
      </c>
      <c r="B52" s="239">
        <v>46296</v>
      </c>
      <c r="C52" s="240">
        <f t="shared" si="3"/>
        <v>637775689.93146598</v>
      </c>
      <c r="D52" s="240">
        <f t="shared" si="5"/>
        <v>6377756.8993146596</v>
      </c>
      <c r="E52" s="240">
        <f t="shared" si="4"/>
        <v>14805522.457173921</v>
      </c>
      <c r="F52" s="240">
        <f t="shared" si="6"/>
        <v>21183279.356488582</v>
      </c>
      <c r="G52" s="240">
        <f t="shared" si="2"/>
        <v>622970167.47429204</v>
      </c>
    </row>
    <row r="53" spans="1:7" ht="15.75" x14ac:dyDescent="0.25">
      <c r="A53" s="241">
        <v>50</v>
      </c>
      <c r="B53" s="242">
        <v>46327</v>
      </c>
      <c r="C53" s="243">
        <f t="shared" si="3"/>
        <v>622970167.47429204</v>
      </c>
      <c r="D53" s="243">
        <f t="shared" si="5"/>
        <v>6229701.6747429203</v>
      </c>
      <c r="E53" s="243">
        <f t="shared" si="4"/>
        <v>14953577.681745661</v>
      </c>
      <c r="F53" s="243">
        <f t="shared" si="6"/>
        <v>21183279.356488582</v>
      </c>
      <c r="G53" s="243">
        <f t="shared" si="2"/>
        <v>608016589.79254639</v>
      </c>
    </row>
    <row r="54" spans="1:7" ht="15.75" x14ac:dyDescent="0.25">
      <c r="A54" s="238">
        <v>51</v>
      </c>
      <c r="B54" s="239">
        <v>46357</v>
      </c>
      <c r="C54" s="240">
        <f t="shared" si="3"/>
        <v>608016589.79254639</v>
      </c>
      <c r="D54" s="240">
        <f t="shared" si="5"/>
        <v>6080165.8979254644</v>
      </c>
      <c r="E54" s="240">
        <f t="shared" si="4"/>
        <v>15103113.458563117</v>
      </c>
      <c r="F54" s="240">
        <f t="shared" si="6"/>
        <v>21183279.356488582</v>
      </c>
      <c r="G54" s="240">
        <f t="shared" si="2"/>
        <v>592913476.3339833</v>
      </c>
    </row>
    <row r="55" spans="1:7" ht="15.75" x14ac:dyDescent="0.25">
      <c r="A55" s="241">
        <v>52</v>
      </c>
      <c r="B55" s="242">
        <v>46388</v>
      </c>
      <c r="C55" s="243">
        <f t="shared" si="3"/>
        <v>592913476.3339833</v>
      </c>
      <c r="D55" s="243">
        <f t="shared" si="5"/>
        <v>5929134.7633398334</v>
      </c>
      <c r="E55" s="243">
        <f t="shared" si="4"/>
        <v>15254144.593148749</v>
      </c>
      <c r="F55" s="243">
        <f t="shared" si="6"/>
        <v>21183279.356488582</v>
      </c>
      <c r="G55" s="243">
        <f t="shared" si="2"/>
        <v>577659331.74083459</v>
      </c>
    </row>
    <row r="56" spans="1:7" ht="15.75" x14ac:dyDescent="0.25">
      <c r="A56" s="238">
        <v>53</v>
      </c>
      <c r="B56" s="239">
        <v>46419</v>
      </c>
      <c r="C56" s="240">
        <f t="shared" si="3"/>
        <v>577659331.74083459</v>
      </c>
      <c r="D56" s="240">
        <f t="shared" si="5"/>
        <v>5776593.3174083456</v>
      </c>
      <c r="E56" s="240">
        <f t="shared" si="4"/>
        <v>15406686.039080236</v>
      </c>
      <c r="F56" s="240">
        <f t="shared" si="6"/>
        <v>21183279.356488582</v>
      </c>
      <c r="G56" s="240">
        <f t="shared" si="2"/>
        <v>562252645.70175433</v>
      </c>
    </row>
    <row r="57" spans="1:7" ht="15.75" x14ac:dyDescent="0.25">
      <c r="A57" s="241">
        <v>54</v>
      </c>
      <c r="B57" s="242">
        <v>46447</v>
      </c>
      <c r="C57" s="243">
        <f t="shared" si="3"/>
        <v>562252645.70175433</v>
      </c>
      <c r="D57" s="243">
        <f t="shared" si="5"/>
        <v>5622526.4570175437</v>
      </c>
      <c r="E57" s="243">
        <f t="shared" si="4"/>
        <v>15560752.899471037</v>
      </c>
      <c r="F57" s="243">
        <f t="shared" si="6"/>
        <v>21183279.356488582</v>
      </c>
      <c r="G57" s="243">
        <f t="shared" si="2"/>
        <v>546691892.80228329</v>
      </c>
    </row>
    <row r="58" spans="1:7" ht="15.75" x14ac:dyDescent="0.25">
      <c r="A58" s="238">
        <v>55</v>
      </c>
      <c r="B58" s="239">
        <v>46478</v>
      </c>
      <c r="C58" s="240">
        <f t="shared" si="3"/>
        <v>546691892.80228329</v>
      </c>
      <c r="D58" s="240">
        <f t="shared" si="5"/>
        <v>5466918.9280228326</v>
      </c>
      <c r="E58" s="240">
        <f t="shared" si="4"/>
        <v>15716360.42846575</v>
      </c>
      <c r="F58" s="240">
        <f t="shared" si="6"/>
        <v>21183279.356488582</v>
      </c>
      <c r="G58" s="240">
        <f t="shared" si="2"/>
        <v>530975532.37381756</v>
      </c>
    </row>
    <row r="59" spans="1:7" ht="15.75" x14ac:dyDescent="0.25">
      <c r="A59" s="241">
        <v>56</v>
      </c>
      <c r="B59" s="242">
        <v>46508</v>
      </c>
      <c r="C59" s="243">
        <f t="shared" si="3"/>
        <v>530975532.37381756</v>
      </c>
      <c r="D59" s="243">
        <f t="shared" si="5"/>
        <v>5309755.3237381754</v>
      </c>
      <c r="E59" s="243">
        <f t="shared" si="4"/>
        <v>15873524.032750405</v>
      </c>
      <c r="F59" s="243">
        <f t="shared" si="6"/>
        <v>21183279.356488582</v>
      </c>
      <c r="G59" s="243">
        <f t="shared" si="2"/>
        <v>515102008.34106714</v>
      </c>
    </row>
    <row r="60" spans="1:7" ht="15.75" x14ac:dyDescent="0.25">
      <c r="A60" s="238">
        <v>57</v>
      </c>
      <c r="B60" s="239">
        <v>46539</v>
      </c>
      <c r="C60" s="240">
        <f t="shared" si="3"/>
        <v>515102008.34106714</v>
      </c>
      <c r="D60" s="240">
        <f t="shared" si="5"/>
        <v>5151020.0834106719</v>
      </c>
      <c r="E60" s="240">
        <f t="shared" si="4"/>
        <v>16032259.273077909</v>
      </c>
      <c r="F60" s="240">
        <f t="shared" si="6"/>
        <v>21183279.356488582</v>
      </c>
      <c r="G60" s="240">
        <f t="shared" si="2"/>
        <v>499069749.06798923</v>
      </c>
    </row>
    <row r="61" spans="1:7" ht="15.75" x14ac:dyDescent="0.25">
      <c r="A61" s="241">
        <v>58</v>
      </c>
      <c r="B61" s="242">
        <v>46569</v>
      </c>
      <c r="C61" s="243">
        <f t="shared" si="3"/>
        <v>499069749.06798923</v>
      </c>
      <c r="D61" s="243">
        <f t="shared" si="5"/>
        <v>4990697.4906798927</v>
      </c>
      <c r="E61" s="243">
        <f t="shared" si="4"/>
        <v>16192581.865808688</v>
      </c>
      <c r="F61" s="243">
        <f t="shared" si="6"/>
        <v>21183279.356488582</v>
      </c>
      <c r="G61" s="243">
        <f t="shared" si="2"/>
        <v>482877167.20218056</v>
      </c>
    </row>
    <row r="62" spans="1:7" ht="15.75" x14ac:dyDescent="0.25">
      <c r="A62" s="238">
        <v>59</v>
      </c>
      <c r="B62" s="239">
        <v>46600</v>
      </c>
      <c r="C62" s="240">
        <f t="shared" si="3"/>
        <v>482877167.20218056</v>
      </c>
      <c r="D62" s="240">
        <f t="shared" si="5"/>
        <v>4828771.6720218053</v>
      </c>
      <c r="E62" s="240">
        <f t="shared" si="4"/>
        <v>16354507.684466776</v>
      </c>
      <c r="F62" s="240">
        <f t="shared" si="6"/>
        <v>21183279.356488582</v>
      </c>
      <c r="G62" s="240">
        <f t="shared" si="2"/>
        <v>466522659.51771379</v>
      </c>
    </row>
    <row r="63" spans="1:7" ht="15.75" x14ac:dyDescent="0.25">
      <c r="A63" s="241">
        <v>60</v>
      </c>
      <c r="B63" s="242">
        <v>46631</v>
      </c>
      <c r="C63" s="243">
        <f t="shared" si="3"/>
        <v>466522659.51771379</v>
      </c>
      <c r="D63" s="243">
        <f t="shared" si="5"/>
        <v>4665226.5951771382</v>
      </c>
      <c r="E63" s="243">
        <f t="shared" si="4"/>
        <v>16518052.761311444</v>
      </c>
      <c r="F63" s="243">
        <f t="shared" si="6"/>
        <v>21183279.356488582</v>
      </c>
      <c r="G63" s="243">
        <f t="shared" si="2"/>
        <v>450004606.75640231</v>
      </c>
    </row>
    <row r="64" spans="1:7" ht="15.75" x14ac:dyDescent="0.25">
      <c r="A64" s="238">
        <v>61</v>
      </c>
      <c r="B64" s="239">
        <v>46661</v>
      </c>
      <c r="C64" s="240">
        <f t="shared" si="3"/>
        <v>450004606.75640231</v>
      </c>
      <c r="D64" s="240">
        <f t="shared" si="5"/>
        <v>4500046.0675640237</v>
      </c>
      <c r="E64" s="240">
        <f t="shared" si="4"/>
        <v>16683233.288924558</v>
      </c>
      <c r="F64" s="240">
        <f t="shared" si="6"/>
        <v>21183279.356488582</v>
      </c>
      <c r="G64" s="240">
        <f t="shared" si="2"/>
        <v>433321373.46747774</v>
      </c>
    </row>
    <row r="65" spans="1:7" ht="15.75" x14ac:dyDescent="0.25">
      <c r="A65" s="241">
        <v>62</v>
      </c>
      <c r="B65" s="242">
        <v>46692</v>
      </c>
      <c r="C65" s="243">
        <f t="shared" si="3"/>
        <v>433321373.46747774</v>
      </c>
      <c r="D65" s="243">
        <f t="shared" si="5"/>
        <v>4333213.7346747778</v>
      </c>
      <c r="E65" s="243">
        <f t="shared" si="4"/>
        <v>16850065.621813804</v>
      </c>
      <c r="F65" s="243">
        <f t="shared" si="6"/>
        <v>21183279.356488582</v>
      </c>
      <c r="G65" s="243">
        <f t="shared" si="2"/>
        <v>416471307.84566391</v>
      </c>
    </row>
    <row r="66" spans="1:7" ht="15.75" x14ac:dyDescent="0.25">
      <c r="A66" s="238">
        <v>63</v>
      </c>
      <c r="B66" s="239">
        <v>46722</v>
      </c>
      <c r="C66" s="240">
        <f t="shared" si="3"/>
        <v>416471307.84566391</v>
      </c>
      <c r="D66" s="240">
        <f t="shared" si="5"/>
        <v>4164713.0784566393</v>
      </c>
      <c r="E66" s="240">
        <f t="shared" si="4"/>
        <v>17018566.278031942</v>
      </c>
      <c r="F66" s="240">
        <f t="shared" si="6"/>
        <v>21183279.356488582</v>
      </c>
      <c r="G66" s="240">
        <f t="shared" si="2"/>
        <v>399452741.56763196</v>
      </c>
    </row>
    <row r="67" spans="1:7" ht="15.75" x14ac:dyDescent="0.25">
      <c r="A67" s="241">
        <v>64</v>
      </c>
      <c r="B67" s="242">
        <v>46753</v>
      </c>
      <c r="C67" s="243">
        <f t="shared" si="3"/>
        <v>399452741.56763196</v>
      </c>
      <c r="D67" s="243">
        <f t="shared" si="5"/>
        <v>3994527.4156763195</v>
      </c>
      <c r="E67" s="243">
        <f t="shared" si="4"/>
        <v>17188751.940812264</v>
      </c>
      <c r="F67" s="243">
        <f t="shared" si="6"/>
        <v>21183279.356488582</v>
      </c>
      <c r="G67" s="243">
        <f t="shared" si="2"/>
        <v>382263989.62681967</v>
      </c>
    </row>
    <row r="68" spans="1:7" ht="15.75" x14ac:dyDescent="0.25">
      <c r="A68" s="238">
        <v>65</v>
      </c>
      <c r="B68" s="239">
        <v>46784</v>
      </c>
      <c r="C68" s="240">
        <f t="shared" si="3"/>
        <v>382263989.62681967</v>
      </c>
      <c r="D68" s="240">
        <f t="shared" ref="D68:D87" si="7">C68*$J$12</f>
        <v>3822639.8962681969</v>
      </c>
      <c r="E68" s="240">
        <f t="shared" si="4"/>
        <v>17360639.460220385</v>
      </c>
      <c r="F68" s="240">
        <f t="shared" ref="F68:F87" si="8">$J$14</f>
        <v>21183279.356488582</v>
      </c>
      <c r="G68" s="240">
        <f t="shared" si="2"/>
        <v>364903350.16659927</v>
      </c>
    </row>
    <row r="69" spans="1:7" ht="15.75" x14ac:dyDescent="0.25">
      <c r="A69" s="241">
        <v>66</v>
      </c>
      <c r="B69" s="242">
        <v>46813</v>
      </c>
      <c r="C69" s="243">
        <f t="shared" si="3"/>
        <v>364903350.16659927</v>
      </c>
      <c r="D69" s="243">
        <f t="shared" si="7"/>
        <v>3649033.5016659927</v>
      </c>
      <c r="E69" s="243">
        <f t="shared" si="4"/>
        <v>17534245.854822591</v>
      </c>
      <c r="F69" s="243">
        <f t="shared" si="8"/>
        <v>21183279.356488582</v>
      </c>
      <c r="G69" s="243">
        <f t="shared" si="2"/>
        <v>347369104.3117767</v>
      </c>
    </row>
    <row r="70" spans="1:7" ht="15.75" x14ac:dyDescent="0.25">
      <c r="A70" s="238">
        <v>67</v>
      </c>
      <c r="B70" s="239">
        <v>46844</v>
      </c>
      <c r="C70" s="240">
        <f t="shared" si="3"/>
        <v>347369104.3117767</v>
      </c>
      <c r="D70" s="240">
        <f t="shared" si="7"/>
        <v>3473691.0431177672</v>
      </c>
      <c r="E70" s="240">
        <f t="shared" si="4"/>
        <v>17709588.313370816</v>
      </c>
      <c r="F70" s="240">
        <f t="shared" si="8"/>
        <v>21183279.356488582</v>
      </c>
      <c r="G70" s="240">
        <f t="shared" si="2"/>
        <v>329659515.99840587</v>
      </c>
    </row>
    <row r="71" spans="1:7" ht="15.75" x14ac:dyDescent="0.25">
      <c r="A71" s="241">
        <v>68</v>
      </c>
      <c r="B71" s="242">
        <v>46874</v>
      </c>
      <c r="C71" s="243">
        <f t="shared" si="3"/>
        <v>329659515.99840587</v>
      </c>
      <c r="D71" s="243">
        <f t="shared" si="7"/>
        <v>3296595.1599840587</v>
      </c>
      <c r="E71" s="243">
        <f t="shared" si="4"/>
        <v>17886684.196504522</v>
      </c>
      <c r="F71" s="243">
        <f t="shared" si="8"/>
        <v>21183279.356488582</v>
      </c>
      <c r="G71" s="243">
        <f t="shared" si="2"/>
        <v>311772831.80190134</v>
      </c>
    </row>
    <row r="72" spans="1:7" ht="15.75" x14ac:dyDescent="0.25">
      <c r="A72" s="238">
        <v>69</v>
      </c>
      <c r="B72" s="239">
        <v>46905</v>
      </c>
      <c r="C72" s="240">
        <f t="shared" si="3"/>
        <v>311772831.80190134</v>
      </c>
      <c r="D72" s="240">
        <f t="shared" si="7"/>
        <v>3117728.3180190134</v>
      </c>
      <c r="E72" s="240">
        <f t="shared" si="4"/>
        <v>18065551.038469568</v>
      </c>
      <c r="F72" s="240">
        <f t="shared" si="8"/>
        <v>21183279.356488582</v>
      </c>
      <c r="G72" s="240">
        <f t="shared" si="2"/>
        <v>293707280.76343179</v>
      </c>
    </row>
    <row r="73" spans="1:7" ht="15.75" x14ac:dyDescent="0.25">
      <c r="A73" s="241">
        <v>70</v>
      </c>
      <c r="B73" s="242">
        <v>46935</v>
      </c>
      <c r="C73" s="243">
        <f t="shared" si="3"/>
        <v>293707280.76343179</v>
      </c>
      <c r="D73" s="243">
        <f t="shared" si="7"/>
        <v>2937072.8076343178</v>
      </c>
      <c r="E73" s="243">
        <f t="shared" si="4"/>
        <v>18246206.548854265</v>
      </c>
      <c r="F73" s="243">
        <f t="shared" si="8"/>
        <v>21183279.356488582</v>
      </c>
      <c r="G73" s="243">
        <f t="shared" si="2"/>
        <v>275461074.2145775</v>
      </c>
    </row>
    <row r="74" spans="1:7" ht="15.75" x14ac:dyDescent="0.25">
      <c r="A74" s="238">
        <v>71</v>
      </c>
      <c r="B74" s="239">
        <v>46966</v>
      </c>
      <c r="C74" s="240">
        <f t="shared" si="3"/>
        <v>275461074.2145775</v>
      </c>
      <c r="D74" s="240">
        <f t="shared" si="7"/>
        <v>2754610.7421457749</v>
      </c>
      <c r="E74" s="240">
        <f t="shared" si="4"/>
        <v>18428668.614342809</v>
      </c>
      <c r="F74" s="240">
        <f t="shared" si="8"/>
        <v>21183279.356488582</v>
      </c>
      <c r="G74" s="240">
        <f t="shared" si="2"/>
        <v>257032405.60023469</v>
      </c>
    </row>
    <row r="75" spans="1:7" ht="15.75" x14ac:dyDescent="0.25">
      <c r="A75" s="241">
        <v>72</v>
      </c>
      <c r="B75" s="242">
        <v>46997</v>
      </c>
      <c r="C75" s="243">
        <f t="shared" si="3"/>
        <v>257032405.60023469</v>
      </c>
      <c r="D75" s="243">
        <f t="shared" si="7"/>
        <v>2570324.0560023468</v>
      </c>
      <c r="E75" s="243">
        <f t="shared" si="4"/>
        <v>18612955.300486237</v>
      </c>
      <c r="F75" s="243">
        <f t="shared" si="8"/>
        <v>21183279.356488582</v>
      </c>
      <c r="G75" s="243">
        <f t="shared" si="2"/>
        <v>238419450.29974845</v>
      </c>
    </row>
    <row r="76" spans="1:7" ht="15.75" x14ac:dyDescent="0.25">
      <c r="A76" s="238">
        <v>73</v>
      </c>
      <c r="B76" s="239">
        <v>47027</v>
      </c>
      <c r="C76" s="240">
        <f t="shared" si="3"/>
        <v>238419450.29974845</v>
      </c>
      <c r="D76" s="240">
        <f t="shared" si="7"/>
        <v>2384194.5029974845</v>
      </c>
      <c r="E76" s="240">
        <f t="shared" si="4"/>
        <v>18799084.853491098</v>
      </c>
      <c r="F76" s="240">
        <f t="shared" si="8"/>
        <v>21183279.356488582</v>
      </c>
      <c r="G76" s="240">
        <f t="shared" si="2"/>
        <v>219620365.44625735</v>
      </c>
    </row>
    <row r="77" spans="1:7" ht="15.75" x14ac:dyDescent="0.25">
      <c r="A77" s="241">
        <v>74</v>
      </c>
      <c r="B77" s="242">
        <v>47058</v>
      </c>
      <c r="C77" s="243">
        <f t="shared" si="3"/>
        <v>219620365.44625735</v>
      </c>
      <c r="D77" s="243">
        <f t="shared" si="7"/>
        <v>2196203.6544625736</v>
      </c>
      <c r="E77" s="243">
        <f t="shared" si="4"/>
        <v>18987075.70202601</v>
      </c>
      <c r="F77" s="243">
        <f t="shared" si="8"/>
        <v>21183279.356488582</v>
      </c>
      <c r="G77" s="243">
        <f t="shared" si="2"/>
        <v>200633289.74423134</v>
      </c>
    </row>
    <row r="78" spans="1:7" ht="15.75" x14ac:dyDescent="0.25">
      <c r="A78" s="238">
        <v>75</v>
      </c>
      <c r="B78" s="239">
        <v>47088</v>
      </c>
      <c r="C78" s="240">
        <f t="shared" si="3"/>
        <v>200633289.74423134</v>
      </c>
      <c r="D78" s="240">
        <f t="shared" si="7"/>
        <v>2006332.8974423134</v>
      </c>
      <c r="E78" s="240">
        <f t="shared" si="4"/>
        <v>19176946.459046267</v>
      </c>
      <c r="F78" s="240">
        <f t="shared" si="8"/>
        <v>21183279.356488582</v>
      </c>
      <c r="G78" s="240">
        <f t="shared" si="2"/>
        <v>181456343.28518507</v>
      </c>
    </row>
    <row r="79" spans="1:7" ht="15.75" x14ac:dyDescent="0.25">
      <c r="A79" s="241">
        <v>76</v>
      </c>
      <c r="B79" s="242">
        <v>47119</v>
      </c>
      <c r="C79" s="243">
        <f t="shared" si="3"/>
        <v>181456343.28518507</v>
      </c>
      <c r="D79" s="243">
        <f t="shared" si="7"/>
        <v>1814563.4328518508</v>
      </c>
      <c r="E79" s="243">
        <f t="shared" si="4"/>
        <v>19368715.923636731</v>
      </c>
      <c r="F79" s="243">
        <f t="shared" si="8"/>
        <v>21183279.356488582</v>
      </c>
      <c r="G79" s="243">
        <f t="shared" si="2"/>
        <v>162087627.36154833</v>
      </c>
    </row>
    <row r="80" spans="1:7" ht="15.75" x14ac:dyDescent="0.25">
      <c r="A80" s="238">
        <v>77</v>
      </c>
      <c r="B80" s="239">
        <v>47150</v>
      </c>
      <c r="C80" s="240">
        <f t="shared" si="3"/>
        <v>162087627.36154833</v>
      </c>
      <c r="D80" s="240">
        <f t="shared" si="7"/>
        <v>1620876.2736154834</v>
      </c>
      <c r="E80" s="240">
        <f t="shared" si="4"/>
        <v>19562403.082873099</v>
      </c>
      <c r="F80" s="240">
        <f t="shared" si="8"/>
        <v>21183279.356488582</v>
      </c>
      <c r="G80" s="240">
        <f t="shared" si="2"/>
        <v>142525224.27867523</v>
      </c>
    </row>
    <row r="81" spans="1:7" ht="15.75" x14ac:dyDescent="0.25">
      <c r="A81" s="241">
        <v>78</v>
      </c>
      <c r="B81" s="242">
        <v>47178</v>
      </c>
      <c r="C81" s="243">
        <f t="shared" si="3"/>
        <v>142525224.27867523</v>
      </c>
      <c r="D81" s="243">
        <f t="shared" si="7"/>
        <v>1425252.2427867523</v>
      </c>
      <c r="E81" s="243">
        <f t="shared" si="4"/>
        <v>19758027.113701828</v>
      </c>
      <c r="F81" s="243">
        <f t="shared" si="8"/>
        <v>21183279.356488582</v>
      </c>
      <c r="G81" s="243">
        <f t="shared" si="2"/>
        <v>122767197.16497341</v>
      </c>
    </row>
    <row r="82" spans="1:7" ht="15.75" x14ac:dyDescent="0.25">
      <c r="A82" s="238">
        <v>79</v>
      </c>
      <c r="B82" s="239">
        <v>47209</v>
      </c>
      <c r="C82" s="240">
        <f t="shared" si="3"/>
        <v>122767197.16497341</v>
      </c>
      <c r="D82" s="240">
        <f t="shared" si="7"/>
        <v>1227671.9716497341</v>
      </c>
      <c r="E82" s="240">
        <f t="shared" si="4"/>
        <v>19955607.384838849</v>
      </c>
      <c r="F82" s="240">
        <f t="shared" si="8"/>
        <v>21183279.356488582</v>
      </c>
      <c r="G82" s="240">
        <f t="shared" si="2"/>
        <v>102811589.78013456</v>
      </c>
    </row>
    <row r="83" spans="1:7" ht="15.75" x14ac:dyDescent="0.25">
      <c r="A83" s="241">
        <v>80</v>
      </c>
      <c r="B83" s="242">
        <v>47239</v>
      </c>
      <c r="C83" s="243">
        <f t="shared" si="3"/>
        <v>102811589.78013456</v>
      </c>
      <c r="D83" s="243">
        <f t="shared" si="7"/>
        <v>1028115.8978013456</v>
      </c>
      <c r="E83" s="243">
        <f t="shared" si="4"/>
        <v>20155163.458687235</v>
      </c>
      <c r="F83" s="243">
        <f t="shared" si="8"/>
        <v>21183279.356488582</v>
      </c>
      <c r="G83" s="243">
        <f t="shared" si="2"/>
        <v>82656426.321447328</v>
      </c>
    </row>
    <row r="84" spans="1:7" ht="15.75" x14ac:dyDescent="0.25">
      <c r="A84" s="238">
        <v>81</v>
      </c>
      <c r="B84" s="239">
        <v>47270</v>
      </c>
      <c r="C84" s="240">
        <f t="shared" si="3"/>
        <v>82656426.321447328</v>
      </c>
      <c r="D84" s="240">
        <f t="shared" si="7"/>
        <v>826564.26321447326</v>
      </c>
      <c r="E84" s="240">
        <f t="shared" si="4"/>
        <v>20356715.093274109</v>
      </c>
      <c r="F84" s="240">
        <f t="shared" si="8"/>
        <v>21183279.356488582</v>
      </c>
      <c r="G84" s="240">
        <f t="shared" si="2"/>
        <v>62299711.228173219</v>
      </c>
    </row>
    <row r="85" spans="1:7" ht="15.75" x14ac:dyDescent="0.25">
      <c r="A85" s="241">
        <v>82</v>
      </c>
      <c r="B85" s="242">
        <v>47300</v>
      </c>
      <c r="C85" s="243">
        <f t="shared" si="3"/>
        <v>62299711.228173219</v>
      </c>
      <c r="D85" s="243">
        <f t="shared" si="7"/>
        <v>622997.11228173214</v>
      </c>
      <c r="E85" s="243">
        <f t="shared" si="4"/>
        <v>20560282.244206849</v>
      </c>
      <c r="F85" s="243">
        <f t="shared" si="8"/>
        <v>21183279.356488582</v>
      </c>
      <c r="G85" s="243">
        <f t="shared" si="2"/>
        <v>41739428.983966365</v>
      </c>
    </row>
    <row r="86" spans="1:7" ht="15.75" x14ac:dyDescent="0.25">
      <c r="A86" s="238">
        <v>83</v>
      </c>
      <c r="B86" s="239">
        <v>47331</v>
      </c>
      <c r="C86" s="240">
        <f t="shared" si="3"/>
        <v>41739428.983966365</v>
      </c>
      <c r="D86" s="240">
        <f t="shared" si="7"/>
        <v>417394.28983966366</v>
      </c>
      <c r="E86" s="240">
        <f t="shared" si="4"/>
        <v>20765885.066648919</v>
      </c>
      <c r="F86" s="240">
        <f t="shared" si="8"/>
        <v>21183279.356488582</v>
      </c>
      <c r="G86" s="240">
        <f t="shared" si="2"/>
        <v>20973543.917317446</v>
      </c>
    </row>
    <row r="87" spans="1:7" ht="15.75" x14ac:dyDescent="0.25">
      <c r="A87" s="241">
        <v>84</v>
      </c>
      <c r="B87" s="242">
        <v>47362</v>
      </c>
      <c r="C87" s="243">
        <f t="shared" si="3"/>
        <v>20973543.917317446</v>
      </c>
      <c r="D87" s="243">
        <f t="shared" si="7"/>
        <v>209735.43917317447</v>
      </c>
      <c r="E87" s="243">
        <f t="shared" si="4"/>
        <v>20973543.917315409</v>
      </c>
      <c r="F87" s="243">
        <f t="shared" si="8"/>
        <v>21183279.356488582</v>
      </c>
      <c r="G87" s="243">
        <f t="shared" si="2"/>
        <v>2.037733793258667E-6</v>
      </c>
    </row>
  </sheetData>
  <mergeCells count="7">
    <mergeCell ref="F2:F3"/>
    <mergeCell ref="G2:G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1"/>
  <sheetViews>
    <sheetView tabSelected="1" zoomScale="80" zoomScaleNormal="80" workbookViewId="0">
      <selection activeCell="H27" sqref="H27"/>
    </sheetView>
  </sheetViews>
  <sheetFormatPr baseColWidth="10" defaultColWidth="14.42578125" defaultRowHeight="15" customHeight="1" x14ac:dyDescent="0.25"/>
  <cols>
    <col min="1" max="1" width="47.7109375" customWidth="1"/>
    <col min="2" max="2" width="15.28515625" customWidth="1"/>
    <col min="3" max="3" width="20.85546875" customWidth="1"/>
    <col min="4" max="4" width="16.85546875" bestFit="1" customWidth="1"/>
    <col min="5" max="5" width="16.28515625" bestFit="1" customWidth="1"/>
    <col min="6" max="6" width="17.140625" customWidth="1"/>
    <col min="7" max="7" width="21.7109375" customWidth="1"/>
    <col min="8" max="8" width="11.42578125" customWidth="1"/>
    <col min="9" max="9" width="88.42578125" bestFit="1" customWidth="1"/>
    <col min="10" max="10" width="16.140625" customWidth="1"/>
    <col min="11" max="11" width="19.28515625" customWidth="1"/>
    <col min="12" max="16" width="11.42578125" customWidth="1"/>
    <col min="17" max="27" width="11.42578125" style="379" customWidth="1"/>
  </cols>
  <sheetData>
    <row r="1" spans="1:27" ht="12.75" customHeight="1" x14ac:dyDescent="0.25">
      <c r="A1" s="1" t="s">
        <v>0</v>
      </c>
      <c r="B1" s="2"/>
      <c r="C1" s="2"/>
      <c r="I1" s="2"/>
      <c r="J1" s="2"/>
      <c r="K1" s="2"/>
      <c r="L1" s="2"/>
      <c r="M1" s="2"/>
      <c r="N1" s="2"/>
      <c r="O1" s="2"/>
      <c r="P1" s="2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</row>
    <row r="2" spans="1:27" ht="12.75" customHeight="1" x14ac:dyDescent="0.25">
      <c r="A2" s="1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</row>
    <row r="3" spans="1:27" ht="12.75" customHeight="1" x14ac:dyDescent="0.25">
      <c r="A3" s="4" t="s">
        <v>267</v>
      </c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</row>
    <row r="4" spans="1:27" ht="12.75" customHeight="1" x14ac:dyDescent="0.25">
      <c r="A4" s="4" t="s">
        <v>268</v>
      </c>
      <c r="B4" s="5"/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</row>
    <row r="5" spans="1:27" ht="12.75" customHeight="1" x14ac:dyDescent="0.25">
      <c r="A5" s="4"/>
      <c r="B5" s="5"/>
      <c r="C5" s="5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</row>
    <row r="6" spans="1:27" ht="12.75" customHeight="1" x14ac:dyDescent="0.25">
      <c r="A6" s="4"/>
      <c r="B6" s="5"/>
      <c r="C6" s="5"/>
      <c r="D6" s="3" t="s">
        <v>1</v>
      </c>
      <c r="E6" s="2"/>
      <c r="F6" s="347" t="s">
        <v>188</v>
      </c>
      <c r="G6" s="348"/>
      <c r="H6" s="349"/>
      <c r="I6" s="2"/>
      <c r="J6" s="2"/>
      <c r="K6" s="2"/>
      <c r="L6" s="2"/>
      <c r="M6" s="2"/>
      <c r="N6" s="2"/>
      <c r="O6" s="2"/>
      <c r="P6" s="2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</row>
    <row r="7" spans="1:27" ht="12.75" customHeight="1" x14ac:dyDescent="0.25">
      <c r="A7" s="6" t="s">
        <v>6</v>
      </c>
      <c r="B7" s="5"/>
      <c r="C7" s="5"/>
      <c r="D7" s="5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</row>
    <row r="8" spans="1:27" ht="22.5" x14ac:dyDescent="0.25">
      <c r="A8" s="322" t="s">
        <v>8</v>
      </c>
      <c r="B8" s="323" t="s">
        <v>9</v>
      </c>
      <c r="C8" s="9"/>
      <c r="D8" s="10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</row>
    <row r="9" spans="1:27" x14ac:dyDescent="0.25">
      <c r="A9" s="322">
        <v>2023</v>
      </c>
      <c r="B9" s="324">
        <v>3.5000000000000003E-2</v>
      </c>
      <c r="C9" s="9"/>
      <c r="D9" s="15"/>
      <c r="E9" s="9"/>
      <c r="F9" s="9"/>
      <c r="G9" s="9"/>
      <c r="H9" s="2"/>
      <c r="I9" s="2"/>
      <c r="J9" s="2"/>
      <c r="K9" s="2"/>
      <c r="L9" s="2"/>
      <c r="M9" s="2"/>
      <c r="N9" s="2"/>
      <c r="O9" s="2"/>
      <c r="P9" s="2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</row>
    <row r="10" spans="1:27" x14ac:dyDescent="0.25">
      <c r="A10" s="322">
        <v>2024</v>
      </c>
      <c r="B10" s="324">
        <v>3.6999999999999998E-2</v>
      </c>
      <c r="C10" s="9"/>
      <c r="D10" s="15"/>
      <c r="E10" s="9"/>
      <c r="F10" s="9"/>
      <c r="G10" s="9"/>
      <c r="H10" s="2"/>
      <c r="I10" s="2"/>
      <c r="J10" s="2"/>
      <c r="K10" s="2"/>
      <c r="L10" s="45" t="s">
        <v>189</v>
      </c>
      <c r="M10" s="45" t="s">
        <v>190</v>
      </c>
      <c r="N10" s="2"/>
      <c r="O10" s="2"/>
      <c r="P10" s="2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</row>
    <row r="11" spans="1:27" x14ac:dyDescent="0.25">
      <c r="A11" s="322">
        <f t="shared" ref="A11:A14" si="0">+A10+1</f>
        <v>2025</v>
      </c>
      <c r="B11" s="324">
        <v>3.1E-2</v>
      </c>
      <c r="C11" s="9"/>
      <c r="D11" s="15"/>
      <c r="E11" s="9"/>
      <c r="F11" s="9"/>
      <c r="G11" s="9"/>
      <c r="H11" s="2"/>
      <c r="I11" s="2"/>
      <c r="J11" s="2"/>
      <c r="K11" s="2"/>
      <c r="L11" s="204">
        <v>44582</v>
      </c>
      <c r="M11" s="205">
        <v>7215</v>
      </c>
      <c r="N11" s="2"/>
      <c r="O11" s="2"/>
      <c r="P11" s="2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</row>
    <row r="12" spans="1:27" x14ac:dyDescent="0.25">
      <c r="A12" s="322">
        <f t="shared" si="0"/>
        <v>2026</v>
      </c>
      <c r="B12" s="324">
        <v>3.1E-2</v>
      </c>
      <c r="C12" s="9"/>
      <c r="D12" s="15"/>
      <c r="E12" s="9"/>
      <c r="F12" s="9"/>
      <c r="G12" s="9"/>
      <c r="H12" s="2"/>
      <c r="I12" s="2"/>
      <c r="J12" s="2"/>
      <c r="K12" s="2"/>
      <c r="L12" s="204">
        <v>44613</v>
      </c>
      <c r="M12" s="205">
        <v>6814</v>
      </c>
      <c r="N12" s="2"/>
      <c r="O12" s="2"/>
      <c r="P12" s="2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</row>
    <row r="13" spans="1:27" x14ac:dyDescent="0.25">
      <c r="A13" s="322">
        <f t="shared" si="0"/>
        <v>2027</v>
      </c>
      <c r="B13" s="324">
        <v>3.1E-2</v>
      </c>
      <c r="C13" s="9"/>
      <c r="D13" s="15"/>
      <c r="E13" s="9"/>
      <c r="F13" s="9"/>
      <c r="G13" s="9"/>
      <c r="H13" s="2"/>
      <c r="I13" s="2"/>
      <c r="J13" s="2"/>
      <c r="K13" s="2"/>
      <c r="L13" s="204">
        <v>44641</v>
      </c>
      <c r="M13" s="205">
        <v>6763</v>
      </c>
      <c r="N13" s="2"/>
      <c r="O13" s="2"/>
      <c r="P13" s="2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</row>
    <row r="14" spans="1:27" x14ac:dyDescent="0.25">
      <c r="A14" s="322">
        <f t="shared" si="0"/>
        <v>2028</v>
      </c>
      <c r="B14" s="324">
        <v>3.1E-2</v>
      </c>
      <c r="C14" s="9"/>
      <c r="D14" s="15"/>
      <c r="E14" s="9"/>
      <c r="F14" s="9"/>
      <c r="G14" s="9"/>
      <c r="H14" s="2"/>
      <c r="I14" s="2"/>
      <c r="J14" s="2"/>
      <c r="K14" s="2"/>
      <c r="L14" s="204">
        <v>44672</v>
      </c>
      <c r="M14" s="205">
        <v>6900</v>
      </c>
      <c r="N14" s="2"/>
      <c r="O14" s="2"/>
      <c r="P14" s="2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</row>
    <row r="15" spans="1:27" ht="12.75" customHeight="1" x14ac:dyDescent="0.25">
      <c r="A15" s="5"/>
      <c r="B15" s="350" t="s">
        <v>21</v>
      </c>
      <c r="C15" s="351"/>
      <c r="D15" s="351"/>
      <c r="E15" s="351"/>
      <c r="F15" s="2"/>
      <c r="G15" s="2"/>
      <c r="H15" s="2"/>
      <c r="I15" s="2"/>
      <c r="J15" s="2"/>
      <c r="K15" s="2"/>
      <c r="L15" s="204">
        <v>44702</v>
      </c>
      <c r="M15" s="205">
        <v>6890</v>
      </c>
      <c r="N15" s="2"/>
      <c r="O15" s="2"/>
      <c r="P15" s="2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</row>
    <row r="16" spans="1:27" ht="12.75" customHeight="1" x14ac:dyDescent="0.25">
      <c r="A16" s="352" t="s">
        <v>23</v>
      </c>
      <c r="B16" s="353"/>
      <c r="C16" s="353"/>
      <c r="D16" s="353"/>
      <c r="E16" s="353"/>
      <c r="F16" s="353"/>
      <c r="G16" s="354"/>
      <c r="H16" s="2"/>
      <c r="I16" s="2"/>
      <c r="J16" s="2"/>
      <c r="K16" s="2"/>
      <c r="L16" s="204">
        <v>44733</v>
      </c>
      <c r="M16" s="205">
        <v>7025</v>
      </c>
      <c r="N16" s="2"/>
      <c r="O16" s="2"/>
      <c r="P16" s="2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</row>
    <row r="17" spans="1:27" ht="12.75" customHeight="1" x14ac:dyDescent="0.25">
      <c r="A17" s="24"/>
      <c r="B17" s="24" t="str">
        <f>+F6</f>
        <v>Millones de pesos constantes del año cero</v>
      </c>
      <c r="C17" s="24"/>
      <c r="D17" s="24"/>
      <c r="E17" s="24"/>
      <c r="F17" s="24"/>
      <c r="G17" s="24"/>
      <c r="H17" s="2"/>
      <c r="I17" s="2"/>
      <c r="J17" s="2"/>
      <c r="K17" s="2"/>
      <c r="L17" s="204">
        <v>44763</v>
      </c>
      <c r="M17" s="205">
        <v>7420</v>
      </c>
      <c r="N17" s="2"/>
      <c r="O17" s="2"/>
      <c r="P17" s="2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</row>
    <row r="18" spans="1:27" ht="12.75" customHeight="1" x14ac:dyDescent="0.25">
      <c r="A18" s="25" t="s">
        <v>8</v>
      </c>
      <c r="B18" s="26">
        <v>0</v>
      </c>
      <c r="C18" s="26">
        <f t="shared" ref="C18:G18" si="1">+B18+1</f>
        <v>1</v>
      </c>
      <c r="D18" s="26">
        <f t="shared" si="1"/>
        <v>2</v>
      </c>
      <c r="E18" s="26">
        <f t="shared" si="1"/>
        <v>3</v>
      </c>
      <c r="F18" s="27">
        <f t="shared" si="1"/>
        <v>4</v>
      </c>
      <c r="G18" s="27">
        <f t="shared" si="1"/>
        <v>5</v>
      </c>
      <c r="H18" s="5"/>
      <c r="I18" s="83" t="s">
        <v>261</v>
      </c>
      <c r="J18" s="83" t="s">
        <v>191</v>
      </c>
      <c r="K18" s="5"/>
      <c r="L18" s="204">
        <v>44794</v>
      </c>
      <c r="M18" s="205">
        <v>7957</v>
      </c>
      <c r="N18" s="5"/>
      <c r="O18" s="5"/>
      <c r="P18" s="5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</row>
    <row r="19" spans="1:27" ht="12.75" customHeight="1" x14ac:dyDescent="0.25">
      <c r="A19" s="28" t="s">
        <v>262</v>
      </c>
      <c r="B19" s="29"/>
      <c r="C19" s="29">
        <f>I19</f>
        <v>5200</v>
      </c>
      <c r="D19" s="29">
        <f>C19</f>
        <v>5200</v>
      </c>
      <c r="E19" s="29">
        <f t="shared" ref="E19:G19" si="2">D19</f>
        <v>5200</v>
      </c>
      <c r="F19" s="29">
        <f t="shared" si="2"/>
        <v>5200</v>
      </c>
      <c r="G19" s="29">
        <f t="shared" si="2"/>
        <v>5200</v>
      </c>
      <c r="H19" s="2"/>
      <c r="I19" s="130">
        <v>5200</v>
      </c>
      <c r="J19" s="130" t="s">
        <v>192</v>
      </c>
      <c r="K19" s="2"/>
      <c r="L19" s="206" t="s">
        <v>193</v>
      </c>
      <c r="M19" s="205">
        <v>8354</v>
      </c>
      <c r="N19" s="2"/>
      <c r="O19" s="2"/>
      <c r="P19" s="2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</row>
    <row r="20" spans="1:27" ht="12.75" customHeight="1" x14ac:dyDescent="0.25">
      <c r="A20" s="32" t="s">
        <v>263</v>
      </c>
      <c r="B20" s="94"/>
      <c r="C20" s="94">
        <v>0.73</v>
      </c>
      <c r="D20" s="94">
        <f>D19/$I$19</f>
        <v>1</v>
      </c>
      <c r="E20" s="94">
        <f t="shared" ref="E20:G20" si="3">E19/$I$19</f>
        <v>1</v>
      </c>
      <c r="F20" s="94">
        <f t="shared" si="3"/>
        <v>1</v>
      </c>
      <c r="G20" s="94">
        <f t="shared" si="3"/>
        <v>1</v>
      </c>
      <c r="H20" s="2"/>
      <c r="I20" s="83" t="s">
        <v>194</v>
      </c>
      <c r="J20" s="83" t="s">
        <v>191</v>
      </c>
      <c r="K20" s="2"/>
      <c r="L20" s="204">
        <v>44855</v>
      </c>
      <c r="M20" s="205">
        <v>8422</v>
      </c>
      <c r="N20" s="2"/>
      <c r="O20" s="2"/>
      <c r="P20" s="2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</row>
    <row r="21" spans="1:27" ht="12.75" customHeight="1" x14ac:dyDescent="0.25">
      <c r="A21" s="36" t="s">
        <v>231</v>
      </c>
      <c r="B21" s="37">
        <f t="shared" ref="B21:G21" si="4">B19*$I$21</f>
        <v>0</v>
      </c>
      <c r="C21" s="37">
        <f>(C19*$I$21)*C20</f>
        <v>417560</v>
      </c>
      <c r="D21" s="37">
        <f t="shared" si="4"/>
        <v>572000</v>
      </c>
      <c r="E21" s="37">
        <f t="shared" si="4"/>
        <v>572000</v>
      </c>
      <c r="F21" s="37">
        <f t="shared" si="4"/>
        <v>572000</v>
      </c>
      <c r="G21" s="37">
        <f t="shared" si="4"/>
        <v>572000</v>
      </c>
      <c r="H21" s="207"/>
      <c r="I21" s="208">
        <v>110</v>
      </c>
      <c r="J21" s="208" t="s">
        <v>195</v>
      </c>
      <c r="K21" s="209"/>
      <c r="L21" s="204">
        <v>44886</v>
      </c>
      <c r="M21" s="205">
        <v>8462</v>
      </c>
      <c r="N21" s="210"/>
      <c r="O21" s="40"/>
      <c r="P21" s="40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</row>
    <row r="22" spans="1:27" ht="12" customHeight="1" x14ac:dyDescent="0.25">
      <c r="A22" s="41" t="s">
        <v>30</v>
      </c>
      <c r="B22" s="84">
        <v>7566</v>
      </c>
      <c r="C22" s="202">
        <f>B22</f>
        <v>7566</v>
      </c>
      <c r="D22" s="202">
        <f t="shared" ref="D22:G22" si="5">+C22</f>
        <v>7566</v>
      </c>
      <c r="E22" s="202">
        <f t="shared" si="5"/>
        <v>7566</v>
      </c>
      <c r="F22" s="202">
        <f t="shared" si="5"/>
        <v>7566</v>
      </c>
      <c r="G22" s="202">
        <f t="shared" si="5"/>
        <v>7566</v>
      </c>
      <c r="H22" s="2"/>
      <c r="I22" s="2"/>
      <c r="J22" s="2"/>
      <c r="K22" s="2"/>
      <c r="L22" s="204">
        <v>44916</v>
      </c>
      <c r="M22" s="205">
        <v>8572</v>
      </c>
      <c r="N22" s="2"/>
      <c r="O22" s="2"/>
      <c r="P22" s="2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</row>
    <row r="23" spans="1:27" ht="12.75" customHeight="1" x14ac:dyDescent="0.25">
      <c r="A23" s="44" t="s">
        <v>31</v>
      </c>
      <c r="B23" s="211">
        <f t="shared" ref="B23:G23" si="6">+B21*B22</f>
        <v>0</v>
      </c>
      <c r="C23" s="211">
        <f>+C21*C22</f>
        <v>3159258960</v>
      </c>
      <c r="D23" s="211">
        <f t="shared" si="6"/>
        <v>4327752000</v>
      </c>
      <c r="E23" s="211">
        <f t="shared" si="6"/>
        <v>4327752000</v>
      </c>
      <c r="F23" s="211">
        <f t="shared" si="6"/>
        <v>4327752000</v>
      </c>
      <c r="G23" s="211">
        <f t="shared" si="6"/>
        <v>4327752000</v>
      </c>
      <c r="H23" s="2"/>
      <c r="I23" s="2"/>
      <c r="J23" s="2"/>
      <c r="K23" s="2"/>
      <c r="N23" s="2"/>
      <c r="O23" s="2"/>
      <c r="P23" s="2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</row>
    <row r="24" spans="1:27" ht="12.75" customHeight="1" x14ac:dyDescent="0.25">
      <c r="A24" s="48" t="s">
        <v>32</v>
      </c>
      <c r="B24" s="49">
        <v>0</v>
      </c>
      <c r="C24" s="50">
        <v>0</v>
      </c>
      <c r="D24" s="50">
        <v>0</v>
      </c>
      <c r="E24" s="50">
        <v>0</v>
      </c>
      <c r="F24" s="50">
        <v>0</v>
      </c>
      <c r="G24" s="51">
        <v>0</v>
      </c>
      <c r="H24" s="2"/>
      <c r="I24" s="2"/>
      <c r="J24" s="2"/>
      <c r="K24" s="2"/>
      <c r="M24" s="263">
        <f>AVERAGE(M11:M22)</f>
        <v>7566.166666666667</v>
      </c>
      <c r="N24" s="2"/>
      <c r="O24" s="2"/>
      <c r="P24" s="2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</row>
    <row r="25" spans="1:27" ht="12.75" customHeight="1" x14ac:dyDescent="0.25">
      <c r="A25" s="52"/>
      <c r="B25" s="53"/>
      <c r="C25" s="54"/>
      <c r="D25" s="54"/>
      <c r="E25" s="54"/>
      <c r="F25" s="54"/>
      <c r="G25" s="54"/>
      <c r="H25" s="2"/>
      <c r="I25" s="2"/>
      <c r="J25" s="2"/>
      <c r="K25" s="2"/>
      <c r="N25" s="2"/>
      <c r="O25" s="2"/>
      <c r="P25" s="2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</row>
    <row r="26" spans="1:27" ht="12.75" customHeight="1" x14ac:dyDescent="0.25">
      <c r="A26" s="5"/>
      <c r="B26" s="5" t="s">
        <v>33</v>
      </c>
      <c r="C26" s="9"/>
      <c r="D26" s="9"/>
      <c r="E26" s="9"/>
      <c r="F26" s="9"/>
      <c r="G26" s="9"/>
      <c r="H26" s="2"/>
      <c r="I26" s="2"/>
      <c r="J26" s="2"/>
      <c r="K26" s="2"/>
      <c r="L26" s="2"/>
      <c r="M26" s="2"/>
      <c r="N26" s="2"/>
      <c r="O26" s="2"/>
      <c r="P26" s="2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</row>
    <row r="27" spans="1:27" ht="12.75" customHeight="1" x14ac:dyDescent="0.25">
      <c r="A27" s="355" t="s">
        <v>34</v>
      </c>
      <c r="B27" s="356"/>
      <c r="C27" s="356"/>
      <c r="D27" s="356"/>
      <c r="E27" s="356"/>
      <c r="F27" s="356"/>
      <c r="G27" s="357"/>
      <c r="H27" s="2"/>
      <c r="I27" s="2"/>
      <c r="J27" s="2"/>
      <c r="K27" s="2"/>
      <c r="L27" s="2"/>
      <c r="M27" s="2"/>
      <c r="N27" s="2"/>
      <c r="O27" s="2"/>
      <c r="P27" s="2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</row>
    <row r="28" spans="1:27" ht="12.75" customHeight="1" x14ac:dyDescent="0.25">
      <c r="A28" s="28" t="s">
        <v>35</v>
      </c>
      <c r="B28" s="212">
        <f>(114100000+573300000+2000000+1000000+2500000+800000)</f>
        <v>693700000</v>
      </c>
      <c r="C28" s="55"/>
      <c r="D28" s="55"/>
      <c r="E28" s="55"/>
      <c r="F28" s="56"/>
      <c r="G28" s="56"/>
      <c r="H28" s="57"/>
      <c r="J28" s="57"/>
      <c r="N28" s="2"/>
      <c r="O28" s="2"/>
      <c r="P28" s="2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</row>
    <row r="29" spans="1:27" ht="12.75" customHeight="1" x14ac:dyDescent="0.25">
      <c r="A29" s="32" t="s">
        <v>36</v>
      </c>
      <c r="B29" s="213">
        <v>120092696</v>
      </c>
      <c r="C29" s="58"/>
      <c r="D29" s="58"/>
      <c r="E29" s="58"/>
      <c r="F29" s="59"/>
      <c r="G29" s="59"/>
      <c r="H29" s="57" t="s">
        <v>196</v>
      </c>
      <c r="J29" s="57"/>
      <c r="N29" s="2"/>
      <c r="O29" s="2"/>
      <c r="P29" s="2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</row>
    <row r="30" spans="1:27" ht="12.75" customHeight="1" x14ac:dyDescent="0.25">
      <c r="A30" s="32" t="s">
        <v>37</v>
      </c>
      <c r="B30" s="213">
        <v>0</v>
      </c>
      <c r="C30" s="58"/>
      <c r="D30" s="58"/>
      <c r="E30" s="58"/>
      <c r="F30" s="59"/>
      <c r="G30" s="59"/>
      <c r="H30" s="57"/>
      <c r="L30" s="57"/>
      <c r="N30" s="2"/>
      <c r="O30" s="2"/>
      <c r="P30" s="2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</row>
    <row r="31" spans="1:27" ht="12.75" customHeight="1" x14ac:dyDescent="0.25">
      <c r="A31" s="60" t="s">
        <v>38</v>
      </c>
      <c r="B31" s="214">
        <f>J39</f>
        <v>1166974900</v>
      </c>
      <c r="C31" s="62"/>
      <c r="D31" s="62"/>
      <c r="E31" s="62"/>
      <c r="F31" s="63"/>
      <c r="G31" s="63"/>
      <c r="H31" s="57"/>
      <c r="I31" s="215" t="s">
        <v>80</v>
      </c>
      <c r="J31" s="216" t="s">
        <v>197</v>
      </c>
      <c r="K31" s="64"/>
      <c r="N31" s="2"/>
      <c r="O31" s="2"/>
      <c r="P31" s="2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</row>
    <row r="32" spans="1:27" ht="12.75" customHeight="1" x14ac:dyDescent="0.25">
      <c r="A32" s="65" t="s">
        <v>39</v>
      </c>
      <c r="B32" s="217">
        <f>SUM(B28:B31)</f>
        <v>1980767596</v>
      </c>
      <c r="C32" s="67"/>
      <c r="D32" s="67"/>
      <c r="E32" s="67"/>
      <c r="F32" s="67"/>
      <c r="G32" s="68"/>
      <c r="H32" s="57"/>
      <c r="I32" s="321" t="s">
        <v>287</v>
      </c>
      <c r="J32" s="219">
        <f>((10379*28)+6500)*5200</f>
        <v>1544982400</v>
      </c>
      <c r="K32" s="263"/>
      <c r="M32" s="57"/>
      <c r="N32" s="2"/>
      <c r="O32" s="2"/>
      <c r="P32" s="2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</row>
    <row r="33" spans="1:27" ht="12.75" customHeight="1" x14ac:dyDescent="0.25">
      <c r="A33" s="69"/>
      <c r="B33" s="70"/>
      <c r="C33" s="54"/>
      <c r="D33" s="54"/>
      <c r="E33" s="54"/>
      <c r="F33" s="54"/>
      <c r="G33" s="54"/>
      <c r="H33" s="2"/>
      <c r="I33" s="218" t="s">
        <v>198</v>
      </c>
      <c r="J33" s="219">
        <v>2096640000</v>
      </c>
      <c r="K33" s="2"/>
      <c r="L33" s="2"/>
      <c r="M33" s="2"/>
      <c r="N33" s="2"/>
      <c r="O33" s="2"/>
      <c r="P33" s="2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</row>
    <row r="34" spans="1:27" ht="12.75" customHeight="1" x14ac:dyDescent="0.25">
      <c r="A34" s="71" t="s">
        <v>40</v>
      </c>
      <c r="B34" s="72"/>
      <c r="C34" s="54"/>
      <c r="D34" s="54"/>
      <c r="E34" s="54"/>
      <c r="F34" s="54"/>
      <c r="G34" s="54"/>
      <c r="H34" s="2"/>
      <c r="I34" s="218" t="s">
        <v>199</v>
      </c>
      <c r="J34" s="219">
        <f>6000*5200</f>
        <v>31200000</v>
      </c>
      <c r="K34" s="2"/>
      <c r="L34" s="2"/>
      <c r="M34" s="2"/>
      <c r="N34" s="2"/>
      <c r="O34" s="2"/>
      <c r="P34" s="2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</row>
    <row r="35" spans="1:27" ht="15.75" customHeight="1" x14ac:dyDescent="0.25">
      <c r="A35" s="355" t="s">
        <v>41</v>
      </c>
      <c r="B35" s="357"/>
      <c r="C35" s="54"/>
      <c r="D35" s="54"/>
      <c r="E35" s="54"/>
      <c r="F35" s="54"/>
      <c r="G35" s="54"/>
      <c r="H35" s="2"/>
      <c r="I35" s="302" t="s">
        <v>269</v>
      </c>
      <c r="J35" s="301">
        <f>(8500*5200)+(6923*5200)</f>
        <v>80199600</v>
      </c>
      <c r="K35" s="2"/>
      <c r="L35" s="2"/>
      <c r="M35" s="2"/>
      <c r="N35" s="2"/>
      <c r="O35" s="2"/>
      <c r="P35" s="2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</row>
    <row r="36" spans="1:27" ht="12.75" customHeight="1" x14ac:dyDescent="0.25">
      <c r="A36" s="28" t="s">
        <v>42</v>
      </c>
      <c r="B36" s="73">
        <v>5</v>
      </c>
      <c r="C36" s="9"/>
      <c r="D36" s="9"/>
      <c r="E36" s="9"/>
      <c r="F36" s="9"/>
      <c r="G36" s="9"/>
      <c r="H36" s="2"/>
      <c r="I36" s="302" t="s">
        <v>270</v>
      </c>
      <c r="J36" s="301">
        <f>(35699*5200)+(12000*5200)</f>
        <v>248034800</v>
      </c>
      <c r="K36" s="2"/>
      <c r="L36" s="2"/>
      <c r="M36" s="2"/>
      <c r="N36" s="2"/>
      <c r="O36" s="2"/>
      <c r="P36" s="2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</row>
    <row r="37" spans="1:27" ht="12.75" customHeight="1" x14ac:dyDescent="0.25">
      <c r="A37" s="78" t="s">
        <v>43</v>
      </c>
      <c r="B37" s="74">
        <v>5</v>
      </c>
      <c r="C37" s="9"/>
      <c r="D37" s="9"/>
      <c r="E37" s="9"/>
      <c r="F37" s="9"/>
      <c r="G37" s="9"/>
      <c r="H37" s="2"/>
      <c r="I37" s="218" t="s">
        <v>200</v>
      </c>
      <c r="J37" s="219">
        <f>SUM(J32:J36)</f>
        <v>4001056800</v>
      </c>
      <c r="K37" s="219">
        <v>572000</v>
      </c>
      <c r="L37" s="57" t="s">
        <v>228</v>
      </c>
      <c r="M37" s="2"/>
      <c r="N37" s="2"/>
      <c r="O37" s="2"/>
      <c r="P37" s="2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</row>
    <row r="38" spans="1:27" ht="12.75" customHeight="1" x14ac:dyDescent="0.25">
      <c r="A38" s="32" t="s">
        <v>44</v>
      </c>
      <c r="B38" s="74" t="s">
        <v>201</v>
      </c>
      <c r="C38" s="9"/>
      <c r="D38" s="9"/>
      <c r="E38" s="9"/>
      <c r="F38" s="9"/>
      <c r="G38" s="9"/>
      <c r="H38" s="2"/>
      <c r="I38" s="218" t="s">
        <v>202</v>
      </c>
      <c r="J38" s="218">
        <v>105</v>
      </c>
      <c r="K38" s="57" t="s">
        <v>264</v>
      </c>
      <c r="L38" s="57"/>
      <c r="M38" s="2"/>
      <c r="N38" s="2"/>
      <c r="O38" s="2"/>
      <c r="P38" s="2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</row>
    <row r="39" spans="1:27" ht="12.75" customHeight="1" x14ac:dyDescent="0.25">
      <c r="A39" s="32" t="s">
        <v>45</v>
      </c>
      <c r="B39" s="74" t="s">
        <v>201</v>
      </c>
      <c r="C39" s="9"/>
      <c r="D39" s="9"/>
      <c r="E39" s="9"/>
      <c r="F39" s="9"/>
      <c r="G39" s="9"/>
      <c r="H39" s="2"/>
      <c r="I39" s="218" t="s">
        <v>203</v>
      </c>
      <c r="J39" s="219">
        <f>(J37/360)*J38</f>
        <v>1166974900</v>
      </c>
      <c r="K39" s="57"/>
      <c r="L39" s="57"/>
      <c r="M39" s="2"/>
      <c r="N39" s="2"/>
      <c r="O39" s="2"/>
      <c r="P39" s="2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</row>
    <row r="40" spans="1:27" ht="12.75" customHeight="1" x14ac:dyDescent="0.25">
      <c r="A40" s="75" t="s">
        <v>46</v>
      </c>
      <c r="B40" s="76" t="s">
        <v>201</v>
      </c>
      <c r="C40" s="9"/>
      <c r="D40" s="9"/>
      <c r="E40" s="9"/>
      <c r="F40" s="9"/>
      <c r="G40" s="9"/>
      <c r="H40" s="2"/>
      <c r="I40" s="2"/>
      <c r="J40" s="2"/>
      <c r="K40" s="57"/>
      <c r="L40" s="57"/>
      <c r="M40" s="2"/>
      <c r="N40" s="2"/>
      <c r="O40" s="2"/>
      <c r="P40" s="2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</row>
    <row r="41" spans="1:27" ht="12.75" customHeight="1" x14ac:dyDescent="0.25">
      <c r="A41" s="5"/>
      <c r="B41" s="5"/>
      <c r="C41" s="9"/>
      <c r="D41" s="9"/>
      <c r="E41" s="9"/>
      <c r="F41" s="9"/>
      <c r="G41" s="9"/>
      <c r="H41" s="2"/>
      <c r="I41" s="2"/>
      <c r="J41" s="2"/>
      <c r="K41" s="2"/>
      <c r="L41" s="2"/>
      <c r="M41" s="2"/>
      <c r="N41" s="2"/>
      <c r="O41" s="2"/>
      <c r="P41" s="2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</row>
    <row r="42" spans="1:27" ht="12.75" customHeight="1" x14ac:dyDescent="0.25">
      <c r="A42" s="2"/>
      <c r="B42" s="2" t="s">
        <v>204</v>
      </c>
      <c r="C42" s="9"/>
      <c r="D42" s="9"/>
      <c r="E42" s="9"/>
      <c r="F42" s="9"/>
      <c r="G42" s="9"/>
      <c r="H42" s="2"/>
      <c r="I42" s="2"/>
      <c r="J42" s="262">
        <f>J37/K37</f>
        <v>6994.8545454545456</v>
      </c>
      <c r="K42" s="264"/>
      <c r="L42" s="2"/>
      <c r="M42" s="2"/>
      <c r="N42" s="2"/>
      <c r="O42" s="2"/>
      <c r="P42" s="2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</row>
    <row r="43" spans="1:27" ht="12.75" customHeight="1" x14ac:dyDescent="0.25">
      <c r="A43" s="355" t="s">
        <v>48</v>
      </c>
      <c r="B43" s="356"/>
      <c r="C43" s="356"/>
      <c r="D43" s="356"/>
      <c r="E43" s="356"/>
      <c r="F43" s="356"/>
      <c r="G43" s="357"/>
      <c r="H43" s="2"/>
      <c r="I43" s="2"/>
      <c r="J43" s="2"/>
      <c r="K43" s="2"/>
      <c r="L43" s="2"/>
      <c r="R43" s="380"/>
      <c r="S43" s="380"/>
      <c r="T43" s="380"/>
      <c r="U43" s="380"/>
      <c r="V43" s="380"/>
      <c r="W43" s="381"/>
      <c r="X43" s="381"/>
      <c r="Y43" s="376"/>
      <c r="Z43" s="376"/>
      <c r="AA43" s="376"/>
    </row>
    <row r="44" spans="1:27" ht="12.75" customHeight="1" x14ac:dyDescent="0.25">
      <c r="A44" s="77" t="s">
        <v>8</v>
      </c>
      <c r="B44" s="26">
        <v>0</v>
      </c>
      <c r="C44" s="26">
        <f t="shared" ref="C44:G44" si="7">+B44+1</f>
        <v>1</v>
      </c>
      <c r="D44" s="26">
        <f t="shared" si="7"/>
        <v>2</v>
      </c>
      <c r="E44" s="26">
        <f t="shared" si="7"/>
        <v>3</v>
      </c>
      <c r="F44" s="27">
        <f t="shared" si="7"/>
        <v>4</v>
      </c>
      <c r="G44" s="27">
        <f t="shared" si="7"/>
        <v>5</v>
      </c>
      <c r="H44" s="5"/>
      <c r="I44" s="5"/>
      <c r="J44" s="5"/>
      <c r="K44" s="5"/>
      <c r="L44" s="5"/>
      <c r="R44" s="382"/>
      <c r="S44" s="383"/>
      <c r="T44" s="382"/>
      <c r="U44" s="382"/>
      <c r="W44" s="381"/>
      <c r="X44" s="381"/>
      <c r="Y44" s="377"/>
      <c r="Z44" s="377"/>
      <c r="AA44" s="377"/>
    </row>
    <row r="45" spans="1:27" ht="12.75" customHeight="1" x14ac:dyDescent="0.25">
      <c r="A45" s="78" t="s">
        <v>49</v>
      </c>
      <c r="B45" s="257">
        <v>0</v>
      </c>
      <c r="C45" s="246">
        <f>($J$32+$J$33+$J$34)/$K$37</f>
        <v>6421.0181818181818</v>
      </c>
      <c r="D45" s="246">
        <f t="shared" ref="D45:G45" si="8">($J$32+$J$33+$J$34)/$K$37</f>
        <v>6421.0181818181818</v>
      </c>
      <c r="E45" s="246">
        <f t="shared" si="8"/>
        <v>6421.0181818181818</v>
      </c>
      <c r="F45" s="246">
        <f t="shared" si="8"/>
        <v>6421.0181818181818</v>
      </c>
      <c r="G45" s="246">
        <f t="shared" si="8"/>
        <v>6421.0181818181818</v>
      </c>
      <c r="H45" s="2"/>
      <c r="I45" s="2"/>
      <c r="J45" s="262"/>
      <c r="K45" s="2"/>
      <c r="L45" s="2"/>
      <c r="R45" s="384"/>
      <c r="S45" s="385"/>
      <c r="T45" s="384"/>
      <c r="U45" s="384"/>
      <c r="W45" s="381"/>
      <c r="X45" s="381"/>
      <c r="Y45" s="376"/>
      <c r="Z45" s="376"/>
      <c r="AA45" s="376"/>
    </row>
    <row r="46" spans="1:27" ht="12.75" customHeight="1" x14ac:dyDescent="0.25">
      <c r="A46" s="78" t="s">
        <v>50</v>
      </c>
      <c r="B46" s="246">
        <v>0</v>
      </c>
      <c r="C46" s="246">
        <f>C45*C21</f>
        <v>2681160352</v>
      </c>
      <c r="D46" s="246">
        <f t="shared" ref="D46:G46" si="9">D45*D21</f>
        <v>3672822400</v>
      </c>
      <c r="E46" s="246">
        <f t="shared" si="9"/>
        <v>3672822400</v>
      </c>
      <c r="F46" s="246">
        <f t="shared" si="9"/>
        <v>3672822400</v>
      </c>
      <c r="G46" s="246">
        <f t="shared" si="9"/>
        <v>3672822400</v>
      </c>
      <c r="H46" s="2"/>
      <c r="I46" s="2"/>
      <c r="J46" s="2"/>
      <c r="K46" s="2"/>
      <c r="L46" s="2"/>
      <c r="R46" s="384"/>
      <c r="S46" s="385"/>
      <c r="T46" s="384"/>
      <c r="U46" s="384"/>
      <c r="W46" s="386"/>
      <c r="X46" s="381"/>
      <c r="Y46" s="376"/>
      <c r="Z46" s="376"/>
      <c r="AA46" s="376"/>
    </row>
    <row r="47" spans="1:27" ht="12.75" customHeight="1" x14ac:dyDescent="0.25">
      <c r="A47" s="78" t="s">
        <v>51</v>
      </c>
      <c r="B47" s="246">
        <v>0</v>
      </c>
      <c r="C47" s="257">
        <f>$J$35</f>
        <v>80199600</v>
      </c>
      <c r="D47" s="257">
        <f>($J$35+K34)</f>
        <v>80199600</v>
      </c>
      <c r="E47" s="246">
        <f t="shared" ref="E47:G47" si="10">$J$35</f>
        <v>80199600</v>
      </c>
      <c r="F47" s="246">
        <f t="shared" si="10"/>
        <v>80199600</v>
      </c>
      <c r="G47" s="246">
        <f t="shared" si="10"/>
        <v>80199600</v>
      </c>
      <c r="H47" s="2"/>
      <c r="I47" s="2"/>
      <c r="J47" s="2"/>
      <c r="K47" s="2"/>
      <c r="L47" s="2"/>
      <c r="R47" s="384"/>
      <c r="S47" s="385"/>
      <c r="T47" s="384"/>
      <c r="U47" s="384"/>
      <c r="W47" s="386"/>
      <c r="X47" s="381"/>
      <c r="Y47" s="376"/>
      <c r="Z47" s="376"/>
      <c r="AA47" s="376"/>
    </row>
    <row r="48" spans="1:27" ht="12.75" customHeight="1" x14ac:dyDescent="0.25">
      <c r="A48" s="78" t="s">
        <v>52</v>
      </c>
      <c r="B48" s="246">
        <v>0</v>
      </c>
      <c r="C48" s="257">
        <f>$J$36</f>
        <v>248034800</v>
      </c>
      <c r="D48" s="246">
        <f t="shared" ref="D48:G48" si="11">$J$36</f>
        <v>248034800</v>
      </c>
      <c r="E48" s="246">
        <f t="shared" si="11"/>
        <v>248034800</v>
      </c>
      <c r="F48" s="246">
        <f t="shared" si="11"/>
        <v>248034800</v>
      </c>
      <c r="G48" s="246">
        <f t="shared" si="11"/>
        <v>248034800</v>
      </c>
      <c r="H48" s="2"/>
      <c r="I48" s="2"/>
      <c r="J48" s="2"/>
      <c r="K48" s="2"/>
      <c r="L48" s="2"/>
      <c r="R48" s="384"/>
      <c r="S48" s="385"/>
      <c r="T48" s="384"/>
      <c r="U48" s="384"/>
      <c r="W48" s="386"/>
      <c r="X48" s="381"/>
      <c r="Y48" s="376"/>
      <c r="Z48" s="376"/>
      <c r="AA48" s="376"/>
    </row>
    <row r="49" spans="1:27" ht="12.75" customHeight="1" x14ac:dyDescent="0.25">
      <c r="A49" s="80" t="s">
        <v>53</v>
      </c>
      <c r="B49" s="201"/>
      <c r="C49" s="52"/>
      <c r="D49" s="262">
        <f>+D46+D47+D48</f>
        <v>4001056800</v>
      </c>
      <c r="E49" s="2"/>
      <c r="F49" s="2"/>
      <c r="G49" s="2"/>
      <c r="H49" s="2"/>
      <c r="I49" s="2"/>
      <c r="J49" s="2"/>
      <c r="K49" s="2"/>
      <c r="L49" s="2"/>
      <c r="R49" s="384"/>
      <c r="S49" s="385"/>
      <c r="T49" s="384"/>
      <c r="U49" s="384"/>
      <c r="W49" s="386"/>
      <c r="X49" s="381"/>
      <c r="Y49" s="376"/>
      <c r="Z49" s="376"/>
      <c r="AA49" s="376"/>
    </row>
    <row r="50" spans="1:27" ht="12.75" customHeight="1" x14ac:dyDescent="0.25">
      <c r="A50" s="78" t="s">
        <v>54</v>
      </c>
      <c r="B50" s="34"/>
      <c r="C50" s="52" t="s">
        <v>265</v>
      </c>
      <c r="D50" s="2"/>
      <c r="E50" s="2"/>
      <c r="F50" s="2"/>
      <c r="G50" s="2"/>
      <c r="H50" s="2"/>
      <c r="I50" s="2"/>
      <c r="J50" s="2"/>
      <c r="K50" s="2"/>
      <c r="L50" s="2"/>
      <c r="R50" s="384"/>
      <c r="S50" s="385"/>
      <c r="T50" s="384"/>
      <c r="U50" s="384"/>
      <c r="W50" s="386"/>
      <c r="X50" s="381"/>
      <c r="Y50" s="376"/>
      <c r="Z50" s="376"/>
      <c r="AA50" s="376"/>
    </row>
    <row r="51" spans="1:27" ht="12.75" customHeight="1" x14ac:dyDescent="0.25">
      <c r="A51" s="5"/>
      <c r="B51" s="82"/>
      <c r="C51" s="52"/>
      <c r="D51" s="2"/>
      <c r="E51" s="2"/>
      <c r="F51" s="2"/>
      <c r="G51" s="2"/>
      <c r="H51" s="2"/>
      <c r="I51" s="2"/>
      <c r="J51" s="2"/>
      <c r="K51" s="2"/>
      <c r="L51" s="2"/>
      <c r="R51" s="384"/>
      <c r="S51" s="385"/>
      <c r="T51" s="384"/>
      <c r="U51" s="384"/>
      <c r="W51" s="386"/>
      <c r="X51" s="381"/>
      <c r="Y51" s="376"/>
      <c r="Z51" s="376"/>
      <c r="AA51" s="376"/>
    </row>
    <row r="52" spans="1:27" ht="12.75" customHeight="1" x14ac:dyDescent="0.25">
      <c r="A52" s="52" t="s">
        <v>55</v>
      </c>
      <c r="B52" s="2"/>
      <c r="C52" s="52"/>
      <c r="D52" s="2"/>
      <c r="E52" s="2"/>
      <c r="F52" s="2"/>
      <c r="G52" s="2"/>
      <c r="H52" s="2"/>
      <c r="I52" s="2"/>
      <c r="J52" s="2"/>
      <c r="K52" s="2"/>
      <c r="L52" s="2"/>
      <c r="R52" s="387"/>
      <c r="S52" s="388"/>
      <c r="T52" s="387"/>
      <c r="U52" s="387"/>
      <c r="W52" s="389"/>
      <c r="X52" s="390"/>
      <c r="Y52" s="376"/>
      <c r="Z52" s="376"/>
      <c r="AA52" s="376"/>
    </row>
    <row r="53" spans="1:27" ht="12.75" customHeight="1" x14ac:dyDescent="0.25">
      <c r="A53" s="355" t="s">
        <v>56</v>
      </c>
      <c r="B53" s="358"/>
      <c r="C53" s="52"/>
      <c r="D53" s="2"/>
      <c r="E53" s="2"/>
      <c r="F53" s="2"/>
      <c r="G53" s="2"/>
      <c r="H53" s="2"/>
      <c r="I53" s="2"/>
      <c r="J53" s="2"/>
      <c r="K53" s="2"/>
      <c r="L53" s="2"/>
      <c r="M53" s="220"/>
      <c r="N53" s="220"/>
      <c r="O53" s="374"/>
      <c r="P53" s="351"/>
      <c r="Q53" s="351"/>
      <c r="R53" s="351"/>
      <c r="S53" s="351"/>
      <c r="T53" s="351"/>
      <c r="U53" s="351"/>
      <c r="V53" s="351"/>
      <c r="W53" s="351"/>
      <c r="X53" s="351"/>
      <c r="Y53" s="376"/>
      <c r="Z53" s="376"/>
      <c r="AA53" s="376"/>
    </row>
    <row r="54" spans="1:27" ht="12.75" customHeight="1" x14ac:dyDescent="0.25">
      <c r="A54" s="83" t="s">
        <v>57</v>
      </c>
      <c r="B54" s="247">
        <v>1200000000</v>
      </c>
      <c r="C54" s="5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</row>
    <row r="55" spans="1:27" ht="12.75" customHeight="1" x14ac:dyDescent="0.25">
      <c r="A55" s="83" t="s">
        <v>58</v>
      </c>
      <c r="B55" s="85">
        <v>0.12</v>
      </c>
      <c r="C55" s="52" t="s">
        <v>59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</row>
    <row r="56" spans="1:27" ht="24" customHeight="1" x14ac:dyDescent="0.25">
      <c r="A56" s="83" t="s">
        <v>60</v>
      </c>
      <c r="B56" s="221" t="s">
        <v>205</v>
      </c>
      <c r="C56" s="22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</row>
    <row r="57" spans="1:27" ht="12.75" customHeight="1" x14ac:dyDescent="0.25">
      <c r="A57" s="83" t="s">
        <v>62</v>
      </c>
      <c r="B57" s="87">
        <v>84</v>
      </c>
      <c r="C57" s="5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</row>
    <row r="58" spans="1:27" ht="12.75" customHeight="1" x14ac:dyDescent="0.25">
      <c r="A58" s="5"/>
      <c r="B58" s="88"/>
      <c r="C58" s="5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</row>
    <row r="59" spans="1:27" ht="12.75" customHeight="1" x14ac:dyDescent="0.25">
      <c r="A59" s="5" t="s">
        <v>63</v>
      </c>
      <c r="B59" s="88"/>
      <c r="C59" s="5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</row>
    <row r="60" spans="1:27" ht="12.75" customHeight="1" x14ac:dyDescent="0.25">
      <c r="A60" s="355" t="s">
        <v>64</v>
      </c>
      <c r="B60" s="358"/>
      <c r="C60" s="5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6"/>
    </row>
    <row r="61" spans="1:27" ht="12.75" customHeight="1" x14ac:dyDescent="0.25">
      <c r="A61" s="83" t="s">
        <v>65</v>
      </c>
      <c r="B61" s="94">
        <v>0.35</v>
      </c>
      <c r="C61" s="5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</row>
    <row r="62" spans="1:27" ht="12.75" customHeight="1" x14ac:dyDescent="0.25">
      <c r="A62" s="5"/>
      <c r="B62" s="89"/>
      <c r="C62" s="5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</row>
    <row r="63" spans="1:27" ht="12.75" customHeight="1" x14ac:dyDescent="0.25">
      <c r="A63" s="5" t="s">
        <v>66</v>
      </c>
      <c r="B63" s="89"/>
      <c r="C63" s="5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</row>
    <row r="64" spans="1:27" ht="12.75" customHeight="1" x14ac:dyDescent="0.25">
      <c r="A64" s="359" t="s">
        <v>67</v>
      </c>
      <c r="B64" s="360"/>
      <c r="C64" s="5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76"/>
      <c r="R64" s="376"/>
      <c r="S64" s="376"/>
      <c r="T64" s="376"/>
      <c r="U64" s="376"/>
      <c r="V64" s="376"/>
      <c r="W64" s="376"/>
      <c r="X64" s="376"/>
      <c r="Y64" s="376"/>
      <c r="Z64" s="376"/>
      <c r="AA64" s="376"/>
    </row>
    <row r="65" spans="1:27" ht="17.25" customHeight="1" x14ac:dyDescent="0.25">
      <c r="A65" s="83" t="s">
        <v>68</v>
      </c>
      <c r="B65" s="90">
        <v>0.18</v>
      </c>
      <c r="C65" s="52"/>
      <c r="D65" s="2"/>
      <c r="E65" s="361"/>
      <c r="F65" s="351"/>
      <c r="G65" s="2"/>
      <c r="H65" s="2"/>
      <c r="I65" s="2"/>
      <c r="J65" s="2"/>
      <c r="K65" s="2"/>
      <c r="L65" s="2"/>
      <c r="M65" s="2"/>
      <c r="N65" s="2"/>
      <c r="O65" s="2"/>
      <c r="P65" s="2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</row>
    <row r="66" spans="1:27" ht="12.75" customHeight="1" x14ac:dyDescent="0.25">
      <c r="A66" s="83" t="s">
        <v>69</v>
      </c>
      <c r="B66" s="222" t="s">
        <v>206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</row>
    <row r="67" spans="1:27" ht="12.75" customHeight="1" x14ac:dyDescent="0.25">
      <c r="A67" s="83" t="s">
        <v>71</v>
      </c>
      <c r="B67" s="90">
        <f>1-(B54/B32)</f>
        <v>0.39417425728121613</v>
      </c>
      <c r="C67" s="5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</row>
    <row r="68" spans="1:27" ht="12.75" customHeight="1" x14ac:dyDescent="0.25">
      <c r="A68" s="83" t="s">
        <v>72</v>
      </c>
      <c r="B68" s="90">
        <f>B55*(1-B61)</f>
        <v>7.8E-2</v>
      </c>
      <c r="C68" s="5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</row>
    <row r="69" spans="1:27" ht="12.75" customHeight="1" x14ac:dyDescent="0.25">
      <c r="A69" s="83" t="s">
        <v>181</v>
      </c>
      <c r="B69" s="281">
        <f>(B67*B65)+((1-B67)*B55)</f>
        <v>0.14365045543687296</v>
      </c>
      <c r="C69" s="362"/>
      <c r="D69" s="351"/>
      <c r="E69" s="351"/>
      <c r="F69" s="351"/>
      <c r="G69" s="2"/>
      <c r="H69" s="2"/>
      <c r="I69" s="2"/>
      <c r="J69" s="2"/>
      <c r="K69" s="2"/>
      <c r="L69" s="2"/>
      <c r="M69" s="2"/>
      <c r="N69" s="2"/>
      <c r="O69" s="2"/>
      <c r="P69" s="2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</row>
    <row r="70" spans="1:27" ht="12.75" customHeight="1" x14ac:dyDescent="0.25">
      <c r="A70" s="83" t="s">
        <v>182</v>
      </c>
      <c r="B70" s="93">
        <f>(B67*B65)+((1-B67)*B68)</f>
        <v>0.11820577424268405</v>
      </c>
      <c r="C70" s="8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</row>
    <row r="71" spans="1:27" ht="12.75" customHeight="1" x14ac:dyDescent="0.25">
      <c r="A71" s="83" t="s">
        <v>77</v>
      </c>
      <c r="B71" s="222" t="s">
        <v>206</v>
      </c>
      <c r="C71" s="8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</row>
    <row r="72" spans="1:27" ht="12.75" customHeight="1" x14ac:dyDescent="0.25">
      <c r="A72" s="5"/>
      <c r="B72" s="95"/>
      <c r="C72" s="8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</row>
    <row r="73" spans="1:27" ht="9.75" customHeight="1" x14ac:dyDescent="0.25">
      <c r="A73" s="2"/>
      <c r="B73" s="9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</row>
    <row r="74" spans="1:27" ht="12.75" customHeight="1" x14ac:dyDescent="0.25">
      <c r="A74" s="364" t="s">
        <v>78</v>
      </c>
      <c r="B74" s="351"/>
      <c r="C74" s="351"/>
      <c r="D74" s="351"/>
      <c r="E74" s="351"/>
      <c r="F74" s="351"/>
      <c r="G74" s="2"/>
      <c r="H74" s="2"/>
      <c r="I74" s="2"/>
      <c r="J74" s="2"/>
      <c r="K74" s="2"/>
      <c r="L74" s="2"/>
      <c r="M74" s="2"/>
      <c r="N74" s="2"/>
      <c r="O74" s="2"/>
      <c r="P74" s="2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</row>
    <row r="75" spans="1:27" ht="12.75" customHeight="1" x14ac:dyDescent="0.25">
      <c r="A75" s="364" t="s">
        <v>79</v>
      </c>
      <c r="B75" s="351"/>
      <c r="C75" s="351"/>
      <c r="D75" s="351"/>
      <c r="E75" s="351"/>
      <c r="F75" s="351"/>
      <c r="G75" s="2"/>
      <c r="H75" s="2"/>
      <c r="I75" s="2"/>
      <c r="J75" s="2"/>
      <c r="K75" s="2"/>
      <c r="L75" s="2"/>
      <c r="M75" s="2"/>
      <c r="N75" s="2"/>
      <c r="O75" s="2"/>
      <c r="P75" s="2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</row>
    <row r="76" spans="1:27" ht="12.75" customHeight="1" x14ac:dyDescent="0.25">
      <c r="A76" s="364" t="str">
        <f>+F6</f>
        <v>Millones de pesos constantes del año cero</v>
      </c>
      <c r="B76" s="351"/>
      <c r="C76" s="351"/>
      <c r="D76" s="351"/>
      <c r="E76" s="351"/>
      <c r="F76" s="351"/>
      <c r="G76" s="2"/>
      <c r="H76" s="2"/>
      <c r="I76" s="2"/>
      <c r="J76" s="2"/>
      <c r="K76" s="2"/>
      <c r="L76" s="2"/>
      <c r="M76" s="2"/>
      <c r="N76" s="2"/>
      <c r="O76" s="2"/>
      <c r="P76" s="2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</row>
    <row r="77" spans="1:27" ht="12.75" customHeight="1" x14ac:dyDescent="0.25">
      <c r="A77" s="97" t="s">
        <v>80</v>
      </c>
      <c r="B77" s="98">
        <v>0</v>
      </c>
      <c r="C77" s="98">
        <f t="shared" ref="C77:G77" si="12">+B77+1</f>
        <v>1</v>
      </c>
      <c r="D77" s="98">
        <f t="shared" si="12"/>
        <v>2</v>
      </c>
      <c r="E77" s="98">
        <f t="shared" si="12"/>
        <v>3</v>
      </c>
      <c r="F77" s="98">
        <f t="shared" si="12"/>
        <v>4</v>
      </c>
      <c r="G77" s="98">
        <f t="shared" si="12"/>
        <v>5</v>
      </c>
      <c r="H77" s="2"/>
      <c r="I77" s="2"/>
      <c r="J77" s="2"/>
      <c r="K77" s="2"/>
      <c r="L77" s="2"/>
      <c r="M77" s="2"/>
      <c r="N77" s="2"/>
      <c r="O77" s="2"/>
      <c r="P77" s="2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</row>
    <row r="78" spans="1:27" ht="30.75" customHeight="1" x14ac:dyDescent="0.25">
      <c r="A78" s="99" t="s">
        <v>81</v>
      </c>
      <c r="B78" s="248">
        <f t="shared" ref="B78:G78" si="13">+B23</f>
        <v>0</v>
      </c>
      <c r="C78" s="248">
        <f>+C23</f>
        <v>3159258960</v>
      </c>
      <c r="D78" s="248">
        <f t="shared" si="13"/>
        <v>4327752000</v>
      </c>
      <c r="E78" s="248">
        <f t="shared" si="13"/>
        <v>4327752000</v>
      </c>
      <c r="F78" s="248">
        <f t="shared" si="13"/>
        <v>4327752000</v>
      </c>
      <c r="G78" s="248">
        <f t="shared" si="13"/>
        <v>4327752000</v>
      </c>
      <c r="H78" s="2"/>
      <c r="I78" s="2"/>
      <c r="J78" s="2"/>
      <c r="K78" s="2"/>
      <c r="L78" s="2"/>
      <c r="M78" s="2"/>
      <c r="N78" s="2"/>
      <c r="O78" s="2"/>
      <c r="P78" s="2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</row>
    <row r="79" spans="1:27" ht="12.75" customHeight="1" x14ac:dyDescent="0.25">
      <c r="A79" s="101" t="s">
        <v>82</v>
      </c>
      <c r="B79" s="248"/>
      <c r="C79" s="249">
        <f>+C46</f>
        <v>2681160352</v>
      </c>
      <c r="D79" s="249">
        <f t="shared" ref="D79:G79" si="14">+D46</f>
        <v>3672822400</v>
      </c>
      <c r="E79" s="249">
        <f t="shared" si="14"/>
        <v>3672822400</v>
      </c>
      <c r="F79" s="249">
        <f t="shared" si="14"/>
        <v>3672822400</v>
      </c>
      <c r="G79" s="249">
        <f t="shared" si="14"/>
        <v>3672822400</v>
      </c>
      <c r="H79" s="2"/>
      <c r="I79" s="2"/>
      <c r="J79" s="2"/>
      <c r="K79" s="2"/>
      <c r="L79" s="2"/>
      <c r="M79" s="2"/>
      <c r="N79" s="2"/>
      <c r="O79" s="2"/>
      <c r="P79" s="2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</row>
    <row r="80" spans="1:27" ht="12.75" customHeight="1" x14ac:dyDescent="0.25">
      <c r="A80" s="101" t="s">
        <v>83</v>
      </c>
      <c r="B80" s="248"/>
      <c r="C80" s="250">
        <f t="shared" ref="C80:G80" si="15">+C47</f>
        <v>80199600</v>
      </c>
      <c r="D80" s="250">
        <f t="shared" si="15"/>
        <v>80199600</v>
      </c>
      <c r="E80" s="250">
        <f t="shared" si="15"/>
        <v>80199600</v>
      </c>
      <c r="F80" s="250">
        <f t="shared" si="15"/>
        <v>80199600</v>
      </c>
      <c r="G80" s="250">
        <f t="shared" si="15"/>
        <v>80199600</v>
      </c>
      <c r="H80" s="2"/>
      <c r="I80" s="2"/>
      <c r="J80" s="2"/>
      <c r="K80" s="2"/>
      <c r="L80" s="2"/>
      <c r="M80" s="2"/>
      <c r="N80" s="2"/>
      <c r="O80" s="2"/>
      <c r="P80" s="2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</row>
    <row r="81" spans="1:27" ht="12.75" customHeight="1" x14ac:dyDescent="0.25">
      <c r="A81" s="101" t="s">
        <v>84</v>
      </c>
      <c r="B81" s="248"/>
      <c r="C81" s="250">
        <f t="shared" ref="C81:G81" si="16">+C48</f>
        <v>248034800</v>
      </c>
      <c r="D81" s="250">
        <f t="shared" si="16"/>
        <v>248034800</v>
      </c>
      <c r="E81" s="250">
        <f t="shared" si="16"/>
        <v>248034800</v>
      </c>
      <c r="F81" s="250">
        <f t="shared" si="16"/>
        <v>248034800</v>
      </c>
      <c r="G81" s="250">
        <f t="shared" si="16"/>
        <v>248034800</v>
      </c>
      <c r="H81" s="2"/>
      <c r="I81" s="2"/>
      <c r="J81" s="2"/>
      <c r="K81" s="2"/>
      <c r="L81" s="2"/>
      <c r="M81" s="2"/>
      <c r="N81" s="2"/>
      <c r="O81" s="2"/>
      <c r="P81" s="2"/>
      <c r="Q81" s="376"/>
      <c r="R81" s="376"/>
      <c r="S81" s="376"/>
      <c r="T81" s="376"/>
      <c r="U81" s="376"/>
      <c r="V81" s="376"/>
      <c r="W81" s="376"/>
      <c r="X81" s="376"/>
      <c r="Y81" s="376"/>
      <c r="Z81" s="376"/>
      <c r="AA81" s="376"/>
    </row>
    <row r="82" spans="1:27" ht="12.75" customHeight="1" x14ac:dyDescent="0.25">
      <c r="A82" s="104" t="s">
        <v>85</v>
      </c>
      <c r="B82" s="251">
        <f t="shared" ref="B82:G82" si="17">+B78-B79-B80-B81</f>
        <v>0</v>
      </c>
      <c r="C82" s="251">
        <f>+C78-C79-C80-C81</f>
        <v>149864208</v>
      </c>
      <c r="D82" s="251">
        <f t="shared" si="17"/>
        <v>326695200</v>
      </c>
      <c r="E82" s="251">
        <f t="shared" si="17"/>
        <v>326695200</v>
      </c>
      <c r="F82" s="251">
        <f t="shared" si="17"/>
        <v>326695200</v>
      </c>
      <c r="G82" s="251">
        <f t="shared" si="17"/>
        <v>326695200</v>
      </c>
      <c r="H82" s="2"/>
      <c r="I82" s="2"/>
      <c r="J82" s="2"/>
      <c r="K82" s="2"/>
      <c r="L82" s="2"/>
      <c r="M82" s="2"/>
      <c r="N82" s="2"/>
      <c r="O82" s="2"/>
      <c r="P82" s="2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</row>
    <row r="83" spans="1:27" ht="12.75" customHeight="1" x14ac:dyDescent="0.25">
      <c r="A83" s="107" t="s">
        <v>86</v>
      </c>
      <c r="B83" s="249">
        <f t="shared" ref="B83:B86" si="18">+B28</f>
        <v>693700000</v>
      </c>
      <c r="C83" s="252"/>
      <c r="D83" s="252"/>
      <c r="E83" s="252"/>
      <c r="F83" s="252"/>
      <c r="G83" s="252"/>
      <c r="H83" s="2"/>
      <c r="I83" s="2"/>
      <c r="J83" s="2"/>
      <c r="K83" s="2"/>
      <c r="L83" s="2"/>
      <c r="M83" s="2"/>
      <c r="N83" s="2"/>
      <c r="O83" s="2"/>
      <c r="P83" s="2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</row>
    <row r="84" spans="1:27" ht="12.75" customHeight="1" x14ac:dyDescent="0.25">
      <c r="A84" s="107" t="s">
        <v>87</v>
      </c>
      <c r="B84" s="249">
        <f t="shared" si="18"/>
        <v>120092696</v>
      </c>
      <c r="C84" s="252"/>
      <c r="D84" s="252"/>
      <c r="E84" s="252"/>
      <c r="F84" s="252"/>
      <c r="G84" s="252"/>
      <c r="H84" s="2"/>
      <c r="I84" s="2"/>
      <c r="J84" s="2"/>
      <c r="K84" s="2"/>
      <c r="L84" s="2"/>
      <c r="M84" s="2"/>
      <c r="N84" s="2"/>
      <c r="O84" s="2"/>
      <c r="P84" s="2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</row>
    <row r="85" spans="1:27" ht="12.75" customHeight="1" x14ac:dyDescent="0.25">
      <c r="A85" s="107" t="s">
        <v>88</v>
      </c>
      <c r="B85" s="249">
        <f t="shared" si="18"/>
        <v>0</v>
      </c>
      <c r="C85" s="252"/>
      <c r="D85" s="252"/>
      <c r="E85" s="252"/>
      <c r="F85" s="252"/>
      <c r="G85" s="252"/>
      <c r="H85" s="2"/>
      <c r="I85" s="2"/>
      <c r="J85" s="2"/>
      <c r="K85" s="2"/>
      <c r="L85" s="2"/>
      <c r="M85" s="2"/>
      <c r="N85" s="2"/>
      <c r="O85" s="2"/>
      <c r="P85" s="2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</row>
    <row r="86" spans="1:27" ht="12.75" customHeight="1" x14ac:dyDescent="0.25">
      <c r="A86" s="107" t="s">
        <v>89</v>
      </c>
      <c r="B86" s="249">
        <f t="shared" si="18"/>
        <v>1166974900</v>
      </c>
      <c r="C86" s="252"/>
      <c r="D86" s="252"/>
      <c r="E86" s="252"/>
      <c r="F86" s="252"/>
      <c r="G86" s="252"/>
      <c r="H86" s="2"/>
      <c r="I86" s="2"/>
      <c r="J86" s="2"/>
      <c r="K86" s="2"/>
      <c r="L86" s="2"/>
      <c r="M86" s="2"/>
      <c r="N86" s="2"/>
      <c r="O86" s="2"/>
      <c r="P86" s="2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</row>
    <row r="87" spans="1:27" ht="12.75" customHeight="1" x14ac:dyDescent="0.25">
      <c r="A87" s="110" t="s">
        <v>256</v>
      </c>
      <c r="B87" s="249"/>
      <c r="C87" s="252"/>
      <c r="D87" s="252"/>
      <c r="E87" s="252"/>
      <c r="F87" s="252"/>
      <c r="H87" s="275"/>
      <c r="I87" s="2"/>
      <c r="J87" s="2"/>
      <c r="K87" s="2"/>
      <c r="L87" s="2"/>
      <c r="M87" s="2"/>
      <c r="N87" s="2"/>
      <c r="O87" s="2"/>
      <c r="P87" s="2"/>
      <c r="Q87" s="376"/>
      <c r="R87" s="376"/>
      <c r="S87" s="376"/>
      <c r="T87" s="376"/>
      <c r="U87" s="376"/>
      <c r="V87" s="376"/>
      <c r="W87" s="376"/>
      <c r="X87" s="376"/>
      <c r="Y87" s="376"/>
      <c r="Z87" s="376"/>
      <c r="AA87" s="376"/>
    </row>
    <row r="88" spans="1:27" ht="12.75" customHeight="1" x14ac:dyDescent="0.25">
      <c r="A88" s="110" t="s">
        <v>92</v>
      </c>
      <c r="B88" s="249"/>
      <c r="C88" s="248"/>
      <c r="D88" s="248"/>
      <c r="E88" s="248"/>
      <c r="F88" s="248"/>
      <c r="G88" s="253">
        <f>(G82/CONSTANTES!B65)</f>
        <v>1814973333.3333335</v>
      </c>
      <c r="H88" s="274">
        <f>-Depreciacion!C8-Depreciacion!H8-Depreciacion!M8</f>
        <v>-202475000</v>
      </c>
      <c r="I88" s="2"/>
      <c r="J88" s="2"/>
      <c r="K88" s="2"/>
      <c r="L88" s="2"/>
      <c r="M88" s="2"/>
      <c r="N88" s="2"/>
      <c r="O88" s="2"/>
      <c r="P88" s="2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</row>
    <row r="89" spans="1:27" ht="12.75" customHeight="1" x14ac:dyDescent="0.25">
      <c r="A89" s="114" t="s">
        <v>93</v>
      </c>
      <c r="B89" s="254">
        <f>+B82-B83-B84-B85-B86+B87+B88</f>
        <v>-1980767596</v>
      </c>
      <c r="C89" s="254">
        <f t="shared" ref="C89:F89" si="19">+C82-C83-C84-C85-C86+C87+C88</f>
        <v>149864208</v>
      </c>
      <c r="D89" s="254">
        <f t="shared" si="19"/>
        <v>326695200</v>
      </c>
      <c r="E89" s="254">
        <f t="shared" si="19"/>
        <v>326695200</v>
      </c>
      <c r="F89" s="254">
        <f t="shared" si="19"/>
        <v>326695200</v>
      </c>
      <c r="G89" s="254">
        <f>+G82-G83-G84-G85-G86+G88</f>
        <v>2141668533.3333335</v>
      </c>
      <c r="H89" s="2"/>
      <c r="I89" s="2"/>
      <c r="J89" s="2"/>
      <c r="K89" s="2"/>
      <c r="L89" s="2"/>
      <c r="M89" s="2"/>
      <c r="N89" s="2"/>
      <c r="O89" s="2"/>
      <c r="P89" s="2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</row>
    <row r="90" spans="1:27" ht="12.75" customHeight="1" x14ac:dyDescent="0.25">
      <c r="A90" s="117" t="s">
        <v>94</v>
      </c>
      <c r="B90" s="248"/>
      <c r="C90" s="248">
        <f>+C89/(1+$B$65)^C77</f>
        <v>127003566.10169493</v>
      </c>
      <c r="D90" s="248">
        <f t="shared" ref="D90:G90" si="20">+D89/(1+$B$65)^D77</f>
        <v>234627405.91783974</v>
      </c>
      <c r="E90" s="248">
        <f t="shared" si="20"/>
        <v>198836784.67613536</v>
      </c>
      <c r="F90" s="248">
        <f t="shared" si="20"/>
        <v>168505749.72553846</v>
      </c>
      <c r="G90" s="248">
        <f t="shared" si="20"/>
        <v>936143054.03076947</v>
      </c>
      <c r="H90" s="2"/>
      <c r="I90" s="2"/>
      <c r="J90" s="2"/>
      <c r="K90" s="2"/>
      <c r="L90" s="2"/>
      <c r="M90" s="2"/>
      <c r="N90" s="2"/>
      <c r="O90" s="2"/>
      <c r="P90" s="2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</row>
    <row r="91" spans="1:27" ht="12.75" customHeight="1" x14ac:dyDescent="0.25">
      <c r="A91" s="117" t="s">
        <v>95</v>
      </c>
      <c r="B91" s="248"/>
      <c r="C91" s="248">
        <f>+C90</f>
        <v>127003566.10169493</v>
      </c>
      <c r="D91" s="256">
        <f>+C91+D90</f>
        <v>361630972.01953465</v>
      </c>
      <c r="E91" s="256">
        <f t="shared" ref="E91:F91" si="21">+D91+E90</f>
        <v>560467756.69567001</v>
      </c>
      <c r="F91" s="256">
        <f t="shared" si="21"/>
        <v>728973506.4212085</v>
      </c>
      <c r="G91" s="256">
        <f>+F91+G90</f>
        <v>1665116560.451978</v>
      </c>
      <c r="H91" s="2"/>
      <c r="I91" s="2"/>
      <c r="J91" s="2"/>
      <c r="K91" s="2"/>
      <c r="L91" s="2"/>
      <c r="M91" s="2"/>
      <c r="N91" s="2"/>
      <c r="O91" s="2"/>
      <c r="P91" s="2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</row>
    <row r="92" spans="1:27" ht="12.75" customHeight="1" x14ac:dyDescent="0.25">
      <c r="A92" s="117" t="s">
        <v>97</v>
      </c>
      <c r="B92" s="171">
        <f>IRR(B89:G89)</f>
        <v>0.12955943569866357</v>
      </c>
      <c r="C92" s="96"/>
      <c r="D92" s="2"/>
      <c r="E92" s="120"/>
      <c r="F92" s="9"/>
      <c r="G92" s="2"/>
      <c r="H92" s="2"/>
      <c r="I92" s="2"/>
      <c r="J92" s="2"/>
      <c r="K92" s="2"/>
      <c r="L92" s="2"/>
      <c r="M92" s="2"/>
      <c r="N92" s="2"/>
      <c r="O92" s="2"/>
      <c r="P92" s="2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</row>
    <row r="93" spans="1:27" ht="12.75" customHeight="1" x14ac:dyDescent="0.25">
      <c r="A93" s="117" t="s">
        <v>99</v>
      </c>
      <c r="B93" s="265">
        <f>+NPV(B65,C89:G89)-B89</f>
        <v>3645884156.4519777</v>
      </c>
      <c r="C93" s="2"/>
      <c r="D93" s="52"/>
      <c r="E93" s="120"/>
      <c r="F93" s="120"/>
      <c r="G93" s="2"/>
      <c r="H93" s="2"/>
      <c r="I93" s="2"/>
      <c r="J93" s="2"/>
      <c r="K93" s="2"/>
      <c r="L93" s="2"/>
      <c r="M93" s="2"/>
      <c r="N93" s="2"/>
      <c r="O93" s="2"/>
      <c r="P93" s="2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</row>
    <row r="94" spans="1:27" ht="12.75" customHeight="1" x14ac:dyDescent="0.25">
      <c r="A94" s="1"/>
      <c r="B94" s="122"/>
      <c r="C94" s="2"/>
      <c r="D94" s="2"/>
      <c r="E94" s="120"/>
      <c r="F94" s="120"/>
      <c r="G94" s="2"/>
      <c r="H94" s="2"/>
      <c r="I94" s="2"/>
      <c r="J94" s="2"/>
      <c r="K94" s="2"/>
      <c r="L94" s="2"/>
      <c r="M94" s="2"/>
      <c r="N94" s="2"/>
      <c r="O94" s="2"/>
      <c r="P94" s="2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</row>
    <row r="95" spans="1:27" ht="12" customHeight="1" x14ac:dyDescent="0.25">
      <c r="A95" s="1"/>
      <c r="B95" s="122"/>
      <c r="C95" s="2"/>
      <c r="D95" s="2"/>
      <c r="E95" s="120"/>
      <c r="F95" s="120"/>
      <c r="G95" s="2"/>
      <c r="H95" s="2"/>
      <c r="I95" s="2"/>
      <c r="J95" s="2"/>
      <c r="K95" s="2"/>
      <c r="L95" s="2"/>
      <c r="M95" s="2"/>
      <c r="N95" s="2"/>
      <c r="O95" s="2"/>
      <c r="P95" s="2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</row>
    <row r="96" spans="1:27" ht="29.25" customHeight="1" x14ac:dyDescent="0.25">
      <c r="A96" s="364" t="s">
        <v>100</v>
      </c>
      <c r="B96" s="351"/>
      <c r="C96" s="351"/>
      <c r="D96" s="2"/>
      <c r="E96" s="365" t="s">
        <v>101</v>
      </c>
      <c r="F96" s="351"/>
      <c r="G96" s="351"/>
      <c r="H96" s="2"/>
      <c r="I96" s="2"/>
      <c r="J96" s="2"/>
      <c r="K96" s="2"/>
      <c r="L96" s="2"/>
      <c r="M96" s="2"/>
      <c r="N96" s="2"/>
      <c r="O96" s="2"/>
      <c r="P96" s="2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</row>
    <row r="97" spans="1:27" ht="12.75" customHeight="1" x14ac:dyDescent="0.25">
      <c r="A97" s="364" t="s">
        <v>102</v>
      </c>
      <c r="B97" s="351"/>
      <c r="C97" s="351"/>
      <c r="D97" s="2"/>
      <c r="E97" s="350" t="s">
        <v>103</v>
      </c>
      <c r="F97" s="351"/>
      <c r="G97" s="351"/>
      <c r="H97" s="2"/>
      <c r="I97" s="2"/>
      <c r="J97" s="2"/>
      <c r="K97" s="2"/>
      <c r="L97" s="2"/>
      <c r="M97" s="2"/>
      <c r="N97" s="2"/>
      <c r="O97" s="2"/>
      <c r="P97" s="2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</row>
    <row r="98" spans="1:27" x14ac:dyDescent="0.25">
      <c r="A98" s="366" t="s">
        <v>104</v>
      </c>
      <c r="B98" s="353"/>
      <c r="C98" s="354"/>
      <c r="D98" s="2"/>
      <c r="E98" s="369" t="s">
        <v>104</v>
      </c>
      <c r="F98" s="348"/>
      <c r="G98" s="349"/>
      <c r="H98" s="2"/>
      <c r="I98" s="2"/>
      <c r="J98" s="2"/>
      <c r="K98" s="2"/>
      <c r="L98" s="2"/>
      <c r="M98" s="2"/>
      <c r="N98" s="2"/>
      <c r="O98" s="2"/>
      <c r="P98" s="2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</row>
    <row r="99" spans="1:27" ht="45" x14ac:dyDescent="0.25">
      <c r="A99" s="123" t="s">
        <v>105</v>
      </c>
      <c r="B99" s="124" t="s">
        <v>106</v>
      </c>
      <c r="C99" s="125" t="s">
        <v>107</v>
      </c>
      <c r="D99" s="2"/>
      <c r="E99" s="126" t="s">
        <v>105</v>
      </c>
      <c r="F99" s="126" t="s">
        <v>108</v>
      </c>
      <c r="G99" s="126" t="s">
        <v>109</v>
      </c>
      <c r="H99" s="2"/>
      <c r="I99" s="2"/>
      <c r="J99" s="2"/>
      <c r="K99" s="2"/>
      <c r="L99" s="2"/>
      <c r="M99" s="2"/>
      <c r="N99" s="2"/>
      <c r="O99" s="2"/>
      <c r="P99" s="2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</row>
    <row r="100" spans="1:27" ht="12.75" customHeight="1" x14ac:dyDescent="0.25">
      <c r="A100" s="127">
        <v>0</v>
      </c>
      <c r="B100" s="267">
        <f>Depreciacion!B3+Depreciacion!G3+Depreciacion!L3</f>
        <v>0</v>
      </c>
      <c r="C100" s="260">
        <f>+B100/(1+B9)</f>
        <v>0</v>
      </c>
      <c r="D100" s="2"/>
      <c r="E100" s="83">
        <v>0</v>
      </c>
      <c r="F100" s="248"/>
      <c r="G100" s="260">
        <f>+F100/(1+B9)</f>
        <v>0</v>
      </c>
      <c r="H100" s="2"/>
      <c r="I100" s="2"/>
      <c r="J100" s="2"/>
      <c r="K100" s="2"/>
      <c r="L100" s="2"/>
      <c r="M100" s="2"/>
      <c r="N100" s="2"/>
      <c r="O100" s="2"/>
      <c r="P100" s="2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</row>
    <row r="101" spans="1:27" ht="12.75" customHeight="1" x14ac:dyDescent="0.25">
      <c r="A101" s="127">
        <v>1</v>
      </c>
      <c r="B101" s="267">
        <f>Depreciacion!B4+Depreciacion!G4+Depreciacion!L4</f>
        <v>40495000</v>
      </c>
      <c r="C101" s="260">
        <f>+B101/(1+B10)</f>
        <v>39050144.648023143</v>
      </c>
      <c r="D101" s="2"/>
      <c r="E101" s="83">
        <v>1</v>
      </c>
      <c r="F101" s="248">
        <f>+B$29/B$37</f>
        <v>24018539.199999999</v>
      </c>
      <c r="G101" s="260">
        <f>+F101/(1+B10)</f>
        <v>23161561.427193828</v>
      </c>
      <c r="H101" s="2"/>
      <c r="I101" s="2"/>
      <c r="J101" s="2"/>
      <c r="K101" s="2"/>
      <c r="L101" s="2"/>
      <c r="M101" s="2"/>
      <c r="N101" s="2"/>
      <c r="O101" s="2"/>
      <c r="P101" s="2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</row>
    <row r="102" spans="1:27" ht="12.75" customHeight="1" x14ac:dyDescent="0.25">
      <c r="A102" s="127">
        <v>2</v>
      </c>
      <c r="B102" s="267">
        <f>Depreciacion!B5+Depreciacion!G5+Depreciacion!L5</f>
        <v>40495000</v>
      </c>
      <c r="C102" s="260">
        <f>+B102/(1+B11)*(1+B10)</f>
        <v>40730664.40349175</v>
      </c>
      <c r="D102" s="2"/>
      <c r="E102" s="83">
        <v>2</v>
      </c>
      <c r="F102" s="248">
        <f>+B$29/B$37</f>
        <v>24018539.199999999</v>
      </c>
      <c r="G102" s="260">
        <f>+F102/(1+B11)*(1+B10)</f>
        <v>24158317.313676041</v>
      </c>
      <c r="H102" s="2"/>
      <c r="I102" s="2"/>
      <c r="J102" s="2"/>
      <c r="K102" s="2"/>
      <c r="L102" s="2"/>
      <c r="M102" s="2"/>
      <c r="N102" s="2"/>
      <c r="O102" s="2"/>
      <c r="P102" s="2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</row>
    <row r="103" spans="1:27" ht="12.75" customHeight="1" x14ac:dyDescent="0.25">
      <c r="A103" s="127">
        <v>3</v>
      </c>
      <c r="B103" s="267">
        <f>Depreciacion!B6+Depreciacion!G6+Depreciacion!L6</f>
        <v>40495000</v>
      </c>
      <c r="C103" s="260">
        <f>+B103/(1+B12)*(1+B11)*(1+B10)</f>
        <v>41993315</v>
      </c>
      <c r="D103" s="2"/>
      <c r="E103" s="83">
        <v>3</v>
      </c>
      <c r="F103" s="248">
        <f>+B$29/B$37</f>
        <v>24018539.199999999</v>
      </c>
      <c r="G103" s="260">
        <f>+F103/(1+B12)*(1+B11)*(1+B10)</f>
        <v>24907225.150399998</v>
      </c>
      <c r="H103" s="2"/>
      <c r="I103" s="2"/>
      <c r="J103" s="2"/>
      <c r="K103" s="2"/>
      <c r="L103" s="2"/>
      <c r="M103" s="2"/>
      <c r="N103" s="2"/>
      <c r="O103" s="2"/>
      <c r="P103" s="2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</row>
    <row r="104" spans="1:27" ht="12.75" customHeight="1" x14ac:dyDescent="0.25">
      <c r="A104" s="127">
        <v>4</v>
      </c>
      <c r="B104" s="267">
        <f>Depreciacion!B7+Depreciacion!G7+Depreciacion!L7</f>
        <v>40495000</v>
      </c>
      <c r="C104" s="260">
        <f>+B104/(1+B13)*(1+B12)*(1+B11)*(1+B10)</f>
        <v>43295107.764999993</v>
      </c>
      <c r="D104" s="2"/>
      <c r="E104" s="83">
        <v>4</v>
      </c>
      <c r="F104" s="248">
        <f>+B$29/B$37</f>
        <v>24018539.199999999</v>
      </c>
      <c r="G104" s="260">
        <f>+F104/(1+B13)*(1+B12)*(1+B11)*(1+B10)</f>
        <v>25679349.130062398</v>
      </c>
      <c r="H104" s="2"/>
      <c r="I104" s="2"/>
      <c r="J104" s="2"/>
      <c r="K104" s="2"/>
      <c r="L104" s="2"/>
      <c r="M104" s="2"/>
      <c r="N104" s="2"/>
      <c r="O104" s="2"/>
      <c r="P104" s="2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</row>
    <row r="105" spans="1:27" ht="15.75" customHeight="1" x14ac:dyDescent="0.25">
      <c r="A105" s="127">
        <v>5</v>
      </c>
      <c r="B105" s="267">
        <f>Depreciacion!B8+Depreciacion!G8+Depreciacion!L8</f>
        <v>40495000</v>
      </c>
      <c r="C105" s="260">
        <f>+B105/(1+B14)*(1+B13)*(1+B12)*(1+B11)*(1+B10)</f>
        <v>44637256.105714992</v>
      </c>
      <c r="D105" s="2"/>
      <c r="E105" s="83">
        <v>5</v>
      </c>
      <c r="F105" s="248">
        <f>+B$29/B$37</f>
        <v>24018539.199999999</v>
      </c>
      <c r="G105" s="260">
        <f>+F105/(1+B14)*(1+B13)*(1+B12)*(1+B11)*(1+B10)</f>
        <v>26475408.95309433</v>
      </c>
      <c r="H105" s="2"/>
      <c r="I105" s="2"/>
      <c r="J105" s="2"/>
      <c r="K105" s="2"/>
      <c r="L105" s="2"/>
      <c r="M105" s="2"/>
      <c r="N105" s="2"/>
      <c r="O105" s="2"/>
      <c r="P105" s="2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</row>
    <row r="106" spans="1:27" ht="12.75" customHeight="1" x14ac:dyDescent="0.25">
      <c r="A106" s="364" t="s">
        <v>110</v>
      </c>
      <c r="B106" s="351"/>
      <c r="C106" s="351"/>
      <c r="D106" s="351"/>
      <c r="E106" s="351"/>
      <c r="F106" s="35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</row>
    <row r="107" spans="1:27" ht="12.75" customHeight="1" x14ac:dyDescent="0.25">
      <c r="A107" s="364" t="s">
        <v>257</v>
      </c>
      <c r="B107" s="351"/>
      <c r="C107" s="351"/>
      <c r="D107" s="351"/>
      <c r="E107" s="351"/>
      <c r="F107" s="35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  <c r="AA107" s="376"/>
    </row>
    <row r="108" spans="1:27" ht="15" customHeight="1" x14ac:dyDescent="0.25">
      <c r="A108" s="367" t="str">
        <f>+F6</f>
        <v>Millones de pesos constantes del año cero</v>
      </c>
      <c r="B108" s="368"/>
      <c r="C108" s="368"/>
      <c r="D108" s="368"/>
      <c r="E108" s="368"/>
      <c r="F108" s="36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</row>
    <row r="109" spans="1:27" ht="12.75" customHeight="1" x14ac:dyDescent="0.25">
      <c r="A109" s="97" t="s">
        <v>80</v>
      </c>
      <c r="B109" s="98">
        <f t="shared" ref="B109:F109" si="22">+B77</f>
        <v>0</v>
      </c>
      <c r="C109" s="98">
        <f t="shared" si="22"/>
        <v>1</v>
      </c>
      <c r="D109" s="98">
        <f t="shared" si="22"/>
        <v>2</v>
      </c>
      <c r="E109" s="98">
        <f t="shared" si="22"/>
        <v>3</v>
      </c>
      <c r="F109" s="98">
        <f t="shared" si="22"/>
        <v>4</v>
      </c>
      <c r="G109" s="98">
        <f t="shared" ref="G109" si="23">+G77</f>
        <v>5</v>
      </c>
      <c r="H109" s="2"/>
      <c r="I109" s="2"/>
      <c r="J109" s="2"/>
      <c r="K109" s="2"/>
      <c r="L109" s="2"/>
      <c r="M109" s="2"/>
      <c r="N109" s="2"/>
      <c r="O109" s="2"/>
      <c r="P109" s="2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  <c r="AA109" s="376"/>
    </row>
    <row r="110" spans="1:27" ht="12.75" customHeight="1" x14ac:dyDescent="0.25">
      <c r="A110" s="132" t="s">
        <v>112</v>
      </c>
      <c r="B110" s="248">
        <f t="shared" ref="B110:D110" si="24">+B78</f>
        <v>0</v>
      </c>
      <c r="C110" s="248">
        <f t="shared" si="24"/>
        <v>3159258960</v>
      </c>
      <c r="D110" s="248">
        <f t="shared" si="24"/>
        <v>4327752000</v>
      </c>
      <c r="E110" s="248">
        <f>+E78</f>
        <v>4327752000</v>
      </c>
      <c r="F110" s="248">
        <f>+F78</f>
        <v>4327752000</v>
      </c>
      <c r="G110" s="248">
        <f>+G78</f>
        <v>4327752000</v>
      </c>
      <c r="H110" s="2"/>
      <c r="I110" s="2"/>
      <c r="J110" s="2"/>
      <c r="K110" s="2"/>
      <c r="L110" s="2"/>
      <c r="M110" s="2"/>
      <c r="N110" s="2"/>
      <c r="O110" s="2"/>
      <c r="P110" s="2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</row>
    <row r="111" spans="1:27" ht="12.75" customHeight="1" x14ac:dyDescent="0.25">
      <c r="A111" s="101" t="s">
        <v>113</v>
      </c>
      <c r="B111" s="248">
        <f t="shared" ref="B111:F111" si="25">+B79</f>
        <v>0</v>
      </c>
      <c r="C111" s="248">
        <f t="shared" si="25"/>
        <v>2681160352</v>
      </c>
      <c r="D111" s="248">
        <f t="shared" si="25"/>
        <v>3672822400</v>
      </c>
      <c r="E111" s="248">
        <f t="shared" si="25"/>
        <v>3672822400</v>
      </c>
      <c r="F111" s="248">
        <f t="shared" si="25"/>
        <v>3672822400</v>
      </c>
      <c r="G111" s="248">
        <f>+G79</f>
        <v>3672822400</v>
      </c>
      <c r="H111" s="2"/>
      <c r="I111" s="2"/>
      <c r="J111" s="2"/>
      <c r="K111" s="2"/>
      <c r="L111" s="2"/>
      <c r="M111" s="2"/>
      <c r="N111" s="2"/>
      <c r="O111" s="2"/>
      <c r="P111" s="2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  <c r="AA111" s="376"/>
    </row>
    <row r="112" spans="1:27" ht="12.75" customHeight="1" x14ac:dyDescent="0.25">
      <c r="A112" s="101" t="s">
        <v>83</v>
      </c>
      <c r="B112" s="248">
        <f t="shared" ref="B112:F112" si="26">+B80</f>
        <v>0</v>
      </c>
      <c r="C112" s="248">
        <f t="shared" si="26"/>
        <v>80199600</v>
      </c>
      <c r="D112" s="248">
        <f t="shared" si="26"/>
        <v>80199600</v>
      </c>
      <c r="E112" s="248">
        <f t="shared" si="26"/>
        <v>80199600</v>
      </c>
      <c r="F112" s="248">
        <f t="shared" si="26"/>
        <v>80199600</v>
      </c>
      <c r="G112" s="248">
        <f t="shared" ref="G112" si="27">+G80</f>
        <v>80199600</v>
      </c>
      <c r="H112" s="2"/>
      <c r="I112" s="2"/>
      <c r="J112" s="2"/>
      <c r="K112" s="2"/>
      <c r="L112" s="2"/>
      <c r="M112" s="2"/>
      <c r="N112" s="2"/>
      <c r="O112" s="2"/>
      <c r="P112" s="2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</row>
    <row r="113" spans="1:28" ht="12.75" customHeight="1" x14ac:dyDescent="0.25">
      <c r="A113" s="101" t="s">
        <v>84</v>
      </c>
      <c r="B113" s="248">
        <f t="shared" ref="B113:F113" si="28">+B81</f>
        <v>0</v>
      </c>
      <c r="C113" s="248">
        <f t="shared" si="28"/>
        <v>248034800</v>
      </c>
      <c r="D113" s="248">
        <f t="shared" si="28"/>
        <v>248034800</v>
      </c>
      <c r="E113" s="248">
        <f t="shared" si="28"/>
        <v>248034800</v>
      </c>
      <c r="F113" s="248">
        <f t="shared" si="28"/>
        <v>248034800</v>
      </c>
      <c r="G113" s="248">
        <f t="shared" ref="G113" si="29">+G81</f>
        <v>248034800</v>
      </c>
      <c r="H113" s="2"/>
      <c r="I113" s="2"/>
      <c r="J113" s="2"/>
      <c r="K113" s="2"/>
      <c r="L113" s="2"/>
      <c r="M113" s="2"/>
      <c r="N113" s="2"/>
      <c r="O113" s="2"/>
      <c r="P113" s="2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</row>
    <row r="114" spans="1:28" ht="12.75" customHeight="1" x14ac:dyDescent="0.25">
      <c r="A114" s="133" t="s">
        <v>114</v>
      </c>
      <c r="B114" s="258">
        <f t="shared" ref="B114:F114" si="30">+B82</f>
        <v>0</v>
      </c>
      <c r="C114" s="258">
        <f>+C82</f>
        <v>149864208</v>
      </c>
      <c r="D114" s="258">
        <f t="shared" si="30"/>
        <v>326695200</v>
      </c>
      <c r="E114" s="258">
        <f t="shared" si="30"/>
        <v>326695200</v>
      </c>
      <c r="F114" s="258">
        <f t="shared" si="30"/>
        <v>326695200</v>
      </c>
      <c r="G114" s="258">
        <f t="shared" ref="G114" si="31">+G82</f>
        <v>326695200</v>
      </c>
      <c r="H114" s="2"/>
      <c r="I114" s="2"/>
      <c r="J114" s="2"/>
      <c r="K114" s="2"/>
      <c r="L114" s="2"/>
      <c r="M114" s="2"/>
      <c r="N114" s="2"/>
      <c r="O114" s="2"/>
      <c r="P114" s="2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  <c r="AA114" s="391"/>
    </row>
    <row r="115" spans="1:28" ht="12.75" customHeight="1" x14ac:dyDescent="0.25">
      <c r="A115" s="132" t="s">
        <v>115</v>
      </c>
      <c r="B115" s="248"/>
      <c r="C115" s="335">
        <f>G101</f>
        <v>23161561.427193828</v>
      </c>
      <c r="D115" s="335">
        <f>+G102</f>
        <v>24158317.313676041</v>
      </c>
      <c r="E115" s="335">
        <f>+G103</f>
        <v>24907225.150399998</v>
      </c>
      <c r="F115" s="335">
        <f>+G104</f>
        <v>25679349.130062398</v>
      </c>
      <c r="G115" s="335">
        <f>G105</f>
        <v>26475408.95309433</v>
      </c>
      <c r="H115" s="2"/>
      <c r="I115" s="2"/>
      <c r="J115" s="2"/>
      <c r="K115" s="2"/>
      <c r="L115" s="2"/>
      <c r="M115" s="2"/>
      <c r="N115" s="2"/>
      <c r="O115" s="2"/>
      <c r="P115" s="2"/>
      <c r="Q115" s="376"/>
      <c r="R115" s="376"/>
      <c r="S115" s="376"/>
      <c r="T115" s="376"/>
      <c r="U115" s="376"/>
      <c r="V115" s="376"/>
      <c r="W115" s="376"/>
      <c r="X115" s="376"/>
      <c r="Y115" s="376"/>
      <c r="Z115" s="376"/>
      <c r="AA115" s="376"/>
    </row>
    <row r="116" spans="1:28" ht="12.75" customHeight="1" x14ac:dyDescent="0.25">
      <c r="A116" s="132" t="s">
        <v>116</v>
      </c>
      <c r="B116" s="248"/>
      <c r="C116" s="335">
        <f>C101</f>
        <v>39050144.648023143</v>
      </c>
      <c r="D116" s="335">
        <f>+C102</f>
        <v>40730664.40349175</v>
      </c>
      <c r="E116" s="335">
        <f>+C103</f>
        <v>41993315</v>
      </c>
      <c r="F116" s="335">
        <f>+C104</f>
        <v>43295107.764999993</v>
      </c>
      <c r="G116" s="335">
        <f>C105</f>
        <v>44637256.105714992</v>
      </c>
      <c r="H116" s="2"/>
      <c r="I116" s="2"/>
      <c r="J116" s="2"/>
      <c r="K116" s="2"/>
      <c r="L116" s="2"/>
      <c r="M116" s="2"/>
      <c r="N116" s="2"/>
      <c r="O116" s="2"/>
      <c r="P116" s="2"/>
      <c r="Q116" s="376"/>
      <c r="R116" s="376"/>
      <c r="S116" s="376"/>
      <c r="T116" s="376"/>
      <c r="U116" s="376"/>
      <c r="V116" s="376"/>
      <c r="W116" s="376"/>
      <c r="X116" s="376"/>
      <c r="Y116" s="376"/>
      <c r="Z116" s="376"/>
      <c r="AA116" s="376"/>
    </row>
    <row r="117" spans="1:28" ht="12.75" customHeight="1" x14ac:dyDescent="0.25">
      <c r="A117" s="133" t="s">
        <v>117</v>
      </c>
      <c r="B117" s="259"/>
      <c r="C117" s="277">
        <f>+C114-C115-C116</f>
        <v>87652501.924783036</v>
      </c>
      <c r="D117" s="277">
        <f>+D114-D115-D116</f>
        <v>261806218.28283221</v>
      </c>
      <c r="E117" s="277">
        <f t="shared" ref="E117" si="32">+E114-E115-E116</f>
        <v>259794659.84960002</v>
      </c>
      <c r="F117" s="277">
        <f>+F114-F115-F116</f>
        <v>257720743.10493761</v>
      </c>
      <c r="G117" s="277">
        <f>+G114-G115-G116</f>
        <v>255582534.94119072</v>
      </c>
      <c r="H117" s="2"/>
      <c r="I117" s="2"/>
      <c r="J117" s="2"/>
      <c r="K117" s="2"/>
      <c r="L117" s="2"/>
      <c r="M117" s="2"/>
      <c r="N117" s="2"/>
      <c r="O117" s="2"/>
      <c r="P117" s="2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  <c r="AA117" s="391"/>
    </row>
    <row r="118" spans="1:28" ht="12.75" customHeight="1" x14ac:dyDescent="0.25">
      <c r="A118" s="132" t="s">
        <v>118</v>
      </c>
      <c r="B118" s="252"/>
      <c r="C118" s="252">
        <f>+C117*$B$61</f>
        <v>30678375.673674062</v>
      </c>
      <c r="D118" s="252">
        <f t="shared" ref="D118:F118" si="33">+D117*$B$61</f>
        <v>91632176.398991272</v>
      </c>
      <c r="E118" s="252">
        <f t="shared" si="33"/>
        <v>90928130.947359994</v>
      </c>
      <c r="F118" s="252">
        <f t="shared" si="33"/>
        <v>90202260.086728156</v>
      </c>
      <c r="G118" s="252">
        <f t="shared" ref="G118" si="34">+G117*$B$61</f>
        <v>89453887.229416743</v>
      </c>
      <c r="H118" s="2"/>
      <c r="I118" s="2"/>
      <c r="J118" s="2"/>
      <c r="K118" s="2"/>
      <c r="L118" s="2"/>
      <c r="M118" s="2"/>
      <c r="N118" s="2"/>
      <c r="O118" s="2"/>
      <c r="P118" s="2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  <c r="AA118" s="376"/>
    </row>
    <row r="119" spans="1:28" ht="12.75" customHeight="1" x14ac:dyDescent="0.25">
      <c r="A119" s="132" t="s">
        <v>120</v>
      </c>
      <c r="B119" s="252"/>
      <c r="C119" s="335">
        <f t="shared" ref="C119:G120" si="35">+C115</f>
        <v>23161561.427193828</v>
      </c>
      <c r="D119" s="335">
        <f t="shared" si="35"/>
        <v>24158317.313676041</v>
      </c>
      <c r="E119" s="335">
        <f t="shared" si="35"/>
        <v>24907225.150399998</v>
      </c>
      <c r="F119" s="335">
        <f t="shared" si="35"/>
        <v>25679349.130062398</v>
      </c>
      <c r="G119" s="335">
        <f t="shared" si="35"/>
        <v>26475408.95309433</v>
      </c>
      <c r="H119" s="2"/>
      <c r="I119" s="2"/>
      <c r="J119" s="2"/>
      <c r="K119" s="2"/>
      <c r="L119" s="2"/>
      <c r="M119" s="2"/>
      <c r="N119" s="2"/>
      <c r="O119" s="2"/>
      <c r="P119" s="2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  <c r="AA119" s="376"/>
    </row>
    <row r="120" spans="1:28" ht="12.75" customHeight="1" x14ac:dyDescent="0.25">
      <c r="A120" s="132" t="s">
        <v>121</v>
      </c>
      <c r="B120" s="252"/>
      <c r="C120" s="335">
        <f t="shared" si="35"/>
        <v>39050144.648023143</v>
      </c>
      <c r="D120" s="335">
        <f t="shared" si="35"/>
        <v>40730664.40349175</v>
      </c>
      <c r="E120" s="335">
        <f t="shared" si="35"/>
        <v>41993315</v>
      </c>
      <c r="F120" s="335">
        <f t="shared" si="35"/>
        <v>43295107.764999993</v>
      </c>
      <c r="G120" s="335">
        <f t="shared" si="35"/>
        <v>44637256.105714992</v>
      </c>
      <c r="H120" s="2"/>
      <c r="I120" s="2"/>
      <c r="J120" s="2"/>
      <c r="K120" s="2"/>
      <c r="L120" s="2"/>
      <c r="M120" s="2"/>
      <c r="N120" s="2"/>
      <c r="O120" s="2"/>
      <c r="P120" s="2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</row>
    <row r="121" spans="1:28" ht="12.75" customHeight="1" x14ac:dyDescent="0.25">
      <c r="A121" s="132" t="s">
        <v>122</v>
      </c>
      <c r="B121" s="252">
        <f>+B83</f>
        <v>693700000</v>
      </c>
      <c r="C121" s="335"/>
      <c r="D121" s="266"/>
      <c r="E121" s="266"/>
      <c r="F121" s="266"/>
      <c r="G121" s="266"/>
      <c r="H121" s="2"/>
      <c r="I121" s="2"/>
      <c r="J121" s="2"/>
      <c r="K121" s="2"/>
      <c r="L121" s="2"/>
      <c r="M121" s="2"/>
      <c r="N121" s="2"/>
      <c r="O121" s="2"/>
      <c r="P121" s="2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  <c r="AA121" s="376"/>
    </row>
    <row r="122" spans="1:28" ht="12.75" customHeight="1" x14ac:dyDescent="0.25">
      <c r="A122" s="132" t="s">
        <v>123</v>
      </c>
      <c r="B122" s="252">
        <f>+B84</f>
        <v>120092696</v>
      </c>
      <c r="C122" s="248"/>
      <c r="D122" s="248"/>
      <c r="E122" s="248"/>
      <c r="F122" s="248"/>
      <c r="G122" s="248"/>
      <c r="H122" s="2"/>
      <c r="I122" s="2"/>
      <c r="J122" s="2"/>
      <c r="K122" s="2"/>
      <c r="L122" s="2"/>
      <c r="M122" s="2"/>
      <c r="N122" s="2"/>
      <c r="O122" s="2"/>
      <c r="P122" s="2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  <c r="AA122" s="376"/>
    </row>
    <row r="123" spans="1:28" ht="12.75" customHeight="1" x14ac:dyDescent="0.25">
      <c r="A123" s="132" t="s">
        <v>124</v>
      </c>
      <c r="B123" s="252">
        <f>+B85</f>
        <v>0</v>
      </c>
      <c r="C123" s="252"/>
      <c r="D123" s="252"/>
      <c r="E123" s="252"/>
      <c r="F123" s="252"/>
      <c r="G123" s="252"/>
      <c r="H123" s="2"/>
      <c r="I123" s="2"/>
      <c r="J123" s="2"/>
      <c r="K123" s="2"/>
      <c r="L123" s="2"/>
      <c r="M123" s="2"/>
      <c r="N123" s="2"/>
      <c r="O123" s="2"/>
      <c r="P123" s="2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</row>
    <row r="124" spans="1:28" ht="12.75" customHeight="1" x14ac:dyDescent="0.25">
      <c r="A124" s="132" t="s">
        <v>125</v>
      </c>
      <c r="B124" s="252">
        <f>+B86</f>
        <v>1166974900</v>
      </c>
      <c r="C124" s="248"/>
      <c r="D124" s="248"/>
      <c r="E124" s="248"/>
      <c r="F124" s="248"/>
      <c r="G124" s="248"/>
      <c r="H124" s="2"/>
      <c r="I124" s="2"/>
      <c r="J124" s="2"/>
      <c r="K124" s="2"/>
      <c r="L124" s="2"/>
      <c r="M124" s="2"/>
      <c r="N124" s="2"/>
      <c r="O124" s="2"/>
      <c r="P124" s="2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</row>
    <row r="125" spans="1:28" ht="12" customHeight="1" x14ac:dyDescent="0.25">
      <c r="A125" s="132" t="s">
        <v>126</v>
      </c>
      <c r="B125" s="248"/>
      <c r="C125" s="252"/>
      <c r="D125" s="252"/>
      <c r="E125" s="252"/>
      <c r="F125" s="266">
        <v>0</v>
      </c>
      <c r="G125" s="266">
        <v>0</v>
      </c>
      <c r="H125" s="2"/>
      <c r="I125" s="2"/>
      <c r="J125" s="2"/>
      <c r="K125" s="2"/>
      <c r="L125" s="2"/>
      <c r="M125" s="2"/>
      <c r="N125" s="2"/>
      <c r="O125" s="2"/>
      <c r="P125" s="2"/>
      <c r="Q125" s="376"/>
      <c r="R125" s="376"/>
      <c r="S125" s="376"/>
      <c r="T125" s="376"/>
      <c r="U125" s="376"/>
      <c r="V125" s="376"/>
      <c r="W125" s="376"/>
      <c r="X125" s="376"/>
      <c r="Y125" s="376"/>
      <c r="Z125" s="376"/>
      <c r="AA125" s="376"/>
    </row>
    <row r="126" spans="1:28" ht="12.75" customHeight="1" x14ac:dyDescent="0.25">
      <c r="A126" s="132" t="s">
        <v>127</v>
      </c>
      <c r="B126" s="248"/>
      <c r="C126" s="248"/>
      <c r="D126" s="248"/>
      <c r="E126" s="248"/>
      <c r="F126" s="248">
        <f>+F88</f>
        <v>0</v>
      </c>
      <c r="G126" s="266">
        <f>G88</f>
        <v>1814973333.3333335</v>
      </c>
      <c r="H126" s="376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9"/>
    </row>
    <row r="127" spans="1:28" ht="12.75" customHeight="1" x14ac:dyDescent="0.25">
      <c r="A127" s="143" t="s">
        <v>128</v>
      </c>
      <c r="B127" s="261">
        <f t="shared" ref="B127:G127" si="36">+B117-B118+B119+B120-B121-B122-B123-B124+B125+B126</f>
        <v>-1980767596</v>
      </c>
      <c r="C127" s="261">
        <f t="shared" si="36"/>
        <v>119185832.32632594</v>
      </c>
      <c r="D127" s="261">
        <f t="shared" si="36"/>
        <v>235063023.60100871</v>
      </c>
      <c r="E127" s="261">
        <f t="shared" si="36"/>
        <v>235767069.05264002</v>
      </c>
      <c r="F127" s="261">
        <f t="shared" si="36"/>
        <v>236492939.91327184</v>
      </c>
      <c r="G127" s="393">
        <f t="shared" si="36"/>
        <v>2052214646.1039169</v>
      </c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9"/>
    </row>
    <row r="128" spans="1:28" ht="12.75" customHeight="1" x14ac:dyDescent="0.25">
      <c r="A128" s="117" t="s">
        <v>129</v>
      </c>
      <c r="B128" s="248"/>
      <c r="C128" s="248">
        <f>+C127/(1+$B$65)^C109</f>
        <v>101004942.64942877</v>
      </c>
      <c r="D128" s="248">
        <f t="shared" ref="D128:G128" si="37">+D127/(1+$B$65)^D109</f>
        <v>168818603.56291923</v>
      </c>
      <c r="E128" s="248">
        <f t="shared" si="37"/>
        <v>143495116.98654684</v>
      </c>
      <c r="F128" s="248">
        <f t="shared" si="37"/>
        <v>121980427.45924211</v>
      </c>
      <c r="G128" s="248">
        <f t="shared" si="37"/>
        <v>897041935.49515128</v>
      </c>
      <c r="H128" s="2"/>
      <c r="I128" s="344"/>
      <c r="J128" s="344"/>
      <c r="K128" s="344"/>
      <c r="L128" s="344"/>
      <c r="M128" s="344"/>
      <c r="N128" s="344"/>
      <c r="O128" s="344"/>
      <c r="P128" s="344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</row>
    <row r="129" spans="1:27" ht="12.75" customHeight="1" x14ac:dyDescent="0.25">
      <c r="A129" s="117" t="s">
        <v>95</v>
      </c>
      <c r="B129" s="248"/>
      <c r="C129" s="248">
        <f>+C128</f>
        <v>101004942.64942877</v>
      </c>
      <c r="D129" s="256">
        <f t="shared" ref="D129:G129" si="38">+C129+D128</f>
        <v>269823546.21234798</v>
      </c>
      <c r="E129" s="256">
        <f t="shared" si="38"/>
        <v>413318663.19889486</v>
      </c>
      <c r="F129" s="256">
        <f t="shared" si="38"/>
        <v>535299090.65813696</v>
      </c>
      <c r="G129" s="256">
        <f t="shared" si="38"/>
        <v>1432341026.1532884</v>
      </c>
      <c r="H129" s="2"/>
      <c r="I129" s="2"/>
      <c r="J129" s="2"/>
      <c r="K129" s="2"/>
      <c r="L129" s="2"/>
      <c r="M129" s="2"/>
      <c r="N129" s="2"/>
      <c r="O129" s="2"/>
      <c r="P129" s="2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</row>
    <row r="130" spans="1:27" ht="12.75" customHeight="1" x14ac:dyDescent="0.25">
      <c r="A130" s="146" t="s">
        <v>130</v>
      </c>
      <c r="B130" s="171">
        <f>IRR(B127:G127)</f>
        <v>9.1279497444476609E-2</v>
      </c>
      <c r="C130" s="96"/>
      <c r="D130" s="2"/>
      <c r="E130" s="120"/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76"/>
      <c r="R130" s="376"/>
      <c r="S130" s="376"/>
      <c r="T130" s="376"/>
      <c r="U130" s="376"/>
      <c r="V130" s="376"/>
      <c r="W130" s="376"/>
      <c r="X130" s="376"/>
      <c r="Y130" s="376"/>
      <c r="Z130" s="376"/>
      <c r="AA130" s="376"/>
    </row>
    <row r="131" spans="1:27" ht="30.75" customHeight="1" x14ac:dyDescent="0.3">
      <c r="A131" s="146" t="s">
        <v>132</v>
      </c>
      <c r="B131" s="265">
        <f>NPV(B65,C127:G127)+B127</f>
        <v>-548426569.84671187</v>
      </c>
      <c r="C131" s="333"/>
      <c r="D131" s="333"/>
      <c r="E131" s="334"/>
      <c r="F131" s="334"/>
      <c r="G131" s="333"/>
      <c r="H131" s="2"/>
      <c r="I131" s="2"/>
      <c r="J131" s="2"/>
      <c r="K131" s="2"/>
      <c r="L131" s="2"/>
      <c r="M131" s="2"/>
      <c r="N131" s="2"/>
      <c r="O131" s="2"/>
      <c r="P131" s="2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  <c r="AA131" s="376"/>
    </row>
    <row r="132" spans="1:27" ht="12.75" customHeight="1" x14ac:dyDescent="0.25">
      <c r="A132" s="147"/>
      <c r="B132" s="148"/>
      <c r="C132" s="149"/>
      <c r="D132" s="150"/>
      <c r="E132" s="150"/>
      <c r="F132" s="150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</row>
    <row r="133" spans="1:27" ht="12.75" customHeight="1" x14ac:dyDescent="0.25">
      <c r="A133" s="364" t="s">
        <v>133</v>
      </c>
      <c r="B133" s="351"/>
      <c r="C133" s="351"/>
      <c r="D133" s="351"/>
      <c r="E133" s="351"/>
      <c r="F133" s="351"/>
      <c r="G133" s="351"/>
      <c r="H133" s="2"/>
      <c r="I133" s="2"/>
      <c r="J133" s="6" t="s">
        <v>134</v>
      </c>
      <c r="K133" s="2"/>
      <c r="L133" s="2"/>
      <c r="M133" s="2"/>
      <c r="N133" s="2"/>
      <c r="O133" s="2"/>
      <c r="P133" s="2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  <c r="AA133" s="376"/>
    </row>
    <row r="134" spans="1:27" ht="12.75" customHeight="1" x14ac:dyDescent="0.25">
      <c r="A134" s="364" t="s">
        <v>207</v>
      </c>
      <c r="B134" s="351"/>
      <c r="C134" s="351"/>
      <c r="D134" s="351"/>
      <c r="E134" s="351"/>
      <c r="F134" s="351"/>
      <c r="G134" s="351"/>
      <c r="H134" s="2"/>
      <c r="I134" s="2"/>
      <c r="J134" s="2"/>
      <c r="K134" s="2"/>
      <c r="L134" s="2"/>
      <c r="M134" s="2"/>
      <c r="N134" s="2"/>
      <c r="O134" s="2"/>
      <c r="P134" s="2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  <c r="AA134" s="376"/>
    </row>
    <row r="135" spans="1:27" ht="76.5" customHeight="1" x14ac:dyDescent="0.25">
      <c r="A135" s="151" t="s">
        <v>136</v>
      </c>
      <c r="B135" s="126" t="s">
        <v>208</v>
      </c>
      <c r="C135" s="126" t="s">
        <v>209</v>
      </c>
      <c r="D135" s="126" t="s">
        <v>258</v>
      </c>
      <c r="E135" s="126" t="s">
        <v>140</v>
      </c>
      <c r="F135" s="2"/>
      <c r="G135" s="2" t="s">
        <v>141</v>
      </c>
      <c r="H135" s="2"/>
      <c r="I135" s="126" t="s">
        <v>210</v>
      </c>
      <c r="J135" s="126" t="s">
        <v>211</v>
      </c>
      <c r="K135" s="126" t="s">
        <v>259</v>
      </c>
      <c r="L135" s="2"/>
      <c r="M135" s="2"/>
      <c r="N135" s="2"/>
      <c r="O135" s="2"/>
      <c r="P135" s="2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</row>
    <row r="136" spans="1:27" ht="12.75" customHeight="1" x14ac:dyDescent="0.25">
      <c r="A136" s="152">
        <v>0</v>
      </c>
      <c r="B136" s="271">
        <f>SUM('Amortizacion del crédito'!F4:F6)</f>
        <v>63549838.069465742</v>
      </c>
      <c r="C136" s="271">
        <f>SUM('Amortizacion del crédito'!D4:D6)</f>
        <v>35723583.291369691</v>
      </c>
      <c r="D136" s="271">
        <f>SUM('Amortizacion del crédito'!E4:E6)</f>
        <v>27826254.77809605</v>
      </c>
      <c r="E136" s="270">
        <f>+B54-D136</f>
        <v>1172173745.221904</v>
      </c>
      <c r="F136" s="2"/>
      <c r="G136" s="2"/>
      <c r="H136" s="2"/>
      <c r="I136" s="260">
        <f>+B136/(1+$B$9)</f>
        <v>61400809.728952415</v>
      </c>
      <c r="J136" s="260">
        <f>+C136/(1+$B$9)</f>
        <v>34515539.411951393</v>
      </c>
      <c r="K136" s="260">
        <f>+D136/(1+$B$9)</f>
        <v>26885270.317001015</v>
      </c>
      <c r="L136" s="2"/>
      <c r="M136" s="2"/>
      <c r="N136" s="2"/>
      <c r="O136" s="2"/>
      <c r="P136" s="2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  <c r="AA136" s="376"/>
    </row>
    <row r="137" spans="1:27" ht="12.75" customHeight="1" x14ac:dyDescent="0.25">
      <c r="A137" s="152">
        <v>1</v>
      </c>
      <c r="B137" s="271">
        <f>SUM('Amortizacion del crédito'!F7:F18)</f>
        <v>254199352.277863</v>
      </c>
      <c r="C137" s="271">
        <f>SUM('Amortizacion del crédito'!D7:D18)</f>
        <v>134203318.56747511</v>
      </c>
      <c r="D137" s="271">
        <f>SUM('Amortizacion del crédito'!E7:E18)</f>
        <v>119996033.71038786</v>
      </c>
      <c r="E137" s="270">
        <f>+E136-D137</f>
        <v>1052177711.5115162</v>
      </c>
      <c r="F137" s="2"/>
      <c r="G137" s="2"/>
      <c r="H137" s="2"/>
      <c r="I137" s="260">
        <f t="shared" ref="I137:J137" si="39">+B137/((1+$B$9)*(1+$B$10))</f>
        <v>236840153.24571812</v>
      </c>
      <c r="J137" s="260">
        <f t="shared" si="39"/>
        <v>125038613.39843671</v>
      </c>
      <c r="K137" s="260">
        <f>+D137/((1+$B$9)*(1+$B$10))</f>
        <v>111801539.84728138</v>
      </c>
      <c r="L137" s="2"/>
      <c r="M137" s="2"/>
      <c r="N137" s="2"/>
      <c r="O137" s="2"/>
      <c r="P137" s="2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  <c r="AA137" s="376"/>
    </row>
    <row r="138" spans="1:27" ht="12.75" customHeight="1" x14ac:dyDescent="0.25">
      <c r="A138" s="152">
        <v>2</v>
      </c>
      <c r="B138" s="271">
        <f>SUM('Amortizacion del crédito'!F19:F30)</f>
        <v>254199352.277863</v>
      </c>
      <c r="C138" s="271">
        <f>SUM('Amortizacion del crédito'!D19:D30)</f>
        <v>118984817.97643836</v>
      </c>
      <c r="D138" s="271">
        <f>SUM('Amortizacion del crédito'!E19:E30)</f>
        <v>135214534.30142465</v>
      </c>
      <c r="E138" s="270">
        <f t="shared" ref="E138:E141" si="40">+E137-D138</f>
        <v>916963177.21009159</v>
      </c>
      <c r="F138" s="2"/>
      <c r="G138" s="2"/>
      <c r="H138" s="2"/>
      <c r="I138" s="260">
        <f t="shared" ref="I138:J138" si="41">+B138/((1+$B$9)*(1+$B$10)*(1+$B$11))</f>
        <v>229718868.32756364</v>
      </c>
      <c r="J138" s="260">
        <f t="shared" si="41"/>
        <v>107526071.52134304</v>
      </c>
      <c r="K138" s="260">
        <f>+D138/((1+$B$9)*(1+$B$10)*(1+$B$11))</f>
        <v>122192796.80622062</v>
      </c>
      <c r="L138" s="2"/>
      <c r="M138" s="2"/>
      <c r="N138" s="2"/>
      <c r="O138" s="2"/>
      <c r="P138" s="2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</row>
    <row r="139" spans="1:27" ht="12.75" customHeight="1" x14ac:dyDescent="0.25">
      <c r="A139" s="152">
        <v>3</v>
      </c>
      <c r="B139" s="271">
        <f>SUM('Amortizacion del crédito'!F31:F42)</f>
        <v>254199352.277863</v>
      </c>
      <c r="C139" s="271">
        <f>SUM('Amortizacion del crédito'!D31:D42)</f>
        <v>101836230.58937995</v>
      </c>
      <c r="D139" s="271">
        <f>SUM('Amortizacion del crédito'!E31:E42)</f>
        <v>152363121.68848306</v>
      </c>
      <c r="E139" s="270">
        <f t="shared" si="40"/>
        <v>764600055.52160859</v>
      </c>
      <c r="F139" s="2"/>
      <c r="G139" s="2"/>
      <c r="H139" s="2"/>
      <c r="I139" s="260">
        <f t="shared" ref="I139:J139" si="42">+B139/((1+$B$9)*(1+$B$10)*(1+$B$11)*(1+$B$12))</f>
        <v>222811705.45835468</v>
      </c>
      <c r="J139" s="260">
        <f t="shared" si="42"/>
        <v>89261849.063515514</v>
      </c>
      <c r="K139" s="260">
        <f>+D139/((1+$B$9)*(1+$B$10)*(1+$B$11)*(1+$B$12))</f>
        <v>133549856.39483917</v>
      </c>
      <c r="L139" s="2"/>
      <c r="M139" s="2"/>
      <c r="N139" s="2"/>
      <c r="O139" s="2"/>
      <c r="P139" s="2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</row>
    <row r="140" spans="1:27" ht="12.75" customHeight="1" x14ac:dyDescent="0.25">
      <c r="A140" s="152">
        <v>4</v>
      </c>
      <c r="B140" s="271">
        <f>SUM('Amortizacion del crédito'!F43:F54)</f>
        <v>254199352.277863</v>
      </c>
      <c r="C140" s="271">
        <f>SUM('Amortizacion del crédito'!D43:D54)</f>
        <v>82512773.090237126</v>
      </c>
      <c r="D140" s="271">
        <f>SUM('Amortizacion del crédito'!E43:E54)</f>
        <v>171686579.18762583</v>
      </c>
      <c r="E140" s="270">
        <f t="shared" si="40"/>
        <v>592913476.33398271</v>
      </c>
      <c r="F140" s="2"/>
      <c r="G140" s="2"/>
      <c r="H140" s="2"/>
      <c r="I140" s="260">
        <f t="shared" ref="I140:J140" si="43">+B140/((1+$B$9)*(1+$B$10)*(1+$B$11)*(1+$B$12)*(1+$B$13))</f>
        <v>216112226.43875334</v>
      </c>
      <c r="J140" s="260">
        <f t="shared" si="43"/>
        <v>70149742.485082269</v>
      </c>
      <c r="K140" s="260">
        <f>+D140/((1+$B$9)*(1+$B$10)*(1+$B$11)*(1+$B$12)*(1+$B$13))</f>
        <v>145962483.95367104</v>
      </c>
      <c r="L140" s="2"/>
      <c r="M140" s="2"/>
      <c r="N140" s="2"/>
      <c r="O140" s="2"/>
      <c r="P140" s="2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</row>
    <row r="141" spans="1:27" ht="12.75" customHeight="1" x14ac:dyDescent="0.25">
      <c r="A141" s="152">
        <v>5</v>
      </c>
      <c r="B141" s="271">
        <f>SUM('Amortizacion del crédito'!F55:F66)</f>
        <v>254199352.277863</v>
      </c>
      <c r="C141" s="271">
        <f>SUM('Amortizacion del crédito'!D55:D66)</f>
        <v>60738617.511511683</v>
      </c>
      <c r="D141" s="271">
        <f>SUM('Amortizacion del crédito'!E55:E66)</f>
        <v>193460734.76635128</v>
      </c>
      <c r="E141" s="270">
        <f t="shared" si="40"/>
        <v>399452741.56763142</v>
      </c>
      <c r="F141" s="2"/>
      <c r="G141" s="2"/>
      <c r="H141" s="2"/>
      <c r="I141" s="260">
        <f t="shared" ref="I141:J141" si="44">+B141/((1+$B$9)*(1+$B$10)*(1+$B$11)*(1+$B$12)*(1+$B$13)*(1+$B$14))</f>
        <v>209614186.65252507</v>
      </c>
      <c r="J141" s="260">
        <f t="shared" si="44"/>
        <v>50085398.699826181</v>
      </c>
      <c r="K141" s="260">
        <f>+D141/((1+$B$9)*(1+$B$10)*(1+$B$11)*(1+$B$12)*(1+$B$13)*(1+$B$14))</f>
        <v>159528787.95269886</v>
      </c>
      <c r="L141" s="2"/>
      <c r="M141" s="2"/>
      <c r="N141" s="2"/>
      <c r="O141" s="2"/>
      <c r="P141" s="2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</row>
    <row r="142" spans="1:27" ht="20.25" customHeight="1" x14ac:dyDescent="0.25">
      <c r="A142" s="1"/>
      <c r="B142" s="16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</row>
    <row r="143" spans="1:27" ht="12.75" customHeight="1" x14ac:dyDescent="0.25">
      <c r="A143" s="364" t="s">
        <v>145</v>
      </c>
      <c r="B143" s="351"/>
      <c r="C143" s="351"/>
      <c r="D143" s="351"/>
      <c r="E143" s="351"/>
      <c r="F143" s="35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</row>
    <row r="144" spans="1:27" ht="12.75" customHeight="1" x14ac:dyDescent="0.25">
      <c r="A144" s="364" t="s">
        <v>146</v>
      </c>
      <c r="B144" s="351"/>
      <c r="C144" s="351"/>
      <c r="D144" s="351"/>
      <c r="E144" s="351"/>
      <c r="F144" s="35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</row>
    <row r="145" spans="1:27" ht="12.75" customHeight="1" x14ac:dyDescent="0.25">
      <c r="A145" s="370" t="str">
        <f>+F6</f>
        <v>Millones de pesos constantes del año cero</v>
      </c>
      <c r="B145" s="348"/>
      <c r="C145" s="348"/>
      <c r="D145" s="348"/>
      <c r="E145" s="348"/>
      <c r="F145" s="34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</row>
    <row r="146" spans="1:27" ht="12.75" customHeight="1" x14ac:dyDescent="0.25">
      <c r="A146" s="97" t="s">
        <v>80</v>
      </c>
      <c r="B146" s="98">
        <f t="shared" ref="B146:G146" si="45">+B109</f>
        <v>0</v>
      </c>
      <c r="C146" s="98">
        <f t="shared" si="45"/>
        <v>1</v>
      </c>
      <c r="D146" s="98">
        <f t="shared" si="45"/>
        <v>2</v>
      </c>
      <c r="E146" s="98">
        <f t="shared" si="45"/>
        <v>3</v>
      </c>
      <c r="F146" s="98">
        <f t="shared" si="45"/>
        <v>4</v>
      </c>
      <c r="G146" s="98">
        <f t="shared" si="45"/>
        <v>5</v>
      </c>
      <c r="H146" s="2"/>
      <c r="I146" s="2"/>
      <c r="J146" s="2"/>
      <c r="K146" s="2"/>
      <c r="L146" s="2"/>
      <c r="M146" s="2"/>
      <c r="N146" s="2"/>
      <c r="O146" s="2"/>
      <c r="P146" s="2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</row>
    <row r="147" spans="1:27" ht="12.75" customHeight="1" x14ac:dyDescent="0.25">
      <c r="A147" s="117" t="s">
        <v>147</v>
      </c>
      <c r="B147" s="248">
        <f t="shared" ref="B147:G147" si="46">+B89</f>
        <v>-1980767596</v>
      </c>
      <c r="C147" s="248">
        <f t="shared" si="46"/>
        <v>149864208</v>
      </c>
      <c r="D147" s="248">
        <f t="shared" si="46"/>
        <v>326695200</v>
      </c>
      <c r="E147" s="248">
        <f t="shared" si="46"/>
        <v>326695200</v>
      </c>
      <c r="F147" s="248">
        <f t="shared" si="46"/>
        <v>326695200</v>
      </c>
      <c r="G147" s="248">
        <f t="shared" si="46"/>
        <v>2141668533.3333335</v>
      </c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</row>
    <row r="148" spans="1:27" ht="12.75" customHeight="1" x14ac:dyDescent="0.25">
      <c r="A148" s="162" t="s">
        <v>148</v>
      </c>
      <c r="B148" s="268">
        <f>+B54</f>
        <v>1200000000</v>
      </c>
      <c r="C148" s="268"/>
      <c r="D148" s="268"/>
      <c r="E148" s="268"/>
      <c r="F148" s="268"/>
      <c r="G148" s="26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</row>
    <row r="149" spans="1:27" ht="12.75" customHeight="1" x14ac:dyDescent="0.25">
      <c r="A149" s="162" t="s">
        <v>149</v>
      </c>
      <c r="B149" s="269">
        <f>I136</f>
        <v>61400809.728952415</v>
      </c>
      <c r="C149" s="269">
        <f>I137</f>
        <v>236840153.24571812</v>
      </c>
      <c r="D149" s="269">
        <f>I138</f>
        <v>229718868.32756364</v>
      </c>
      <c r="E149" s="269">
        <f>I139</f>
        <v>222811705.45835468</v>
      </c>
      <c r="F149" s="269">
        <f>I140</f>
        <v>216112226.43875334</v>
      </c>
      <c r="G149" s="269">
        <f>I141</f>
        <v>209614186.65252507</v>
      </c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</row>
    <row r="150" spans="1:27" ht="12.75" customHeight="1" x14ac:dyDescent="0.25">
      <c r="A150" s="168" t="s">
        <v>150</v>
      </c>
      <c r="B150" s="259">
        <f>+B147+B148-B149</f>
        <v>-842168405.72895241</v>
      </c>
      <c r="C150" s="259">
        <f>+C147+C148-C149</f>
        <v>-86975945.245718122</v>
      </c>
      <c r="D150" s="259">
        <f>+D147+D148-D149</f>
        <v>96976331.672436357</v>
      </c>
      <c r="E150" s="259">
        <f t="shared" ref="E150:F150" si="47">+E147+E148-E149</f>
        <v>103883494.54164532</v>
      </c>
      <c r="F150" s="259">
        <f t="shared" si="47"/>
        <v>110582973.56124666</v>
      </c>
      <c r="G150" s="259">
        <f t="shared" ref="G150" si="48">+G147+G148-G149</f>
        <v>1932054346.6808085</v>
      </c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</row>
    <row r="151" spans="1:27" ht="12.75" customHeight="1" x14ac:dyDescent="0.25">
      <c r="A151" s="117" t="s">
        <v>151</v>
      </c>
      <c r="B151" s="248"/>
      <c r="C151" s="248">
        <f>+C150/(1+$B$69)^C146</f>
        <v>-76051161.289918274</v>
      </c>
      <c r="D151" s="248">
        <f t="shared" ref="D151:E151" si="49">+D150/(1+$B$69)^D146</f>
        <v>74144533.576140299</v>
      </c>
      <c r="E151" s="248">
        <f t="shared" si="49"/>
        <v>69449101.061651841</v>
      </c>
      <c r="F151" s="248">
        <f>+F150/(1+$B$69)^F146</f>
        <v>64642037.202751964</v>
      </c>
      <c r="G151" s="248">
        <f>+G150/(1+$B$69)^G146</f>
        <v>987535694.56612098</v>
      </c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</row>
    <row r="152" spans="1:27" ht="12.75" customHeight="1" x14ac:dyDescent="0.25">
      <c r="A152" s="117" t="s">
        <v>95</v>
      </c>
      <c r="B152" s="248"/>
      <c r="C152" s="248">
        <f>+C151</f>
        <v>-76051161.289918274</v>
      </c>
      <c r="D152" s="248">
        <f>+D151+C152</f>
        <v>-1906627.7137779742</v>
      </c>
      <c r="E152" s="248">
        <f t="shared" ref="E152:G152" si="50">+D152+E151</f>
        <v>67542473.347873867</v>
      </c>
      <c r="F152" s="248">
        <f t="shared" si="50"/>
        <v>132184510.55062583</v>
      </c>
      <c r="G152" s="248">
        <f t="shared" si="50"/>
        <v>1119720205.1167469</v>
      </c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</row>
    <row r="153" spans="1:27" ht="12.75" customHeight="1" x14ac:dyDescent="0.25">
      <c r="A153" s="170" t="s">
        <v>153</v>
      </c>
      <c r="B153" s="171">
        <f>IRR(B150:G150)</f>
        <v>0.21213187065656403</v>
      </c>
      <c r="C153" s="96" t="s">
        <v>232</v>
      </c>
      <c r="D153" s="2"/>
      <c r="E153" s="120"/>
      <c r="F153" s="9"/>
      <c r="G153" s="2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  <c r="AA153" s="376"/>
    </row>
    <row r="154" spans="1:27" ht="12.75" customHeight="1" x14ac:dyDescent="0.25">
      <c r="A154" s="117" t="s">
        <v>99</v>
      </c>
      <c r="B154" s="265">
        <f>+NPV($B$65,C150:G150)+B150</f>
        <v>118552988.23551428</v>
      </c>
      <c r="C154" s="2"/>
      <c r="D154" s="52"/>
      <c r="E154" s="120"/>
      <c r="F154" s="120"/>
      <c r="G154" s="2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  <c r="AA154" s="376"/>
    </row>
    <row r="155" spans="1:27" ht="12.75" customHeight="1" x14ac:dyDescent="0.25">
      <c r="A155" s="172"/>
      <c r="B155" s="2"/>
      <c r="C155" s="2"/>
      <c r="D155" s="2"/>
      <c r="E155" s="2"/>
      <c r="F155" s="2"/>
      <c r="G155" s="2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  <c r="Z155" s="376"/>
      <c r="AA155" s="376"/>
    </row>
    <row r="156" spans="1:27" ht="12.75" customHeight="1" x14ac:dyDescent="0.25">
      <c r="A156" s="172"/>
      <c r="B156" s="2"/>
      <c r="C156" s="2"/>
      <c r="D156" s="2"/>
      <c r="E156" s="2"/>
      <c r="F156" s="2"/>
      <c r="G156" s="2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376"/>
      <c r="AA156" s="376"/>
    </row>
    <row r="157" spans="1:27" ht="12.75" customHeight="1" x14ac:dyDescent="0.25">
      <c r="A157" s="172"/>
      <c r="B157" s="2"/>
      <c r="C157" s="2"/>
      <c r="D157" s="2"/>
      <c r="E157" s="2"/>
      <c r="F157" s="2"/>
      <c r="G157" s="2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  <c r="AA157" s="376"/>
    </row>
    <row r="158" spans="1:27" ht="12.75" customHeight="1" x14ac:dyDescent="0.25">
      <c r="A158" s="364" t="s">
        <v>155</v>
      </c>
      <c r="B158" s="351"/>
      <c r="C158" s="351"/>
      <c r="D158" s="351"/>
      <c r="E158" s="351"/>
      <c r="F158" s="351"/>
      <c r="G158" s="2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</row>
    <row r="159" spans="1:27" ht="12.75" customHeight="1" x14ac:dyDescent="0.25">
      <c r="A159" s="364" t="s">
        <v>260</v>
      </c>
      <c r="B159" s="351"/>
      <c r="C159" s="351"/>
      <c r="D159" s="351"/>
      <c r="E159" s="351"/>
      <c r="F159" s="351"/>
      <c r="G159" s="2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</row>
    <row r="160" spans="1:27" ht="12.75" customHeight="1" thickBot="1" x14ac:dyDescent="0.3">
      <c r="A160" s="364" t="str">
        <f>+F6</f>
        <v>Millones de pesos constantes del año cero</v>
      </c>
      <c r="B160" s="351"/>
      <c r="C160" s="351"/>
      <c r="D160" s="351"/>
      <c r="E160" s="351"/>
      <c r="F160" s="351"/>
      <c r="G160" s="2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</row>
    <row r="161" spans="1:27" ht="12.75" customHeight="1" x14ac:dyDescent="0.25">
      <c r="A161" s="173" t="s">
        <v>80</v>
      </c>
      <c r="B161" s="174">
        <f t="shared" ref="B161:G161" si="51">+B77</f>
        <v>0</v>
      </c>
      <c r="C161" s="174">
        <f t="shared" si="51"/>
        <v>1</v>
      </c>
      <c r="D161" s="174">
        <f t="shared" si="51"/>
        <v>2</v>
      </c>
      <c r="E161" s="174">
        <f t="shared" si="51"/>
        <v>3</v>
      </c>
      <c r="F161" s="175">
        <f t="shared" si="51"/>
        <v>4</v>
      </c>
      <c r="G161" s="174">
        <f t="shared" si="51"/>
        <v>5</v>
      </c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</row>
    <row r="162" spans="1:27" ht="12.75" customHeight="1" x14ac:dyDescent="0.25">
      <c r="A162" s="176" t="s">
        <v>112</v>
      </c>
      <c r="B162" s="255">
        <f t="shared" ref="B162:G165" si="52">+B110</f>
        <v>0</v>
      </c>
      <c r="C162" s="255">
        <f t="shared" si="52"/>
        <v>3159258960</v>
      </c>
      <c r="D162" s="255">
        <f t="shared" si="52"/>
        <v>4327752000</v>
      </c>
      <c r="E162" s="255">
        <f t="shared" si="52"/>
        <v>4327752000</v>
      </c>
      <c r="F162" s="255">
        <f t="shared" si="52"/>
        <v>4327752000</v>
      </c>
      <c r="G162" s="255">
        <f t="shared" si="52"/>
        <v>4327752000</v>
      </c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  <c r="AA162" s="376"/>
    </row>
    <row r="163" spans="1:27" ht="12.75" customHeight="1" x14ac:dyDescent="0.25">
      <c r="A163" s="177" t="s">
        <v>157</v>
      </c>
      <c r="B163" s="255">
        <f t="shared" si="52"/>
        <v>0</v>
      </c>
      <c r="C163" s="255">
        <f t="shared" si="52"/>
        <v>2681160352</v>
      </c>
      <c r="D163" s="255">
        <f t="shared" si="52"/>
        <v>3672822400</v>
      </c>
      <c r="E163" s="255">
        <f t="shared" si="52"/>
        <v>3672822400</v>
      </c>
      <c r="F163" s="255">
        <f t="shared" si="52"/>
        <v>3672822400</v>
      </c>
      <c r="G163" s="255">
        <f t="shared" si="52"/>
        <v>3672822400</v>
      </c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  <c r="AA163" s="376"/>
    </row>
    <row r="164" spans="1:27" ht="12.75" customHeight="1" x14ac:dyDescent="0.25">
      <c r="A164" s="177" t="s">
        <v>158</v>
      </c>
      <c r="B164" s="255">
        <f t="shared" si="52"/>
        <v>0</v>
      </c>
      <c r="C164" s="255">
        <f t="shared" si="52"/>
        <v>80199600</v>
      </c>
      <c r="D164" s="255">
        <f t="shared" si="52"/>
        <v>80199600</v>
      </c>
      <c r="E164" s="255">
        <f t="shared" si="52"/>
        <v>80199600</v>
      </c>
      <c r="F164" s="255">
        <f t="shared" si="52"/>
        <v>80199600</v>
      </c>
      <c r="G164" s="255">
        <f t="shared" si="52"/>
        <v>80199600</v>
      </c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76"/>
    </row>
    <row r="165" spans="1:27" ht="12.75" customHeight="1" x14ac:dyDescent="0.25">
      <c r="A165" s="177" t="s">
        <v>159</v>
      </c>
      <c r="B165" s="255">
        <f t="shared" si="52"/>
        <v>0</v>
      </c>
      <c r="C165" s="255">
        <f t="shared" si="52"/>
        <v>248034800</v>
      </c>
      <c r="D165" s="255">
        <f t="shared" si="52"/>
        <v>248034800</v>
      </c>
      <c r="E165" s="255">
        <f t="shared" si="52"/>
        <v>248034800</v>
      </c>
      <c r="F165" s="255">
        <f t="shared" si="52"/>
        <v>248034800</v>
      </c>
      <c r="G165" s="255">
        <f t="shared" si="52"/>
        <v>248034800</v>
      </c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  <c r="AA165" s="376"/>
    </row>
    <row r="166" spans="1:27" ht="12.75" customHeight="1" x14ac:dyDescent="0.25">
      <c r="A166" s="178" t="s">
        <v>114</v>
      </c>
      <c r="B166" s="272"/>
      <c r="C166" s="272">
        <f>+C162-C163-C164-C165</f>
        <v>149864208</v>
      </c>
      <c r="D166" s="272">
        <f>+D162-D163-D164-D165</f>
        <v>326695200</v>
      </c>
      <c r="E166" s="272">
        <f>+E162-E163-E164-E165</f>
        <v>326695200</v>
      </c>
      <c r="F166" s="272">
        <f>+F162-F163-F164-F165</f>
        <v>326695200</v>
      </c>
      <c r="G166" s="272">
        <f>+G162-G163-G164-G165</f>
        <v>326695200</v>
      </c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</row>
    <row r="167" spans="1:27" ht="12.75" customHeight="1" x14ac:dyDescent="0.25">
      <c r="A167" s="176" t="s">
        <v>160</v>
      </c>
      <c r="B167" s="336"/>
      <c r="C167" s="336">
        <f t="shared" ref="C167:G168" si="53">+C115</f>
        <v>23161561.427193828</v>
      </c>
      <c r="D167" s="336">
        <f t="shared" si="53"/>
        <v>24158317.313676041</v>
      </c>
      <c r="E167" s="336">
        <f t="shared" si="53"/>
        <v>24907225.150399998</v>
      </c>
      <c r="F167" s="336">
        <f t="shared" si="53"/>
        <v>25679349.130062398</v>
      </c>
      <c r="G167" s="336">
        <f t="shared" si="53"/>
        <v>26475408.95309433</v>
      </c>
      <c r="H167" s="376"/>
      <c r="I167" s="376"/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76"/>
      <c r="AA167" s="376"/>
    </row>
    <row r="168" spans="1:27" ht="12.75" customHeight="1" x14ac:dyDescent="0.25">
      <c r="A168" s="176" t="s">
        <v>161</v>
      </c>
      <c r="B168" s="336"/>
      <c r="C168" s="336">
        <f t="shared" si="53"/>
        <v>39050144.648023143</v>
      </c>
      <c r="D168" s="336">
        <f t="shared" si="53"/>
        <v>40730664.40349175</v>
      </c>
      <c r="E168" s="336">
        <f t="shared" si="53"/>
        <v>41993315</v>
      </c>
      <c r="F168" s="336">
        <f t="shared" si="53"/>
        <v>43295107.764999993</v>
      </c>
      <c r="G168" s="336">
        <f t="shared" si="53"/>
        <v>44637256.105714992</v>
      </c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  <c r="Z168" s="376"/>
      <c r="AA168" s="376"/>
    </row>
    <row r="169" spans="1:27" ht="15" customHeight="1" x14ac:dyDescent="0.25">
      <c r="A169" s="176" t="s">
        <v>162</v>
      </c>
      <c r="B169" s="337">
        <f>J136</f>
        <v>34515539.411951393</v>
      </c>
      <c r="C169" s="337">
        <f>+J137</f>
        <v>125038613.39843671</v>
      </c>
      <c r="D169" s="337">
        <f>+J138</f>
        <v>107526071.52134304</v>
      </c>
      <c r="E169" s="337">
        <f>+J139</f>
        <v>89261849.063515514</v>
      </c>
      <c r="F169" s="338">
        <f>+J140</f>
        <v>70149742.485082269</v>
      </c>
      <c r="G169" s="338">
        <f>+J141</f>
        <v>50085398.699826181</v>
      </c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</row>
    <row r="170" spans="1:27" ht="12.75" customHeight="1" x14ac:dyDescent="0.25">
      <c r="A170" s="178" t="s">
        <v>117</v>
      </c>
      <c r="B170" s="343"/>
      <c r="C170" s="272">
        <v>0</v>
      </c>
      <c r="D170" s="272">
        <f>+D166-D167-D168-D169</f>
        <v>154280146.76148915</v>
      </c>
      <c r="E170" s="272">
        <f t="shared" ref="E170:F170" si="54">+E166-E167-E168-E169</f>
        <v>170532810.7860845</v>
      </c>
      <c r="F170" s="272">
        <f t="shared" si="54"/>
        <v>187571000.61985534</v>
      </c>
      <c r="G170" s="272">
        <f t="shared" ref="G170" si="55">+G166-G167-G168-G169</f>
        <v>205497136.24136454</v>
      </c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</row>
    <row r="171" spans="1:27" ht="12.75" customHeight="1" x14ac:dyDescent="0.25">
      <c r="A171" s="176" t="s">
        <v>118</v>
      </c>
      <c r="B171" s="336"/>
      <c r="C171" s="342">
        <f>+C170*$B$61</f>
        <v>0</v>
      </c>
      <c r="D171" s="342">
        <f t="shared" ref="D171:F171" si="56">+D170*$B$61</f>
        <v>53998051.366521202</v>
      </c>
      <c r="E171" s="342">
        <f t="shared" si="56"/>
        <v>59686483.775129572</v>
      </c>
      <c r="F171" s="342">
        <f t="shared" si="56"/>
        <v>65649850.216949366</v>
      </c>
      <c r="G171" s="342">
        <f t="shared" ref="G171" si="57">+G170*$B$61</f>
        <v>71923997.684477583</v>
      </c>
      <c r="H171" s="376"/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Y171" s="376"/>
      <c r="Z171" s="376"/>
      <c r="AA171" s="376"/>
    </row>
    <row r="172" spans="1:27" ht="12.75" customHeight="1" x14ac:dyDescent="0.25">
      <c r="A172" s="176" t="s">
        <v>163</v>
      </c>
      <c r="B172" s="336"/>
      <c r="C172" s="336">
        <f t="shared" ref="C172:F172" si="58">+C167</f>
        <v>23161561.427193828</v>
      </c>
      <c r="D172" s="336">
        <f t="shared" si="58"/>
        <v>24158317.313676041</v>
      </c>
      <c r="E172" s="336">
        <f t="shared" si="58"/>
        <v>24907225.150399998</v>
      </c>
      <c r="F172" s="336">
        <f t="shared" si="58"/>
        <v>25679349.130062398</v>
      </c>
      <c r="G172" s="336">
        <f t="shared" ref="G172" si="59">+G167</f>
        <v>26475408.95309433</v>
      </c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  <c r="AA172" s="376"/>
    </row>
    <row r="173" spans="1:27" ht="12.75" customHeight="1" x14ac:dyDescent="0.25">
      <c r="A173" s="176" t="s">
        <v>164</v>
      </c>
      <c r="B173" s="336"/>
      <c r="C173" s="336">
        <f t="shared" ref="C173:F173" si="60">+C168</f>
        <v>39050144.648023143</v>
      </c>
      <c r="D173" s="336">
        <f t="shared" si="60"/>
        <v>40730664.40349175</v>
      </c>
      <c r="E173" s="336">
        <f t="shared" si="60"/>
        <v>41993315</v>
      </c>
      <c r="F173" s="336">
        <f t="shared" si="60"/>
        <v>43295107.764999993</v>
      </c>
      <c r="G173" s="336">
        <f t="shared" ref="G173" si="61">+G168</f>
        <v>44637256.105714992</v>
      </c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  <c r="Z173" s="376"/>
      <c r="AA173" s="376"/>
    </row>
    <row r="174" spans="1:27" ht="12.75" customHeight="1" x14ac:dyDescent="0.25">
      <c r="A174" s="176" t="s">
        <v>122</v>
      </c>
      <c r="B174" s="336">
        <f t="shared" ref="B174:B177" si="62">+B121</f>
        <v>693700000</v>
      </c>
      <c r="C174" s="336"/>
      <c r="D174" s="336"/>
      <c r="E174" s="336"/>
      <c r="F174" s="341"/>
      <c r="G174" s="33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  <c r="AA174" s="376"/>
    </row>
    <row r="175" spans="1:27" ht="12.75" customHeight="1" x14ac:dyDescent="0.25">
      <c r="A175" s="176" t="s">
        <v>123</v>
      </c>
      <c r="B175" s="336">
        <f t="shared" si="62"/>
        <v>120092696</v>
      </c>
      <c r="C175" s="336"/>
      <c r="D175" s="336"/>
      <c r="E175" s="336"/>
      <c r="F175" s="341"/>
      <c r="G175" s="336"/>
      <c r="H175" s="376"/>
      <c r="I175" s="376"/>
      <c r="J175" s="376"/>
      <c r="K175" s="376"/>
      <c r="L175" s="376"/>
      <c r="M175" s="37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  <c r="AA175" s="376"/>
    </row>
    <row r="176" spans="1:27" ht="12.75" customHeight="1" x14ac:dyDescent="0.25">
      <c r="A176" s="176" t="s">
        <v>124</v>
      </c>
      <c r="B176" s="336">
        <f t="shared" si="62"/>
        <v>0</v>
      </c>
      <c r="C176" s="336"/>
      <c r="D176" s="336"/>
      <c r="E176" s="336"/>
      <c r="F176" s="341"/>
      <c r="G176" s="33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  <c r="AA176" s="376"/>
    </row>
    <row r="177" spans="1:27" ht="12.75" customHeight="1" x14ac:dyDescent="0.25">
      <c r="A177" s="176" t="s">
        <v>165</v>
      </c>
      <c r="B177" s="336">
        <f t="shared" si="62"/>
        <v>1166974900</v>
      </c>
      <c r="C177" s="336"/>
      <c r="D177" s="336"/>
      <c r="E177" s="336"/>
      <c r="F177" s="341"/>
      <c r="G177" s="33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  <c r="AA177" s="376"/>
    </row>
    <row r="178" spans="1:27" ht="17.25" customHeight="1" x14ac:dyDescent="0.25">
      <c r="A178" s="176" t="s">
        <v>126</v>
      </c>
      <c r="B178" s="336"/>
      <c r="C178" s="335"/>
      <c r="D178" s="335"/>
      <c r="E178" s="335"/>
      <c r="F178" s="339"/>
      <c r="G178" s="335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  <c r="AA178" s="376"/>
    </row>
    <row r="179" spans="1:27" ht="12.75" customHeight="1" x14ac:dyDescent="0.25">
      <c r="A179" s="176" t="s">
        <v>166</v>
      </c>
      <c r="B179" s="336">
        <f>B54</f>
        <v>1200000000</v>
      </c>
      <c r="C179" s="335"/>
      <c r="D179" s="335"/>
      <c r="E179" s="335"/>
      <c r="F179" s="339"/>
      <c r="G179" s="335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</row>
    <row r="180" spans="1:27" ht="12.75" customHeight="1" x14ac:dyDescent="0.25">
      <c r="A180" s="176" t="s">
        <v>167</v>
      </c>
      <c r="B180" s="336">
        <f>K136</f>
        <v>26885270.317001015</v>
      </c>
      <c r="C180" s="336">
        <f>K137</f>
        <v>111801539.84728138</v>
      </c>
      <c r="D180" s="336">
        <f>K138</f>
        <v>122192796.80622062</v>
      </c>
      <c r="E180" s="336">
        <f>K139</f>
        <v>133549856.39483917</v>
      </c>
      <c r="F180" s="341">
        <f>K140</f>
        <v>145962483.95367104</v>
      </c>
      <c r="G180" s="336">
        <f>K141</f>
        <v>159528787.95269886</v>
      </c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</row>
    <row r="181" spans="1:27" ht="12.75" customHeight="1" x14ac:dyDescent="0.25">
      <c r="A181" s="176" t="s">
        <v>127</v>
      </c>
      <c r="B181" s="336"/>
      <c r="C181" s="335"/>
      <c r="D181" s="335"/>
      <c r="E181" s="335"/>
      <c r="F181" s="340"/>
      <c r="G181" s="335">
        <f>G126</f>
        <v>1814973333.3333335</v>
      </c>
      <c r="H181" s="376"/>
      <c r="I181" s="376"/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</row>
    <row r="182" spans="1:27" ht="12.75" customHeight="1" thickBot="1" x14ac:dyDescent="0.3">
      <c r="A182" s="194" t="s">
        <v>168</v>
      </c>
      <c r="B182" s="273">
        <f>+B170-B171+B172+B173-B174-B175-B176-B177+B178+B179-B180+B181-B169</f>
        <v>-842168405.72895241</v>
      </c>
      <c r="C182" s="273">
        <f>+C170-C171+C172+C173-C174-C175-C176-C177+C178+C179-C180+C181</f>
        <v>-49589833.77206441</v>
      </c>
      <c r="D182" s="273">
        <f t="shared" ref="D182:F182" si="63">+D170-D171+D172+D173-D174-D175-D176-D177+D178+D179-D180+D181</f>
        <v>42978280.305915117</v>
      </c>
      <c r="E182" s="273">
        <f t="shared" si="63"/>
        <v>44197010.766515762</v>
      </c>
      <c r="F182" s="273">
        <f t="shared" si="63"/>
        <v>44933123.34429732</v>
      </c>
      <c r="G182" s="273">
        <f>+G170-G171+G172+G173-G174-G175-G176-G177+G178+G179-G180+G181</f>
        <v>1860130348.996331</v>
      </c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</row>
    <row r="183" spans="1:27" ht="12.75" customHeight="1" x14ac:dyDescent="0.25">
      <c r="A183" s="170" t="s">
        <v>169</v>
      </c>
      <c r="B183" s="112"/>
      <c r="C183" s="335">
        <f>+C182/(1+$B$70)^C161</f>
        <v>-44347681.718643971</v>
      </c>
      <c r="D183" s="335">
        <f>+D182/(1+$B$70)^D161</f>
        <v>34372060.925360642</v>
      </c>
      <c r="E183" s="335">
        <f t="shared" ref="E183:F183" si="64">+E182/(1+$B$70)^E161</f>
        <v>31610233.612745956</v>
      </c>
      <c r="F183" s="335">
        <f t="shared" si="64"/>
        <v>28739531.597051665</v>
      </c>
      <c r="G183" s="335">
        <f>+G182/(1+$B$70)^G161</f>
        <v>1063983090.0949532</v>
      </c>
      <c r="H183" s="2"/>
      <c r="I183" s="2"/>
      <c r="J183" s="2"/>
      <c r="K183" s="2"/>
      <c r="L183" s="2"/>
      <c r="M183" s="2"/>
      <c r="N183" s="2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</row>
    <row r="184" spans="1:27" ht="12.75" customHeight="1" x14ac:dyDescent="0.25">
      <c r="A184" s="117" t="s">
        <v>95</v>
      </c>
      <c r="B184" s="112"/>
      <c r="C184" s="248">
        <f>+C183</f>
        <v>-44347681.718643971</v>
      </c>
      <c r="D184" s="248">
        <f>+D183+C184</f>
        <v>-9975620.7932833284</v>
      </c>
      <c r="E184" s="248">
        <f t="shared" ref="E184:F184" si="65">+D184+E183</f>
        <v>21634612.819462627</v>
      </c>
      <c r="F184" s="248">
        <f t="shared" si="65"/>
        <v>50374144.416514292</v>
      </c>
      <c r="G184" s="248">
        <f>+F184+G183</f>
        <v>1114357234.5114675</v>
      </c>
      <c r="H184" s="2"/>
      <c r="I184" s="2"/>
      <c r="J184" s="2"/>
      <c r="K184" s="2"/>
      <c r="L184" s="2"/>
      <c r="M184" s="2"/>
      <c r="N184" s="2"/>
      <c r="O184" s="2"/>
      <c r="P184" s="2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</row>
    <row r="185" spans="1:27" ht="12.75" customHeight="1" x14ac:dyDescent="0.25">
      <c r="A185" s="117" t="s">
        <v>171</v>
      </c>
      <c r="B185" s="171">
        <f>IRR(B182:G182)</f>
        <v>0.18274219503163169</v>
      </c>
      <c r="C185" s="96"/>
      <c r="D185" s="2"/>
      <c r="E185" s="120"/>
      <c r="F185" s="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</row>
    <row r="186" spans="1:27" ht="28.5" customHeight="1" x14ac:dyDescent="0.3">
      <c r="A186" s="117" t="s">
        <v>132</v>
      </c>
      <c r="B186" s="294">
        <f>+NPV(B70,C182:G182)+B182</f>
        <v>272188828.78251505</v>
      </c>
      <c r="C186" s="333"/>
      <c r="D186" s="52"/>
      <c r="E186" s="120"/>
      <c r="F186" s="12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  <c r="AA186" s="376"/>
    </row>
    <row r="187" spans="1:27" ht="12.75" hidden="1" customHeight="1" x14ac:dyDescent="0.25">
      <c r="A187" s="170" t="s">
        <v>173</v>
      </c>
      <c r="B187" s="19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76"/>
      <c r="R187" s="376"/>
      <c r="S187" s="376"/>
      <c r="T187" s="376"/>
      <c r="U187" s="376"/>
      <c r="V187" s="376"/>
      <c r="W187" s="376"/>
      <c r="X187" s="376"/>
      <c r="Y187" s="376"/>
      <c r="Z187" s="376"/>
      <c r="AA187" s="376"/>
    </row>
    <row r="188" spans="1:27" ht="12.75" hidden="1" customHeight="1" x14ac:dyDescent="0.25">
      <c r="A188" s="117" t="s">
        <v>174</v>
      </c>
      <c r="B188" s="10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  <c r="AA188" s="376"/>
    </row>
    <row r="189" spans="1:27" ht="12.75" customHeight="1" x14ac:dyDescent="0.25">
      <c r="A189" s="17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76"/>
      <c r="R189" s="376"/>
      <c r="S189" s="376"/>
      <c r="T189" s="376"/>
      <c r="U189" s="376"/>
      <c r="V189" s="376"/>
      <c r="W189" s="376"/>
      <c r="X189" s="376"/>
      <c r="Y189" s="376"/>
      <c r="Z189" s="376"/>
      <c r="AA189" s="376"/>
    </row>
    <row r="190" spans="1:27" ht="12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76"/>
      <c r="R190" s="376"/>
      <c r="S190" s="376"/>
      <c r="T190" s="376"/>
      <c r="U190" s="376"/>
      <c r="V190" s="376"/>
      <c r="W190" s="376"/>
      <c r="X190" s="376"/>
      <c r="Y190" s="376"/>
      <c r="Z190" s="376"/>
      <c r="AA190" s="376"/>
    </row>
    <row r="191" spans="1:27" ht="12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76"/>
      <c r="R191" s="376"/>
      <c r="S191" s="376"/>
      <c r="T191" s="376"/>
      <c r="U191" s="376"/>
      <c r="V191" s="376"/>
      <c r="W191" s="376"/>
      <c r="X191" s="376"/>
      <c r="Y191" s="376"/>
      <c r="Z191" s="376"/>
      <c r="AA191" s="376"/>
    </row>
    <row r="192" spans="1:27" ht="12.75" customHeight="1" x14ac:dyDescent="0.25">
      <c r="A192" s="17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  <c r="AA192" s="376"/>
    </row>
    <row r="193" spans="1:27" ht="12.75" customHeight="1" x14ac:dyDescent="0.25">
      <c r="A193" s="172"/>
      <c r="B193" s="2"/>
      <c r="C193" s="2"/>
      <c r="D193" s="2"/>
      <c r="E193" s="2"/>
      <c r="F193" s="27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76"/>
      <c r="R193" s="376"/>
      <c r="S193" s="376"/>
      <c r="T193" s="376"/>
      <c r="U193" s="376"/>
      <c r="V193" s="376"/>
      <c r="W193" s="376"/>
      <c r="X193" s="376"/>
      <c r="Y193" s="376"/>
      <c r="Z193" s="376"/>
      <c r="AA193" s="376"/>
    </row>
    <row r="194" spans="1:27" ht="12.75" customHeight="1" x14ac:dyDescent="0.25">
      <c r="A194" s="17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76"/>
      <c r="R194" s="376"/>
      <c r="S194" s="376"/>
      <c r="T194" s="376"/>
      <c r="U194" s="376"/>
      <c r="V194" s="376"/>
      <c r="W194" s="376"/>
      <c r="X194" s="376"/>
      <c r="Y194" s="376"/>
      <c r="Z194" s="376"/>
      <c r="AA194" s="376"/>
    </row>
    <row r="195" spans="1:27" ht="12.75" customHeight="1" x14ac:dyDescent="0.25">
      <c r="A195" s="172"/>
      <c r="B195" s="197"/>
      <c r="C195" s="19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76"/>
      <c r="R195" s="376"/>
      <c r="S195" s="376"/>
      <c r="T195" s="376"/>
      <c r="U195" s="376"/>
      <c r="V195" s="376"/>
      <c r="W195" s="376"/>
      <c r="X195" s="376"/>
      <c r="Y195" s="376"/>
      <c r="Z195" s="376"/>
      <c r="AA195" s="376"/>
    </row>
    <row r="196" spans="1:27" ht="12.75" customHeight="1" x14ac:dyDescent="0.25">
      <c r="A196" s="172"/>
      <c r="B196" s="96"/>
      <c r="C196" s="9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76"/>
      <c r="R196" s="376"/>
      <c r="S196" s="376"/>
      <c r="T196" s="376"/>
      <c r="U196" s="376"/>
      <c r="V196" s="376"/>
      <c r="W196" s="376"/>
      <c r="X196" s="376"/>
      <c r="Y196" s="376"/>
      <c r="Z196" s="376"/>
      <c r="AA196" s="376"/>
    </row>
    <row r="197" spans="1:27" ht="12.75" customHeight="1" x14ac:dyDescent="0.25">
      <c r="A197" s="17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76"/>
      <c r="R197" s="376"/>
      <c r="S197" s="376"/>
      <c r="T197" s="376"/>
      <c r="U197" s="376"/>
      <c r="V197" s="376"/>
      <c r="W197" s="376"/>
      <c r="X197" s="376"/>
      <c r="Y197" s="376"/>
      <c r="Z197" s="376"/>
      <c r="AA197" s="376"/>
    </row>
    <row r="198" spans="1:27" ht="12.75" customHeight="1" x14ac:dyDescent="0.25">
      <c r="A198" s="17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  <c r="AA198" s="376"/>
    </row>
    <row r="199" spans="1:27" ht="12.75" customHeight="1" x14ac:dyDescent="0.25">
      <c r="A199" s="17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76"/>
      <c r="R199" s="376"/>
      <c r="S199" s="376"/>
      <c r="T199" s="376"/>
      <c r="U199" s="376"/>
      <c r="V199" s="376"/>
      <c r="W199" s="376"/>
      <c r="X199" s="376"/>
      <c r="Y199" s="376"/>
      <c r="Z199" s="376"/>
      <c r="AA199" s="376"/>
    </row>
    <row r="200" spans="1:27" ht="12.75" customHeight="1" x14ac:dyDescent="0.25">
      <c r="A200" s="17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76"/>
      <c r="R200" s="376"/>
      <c r="S200" s="376"/>
      <c r="T200" s="376"/>
      <c r="U200" s="376"/>
      <c r="V200" s="376"/>
      <c r="W200" s="376"/>
      <c r="X200" s="376"/>
      <c r="Y200" s="376"/>
      <c r="Z200" s="376"/>
      <c r="AA200" s="376"/>
    </row>
    <row r="201" spans="1:27" ht="12.75" customHeight="1" x14ac:dyDescent="0.25">
      <c r="A201" s="17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76"/>
      <c r="R201" s="376"/>
      <c r="S201" s="376"/>
      <c r="T201" s="376"/>
      <c r="U201" s="376"/>
      <c r="V201" s="376"/>
      <c r="W201" s="376"/>
      <c r="X201" s="376"/>
      <c r="Y201" s="376"/>
      <c r="Z201" s="376"/>
      <c r="AA201" s="376"/>
    </row>
    <row r="202" spans="1:27" ht="12.75" customHeight="1" x14ac:dyDescent="0.25">
      <c r="A202" s="17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  <c r="AA202" s="376"/>
    </row>
    <row r="203" spans="1:27" ht="12.75" customHeight="1" x14ac:dyDescent="0.25">
      <c r="A203" s="17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76"/>
      <c r="R203" s="376"/>
      <c r="S203" s="376"/>
      <c r="T203" s="376"/>
      <c r="U203" s="376"/>
      <c r="V203" s="376"/>
      <c r="W203" s="376"/>
      <c r="X203" s="376"/>
      <c r="Y203" s="376"/>
      <c r="Z203" s="376"/>
      <c r="AA203" s="376"/>
    </row>
    <row r="204" spans="1:27" ht="12.75" customHeight="1" x14ac:dyDescent="0.25">
      <c r="A204" s="17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76"/>
      <c r="R204" s="376"/>
      <c r="S204" s="376"/>
      <c r="T204" s="376"/>
      <c r="U204" s="376"/>
      <c r="V204" s="376"/>
      <c r="W204" s="376"/>
      <c r="X204" s="376"/>
      <c r="Y204" s="376"/>
      <c r="Z204" s="376"/>
      <c r="AA204" s="376"/>
    </row>
    <row r="205" spans="1:27" ht="12.75" customHeight="1" x14ac:dyDescent="0.25">
      <c r="A205" s="17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76"/>
      <c r="R205" s="376"/>
      <c r="S205" s="376"/>
      <c r="T205" s="376"/>
      <c r="U205" s="376"/>
      <c r="V205" s="376"/>
      <c r="W205" s="376"/>
      <c r="X205" s="376"/>
      <c r="Y205" s="376"/>
      <c r="Z205" s="376"/>
      <c r="AA205" s="376"/>
    </row>
    <row r="206" spans="1:27" ht="12.75" customHeight="1" x14ac:dyDescent="0.25">
      <c r="A206" s="17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76"/>
      <c r="R206" s="376"/>
      <c r="S206" s="376"/>
      <c r="T206" s="376"/>
      <c r="U206" s="376"/>
      <c r="V206" s="376"/>
      <c r="W206" s="376"/>
      <c r="X206" s="376"/>
      <c r="Y206" s="376"/>
      <c r="Z206" s="376"/>
      <c r="AA206" s="376"/>
    </row>
    <row r="207" spans="1:27" ht="12.75" customHeight="1" x14ac:dyDescent="0.25">
      <c r="A207" s="17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76"/>
      <c r="R207" s="376"/>
      <c r="S207" s="376"/>
      <c r="T207" s="376"/>
      <c r="U207" s="376"/>
      <c r="V207" s="376"/>
      <c r="W207" s="376"/>
      <c r="X207" s="376"/>
      <c r="Y207" s="376"/>
      <c r="Z207" s="376"/>
      <c r="AA207" s="376"/>
    </row>
    <row r="208" spans="1:27" ht="12.75" customHeight="1" x14ac:dyDescent="0.25">
      <c r="A208" s="17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76"/>
      <c r="R208" s="376"/>
      <c r="S208" s="376"/>
      <c r="T208" s="376"/>
      <c r="U208" s="376"/>
      <c r="V208" s="376"/>
      <c r="W208" s="376"/>
      <c r="X208" s="376"/>
      <c r="Y208" s="376"/>
      <c r="Z208" s="376"/>
      <c r="AA208" s="376"/>
    </row>
    <row r="209" spans="1:27" ht="12.75" customHeight="1" x14ac:dyDescent="0.25">
      <c r="A209" s="17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76"/>
      <c r="R209" s="376"/>
      <c r="S209" s="376"/>
      <c r="T209" s="376"/>
      <c r="U209" s="376"/>
      <c r="V209" s="376"/>
      <c r="W209" s="376"/>
      <c r="X209" s="376"/>
      <c r="Y209" s="376"/>
      <c r="Z209" s="376"/>
      <c r="AA209" s="376"/>
    </row>
    <row r="210" spans="1:27" ht="12.75" customHeight="1" x14ac:dyDescent="0.25">
      <c r="A210" s="17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76"/>
      <c r="R210" s="376"/>
      <c r="S210" s="376"/>
      <c r="T210" s="376"/>
      <c r="U210" s="376"/>
      <c r="V210" s="376"/>
      <c r="W210" s="376"/>
      <c r="X210" s="376"/>
      <c r="Y210" s="376"/>
      <c r="Z210" s="376"/>
      <c r="AA210" s="376"/>
    </row>
    <row r="211" spans="1:27" ht="12.75" customHeight="1" x14ac:dyDescent="0.25">
      <c r="A211" s="17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76"/>
      <c r="R211" s="376"/>
      <c r="S211" s="376"/>
      <c r="T211" s="376"/>
      <c r="U211" s="376"/>
      <c r="V211" s="376"/>
      <c r="W211" s="376"/>
      <c r="X211" s="376"/>
      <c r="Y211" s="376"/>
      <c r="Z211" s="376"/>
      <c r="AA211" s="376"/>
    </row>
    <row r="212" spans="1:27" ht="12.75" customHeight="1" x14ac:dyDescent="0.25">
      <c r="A212" s="17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76"/>
      <c r="R212" s="376"/>
      <c r="S212" s="376"/>
      <c r="T212" s="376"/>
      <c r="U212" s="376"/>
      <c r="V212" s="376"/>
      <c r="W212" s="376"/>
      <c r="X212" s="376"/>
      <c r="Y212" s="376"/>
      <c r="Z212" s="376"/>
      <c r="AA212" s="376"/>
    </row>
    <row r="213" spans="1:27" ht="12.75" customHeight="1" x14ac:dyDescent="0.25">
      <c r="A213" s="17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76"/>
      <c r="R213" s="376"/>
      <c r="S213" s="376"/>
      <c r="T213" s="376"/>
      <c r="U213" s="376"/>
      <c r="V213" s="376"/>
      <c r="W213" s="376"/>
      <c r="X213" s="376"/>
      <c r="Y213" s="376"/>
      <c r="Z213" s="376"/>
      <c r="AA213" s="376"/>
    </row>
    <row r="214" spans="1:27" ht="12.75" customHeight="1" x14ac:dyDescent="0.25">
      <c r="A214" s="17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76"/>
      <c r="R214" s="376"/>
      <c r="S214" s="376"/>
      <c r="T214" s="376"/>
      <c r="U214" s="376"/>
      <c r="V214" s="376"/>
      <c r="W214" s="376"/>
      <c r="X214" s="376"/>
      <c r="Y214" s="376"/>
      <c r="Z214" s="376"/>
      <c r="AA214" s="376"/>
    </row>
    <row r="215" spans="1:27" ht="12.75" customHeight="1" x14ac:dyDescent="0.25">
      <c r="A215" s="17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76"/>
      <c r="R215" s="376"/>
      <c r="S215" s="376"/>
      <c r="T215" s="376"/>
      <c r="U215" s="376"/>
      <c r="V215" s="376"/>
      <c r="W215" s="376"/>
      <c r="X215" s="376"/>
      <c r="Y215" s="376"/>
      <c r="Z215" s="376"/>
      <c r="AA215" s="376"/>
    </row>
    <row r="216" spans="1:27" ht="12.75" customHeight="1" x14ac:dyDescent="0.25">
      <c r="A216" s="17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76"/>
      <c r="R216" s="376"/>
      <c r="S216" s="376"/>
      <c r="T216" s="376"/>
      <c r="U216" s="376"/>
      <c r="V216" s="376"/>
      <c r="W216" s="376"/>
      <c r="X216" s="376"/>
      <c r="Y216" s="376"/>
      <c r="Z216" s="376"/>
      <c r="AA216" s="376"/>
    </row>
    <row r="217" spans="1:27" ht="12.75" customHeight="1" x14ac:dyDescent="0.25">
      <c r="A217" s="17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76"/>
      <c r="R217" s="376"/>
      <c r="S217" s="376"/>
      <c r="T217" s="376"/>
      <c r="U217" s="376"/>
      <c r="V217" s="376"/>
      <c r="W217" s="376"/>
      <c r="X217" s="376"/>
      <c r="Y217" s="376"/>
      <c r="Z217" s="376"/>
      <c r="AA217" s="376"/>
    </row>
    <row r="218" spans="1:27" ht="12.75" customHeight="1" x14ac:dyDescent="0.25">
      <c r="A218" s="17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76"/>
      <c r="R218" s="376"/>
      <c r="S218" s="376"/>
      <c r="T218" s="376"/>
      <c r="U218" s="376"/>
      <c r="V218" s="376"/>
      <c r="W218" s="376"/>
      <c r="X218" s="376"/>
      <c r="Y218" s="376"/>
      <c r="Z218" s="376"/>
      <c r="AA218" s="376"/>
    </row>
    <row r="219" spans="1:27" ht="12.75" customHeight="1" x14ac:dyDescent="0.25">
      <c r="A219" s="17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76"/>
      <c r="R219" s="376"/>
      <c r="S219" s="376"/>
      <c r="T219" s="376"/>
      <c r="U219" s="376"/>
      <c r="V219" s="376"/>
      <c r="W219" s="376"/>
      <c r="X219" s="376"/>
      <c r="Y219" s="376"/>
      <c r="Z219" s="376"/>
      <c r="AA219" s="376"/>
    </row>
    <row r="220" spans="1:27" ht="12.75" customHeight="1" x14ac:dyDescent="0.25">
      <c r="A220" s="17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76"/>
      <c r="R220" s="376"/>
      <c r="S220" s="376"/>
      <c r="T220" s="376"/>
      <c r="U220" s="376"/>
      <c r="V220" s="376"/>
      <c r="W220" s="376"/>
      <c r="X220" s="376"/>
      <c r="Y220" s="376"/>
      <c r="Z220" s="376"/>
      <c r="AA220" s="376"/>
    </row>
    <row r="221" spans="1:27" ht="12.75" customHeight="1" x14ac:dyDescent="0.25">
      <c r="A221" s="17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76"/>
      <c r="R221" s="376"/>
      <c r="S221" s="376"/>
      <c r="T221" s="376"/>
      <c r="U221" s="376"/>
      <c r="V221" s="376"/>
      <c r="W221" s="376"/>
      <c r="X221" s="376"/>
      <c r="Y221" s="376"/>
      <c r="Z221" s="376"/>
      <c r="AA221" s="376"/>
    </row>
    <row r="222" spans="1:27" ht="12.75" customHeight="1" x14ac:dyDescent="0.25">
      <c r="A222" s="17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76"/>
      <c r="R222" s="376"/>
      <c r="S222" s="376"/>
      <c r="T222" s="376"/>
      <c r="U222" s="376"/>
      <c r="V222" s="376"/>
      <c r="W222" s="376"/>
      <c r="X222" s="376"/>
      <c r="Y222" s="376"/>
      <c r="Z222" s="376"/>
      <c r="AA222" s="376"/>
    </row>
    <row r="223" spans="1:27" ht="12.75" customHeight="1" x14ac:dyDescent="0.25">
      <c r="A223" s="17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76"/>
      <c r="R223" s="376"/>
      <c r="S223" s="376"/>
      <c r="T223" s="376"/>
      <c r="U223" s="376"/>
      <c r="V223" s="376"/>
      <c r="W223" s="376"/>
      <c r="X223" s="376"/>
      <c r="Y223" s="376"/>
      <c r="Z223" s="376"/>
      <c r="AA223" s="376"/>
    </row>
    <row r="224" spans="1:27" ht="12.75" customHeight="1" x14ac:dyDescent="0.25">
      <c r="A224" s="17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76"/>
      <c r="R224" s="376"/>
      <c r="S224" s="376"/>
      <c r="T224" s="376"/>
      <c r="U224" s="376"/>
      <c r="V224" s="376"/>
      <c r="W224" s="376"/>
      <c r="X224" s="376"/>
      <c r="Y224" s="376"/>
      <c r="Z224" s="376"/>
      <c r="AA224" s="376"/>
    </row>
    <row r="225" spans="1:27" ht="12.75" customHeight="1" x14ac:dyDescent="0.25">
      <c r="A225" s="17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76"/>
      <c r="R225" s="376"/>
      <c r="S225" s="376"/>
      <c r="T225" s="376"/>
      <c r="U225" s="376"/>
      <c r="V225" s="376"/>
      <c r="W225" s="376"/>
      <c r="X225" s="376"/>
      <c r="Y225" s="376"/>
      <c r="Z225" s="376"/>
      <c r="AA225" s="376"/>
    </row>
    <row r="226" spans="1:27" ht="12.75" customHeight="1" x14ac:dyDescent="0.25">
      <c r="A226" s="17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76"/>
      <c r="R226" s="376"/>
      <c r="S226" s="376"/>
      <c r="T226" s="376"/>
      <c r="U226" s="376"/>
      <c r="V226" s="376"/>
      <c r="W226" s="376"/>
      <c r="X226" s="376"/>
      <c r="Y226" s="376"/>
      <c r="Z226" s="376"/>
      <c r="AA226" s="376"/>
    </row>
    <row r="227" spans="1:27" ht="12.75" customHeight="1" x14ac:dyDescent="0.25">
      <c r="A227" s="17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76"/>
      <c r="R227" s="376"/>
      <c r="S227" s="376"/>
      <c r="T227" s="376"/>
      <c r="U227" s="376"/>
      <c r="V227" s="376"/>
      <c r="W227" s="376"/>
      <c r="X227" s="376"/>
      <c r="Y227" s="376"/>
      <c r="Z227" s="376"/>
      <c r="AA227" s="376"/>
    </row>
    <row r="228" spans="1:27" ht="12.75" customHeight="1" x14ac:dyDescent="0.25">
      <c r="A228" s="17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76"/>
      <c r="R228" s="376"/>
      <c r="S228" s="376"/>
      <c r="T228" s="376"/>
      <c r="U228" s="376"/>
      <c r="V228" s="376"/>
      <c r="W228" s="376"/>
      <c r="X228" s="376"/>
      <c r="Y228" s="376"/>
      <c r="Z228" s="376"/>
      <c r="AA228" s="376"/>
    </row>
    <row r="229" spans="1:27" ht="12.75" customHeight="1" x14ac:dyDescent="0.25">
      <c r="A229" s="17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76"/>
      <c r="R229" s="376"/>
      <c r="S229" s="376"/>
      <c r="T229" s="376"/>
      <c r="U229" s="376"/>
      <c r="V229" s="376"/>
      <c r="W229" s="376"/>
      <c r="X229" s="376"/>
      <c r="Y229" s="376"/>
      <c r="Z229" s="376"/>
      <c r="AA229" s="376"/>
    </row>
    <row r="230" spans="1:27" ht="12.75" customHeight="1" x14ac:dyDescent="0.25">
      <c r="A230" s="17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76"/>
      <c r="R230" s="376"/>
      <c r="S230" s="376"/>
      <c r="T230" s="376"/>
      <c r="U230" s="376"/>
      <c r="V230" s="376"/>
      <c r="W230" s="376"/>
      <c r="X230" s="376"/>
      <c r="Y230" s="376"/>
      <c r="Z230" s="376"/>
      <c r="AA230" s="376"/>
    </row>
    <row r="231" spans="1:27" ht="12.75" customHeight="1" x14ac:dyDescent="0.25">
      <c r="A231" s="17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76"/>
      <c r="R231" s="376"/>
      <c r="S231" s="376"/>
      <c r="T231" s="376"/>
      <c r="U231" s="376"/>
      <c r="V231" s="376"/>
      <c r="W231" s="376"/>
      <c r="X231" s="376"/>
      <c r="Y231" s="376"/>
      <c r="Z231" s="376"/>
      <c r="AA231" s="376"/>
    </row>
    <row r="232" spans="1:27" ht="12.75" customHeight="1" x14ac:dyDescent="0.25">
      <c r="A232" s="17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76"/>
      <c r="R232" s="376"/>
      <c r="S232" s="376"/>
      <c r="T232" s="376"/>
      <c r="U232" s="376"/>
      <c r="V232" s="376"/>
      <c r="W232" s="376"/>
      <c r="X232" s="376"/>
      <c r="Y232" s="376"/>
      <c r="Z232" s="376"/>
      <c r="AA232" s="376"/>
    </row>
    <row r="233" spans="1:27" ht="12.75" customHeight="1" x14ac:dyDescent="0.25">
      <c r="A233" s="17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76"/>
      <c r="R233" s="376"/>
      <c r="S233" s="376"/>
      <c r="T233" s="376"/>
      <c r="U233" s="376"/>
      <c r="V233" s="376"/>
      <c r="W233" s="376"/>
      <c r="X233" s="376"/>
      <c r="Y233" s="376"/>
      <c r="Z233" s="376"/>
      <c r="AA233" s="376"/>
    </row>
    <row r="234" spans="1:27" ht="12.75" customHeight="1" x14ac:dyDescent="0.25">
      <c r="A234" s="17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</row>
    <row r="235" spans="1:27" ht="12.75" customHeight="1" x14ac:dyDescent="0.25">
      <c r="A235" s="17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76"/>
      <c r="R235" s="376"/>
      <c r="S235" s="376"/>
      <c r="T235" s="376"/>
      <c r="U235" s="376"/>
      <c r="V235" s="376"/>
      <c r="W235" s="376"/>
      <c r="X235" s="376"/>
      <c r="Y235" s="376"/>
      <c r="Z235" s="376"/>
      <c r="AA235" s="376"/>
    </row>
    <row r="236" spans="1:27" ht="12.75" customHeight="1" x14ac:dyDescent="0.25">
      <c r="A236" s="17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76"/>
      <c r="R236" s="376"/>
      <c r="S236" s="376"/>
      <c r="T236" s="376"/>
      <c r="U236" s="376"/>
      <c r="V236" s="376"/>
      <c r="W236" s="376"/>
      <c r="X236" s="376"/>
      <c r="Y236" s="376"/>
      <c r="Z236" s="376"/>
      <c r="AA236" s="376"/>
    </row>
    <row r="237" spans="1:27" ht="12.75" customHeight="1" x14ac:dyDescent="0.25">
      <c r="A237" s="17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</row>
    <row r="238" spans="1:27" ht="12.75" customHeight="1" x14ac:dyDescent="0.25">
      <c r="A238" s="17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  <c r="AA238" s="376"/>
    </row>
    <row r="239" spans="1:27" ht="12.75" customHeight="1" x14ac:dyDescent="0.25">
      <c r="A239" s="17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76"/>
      <c r="R239" s="376"/>
      <c r="S239" s="376"/>
      <c r="T239" s="376"/>
      <c r="U239" s="376"/>
      <c r="V239" s="376"/>
      <c r="W239" s="376"/>
      <c r="X239" s="376"/>
      <c r="Y239" s="376"/>
      <c r="Z239" s="376"/>
      <c r="AA239" s="376"/>
    </row>
    <row r="240" spans="1:27" ht="12.75" customHeight="1" x14ac:dyDescent="0.25">
      <c r="A240" s="17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76"/>
      <c r="R240" s="376"/>
      <c r="S240" s="376"/>
      <c r="T240" s="376"/>
      <c r="U240" s="376"/>
      <c r="V240" s="376"/>
      <c r="W240" s="376"/>
      <c r="X240" s="376"/>
      <c r="Y240" s="376"/>
      <c r="Z240" s="376"/>
      <c r="AA240" s="376"/>
    </row>
    <row r="241" spans="1:27" ht="12.75" customHeight="1" x14ac:dyDescent="0.25">
      <c r="A241" s="17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76"/>
      <c r="R241" s="376"/>
      <c r="S241" s="376"/>
      <c r="T241" s="376"/>
      <c r="U241" s="376"/>
      <c r="V241" s="376"/>
      <c r="W241" s="376"/>
      <c r="X241" s="376"/>
      <c r="Y241" s="376"/>
      <c r="Z241" s="376"/>
      <c r="AA241" s="376"/>
    </row>
    <row r="242" spans="1:27" ht="12.75" customHeight="1" x14ac:dyDescent="0.25">
      <c r="A242" s="17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76"/>
      <c r="R242" s="376"/>
      <c r="S242" s="376"/>
      <c r="T242" s="376"/>
      <c r="U242" s="376"/>
      <c r="V242" s="376"/>
      <c r="W242" s="376"/>
      <c r="X242" s="376"/>
      <c r="Y242" s="376"/>
      <c r="Z242" s="376"/>
      <c r="AA242" s="376"/>
    </row>
    <row r="243" spans="1:27" ht="12.75" customHeight="1" x14ac:dyDescent="0.25">
      <c r="A243" s="17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76"/>
      <c r="R243" s="376"/>
      <c r="S243" s="376"/>
      <c r="T243" s="376"/>
      <c r="U243" s="376"/>
      <c r="V243" s="376"/>
      <c r="W243" s="376"/>
      <c r="X243" s="376"/>
      <c r="Y243" s="376"/>
      <c r="Z243" s="376"/>
      <c r="AA243" s="376"/>
    </row>
    <row r="244" spans="1:27" ht="12.75" customHeight="1" x14ac:dyDescent="0.25">
      <c r="A244" s="17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76"/>
      <c r="R244" s="376"/>
      <c r="S244" s="376"/>
      <c r="T244" s="376"/>
      <c r="U244" s="376"/>
      <c r="V244" s="376"/>
      <c r="W244" s="376"/>
      <c r="X244" s="376"/>
      <c r="Y244" s="376"/>
      <c r="Z244" s="376"/>
      <c r="AA244" s="376"/>
    </row>
    <row r="245" spans="1:27" ht="12.75" customHeight="1" x14ac:dyDescent="0.25">
      <c r="A245" s="17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76"/>
      <c r="R245" s="376"/>
      <c r="S245" s="376"/>
      <c r="T245" s="376"/>
      <c r="U245" s="376"/>
      <c r="V245" s="376"/>
      <c r="W245" s="376"/>
      <c r="X245" s="376"/>
      <c r="Y245" s="376"/>
      <c r="Z245" s="376"/>
      <c r="AA245" s="376"/>
    </row>
    <row r="246" spans="1:27" ht="12.75" customHeight="1" x14ac:dyDescent="0.25">
      <c r="A246" s="17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76"/>
      <c r="R246" s="376"/>
      <c r="S246" s="376"/>
      <c r="T246" s="376"/>
      <c r="U246" s="376"/>
      <c r="V246" s="376"/>
      <c r="W246" s="376"/>
      <c r="X246" s="376"/>
      <c r="Y246" s="376"/>
      <c r="Z246" s="376"/>
      <c r="AA246" s="376"/>
    </row>
    <row r="247" spans="1:27" ht="12.75" customHeight="1" x14ac:dyDescent="0.25">
      <c r="A247" s="17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76"/>
      <c r="R247" s="376"/>
      <c r="S247" s="376"/>
      <c r="T247" s="376"/>
      <c r="U247" s="376"/>
      <c r="V247" s="376"/>
      <c r="W247" s="376"/>
      <c r="X247" s="376"/>
      <c r="Y247" s="376"/>
      <c r="Z247" s="376"/>
      <c r="AA247" s="376"/>
    </row>
    <row r="248" spans="1:27" ht="12.75" customHeight="1" x14ac:dyDescent="0.25">
      <c r="A248" s="17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76"/>
      <c r="R248" s="376"/>
      <c r="S248" s="376"/>
      <c r="T248" s="376"/>
      <c r="U248" s="376"/>
      <c r="V248" s="376"/>
      <c r="W248" s="376"/>
      <c r="X248" s="376"/>
      <c r="Y248" s="376"/>
      <c r="Z248" s="376"/>
      <c r="AA248" s="376"/>
    </row>
    <row r="249" spans="1:27" ht="12.75" customHeight="1" x14ac:dyDescent="0.25">
      <c r="A249" s="17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76"/>
      <c r="R249" s="376"/>
      <c r="S249" s="376"/>
      <c r="T249" s="376"/>
      <c r="U249" s="376"/>
      <c r="V249" s="376"/>
      <c r="W249" s="376"/>
      <c r="X249" s="376"/>
      <c r="Y249" s="376"/>
      <c r="Z249" s="376"/>
      <c r="AA249" s="376"/>
    </row>
    <row r="250" spans="1:27" ht="12.75" customHeight="1" x14ac:dyDescent="0.25">
      <c r="A250" s="17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76"/>
      <c r="R250" s="376"/>
      <c r="S250" s="376"/>
      <c r="T250" s="376"/>
      <c r="U250" s="376"/>
      <c r="V250" s="376"/>
      <c r="W250" s="376"/>
      <c r="X250" s="376"/>
      <c r="Y250" s="376"/>
      <c r="Z250" s="376"/>
      <c r="AA250" s="376"/>
    </row>
    <row r="251" spans="1:27" ht="12.75" customHeight="1" x14ac:dyDescent="0.25">
      <c r="A251" s="17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76"/>
      <c r="R251" s="376"/>
      <c r="S251" s="376"/>
      <c r="T251" s="376"/>
      <c r="U251" s="376"/>
      <c r="V251" s="376"/>
      <c r="W251" s="376"/>
      <c r="X251" s="376"/>
      <c r="Y251" s="376"/>
      <c r="Z251" s="376"/>
      <c r="AA251" s="376"/>
    </row>
    <row r="252" spans="1:27" ht="12.75" customHeight="1" x14ac:dyDescent="0.25">
      <c r="A252" s="17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76"/>
      <c r="R252" s="376"/>
      <c r="S252" s="376"/>
      <c r="T252" s="376"/>
      <c r="U252" s="376"/>
      <c r="V252" s="376"/>
      <c r="W252" s="376"/>
      <c r="X252" s="376"/>
      <c r="Y252" s="376"/>
      <c r="Z252" s="376"/>
      <c r="AA252" s="376"/>
    </row>
    <row r="253" spans="1:27" ht="12.75" customHeight="1" x14ac:dyDescent="0.25">
      <c r="A253" s="17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76"/>
      <c r="R253" s="376"/>
      <c r="S253" s="376"/>
      <c r="T253" s="376"/>
      <c r="U253" s="376"/>
      <c r="V253" s="376"/>
      <c r="W253" s="376"/>
      <c r="X253" s="376"/>
      <c r="Y253" s="376"/>
      <c r="Z253" s="376"/>
      <c r="AA253" s="376"/>
    </row>
    <row r="254" spans="1:27" ht="12.75" customHeight="1" x14ac:dyDescent="0.25">
      <c r="A254" s="17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76"/>
      <c r="R254" s="376"/>
      <c r="S254" s="376"/>
      <c r="T254" s="376"/>
      <c r="U254" s="376"/>
      <c r="V254" s="376"/>
      <c r="W254" s="376"/>
      <c r="X254" s="376"/>
      <c r="Y254" s="376"/>
      <c r="Z254" s="376"/>
      <c r="AA254" s="376"/>
    </row>
    <row r="255" spans="1:27" ht="12.75" customHeight="1" x14ac:dyDescent="0.25">
      <c r="A255" s="17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76"/>
      <c r="R255" s="376"/>
      <c r="S255" s="376"/>
      <c r="T255" s="376"/>
      <c r="U255" s="376"/>
      <c r="V255" s="376"/>
      <c r="W255" s="376"/>
      <c r="X255" s="376"/>
      <c r="Y255" s="376"/>
      <c r="Z255" s="376"/>
      <c r="AA255" s="376"/>
    </row>
    <row r="256" spans="1:27" ht="12.75" customHeight="1" x14ac:dyDescent="0.25">
      <c r="A256" s="17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76"/>
      <c r="R256" s="376"/>
      <c r="S256" s="376"/>
      <c r="T256" s="376"/>
      <c r="U256" s="376"/>
      <c r="V256" s="376"/>
      <c r="W256" s="376"/>
      <c r="X256" s="376"/>
      <c r="Y256" s="376"/>
      <c r="Z256" s="376"/>
      <c r="AA256" s="376"/>
    </row>
    <row r="257" spans="1:27" ht="12.75" customHeight="1" x14ac:dyDescent="0.25">
      <c r="A257" s="17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76"/>
      <c r="R257" s="376"/>
      <c r="S257" s="376"/>
      <c r="T257" s="376"/>
      <c r="U257" s="376"/>
      <c r="V257" s="376"/>
      <c r="W257" s="376"/>
      <c r="X257" s="376"/>
      <c r="Y257" s="376"/>
      <c r="Z257" s="376"/>
      <c r="AA257" s="376"/>
    </row>
    <row r="258" spans="1:27" ht="12.75" customHeight="1" x14ac:dyDescent="0.25">
      <c r="A258" s="17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76"/>
      <c r="R258" s="376"/>
      <c r="S258" s="376"/>
      <c r="T258" s="376"/>
      <c r="U258" s="376"/>
      <c r="V258" s="376"/>
      <c r="W258" s="376"/>
      <c r="X258" s="376"/>
      <c r="Y258" s="376"/>
      <c r="Z258" s="376"/>
      <c r="AA258" s="376"/>
    </row>
    <row r="259" spans="1:27" ht="12.75" customHeight="1" x14ac:dyDescent="0.25">
      <c r="A259" s="17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76"/>
      <c r="R259" s="376"/>
      <c r="S259" s="376"/>
      <c r="T259" s="376"/>
      <c r="U259" s="376"/>
      <c r="V259" s="376"/>
      <c r="W259" s="376"/>
      <c r="X259" s="376"/>
      <c r="Y259" s="376"/>
      <c r="Z259" s="376"/>
      <c r="AA259" s="376"/>
    </row>
    <row r="260" spans="1:27" ht="12.75" customHeight="1" x14ac:dyDescent="0.25">
      <c r="A260" s="17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76"/>
      <c r="R260" s="376"/>
      <c r="S260" s="376"/>
      <c r="T260" s="376"/>
      <c r="U260" s="376"/>
      <c r="V260" s="376"/>
      <c r="W260" s="376"/>
      <c r="X260" s="376"/>
      <c r="Y260" s="376"/>
      <c r="Z260" s="376"/>
      <c r="AA260" s="376"/>
    </row>
    <row r="261" spans="1:27" ht="12.75" customHeight="1" x14ac:dyDescent="0.25">
      <c r="A261" s="17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76"/>
      <c r="R261" s="376"/>
      <c r="S261" s="376"/>
      <c r="T261" s="376"/>
      <c r="U261" s="376"/>
      <c r="V261" s="376"/>
      <c r="W261" s="376"/>
      <c r="X261" s="376"/>
      <c r="Y261" s="376"/>
      <c r="Z261" s="376"/>
      <c r="AA261" s="376"/>
    </row>
    <row r="262" spans="1:27" ht="12.75" customHeight="1" x14ac:dyDescent="0.25">
      <c r="A262" s="17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76"/>
      <c r="R262" s="376"/>
      <c r="S262" s="376"/>
      <c r="T262" s="376"/>
      <c r="U262" s="376"/>
      <c r="V262" s="376"/>
      <c r="W262" s="376"/>
      <c r="X262" s="376"/>
      <c r="Y262" s="376"/>
      <c r="Z262" s="376"/>
      <c r="AA262" s="376"/>
    </row>
    <row r="263" spans="1:27" ht="12.75" customHeight="1" x14ac:dyDescent="0.25">
      <c r="A263" s="17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76"/>
      <c r="R263" s="376"/>
      <c r="S263" s="376"/>
      <c r="T263" s="376"/>
      <c r="U263" s="376"/>
      <c r="V263" s="376"/>
      <c r="W263" s="376"/>
      <c r="X263" s="376"/>
      <c r="Y263" s="376"/>
      <c r="Z263" s="376"/>
      <c r="AA263" s="376"/>
    </row>
    <row r="264" spans="1:27" ht="12.75" customHeight="1" x14ac:dyDescent="0.25">
      <c r="A264" s="17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76"/>
      <c r="R264" s="376"/>
      <c r="S264" s="376"/>
      <c r="T264" s="376"/>
      <c r="U264" s="376"/>
      <c r="V264" s="376"/>
      <c r="W264" s="376"/>
      <c r="X264" s="376"/>
      <c r="Y264" s="376"/>
      <c r="Z264" s="376"/>
      <c r="AA264" s="376"/>
    </row>
    <row r="265" spans="1:27" ht="12.75" customHeight="1" x14ac:dyDescent="0.25">
      <c r="A265" s="17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76"/>
      <c r="R265" s="376"/>
      <c r="S265" s="376"/>
      <c r="T265" s="376"/>
      <c r="U265" s="376"/>
      <c r="V265" s="376"/>
      <c r="W265" s="376"/>
      <c r="X265" s="376"/>
      <c r="Y265" s="376"/>
      <c r="Z265" s="376"/>
      <c r="AA265" s="376"/>
    </row>
    <row r="266" spans="1:27" ht="12.75" customHeight="1" x14ac:dyDescent="0.25">
      <c r="A266" s="17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76"/>
      <c r="R266" s="376"/>
      <c r="S266" s="376"/>
      <c r="T266" s="376"/>
      <c r="U266" s="376"/>
      <c r="V266" s="376"/>
      <c r="W266" s="376"/>
      <c r="X266" s="376"/>
      <c r="Y266" s="376"/>
      <c r="Z266" s="376"/>
      <c r="AA266" s="376"/>
    </row>
    <row r="267" spans="1:27" ht="12.75" customHeight="1" x14ac:dyDescent="0.25">
      <c r="A267" s="17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76"/>
      <c r="R267" s="376"/>
      <c r="S267" s="376"/>
      <c r="T267" s="376"/>
      <c r="U267" s="376"/>
      <c r="V267" s="376"/>
      <c r="W267" s="376"/>
      <c r="X267" s="376"/>
      <c r="Y267" s="376"/>
      <c r="Z267" s="376"/>
      <c r="AA267" s="376"/>
    </row>
    <row r="268" spans="1:27" ht="12.75" customHeight="1" x14ac:dyDescent="0.25">
      <c r="A268" s="17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76"/>
      <c r="R268" s="376"/>
      <c r="S268" s="376"/>
      <c r="T268" s="376"/>
      <c r="U268" s="376"/>
      <c r="V268" s="376"/>
      <c r="W268" s="376"/>
      <c r="X268" s="376"/>
      <c r="Y268" s="376"/>
      <c r="Z268" s="376"/>
      <c r="AA268" s="376"/>
    </row>
    <row r="269" spans="1:27" ht="12.75" customHeight="1" x14ac:dyDescent="0.25">
      <c r="A269" s="17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76"/>
      <c r="R269" s="376"/>
      <c r="S269" s="376"/>
      <c r="T269" s="376"/>
      <c r="U269" s="376"/>
      <c r="V269" s="376"/>
      <c r="W269" s="376"/>
      <c r="X269" s="376"/>
      <c r="Y269" s="376"/>
      <c r="Z269" s="376"/>
      <c r="AA269" s="376"/>
    </row>
    <row r="270" spans="1:27" ht="12.75" customHeight="1" x14ac:dyDescent="0.25">
      <c r="A270" s="17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76"/>
      <c r="R270" s="376"/>
      <c r="S270" s="376"/>
      <c r="T270" s="376"/>
      <c r="U270" s="376"/>
      <c r="V270" s="376"/>
      <c r="W270" s="376"/>
      <c r="X270" s="376"/>
      <c r="Y270" s="376"/>
      <c r="Z270" s="376"/>
      <c r="AA270" s="376"/>
    </row>
    <row r="271" spans="1:27" ht="12.75" customHeight="1" x14ac:dyDescent="0.25">
      <c r="A271" s="17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76"/>
      <c r="R271" s="376"/>
      <c r="S271" s="376"/>
      <c r="T271" s="376"/>
      <c r="U271" s="376"/>
      <c r="V271" s="376"/>
      <c r="W271" s="376"/>
      <c r="X271" s="376"/>
      <c r="Y271" s="376"/>
      <c r="Z271" s="376"/>
      <c r="AA271" s="376"/>
    </row>
    <row r="272" spans="1:27" ht="12.75" customHeight="1" x14ac:dyDescent="0.25">
      <c r="A272" s="17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76"/>
      <c r="R272" s="376"/>
      <c r="S272" s="376"/>
      <c r="T272" s="376"/>
      <c r="U272" s="376"/>
      <c r="V272" s="376"/>
      <c r="W272" s="376"/>
      <c r="X272" s="376"/>
      <c r="Y272" s="376"/>
      <c r="Z272" s="376"/>
      <c r="AA272" s="376"/>
    </row>
    <row r="273" spans="1:27" ht="12.75" customHeight="1" x14ac:dyDescent="0.25">
      <c r="A273" s="17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76"/>
      <c r="R273" s="376"/>
      <c r="S273" s="376"/>
      <c r="T273" s="376"/>
      <c r="U273" s="376"/>
      <c r="V273" s="376"/>
      <c r="W273" s="376"/>
      <c r="X273" s="376"/>
      <c r="Y273" s="376"/>
      <c r="Z273" s="376"/>
      <c r="AA273" s="376"/>
    </row>
    <row r="274" spans="1:27" ht="12.75" customHeight="1" x14ac:dyDescent="0.25">
      <c r="A274" s="17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76"/>
      <c r="R274" s="376"/>
      <c r="S274" s="376"/>
      <c r="T274" s="376"/>
      <c r="U274" s="376"/>
      <c r="V274" s="376"/>
      <c r="W274" s="376"/>
      <c r="X274" s="376"/>
      <c r="Y274" s="376"/>
      <c r="Z274" s="376"/>
      <c r="AA274" s="376"/>
    </row>
    <row r="275" spans="1:27" ht="12.75" customHeight="1" x14ac:dyDescent="0.25">
      <c r="A275" s="17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76"/>
      <c r="R275" s="376"/>
      <c r="S275" s="376"/>
      <c r="T275" s="376"/>
      <c r="U275" s="376"/>
      <c r="V275" s="376"/>
      <c r="W275" s="376"/>
      <c r="X275" s="376"/>
      <c r="Y275" s="376"/>
      <c r="Z275" s="376"/>
      <c r="AA275" s="376"/>
    </row>
    <row r="276" spans="1:27" ht="12.75" customHeight="1" x14ac:dyDescent="0.25">
      <c r="A276" s="17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76"/>
      <c r="R276" s="376"/>
      <c r="S276" s="376"/>
      <c r="T276" s="376"/>
      <c r="U276" s="376"/>
      <c r="V276" s="376"/>
      <c r="W276" s="376"/>
      <c r="X276" s="376"/>
      <c r="Y276" s="376"/>
      <c r="Z276" s="376"/>
      <c r="AA276" s="376"/>
    </row>
    <row r="277" spans="1:27" ht="12.75" customHeight="1" x14ac:dyDescent="0.25">
      <c r="A277" s="17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76"/>
      <c r="R277" s="376"/>
      <c r="S277" s="376"/>
      <c r="T277" s="376"/>
      <c r="U277" s="376"/>
      <c r="V277" s="376"/>
      <c r="W277" s="376"/>
      <c r="X277" s="376"/>
      <c r="Y277" s="376"/>
      <c r="Z277" s="376"/>
      <c r="AA277" s="376"/>
    </row>
    <row r="278" spans="1:27" ht="12.75" customHeight="1" x14ac:dyDescent="0.25">
      <c r="A278" s="17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76"/>
      <c r="R278" s="376"/>
      <c r="S278" s="376"/>
      <c r="T278" s="376"/>
      <c r="U278" s="376"/>
      <c r="V278" s="376"/>
      <c r="W278" s="376"/>
      <c r="X278" s="376"/>
      <c r="Y278" s="376"/>
      <c r="Z278" s="376"/>
      <c r="AA278" s="376"/>
    </row>
    <row r="279" spans="1:27" ht="12.75" customHeight="1" x14ac:dyDescent="0.25">
      <c r="A279" s="17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76"/>
      <c r="R279" s="376"/>
      <c r="S279" s="376"/>
      <c r="T279" s="376"/>
      <c r="U279" s="376"/>
      <c r="V279" s="376"/>
      <c r="W279" s="376"/>
      <c r="X279" s="376"/>
      <c r="Y279" s="376"/>
      <c r="Z279" s="376"/>
      <c r="AA279" s="376"/>
    </row>
    <row r="280" spans="1:27" ht="12.75" customHeight="1" x14ac:dyDescent="0.25">
      <c r="A280" s="17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76"/>
      <c r="R280" s="376"/>
      <c r="S280" s="376"/>
      <c r="T280" s="376"/>
      <c r="U280" s="376"/>
      <c r="V280" s="376"/>
      <c r="W280" s="376"/>
      <c r="X280" s="376"/>
      <c r="Y280" s="376"/>
      <c r="Z280" s="376"/>
      <c r="AA280" s="376"/>
    </row>
    <row r="281" spans="1:27" ht="12.75" customHeight="1" x14ac:dyDescent="0.25">
      <c r="A281" s="17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76"/>
      <c r="R281" s="376"/>
      <c r="S281" s="376"/>
      <c r="T281" s="376"/>
      <c r="U281" s="376"/>
      <c r="V281" s="376"/>
      <c r="W281" s="376"/>
      <c r="X281" s="376"/>
      <c r="Y281" s="376"/>
      <c r="Z281" s="376"/>
      <c r="AA281" s="376"/>
    </row>
    <row r="282" spans="1:27" ht="12.75" customHeight="1" x14ac:dyDescent="0.25">
      <c r="A282" s="17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76"/>
      <c r="R282" s="376"/>
      <c r="S282" s="376"/>
      <c r="T282" s="376"/>
      <c r="U282" s="376"/>
      <c r="V282" s="376"/>
      <c r="W282" s="376"/>
      <c r="X282" s="376"/>
      <c r="Y282" s="376"/>
      <c r="Z282" s="376"/>
      <c r="AA282" s="376"/>
    </row>
    <row r="283" spans="1:27" ht="12.75" customHeight="1" x14ac:dyDescent="0.25">
      <c r="A283" s="17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76"/>
      <c r="R283" s="376"/>
      <c r="S283" s="376"/>
      <c r="T283" s="376"/>
      <c r="U283" s="376"/>
      <c r="V283" s="376"/>
      <c r="W283" s="376"/>
      <c r="X283" s="376"/>
      <c r="Y283" s="376"/>
      <c r="Z283" s="376"/>
      <c r="AA283" s="376"/>
    </row>
    <row r="284" spans="1:27" ht="12.75" customHeight="1" x14ac:dyDescent="0.25">
      <c r="A284" s="17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76"/>
      <c r="R284" s="376"/>
      <c r="S284" s="376"/>
      <c r="T284" s="376"/>
      <c r="U284" s="376"/>
      <c r="V284" s="376"/>
      <c r="W284" s="376"/>
      <c r="X284" s="376"/>
      <c r="Y284" s="376"/>
      <c r="Z284" s="376"/>
      <c r="AA284" s="376"/>
    </row>
    <row r="285" spans="1:27" ht="12.75" customHeight="1" x14ac:dyDescent="0.25">
      <c r="A285" s="17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76"/>
      <c r="R285" s="376"/>
      <c r="S285" s="376"/>
      <c r="T285" s="376"/>
      <c r="U285" s="376"/>
      <c r="V285" s="376"/>
      <c r="W285" s="376"/>
      <c r="X285" s="376"/>
      <c r="Y285" s="376"/>
      <c r="Z285" s="376"/>
      <c r="AA285" s="376"/>
    </row>
    <row r="286" spans="1:27" ht="12.75" customHeight="1" x14ac:dyDescent="0.25">
      <c r="A286" s="17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76"/>
      <c r="R286" s="376"/>
      <c r="S286" s="376"/>
      <c r="T286" s="376"/>
      <c r="U286" s="376"/>
      <c r="V286" s="376"/>
      <c r="W286" s="376"/>
      <c r="X286" s="376"/>
      <c r="Y286" s="376"/>
      <c r="Z286" s="376"/>
      <c r="AA286" s="376"/>
    </row>
    <row r="287" spans="1:27" ht="12.75" customHeight="1" x14ac:dyDescent="0.25">
      <c r="A287" s="17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76"/>
      <c r="R287" s="376"/>
      <c r="S287" s="376"/>
      <c r="T287" s="376"/>
      <c r="U287" s="376"/>
      <c r="V287" s="376"/>
      <c r="W287" s="376"/>
      <c r="X287" s="376"/>
      <c r="Y287" s="376"/>
      <c r="Z287" s="376"/>
      <c r="AA287" s="376"/>
    </row>
    <row r="288" spans="1:27" ht="12.75" customHeight="1" x14ac:dyDescent="0.25">
      <c r="A288" s="17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76"/>
      <c r="R288" s="376"/>
      <c r="S288" s="376"/>
      <c r="T288" s="376"/>
      <c r="U288" s="376"/>
      <c r="V288" s="376"/>
      <c r="W288" s="376"/>
      <c r="X288" s="376"/>
      <c r="Y288" s="376"/>
      <c r="Z288" s="376"/>
      <c r="AA288" s="376"/>
    </row>
    <row r="289" spans="1:27" ht="12.75" customHeight="1" x14ac:dyDescent="0.25">
      <c r="A289" s="17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76"/>
      <c r="R289" s="376"/>
      <c r="S289" s="376"/>
      <c r="T289" s="376"/>
      <c r="U289" s="376"/>
      <c r="V289" s="376"/>
      <c r="W289" s="376"/>
      <c r="X289" s="376"/>
      <c r="Y289" s="376"/>
      <c r="Z289" s="376"/>
      <c r="AA289" s="376"/>
    </row>
    <row r="290" spans="1:27" ht="12.75" customHeight="1" x14ac:dyDescent="0.25">
      <c r="A290" s="17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76"/>
      <c r="R290" s="376"/>
      <c r="S290" s="376"/>
      <c r="T290" s="376"/>
      <c r="U290" s="376"/>
      <c r="V290" s="376"/>
      <c r="W290" s="376"/>
      <c r="X290" s="376"/>
      <c r="Y290" s="376"/>
      <c r="Z290" s="376"/>
      <c r="AA290" s="376"/>
    </row>
    <row r="291" spans="1:27" ht="12.75" customHeight="1" x14ac:dyDescent="0.25">
      <c r="A291" s="17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76"/>
      <c r="R291" s="376"/>
      <c r="S291" s="376"/>
      <c r="T291" s="376"/>
      <c r="U291" s="376"/>
      <c r="V291" s="376"/>
      <c r="W291" s="376"/>
      <c r="X291" s="376"/>
      <c r="Y291" s="376"/>
      <c r="Z291" s="376"/>
      <c r="AA291" s="376"/>
    </row>
    <row r="292" spans="1:27" ht="12.75" customHeight="1" x14ac:dyDescent="0.25">
      <c r="A292" s="17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76"/>
      <c r="R292" s="376"/>
      <c r="S292" s="376"/>
      <c r="T292" s="376"/>
      <c r="U292" s="376"/>
      <c r="V292" s="376"/>
      <c r="W292" s="376"/>
      <c r="X292" s="376"/>
      <c r="Y292" s="376"/>
      <c r="Z292" s="376"/>
      <c r="AA292" s="376"/>
    </row>
    <row r="293" spans="1:27" ht="12.75" customHeight="1" x14ac:dyDescent="0.25">
      <c r="A293" s="17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76"/>
      <c r="R293" s="376"/>
      <c r="S293" s="376"/>
      <c r="T293" s="376"/>
      <c r="U293" s="376"/>
      <c r="V293" s="376"/>
      <c r="W293" s="376"/>
      <c r="X293" s="376"/>
      <c r="Y293" s="376"/>
      <c r="Z293" s="376"/>
      <c r="AA293" s="376"/>
    </row>
    <row r="294" spans="1:27" ht="12.75" customHeight="1" x14ac:dyDescent="0.25">
      <c r="A294" s="17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76"/>
      <c r="R294" s="376"/>
      <c r="S294" s="376"/>
      <c r="T294" s="376"/>
      <c r="U294" s="376"/>
      <c r="V294" s="376"/>
      <c r="W294" s="376"/>
      <c r="X294" s="376"/>
      <c r="Y294" s="376"/>
      <c r="Z294" s="376"/>
      <c r="AA294" s="376"/>
    </row>
    <row r="295" spans="1:27" ht="12.75" customHeight="1" x14ac:dyDescent="0.25">
      <c r="A295" s="17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76"/>
      <c r="R295" s="376"/>
      <c r="S295" s="376"/>
      <c r="T295" s="376"/>
      <c r="U295" s="376"/>
      <c r="V295" s="376"/>
      <c r="W295" s="376"/>
      <c r="X295" s="376"/>
      <c r="Y295" s="376"/>
      <c r="Z295" s="376"/>
      <c r="AA295" s="376"/>
    </row>
    <row r="296" spans="1:27" ht="12.75" customHeight="1" x14ac:dyDescent="0.25">
      <c r="A296" s="17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76"/>
      <c r="R296" s="376"/>
      <c r="S296" s="376"/>
      <c r="T296" s="376"/>
      <c r="U296" s="376"/>
      <c r="V296" s="376"/>
      <c r="W296" s="376"/>
      <c r="X296" s="376"/>
      <c r="Y296" s="376"/>
      <c r="Z296" s="376"/>
      <c r="AA296" s="376"/>
    </row>
    <row r="297" spans="1:27" ht="12.75" customHeight="1" x14ac:dyDescent="0.25">
      <c r="A297" s="17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76"/>
      <c r="R297" s="376"/>
      <c r="S297" s="376"/>
      <c r="T297" s="376"/>
      <c r="U297" s="376"/>
      <c r="V297" s="376"/>
      <c r="W297" s="376"/>
      <c r="X297" s="376"/>
      <c r="Y297" s="376"/>
      <c r="Z297" s="376"/>
      <c r="AA297" s="376"/>
    </row>
    <row r="298" spans="1:27" ht="12.75" customHeight="1" x14ac:dyDescent="0.25">
      <c r="A298" s="17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76"/>
      <c r="R298" s="376"/>
      <c r="S298" s="376"/>
      <c r="T298" s="376"/>
      <c r="U298" s="376"/>
      <c r="V298" s="376"/>
      <c r="W298" s="376"/>
      <c r="X298" s="376"/>
      <c r="Y298" s="376"/>
      <c r="Z298" s="376"/>
      <c r="AA298" s="376"/>
    </row>
    <row r="299" spans="1:27" ht="12.75" customHeight="1" x14ac:dyDescent="0.25">
      <c r="A299" s="17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76"/>
      <c r="R299" s="376"/>
      <c r="S299" s="376"/>
      <c r="T299" s="376"/>
      <c r="U299" s="376"/>
      <c r="V299" s="376"/>
      <c r="W299" s="376"/>
      <c r="X299" s="376"/>
      <c r="Y299" s="376"/>
      <c r="Z299" s="376"/>
      <c r="AA299" s="376"/>
    </row>
    <row r="300" spans="1:27" ht="12.75" customHeight="1" x14ac:dyDescent="0.25">
      <c r="A300" s="17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76"/>
      <c r="R300" s="376"/>
      <c r="S300" s="376"/>
      <c r="T300" s="376"/>
      <c r="U300" s="376"/>
      <c r="V300" s="376"/>
      <c r="W300" s="376"/>
      <c r="X300" s="376"/>
      <c r="Y300" s="376"/>
      <c r="Z300" s="376"/>
      <c r="AA300" s="376"/>
    </row>
    <row r="301" spans="1:27" ht="12.75" customHeight="1" x14ac:dyDescent="0.25">
      <c r="A301" s="17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76"/>
      <c r="R301" s="376"/>
      <c r="S301" s="376"/>
      <c r="T301" s="376"/>
      <c r="U301" s="376"/>
      <c r="V301" s="376"/>
      <c r="W301" s="376"/>
      <c r="X301" s="376"/>
      <c r="Y301" s="376"/>
      <c r="Z301" s="376"/>
      <c r="AA301" s="376"/>
    </row>
    <row r="302" spans="1:27" ht="12.75" customHeight="1" x14ac:dyDescent="0.25">
      <c r="A302" s="17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76"/>
      <c r="R302" s="376"/>
      <c r="S302" s="376"/>
      <c r="T302" s="376"/>
      <c r="U302" s="376"/>
      <c r="V302" s="376"/>
      <c r="W302" s="376"/>
      <c r="X302" s="376"/>
      <c r="Y302" s="376"/>
      <c r="Z302" s="376"/>
      <c r="AA302" s="376"/>
    </row>
    <row r="303" spans="1:27" ht="12.75" customHeight="1" x14ac:dyDescent="0.25">
      <c r="A303" s="17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76"/>
      <c r="R303" s="376"/>
      <c r="S303" s="376"/>
      <c r="T303" s="376"/>
      <c r="U303" s="376"/>
      <c r="V303" s="376"/>
      <c r="W303" s="376"/>
      <c r="X303" s="376"/>
      <c r="Y303" s="376"/>
      <c r="Z303" s="376"/>
      <c r="AA303" s="376"/>
    </row>
    <row r="304" spans="1:27" ht="12.75" customHeight="1" x14ac:dyDescent="0.25">
      <c r="A304" s="17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76"/>
      <c r="R304" s="376"/>
      <c r="S304" s="376"/>
      <c r="T304" s="376"/>
      <c r="U304" s="376"/>
      <c r="V304" s="376"/>
      <c r="W304" s="376"/>
      <c r="X304" s="376"/>
      <c r="Y304" s="376"/>
      <c r="Z304" s="376"/>
      <c r="AA304" s="376"/>
    </row>
    <row r="305" spans="1:27" ht="12.75" customHeight="1" x14ac:dyDescent="0.25">
      <c r="A305" s="17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76"/>
      <c r="R305" s="376"/>
      <c r="S305" s="376"/>
      <c r="T305" s="376"/>
      <c r="U305" s="376"/>
      <c r="V305" s="376"/>
      <c r="W305" s="376"/>
      <c r="X305" s="376"/>
      <c r="Y305" s="376"/>
      <c r="Z305" s="376"/>
      <c r="AA305" s="376"/>
    </row>
    <row r="306" spans="1:27" ht="12.75" customHeight="1" x14ac:dyDescent="0.25">
      <c r="A306" s="17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76"/>
      <c r="R306" s="376"/>
      <c r="S306" s="376"/>
      <c r="T306" s="376"/>
      <c r="U306" s="376"/>
      <c r="V306" s="376"/>
      <c r="W306" s="376"/>
      <c r="X306" s="376"/>
      <c r="Y306" s="376"/>
      <c r="Z306" s="376"/>
      <c r="AA306" s="376"/>
    </row>
    <row r="307" spans="1:27" ht="12.75" customHeight="1" x14ac:dyDescent="0.25">
      <c r="A307" s="17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76"/>
      <c r="R307" s="376"/>
      <c r="S307" s="376"/>
      <c r="T307" s="376"/>
      <c r="U307" s="376"/>
      <c r="V307" s="376"/>
      <c r="W307" s="376"/>
      <c r="X307" s="376"/>
      <c r="Y307" s="376"/>
      <c r="Z307" s="376"/>
      <c r="AA307" s="376"/>
    </row>
    <row r="308" spans="1:27" ht="12.75" customHeight="1" x14ac:dyDescent="0.25">
      <c r="A308" s="17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76"/>
      <c r="R308" s="376"/>
      <c r="S308" s="376"/>
      <c r="T308" s="376"/>
      <c r="U308" s="376"/>
      <c r="V308" s="376"/>
      <c r="W308" s="376"/>
      <c r="X308" s="376"/>
      <c r="Y308" s="376"/>
      <c r="Z308" s="376"/>
      <c r="AA308" s="376"/>
    </row>
    <row r="309" spans="1:27" ht="12.75" customHeight="1" x14ac:dyDescent="0.25">
      <c r="A309" s="17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76"/>
      <c r="R309" s="376"/>
      <c r="S309" s="376"/>
      <c r="T309" s="376"/>
      <c r="U309" s="376"/>
      <c r="V309" s="376"/>
      <c r="W309" s="376"/>
      <c r="X309" s="376"/>
      <c r="Y309" s="376"/>
      <c r="Z309" s="376"/>
      <c r="AA309" s="376"/>
    </row>
    <row r="310" spans="1:27" ht="12.75" customHeight="1" x14ac:dyDescent="0.25">
      <c r="A310" s="17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76"/>
      <c r="R310" s="376"/>
      <c r="S310" s="376"/>
      <c r="T310" s="376"/>
      <c r="U310" s="376"/>
      <c r="V310" s="376"/>
      <c r="W310" s="376"/>
      <c r="X310" s="376"/>
      <c r="Y310" s="376"/>
      <c r="Z310" s="376"/>
      <c r="AA310" s="376"/>
    </row>
    <row r="311" spans="1:27" ht="12.75" customHeight="1" x14ac:dyDescent="0.25">
      <c r="A311" s="17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76"/>
      <c r="R311" s="376"/>
      <c r="S311" s="376"/>
      <c r="T311" s="376"/>
      <c r="U311" s="376"/>
      <c r="V311" s="376"/>
      <c r="W311" s="376"/>
      <c r="X311" s="376"/>
      <c r="Y311" s="376"/>
      <c r="Z311" s="376"/>
      <c r="AA311" s="376"/>
    </row>
    <row r="312" spans="1:27" ht="12.75" customHeight="1" x14ac:dyDescent="0.25">
      <c r="A312" s="17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76"/>
      <c r="R312" s="376"/>
      <c r="S312" s="376"/>
      <c r="T312" s="376"/>
      <c r="U312" s="376"/>
      <c r="V312" s="376"/>
      <c r="W312" s="376"/>
      <c r="X312" s="376"/>
      <c r="Y312" s="376"/>
      <c r="Z312" s="376"/>
      <c r="AA312" s="376"/>
    </row>
    <row r="313" spans="1:27" ht="12.75" customHeight="1" x14ac:dyDescent="0.25">
      <c r="A313" s="17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76"/>
      <c r="R313" s="376"/>
      <c r="S313" s="376"/>
      <c r="T313" s="376"/>
      <c r="U313" s="376"/>
      <c r="V313" s="376"/>
      <c r="W313" s="376"/>
      <c r="X313" s="376"/>
      <c r="Y313" s="376"/>
      <c r="Z313" s="376"/>
      <c r="AA313" s="376"/>
    </row>
    <row r="314" spans="1:27" ht="12.75" customHeight="1" x14ac:dyDescent="0.25">
      <c r="A314" s="17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76"/>
      <c r="R314" s="376"/>
      <c r="S314" s="376"/>
      <c r="T314" s="376"/>
      <c r="U314" s="376"/>
      <c r="V314" s="376"/>
      <c r="W314" s="376"/>
      <c r="X314" s="376"/>
      <c r="Y314" s="376"/>
      <c r="Z314" s="376"/>
      <c r="AA314" s="376"/>
    </row>
    <row r="315" spans="1:27" ht="12.75" customHeight="1" x14ac:dyDescent="0.25">
      <c r="A315" s="17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76"/>
      <c r="R315" s="376"/>
      <c r="S315" s="376"/>
      <c r="T315" s="376"/>
      <c r="U315" s="376"/>
      <c r="V315" s="376"/>
      <c r="W315" s="376"/>
      <c r="X315" s="376"/>
      <c r="Y315" s="376"/>
      <c r="Z315" s="376"/>
      <c r="AA315" s="376"/>
    </row>
    <row r="316" spans="1:27" ht="12.75" customHeight="1" x14ac:dyDescent="0.25">
      <c r="A316" s="17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76"/>
      <c r="R316" s="376"/>
      <c r="S316" s="376"/>
      <c r="T316" s="376"/>
      <c r="U316" s="376"/>
      <c r="V316" s="376"/>
      <c r="W316" s="376"/>
      <c r="X316" s="376"/>
      <c r="Y316" s="376"/>
      <c r="Z316" s="376"/>
      <c r="AA316" s="376"/>
    </row>
    <row r="317" spans="1:27" ht="12.75" customHeight="1" x14ac:dyDescent="0.25">
      <c r="A317" s="17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76"/>
      <c r="R317" s="376"/>
      <c r="S317" s="376"/>
      <c r="T317" s="376"/>
      <c r="U317" s="376"/>
      <c r="V317" s="376"/>
      <c r="W317" s="376"/>
      <c r="X317" s="376"/>
      <c r="Y317" s="376"/>
      <c r="Z317" s="376"/>
      <c r="AA317" s="376"/>
    </row>
    <row r="318" spans="1:27" ht="12.75" customHeight="1" x14ac:dyDescent="0.25">
      <c r="A318" s="17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76"/>
      <c r="R318" s="376"/>
      <c r="S318" s="376"/>
      <c r="T318" s="376"/>
      <c r="U318" s="376"/>
      <c r="V318" s="376"/>
      <c r="W318" s="376"/>
      <c r="X318" s="376"/>
      <c r="Y318" s="376"/>
      <c r="Z318" s="376"/>
      <c r="AA318" s="376"/>
    </row>
    <row r="319" spans="1:27" ht="12.75" customHeight="1" x14ac:dyDescent="0.25">
      <c r="A319" s="17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76"/>
      <c r="R319" s="376"/>
      <c r="S319" s="376"/>
      <c r="T319" s="376"/>
      <c r="U319" s="376"/>
      <c r="V319" s="376"/>
      <c r="W319" s="376"/>
      <c r="X319" s="376"/>
      <c r="Y319" s="376"/>
      <c r="Z319" s="376"/>
      <c r="AA319" s="376"/>
    </row>
    <row r="320" spans="1:27" ht="12.75" customHeight="1" x14ac:dyDescent="0.25">
      <c r="A320" s="17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76"/>
      <c r="R320" s="376"/>
      <c r="S320" s="376"/>
      <c r="T320" s="376"/>
      <c r="U320" s="376"/>
      <c r="V320" s="376"/>
      <c r="W320" s="376"/>
      <c r="X320" s="376"/>
      <c r="Y320" s="376"/>
      <c r="Z320" s="376"/>
      <c r="AA320" s="376"/>
    </row>
    <row r="321" spans="1:27" ht="12.75" customHeight="1" x14ac:dyDescent="0.25">
      <c r="A321" s="17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76"/>
      <c r="R321" s="376"/>
      <c r="S321" s="376"/>
      <c r="T321" s="376"/>
      <c r="U321" s="376"/>
      <c r="V321" s="376"/>
      <c r="W321" s="376"/>
      <c r="X321" s="376"/>
      <c r="Y321" s="376"/>
      <c r="Z321" s="376"/>
      <c r="AA321" s="376"/>
    </row>
    <row r="322" spans="1:27" ht="12.75" customHeight="1" x14ac:dyDescent="0.25">
      <c r="A322" s="17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76"/>
      <c r="R322" s="376"/>
      <c r="S322" s="376"/>
      <c r="T322" s="376"/>
      <c r="U322" s="376"/>
      <c r="V322" s="376"/>
      <c r="W322" s="376"/>
      <c r="X322" s="376"/>
      <c r="Y322" s="376"/>
      <c r="Z322" s="376"/>
      <c r="AA322" s="376"/>
    </row>
    <row r="323" spans="1:27" ht="12.75" customHeight="1" x14ac:dyDescent="0.25">
      <c r="A323" s="17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76"/>
      <c r="R323" s="376"/>
      <c r="S323" s="376"/>
      <c r="T323" s="376"/>
      <c r="U323" s="376"/>
      <c r="V323" s="376"/>
      <c r="W323" s="376"/>
      <c r="X323" s="376"/>
      <c r="Y323" s="376"/>
      <c r="Z323" s="376"/>
      <c r="AA323" s="376"/>
    </row>
    <row r="324" spans="1:27" ht="12.75" customHeight="1" x14ac:dyDescent="0.25">
      <c r="A324" s="17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76"/>
      <c r="R324" s="376"/>
      <c r="S324" s="376"/>
      <c r="T324" s="376"/>
      <c r="U324" s="376"/>
      <c r="V324" s="376"/>
      <c r="W324" s="376"/>
      <c r="X324" s="376"/>
      <c r="Y324" s="376"/>
      <c r="Z324" s="376"/>
      <c r="AA324" s="376"/>
    </row>
    <row r="325" spans="1:27" ht="12.75" customHeight="1" x14ac:dyDescent="0.25">
      <c r="A325" s="17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76"/>
      <c r="R325" s="376"/>
      <c r="S325" s="376"/>
      <c r="T325" s="376"/>
      <c r="U325" s="376"/>
      <c r="V325" s="376"/>
      <c r="W325" s="376"/>
      <c r="X325" s="376"/>
      <c r="Y325" s="376"/>
      <c r="Z325" s="376"/>
      <c r="AA325" s="376"/>
    </row>
    <row r="326" spans="1:27" ht="12.75" customHeight="1" x14ac:dyDescent="0.25">
      <c r="A326" s="17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76"/>
      <c r="R326" s="376"/>
      <c r="S326" s="376"/>
      <c r="T326" s="376"/>
      <c r="U326" s="376"/>
      <c r="V326" s="376"/>
      <c r="W326" s="376"/>
      <c r="X326" s="376"/>
      <c r="Y326" s="376"/>
      <c r="Z326" s="376"/>
      <c r="AA326" s="376"/>
    </row>
    <row r="327" spans="1:27" ht="12.75" customHeight="1" x14ac:dyDescent="0.25">
      <c r="A327" s="17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76"/>
      <c r="R327" s="376"/>
      <c r="S327" s="376"/>
      <c r="T327" s="376"/>
      <c r="U327" s="376"/>
      <c r="V327" s="376"/>
      <c r="W327" s="376"/>
      <c r="X327" s="376"/>
      <c r="Y327" s="376"/>
      <c r="Z327" s="376"/>
      <c r="AA327" s="376"/>
    </row>
    <row r="328" spans="1:27" ht="12.75" customHeight="1" x14ac:dyDescent="0.25">
      <c r="A328" s="17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76"/>
      <c r="R328" s="376"/>
      <c r="S328" s="376"/>
      <c r="T328" s="376"/>
      <c r="U328" s="376"/>
      <c r="V328" s="376"/>
      <c r="W328" s="376"/>
      <c r="X328" s="376"/>
      <c r="Y328" s="376"/>
      <c r="Z328" s="376"/>
      <c r="AA328" s="376"/>
    </row>
    <row r="329" spans="1:27" ht="12.75" customHeight="1" x14ac:dyDescent="0.25">
      <c r="A329" s="17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76"/>
      <c r="R329" s="376"/>
      <c r="S329" s="376"/>
      <c r="T329" s="376"/>
      <c r="U329" s="376"/>
      <c r="V329" s="376"/>
      <c r="W329" s="376"/>
      <c r="X329" s="376"/>
      <c r="Y329" s="376"/>
      <c r="Z329" s="376"/>
      <c r="AA329" s="376"/>
    </row>
    <row r="330" spans="1:27" ht="12.75" customHeight="1" x14ac:dyDescent="0.25">
      <c r="A330" s="17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76"/>
      <c r="R330" s="376"/>
      <c r="S330" s="376"/>
      <c r="T330" s="376"/>
      <c r="U330" s="376"/>
      <c r="V330" s="376"/>
      <c r="W330" s="376"/>
      <c r="X330" s="376"/>
      <c r="Y330" s="376"/>
      <c r="Z330" s="376"/>
      <c r="AA330" s="376"/>
    </row>
    <row r="331" spans="1:27" ht="12.75" customHeight="1" x14ac:dyDescent="0.25">
      <c r="A331" s="17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76"/>
      <c r="R331" s="376"/>
      <c r="S331" s="376"/>
      <c r="T331" s="376"/>
      <c r="U331" s="376"/>
      <c r="V331" s="376"/>
      <c r="W331" s="376"/>
      <c r="X331" s="376"/>
      <c r="Y331" s="376"/>
      <c r="Z331" s="376"/>
      <c r="AA331" s="376"/>
    </row>
    <row r="332" spans="1:27" ht="12.75" customHeight="1" x14ac:dyDescent="0.25">
      <c r="A332" s="17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76"/>
      <c r="R332" s="376"/>
      <c r="S332" s="376"/>
      <c r="T332" s="376"/>
      <c r="U332" s="376"/>
      <c r="V332" s="376"/>
      <c r="W332" s="376"/>
      <c r="X332" s="376"/>
      <c r="Y332" s="376"/>
      <c r="Z332" s="376"/>
      <c r="AA332" s="376"/>
    </row>
    <row r="333" spans="1:27" ht="12.75" customHeight="1" x14ac:dyDescent="0.25">
      <c r="A333" s="17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76"/>
      <c r="R333" s="376"/>
      <c r="S333" s="376"/>
      <c r="T333" s="376"/>
      <c r="U333" s="376"/>
      <c r="V333" s="376"/>
      <c r="W333" s="376"/>
      <c r="X333" s="376"/>
      <c r="Y333" s="376"/>
      <c r="Z333" s="376"/>
      <c r="AA333" s="376"/>
    </row>
    <row r="334" spans="1:27" ht="12.75" customHeight="1" x14ac:dyDescent="0.25">
      <c r="A334" s="17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76"/>
      <c r="R334" s="376"/>
      <c r="S334" s="376"/>
      <c r="T334" s="376"/>
      <c r="U334" s="376"/>
      <c r="V334" s="376"/>
      <c r="W334" s="376"/>
      <c r="X334" s="376"/>
      <c r="Y334" s="376"/>
      <c r="Z334" s="376"/>
      <c r="AA334" s="376"/>
    </row>
    <row r="335" spans="1:27" ht="12.75" customHeight="1" x14ac:dyDescent="0.25">
      <c r="A335" s="17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76"/>
      <c r="R335" s="376"/>
      <c r="S335" s="376"/>
      <c r="T335" s="376"/>
      <c r="U335" s="376"/>
      <c r="V335" s="376"/>
      <c r="W335" s="376"/>
      <c r="X335" s="376"/>
      <c r="Y335" s="376"/>
      <c r="Z335" s="376"/>
      <c r="AA335" s="376"/>
    </row>
    <row r="336" spans="1:27" ht="12.75" customHeight="1" x14ac:dyDescent="0.25">
      <c r="A336" s="17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76"/>
      <c r="R336" s="376"/>
      <c r="S336" s="376"/>
      <c r="T336" s="376"/>
      <c r="U336" s="376"/>
      <c r="V336" s="376"/>
      <c r="W336" s="376"/>
      <c r="X336" s="376"/>
      <c r="Y336" s="376"/>
      <c r="Z336" s="376"/>
      <c r="AA336" s="376"/>
    </row>
    <row r="337" spans="1:27" ht="12.75" customHeight="1" x14ac:dyDescent="0.25">
      <c r="A337" s="17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76"/>
      <c r="R337" s="376"/>
      <c r="S337" s="376"/>
      <c r="T337" s="376"/>
      <c r="U337" s="376"/>
      <c r="V337" s="376"/>
      <c r="W337" s="376"/>
      <c r="X337" s="376"/>
      <c r="Y337" s="376"/>
      <c r="Z337" s="376"/>
      <c r="AA337" s="376"/>
    </row>
    <row r="338" spans="1:27" ht="12.75" customHeight="1" x14ac:dyDescent="0.25">
      <c r="A338" s="17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76"/>
      <c r="R338" s="376"/>
      <c r="S338" s="376"/>
      <c r="T338" s="376"/>
      <c r="U338" s="376"/>
      <c r="V338" s="376"/>
      <c r="W338" s="376"/>
      <c r="X338" s="376"/>
      <c r="Y338" s="376"/>
      <c r="Z338" s="376"/>
      <c r="AA338" s="376"/>
    </row>
    <row r="339" spans="1:27" ht="12.75" customHeight="1" x14ac:dyDescent="0.25">
      <c r="A339" s="17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76"/>
      <c r="R339" s="376"/>
      <c r="S339" s="376"/>
      <c r="T339" s="376"/>
      <c r="U339" s="376"/>
      <c r="V339" s="376"/>
      <c r="W339" s="376"/>
      <c r="X339" s="376"/>
      <c r="Y339" s="376"/>
      <c r="Z339" s="376"/>
      <c r="AA339" s="376"/>
    </row>
    <row r="340" spans="1:27" ht="12.75" customHeight="1" x14ac:dyDescent="0.25">
      <c r="A340" s="17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76"/>
      <c r="R340" s="376"/>
      <c r="S340" s="376"/>
      <c r="T340" s="376"/>
      <c r="U340" s="376"/>
      <c r="V340" s="376"/>
      <c r="W340" s="376"/>
      <c r="X340" s="376"/>
      <c r="Y340" s="376"/>
      <c r="Z340" s="376"/>
      <c r="AA340" s="376"/>
    </row>
    <row r="341" spans="1:27" ht="12.75" customHeight="1" x14ac:dyDescent="0.25">
      <c r="A341" s="17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76"/>
      <c r="R341" s="376"/>
      <c r="S341" s="376"/>
      <c r="T341" s="376"/>
      <c r="U341" s="376"/>
      <c r="V341" s="376"/>
      <c r="W341" s="376"/>
      <c r="X341" s="376"/>
      <c r="Y341" s="376"/>
      <c r="Z341" s="376"/>
      <c r="AA341" s="376"/>
    </row>
    <row r="342" spans="1:27" ht="12.75" customHeight="1" x14ac:dyDescent="0.25">
      <c r="A342" s="17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76"/>
      <c r="R342" s="376"/>
      <c r="S342" s="376"/>
      <c r="T342" s="376"/>
      <c r="U342" s="376"/>
      <c r="V342" s="376"/>
      <c r="W342" s="376"/>
      <c r="X342" s="376"/>
      <c r="Y342" s="376"/>
      <c r="Z342" s="376"/>
      <c r="AA342" s="376"/>
    </row>
    <row r="343" spans="1:27" ht="12.75" customHeight="1" x14ac:dyDescent="0.25">
      <c r="A343" s="17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76"/>
      <c r="R343" s="376"/>
      <c r="S343" s="376"/>
      <c r="T343" s="376"/>
      <c r="U343" s="376"/>
      <c r="V343" s="376"/>
      <c r="W343" s="376"/>
      <c r="X343" s="376"/>
      <c r="Y343" s="376"/>
      <c r="Z343" s="376"/>
      <c r="AA343" s="376"/>
    </row>
    <row r="344" spans="1:27" ht="12.75" customHeight="1" x14ac:dyDescent="0.25">
      <c r="A344" s="17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76"/>
      <c r="R344" s="376"/>
      <c r="S344" s="376"/>
      <c r="T344" s="376"/>
      <c r="U344" s="376"/>
      <c r="V344" s="376"/>
      <c r="W344" s="376"/>
      <c r="X344" s="376"/>
      <c r="Y344" s="376"/>
      <c r="Z344" s="376"/>
      <c r="AA344" s="376"/>
    </row>
    <row r="345" spans="1:27" ht="12.75" customHeight="1" x14ac:dyDescent="0.25">
      <c r="A345" s="17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76"/>
      <c r="R345" s="376"/>
      <c r="S345" s="376"/>
      <c r="T345" s="376"/>
      <c r="U345" s="376"/>
      <c r="V345" s="376"/>
      <c r="W345" s="376"/>
      <c r="X345" s="376"/>
      <c r="Y345" s="376"/>
      <c r="Z345" s="376"/>
      <c r="AA345" s="376"/>
    </row>
    <row r="346" spans="1:27" ht="12.75" customHeight="1" x14ac:dyDescent="0.25">
      <c r="A346" s="17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76"/>
      <c r="R346" s="376"/>
      <c r="S346" s="376"/>
      <c r="T346" s="376"/>
      <c r="U346" s="376"/>
      <c r="V346" s="376"/>
      <c r="W346" s="376"/>
      <c r="X346" s="376"/>
      <c r="Y346" s="376"/>
      <c r="Z346" s="376"/>
      <c r="AA346" s="376"/>
    </row>
    <row r="347" spans="1:27" ht="12.75" customHeight="1" x14ac:dyDescent="0.25">
      <c r="A347" s="17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376"/>
    </row>
    <row r="348" spans="1:27" ht="12.75" customHeight="1" x14ac:dyDescent="0.25">
      <c r="A348" s="17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76"/>
      <c r="R348" s="376"/>
      <c r="S348" s="376"/>
      <c r="T348" s="376"/>
      <c r="U348" s="376"/>
      <c r="V348" s="376"/>
      <c r="W348" s="376"/>
      <c r="X348" s="376"/>
      <c r="Y348" s="376"/>
      <c r="Z348" s="376"/>
      <c r="AA348" s="376"/>
    </row>
    <row r="349" spans="1:27" ht="12.75" customHeight="1" x14ac:dyDescent="0.25">
      <c r="A349" s="17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76"/>
      <c r="R349" s="376"/>
      <c r="S349" s="376"/>
      <c r="T349" s="376"/>
      <c r="U349" s="376"/>
      <c r="V349" s="376"/>
      <c r="W349" s="376"/>
      <c r="X349" s="376"/>
      <c r="Y349" s="376"/>
      <c r="Z349" s="376"/>
      <c r="AA349" s="376"/>
    </row>
    <row r="350" spans="1:27" ht="12.75" customHeight="1" x14ac:dyDescent="0.25">
      <c r="A350" s="17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76"/>
      <c r="R350" s="376"/>
      <c r="S350" s="376"/>
      <c r="T350" s="376"/>
      <c r="U350" s="376"/>
      <c r="V350" s="376"/>
      <c r="W350" s="376"/>
      <c r="X350" s="376"/>
      <c r="Y350" s="376"/>
      <c r="Z350" s="376"/>
      <c r="AA350" s="376"/>
    </row>
    <row r="351" spans="1:27" ht="12.75" customHeight="1" x14ac:dyDescent="0.25">
      <c r="A351" s="17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76"/>
      <c r="R351" s="376"/>
      <c r="S351" s="376"/>
      <c r="T351" s="376"/>
      <c r="U351" s="376"/>
      <c r="V351" s="376"/>
      <c r="W351" s="376"/>
      <c r="X351" s="376"/>
      <c r="Y351" s="376"/>
      <c r="Z351" s="376"/>
      <c r="AA351" s="376"/>
    </row>
    <row r="352" spans="1:27" ht="12.75" customHeight="1" x14ac:dyDescent="0.25">
      <c r="A352" s="17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76"/>
      <c r="R352" s="376"/>
      <c r="S352" s="376"/>
      <c r="T352" s="376"/>
      <c r="U352" s="376"/>
      <c r="V352" s="376"/>
      <c r="W352" s="376"/>
      <c r="X352" s="376"/>
      <c r="Y352" s="376"/>
      <c r="Z352" s="376"/>
      <c r="AA352" s="376"/>
    </row>
    <row r="353" spans="1:27" ht="12.75" customHeight="1" x14ac:dyDescent="0.25">
      <c r="A353" s="17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76"/>
      <c r="R353" s="376"/>
      <c r="S353" s="376"/>
      <c r="T353" s="376"/>
      <c r="U353" s="376"/>
      <c r="V353" s="376"/>
      <c r="W353" s="376"/>
      <c r="X353" s="376"/>
      <c r="Y353" s="376"/>
      <c r="Z353" s="376"/>
      <c r="AA353" s="376"/>
    </row>
    <row r="354" spans="1:27" ht="12.75" customHeight="1" x14ac:dyDescent="0.25">
      <c r="A354" s="17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76"/>
      <c r="R354" s="376"/>
      <c r="S354" s="376"/>
      <c r="T354" s="376"/>
      <c r="U354" s="376"/>
      <c r="V354" s="376"/>
      <c r="W354" s="376"/>
      <c r="X354" s="376"/>
      <c r="Y354" s="376"/>
      <c r="Z354" s="376"/>
      <c r="AA354" s="376"/>
    </row>
    <row r="355" spans="1:27" ht="12.75" customHeight="1" x14ac:dyDescent="0.25">
      <c r="A355" s="17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76"/>
      <c r="R355" s="376"/>
      <c r="S355" s="376"/>
      <c r="T355" s="376"/>
      <c r="U355" s="376"/>
      <c r="V355" s="376"/>
      <c r="W355" s="376"/>
      <c r="X355" s="376"/>
      <c r="Y355" s="376"/>
      <c r="Z355" s="376"/>
      <c r="AA355" s="376"/>
    </row>
    <row r="356" spans="1:27" ht="12.75" customHeight="1" x14ac:dyDescent="0.25">
      <c r="A356" s="17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76"/>
      <c r="R356" s="376"/>
      <c r="S356" s="376"/>
      <c r="T356" s="376"/>
      <c r="U356" s="376"/>
      <c r="V356" s="376"/>
      <c r="W356" s="376"/>
      <c r="X356" s="376"/>
      <c r="Y356" s="376"/>
      <c r="Z356" s="376"/>
      <c r="AA356" s="376"/>
    </row>
    <row r="357" spans="1:27" ht="12.75" customHeight="1" x14ac:dyDescent="0.25">
      <c r="A357" s="17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76"/>
      <c r="R357" s="376"/>
      <c r="S357" s="376"/>
      <c r="T357" s="376"/>
      <c r="U357" s="376"/>
      <c r="V357" s="376"/>
      <c r="W357" s="376"/>
      <c r="X357" s="376"/>
      <c r="Y357" s="376"/>
      <c r="Z357" s="376"/>
      <c r="AA357" s="376"/>
    </row>
    <row r="358" spans="1:27" ht="12.75" customHeight="1" x14ac:dyDescent="0.25">
      <c r="A358" s="17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76"/>
      <c r="R358" s="376"/>
      <c r="S358" s="376"/>
      <c r="T358" s="376"/>
      <c r="U358" s="376"/>
      <c r="V358" s="376"/>
      <c r="W358" s="376"/>
      <c r="X358" s="376"/>
      <c r="Y358" s="376"/>
      <c r="Z358" s="376"/>
      <c r="AA358" s="376"/>
    </row>
    <row r="359" spans="1:27" ht="12.75" customHeight="1" x14ac:dyDescent="0.25">
      <c r="A359" s="17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76"/>
      <c r="R359" s="376"/>
      <c r="S359" s="376"/>
      <c r="T359" s="376"/>
      <c r="U359" s="376"/>
      <c r="V359" s="376"/>
      <c r="W359" s="376"/>
      <c r="X359" s="376"/>
      <c r="Y359" s="376"/>
      <c r="Z359" s="376"/>
      <c r="AA359" s="376"/>
    </row>
    <row r="360" spans="1:27" ht="12.75" customHeight="1" x14ac:dyDescent="0.25">
      <c r="A360" s="17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76"/>
      <c r="R360" s="376"/>
      <c r="S360" s="376"/>
      <c r="T360" s="376"/>
      <c r="U360" s="376"/>
      <c r="V360" s="376"/>
      <c r="W360" s="376"/>
      <c r="X360" s="376"/>
      <c r="Y360" s="376"/>
      <c r="Z360" s="376"/>
      <c r="AA360" s="376"/>
    </row>
    <row r="361" spans="1:27" ht="12.75" customHeight="1" x14ac:dyDescent="0.25">
      <c r="A361" s="17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</row>
    <row r="362" spans="1:27" ht="12.75" customHeight="1" x14ac:dyDescent="0.25">
      <c r="A362" s="17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</row>
    <row r="363" spans="1:27" ht="12.75" customHeight="1" x14ac:dyDescent="0.25">
      <c r="A363" s="17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</row>
    <row r="364" spans="1:27" ht="12.75" customHeight="1" x14ac:dyDescent="0.25">
      <c r="A364" s="17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76"/>
      <c r="R364" s="376"/>
      <c r="S364" s="376"/>
      <c r="T364" s="376"/>
      <c r="U364" s="376"/>
      <c r="V364" s="376"/>
      <c r="W364" s="376"/>
      <c r="X364" s="376"/>
      <c r="Y364" s="376"/>
      <c r="Z364" s="376"/>
      <c r="AA364" s="376"/>
    </row>
    <row r="365" spans="1:27" ht="12.75" customHeight="1" x14ac:dyDescent="0.25">
      <c r="A365" s="17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76"/>
      <c r="R365" s="376"/>
      <c r="S365" s="376"/>
      <c r="T365" s="376"/>
      <c r="U365" s="376"/>
      <c r="V365" s="376"/>
      <c r="W365" s="376"/>
      <c r="X365" s="376"/>
      <c r="Y365" s="376"/>
      <c r="Z365" s="376"/>
      <c r="AA365" s="376"/>
    </row>
    <row r="366" spans="1:27" ht="12.75" customHeight="1" x14ac:dyDescent="0.25">
      <c r="A366" s="17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76"/>
      <c r="R366" s="376"/>
      <c r="S366" s="376"/>
      <c r="T366" s="376"/>
      <c r="U366" s="376"/>
      <c r="V366" s="376"/>
      <c r="W366" s="376"/>
      <c r="X366" s="376"/>
      <c r="Y366" s="376"/>
      <c r="Z366" s="376"/>
      <c r="AA366" s="376"/>
    </row>
    <row r="367" spans="1:27" ht="12.75" customHeight="1" x14ac:dyDescent="0.25">
      <c r="A367" s="17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76"/>
      <c r="R367" s="376"/>
      <c r="S367" s="376"/>
      <c r="T367" s="376"/>
      <c r="U367" s="376"/>
      <c r="V367" s="376"/>
      <c r="W367" s="376"/>
      <c r="X367" s="376"/>
      <c r="Y367" s="376"/>
      <c r="Z367" s="376"/>
      <c r="AA367" s="376"/>
    </row>
    <row r="368" spans="1:27" ht="12.75" customHeight="1" x14ac:dyDescent="0.25">
      <c r="A368" s="17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76"/>
      <c r="R368" s="376"/>
      <c r="S368" s="376"/>
      <c r="T368" s="376"/>
      <c r="U368" s="376"/>
      <c r="V368" s="376"/>
      <c r="W368" s="376"/>
      <c r="X368" s="376"/>
      <c r="Y368" s="376"/>
      <c r="Z368" s="376"/>
      <c r="AA368" s="376"/>
    </row>
    <row r="369" spans="1:27" ht="12.75" customHeight="1" x14ac:dyDescent="0.25">
      <c r="A369" s="17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76"/>
      <c r="R369" s="376"/>
      <c r="S369" s="376"/>
      <c r="T369" s="376"/>
      <c r="U369" s="376"/>
      <c r="V369" s="376"/>
      <c r="W369" s="376"/>
      <c r="X369" s="376"/>
      <c r="Y369" s="376"/>
      <c r="Z369" s="376"/>
      <c r="AA369" s="376"/>
    </row>
    <row r="370" spans="1:27" ht="12.75" customHeight="1" x14ac:dyDescent="0.25">
      <c r="A370" s="17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76"/>
      <c r="R370" s="376"/>
      <c r="S370" s="376"/>
      <c r="T370" s="376"/>
      <c r="U370" s="376"/>
      <c r="V370" s="376"/>
      <c r="W370" s="376"/>
      <c r="X370" s="376"/>
      <c r="Y370" s="376"/>
      <c r="Z370" s="376"/>
      <c r="AA370" s="376"/>
    </row>
    <row r="371" spans="1:27" ht="12.75" customHeight="1" x14ac:dyDescent="0.25">
      <c r="A371" s="17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76"/>
      <c r="R371" s="376"/>
      <c r="S371" s="376"/>
      <c r="T371" s="376"/>
      <c r="U371" s="376"/>
      <c r="V371" s="376"/>
      <c r="W371" s="376"/>
      <c r="X371" s="376"/>
      <c r="Y371" s="376"/>
      <c r="Z371" s="376"/>
      <c r="AA371" s="376"/>
    </row>
    <row r="372" spans="1:27" ht="12.75" customHeight="1" x14ac:dyDescent="0.25">
      <c r="A372" s="17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76"/>
      <c r="R372" s="376"/>
      <c r="S372" s="376"/>
      <c r="T372" s="376"/>
      <c r="U372" s="376"/>
      <c r="V372" s="376"/>
      <c r="W372" s="376"/>
      <c r="X372" s="376"/>
      <c r="Y372" s="376"/>
      <c r="Z372" s="376"/>
      <c r="AA372" s="376"/>
    </row>
    <row r="373" spans="1:27" ht="12.75" customHeight="1" x14ac:dyDescent="0.25">
      <c r="A373" s="17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76"/>
      <c r="R373" s="376"/>
      <c r="S373" s="376"/>
      <c r="T373" s="376"/>
      <c r="U373" s="376"/>
      <c r="V373" s="376"/>
      <c r="W373" s="376"/>
      <c r="X373" s="376"/>
      <c r="Y373" s="376"/>
      <c r="Z373" s="376"/>
      <c r="AA373" s="376"/>
    </row>
    <row r="374" spans="1:27" ht="12.75" customHeight="1" x14ac:dyDescent="0.25">
      <c r="A374" s="17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76"/>
      <c r="R374" s="376"/>
      <c r="S374" s="376"/>
      <c r="T374" s="376"/>
      <c r="U374" s="376"/>
      <c r="V374" s="376"/>
      <c r="W374" s="376"/>
      <c r="X374" s="376"/>
      <c r="Y374" s="376"/>
      <c r="Z374" s="376"/>
      <c r="AA374" s="376"/>
    </row>
    <row r="375" spans="1:27" ht="12.75" customHeight="1" x14ac:dyDescent="0.25">
      <c r="A375" s="17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76"/>
      <c r="R375" s="376"/>
      <c r="S375" s="376"/>
      <c r="T375" s="376"/>
      <c r="U375" s="376"/>
      <c r="V375" s="376"/>
      <c r="W375" s="376"/>
      <c r="X375" s="376"/>
      <c r="Y375" s="376"/>
      <c r="Z375" s="376"/>
      <c r="AA375" s="376"/>
    </row>
    <row r="376" spans="1:27" ht="12.75" customHeight="1" x14ac:dyDescent="0.25">
      <c r="A376" s="17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76"/>
      <c r="R376" s="376"/>
      <c r="S376" s="376"/>
      <c r="T376" s="376"/>
      <c r="U376" s="376"/>
      <c r="V376" s="376"/>
      <c r="W376" s="376"/>
      <c r="X376" s="376"/>
      <c r="Y376" s="376"/>
      <c r="Z376" s="376"/>
      <c r="AA376" s="376"/>
    </row>
    <row r="377" spans="1:27" ht="12.75" customHeight="1" x14ac:dyDescent="0.25">
      <c r="A377" s="17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76"/>
      <c r="R377" s="376"/>
      <c r="S377" s="376"/>
      <c r="T377" s="376"/>
      <c r="U377" s="376"/>
      <c r="V377" s="376"/>
      <c r="W377" s="376"/>
      <c r="X377" s="376"/>
      <c r="Y377" s="376"/>
      <c r="Z377" s="376"/>
      <c r="AA377" s="376"/>
    </row>
    <row r="378" spans="1:27" ht="12.75" customHeight="1" x14ac:dyDescent="0.25">
      <c r="A378" s="17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76"/>
      <c r="R378" s="376"/>
      <c r="S378" s="376"/>
      <c r="T378" s="376"/>
      <c r="U378" s="376"/>
      <c r="V378" s="376"/>
      <c r="W378" s="376"/>
      <c r="X378" s="376"/>
      <c r="Y378" s="376"/>
      <c r="Z378" s="376"/>
      <c r="AA378" s="376"/>
    </row>
    <row r="379" spans="1:27" ht="12.75" customHeight="1" x14ac:dyDescent="0.25">
      <c r="A379" s="17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76"/>
      <c r="R379" s="376"/>
      <c r="S379" s="376"/>
      <c r="T379" s="376"/>
      <c r="U379" s="376"/>
      <c r="V379" s="376"/>
      <c r="W379" s="376"/>
      <c r="X379" s="376"/>
      <c r="Y379" s="376"/>
      <c r="Z379" s="376"/>
      <c r="AA379" s="376"/>
    </row>
    <row r="380" spans="1:27" ht="12.75" customHeight="1" x14ac:dyDescent="0.25">
      <c r="A380" s="17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76"/>
      <c r="R380" s="376"/>
      <c r="S380" s="376"/>
      <c r="T380" s="376"/>
      <c r="U380" s="376"/>
      <c r="V380" s="376"/>
      <c r="W380" s="376"/>
      <c r="X380" s="376"/>
      <c r="Y380" s="376"/>
      <c r="Z380" s="376"/>
      <c r="AA380" s="376"/>
    </row>
    <row r="381" spans="1:27" ht="12.75" customHeight="1" x14ac:dyDescent="0.25">
      <c r="A381" s="17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76"/>
      <c r="R381" s="376"/>
      <c r="S381" s="376"/>
      <c r="T381" s="376"/>
      <c r="U381" s="376"/>
      <c r="V381" s="376"/>
      <c r="W381" s="376"/>
      <c r="X381" s="376"/>
      <c r="Y381" s="376"/>
      <c r="Z381" s="376"/>
      <c r="AA381" s="376"/>
    </row>
    <row r="382" spans="1:27" ht="12.75" customHeight="1" x14ac:dyDescent="0.25">
      <c r="A382" s="17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76"/>
      <c r="R382" s="376"/>
      <c r="S382" s="376"/>
      <c r="T382" s="376"/>
      <c r="U382" s="376"/>
      <c r="V382" s="376"/>
      <c r="W382" s="376"/>
      <c r="X382" s="376"/>
      <c r="Y382" s="376"/>
      <c r="Z382" s="376"/>
      <c r="AA382" s="376"/>
    </row>
    <row r="383" spans="1:27" ht="12.75" customHeight="1" x14ac:dyDescent="0.25">
      <c r="A383" s="17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76"/>
      <c r="R383" s="376"/>
      <c r="S383" s="376"/>
      <c r="T383" s="376"/>
      <c r="U383" s="376"/>
      <c r="V383" s="376"/>
      <c r="W383" s="376"/>
      <c r="X383" s="376"/>
      <c r="Y383" s="376"/>
      <c r="Z383" s="376"/>
      <c r="AA383" s="376"/>
    </row>
    <row r="384" spans="1:27" ht="12.75" customHeight="1" x14ac:dyDescent="0.25">
      <c r="A384" s="17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76"/>
      <c r="R384" s="376"/>
      <c r="S384" s="376"/>
      <c r="T384" s="376"/>
      <c r="U384" s="376"/>
      <c r="V384" s="376"/>
      <c r="W384" s="376"/>
      <c r="X384" s="376"/>
      <c r="Y384" s="376"/>
      <c r="Z384" s="376"/>
      <c r="AA384" s="376"/>
    </row>
    <row r="385" spans="1:27" ht="12.75" customHeight="1" x14ac:dyDescent="0.25">
      <c r="A385" s="17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76"/>
      <c r="R385" s="376"/>
      <c r="S385" s="376"/>
      <c r="T385" s="376"/>
      <c r="U385" s="376"/>
      <c r="V385" s="376"/>
      <c r="W385" s="376"/>
      <c r="X385" s="376"/>
      <c r="Y385" s="376"/>
      <c r="Z385" s="376"/>
      <c r="AA385" s="376"/>
    </row>
    <row r="386" spans="1:27" ht="12.75" customHeight="1" x14ac:dyDescent="0.25">
      <c r="A386" s="17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76"/>
      <c r="R386" s="376"/>
      <c r="S386" s="376"/>
      <c r="T386" s="376"/>
      <c r="U386" s="376"/>
      <c r="V386" s="376"/>
      <c r="W386" s="376"/>
      <c r="X386" s="376"/>
      <c r="Y386" s="376"/>
      <c r="Z386" s="376"/>
      <c r="AA386" s="376"/>
    </row>
    <row r="387" spans="1:27" ht="12.75" customHeight="1" x14ac:dyDescent="0.25">
      <c r="A387" s="17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76"/>
      <c r="R387" s="376"/>
      <c r="S387" s="376"/>
      <c r="T387" s="376"/>
      <c r="U387" s="376"/>
      <c r="V387" s="376"/>
      <c r="W387" s="376"/>
      <c r="X387" s="376"/>
      <c r="Y387" s="376"/>
      <c r="Z387" s="376"/>
      <c r="AA387" s="376"/>
    </row>
    <row r="388" spans="1:27" ht="12.75" customHeight="1" x14ac:dyDescent="0.25">
      <c r="A388" s="17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76"/>
      <c r="R388" s="376"/>
      <c r="S388" s="376"/>
      <c r="T388" s="376"/>
      <c r="U388" s="376"/>
      <c r="V388" s="376"/>
      <c r="W388" s="376"/>
      <c r="X388" s="376"/>
      <c r="Y388" s="376"/>
      <c r="Z388" s="376"/>
      <c r="AA388" s="376"/>
    </row>
    <row r="389" spans="1:27" ht="12.75" customHeight="1" x14ac:dyDescent="0.25">
      <c r="A389" s="17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76"/>
      <c r="R389" s="376"/>
      <c r="S389" s="376"/>
      <c r="T389" s="376"/>
      <c r="U389" s="376"/>
      <c r="V389" s="376"/>
      <c r="W389" s="376"/>
      <c r="X389" s="376"/>
      <c r="Y389" s="376"/>
      <c r="Z389" s="376"/>
      <c r="AA389" s="376"/>
    </row>
    <row r="390" spans="1:27" ht="12.75" customHeight="1" x14ac:dyDescent="0.25">
      <c r="A390" s="17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76"/>
      <c r="R390" s="376"/>
      <c r="S390" s="376"/>
      <c r="T390" s="376"/>
      <c r="U390" s="376"/>
      <c r="V390" s="376"/>
      <c r="W390" s="376"/>
      <c r="X390" s="376"/>
      <c r="Y390" s="376"/>
      <c r="Z390" s="376"/>
      <c r="AA390" s="376"/>
    </row>
    <row r="391" spans="1:27" ht="12.75" customHeight="1" x14ac:dyDescent="0.25">
      <c r="A391" s="17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76"/>
      <c r="R391" s="376"/>
      <c r="S391" s="376"/>
      <c r="T391" s="376"/>
      <c r="U391" s="376"/>
      <c r="V391" s="376"/>
      <c r="W391" s="376"/>
      <c r="X391" s="376"/>
      <c r="Y391" s="376"/>
      <c r="Z391" s="376"/>
      <c r="AA391" s="376"/>
    </row>
    <row r="392" spans="1:27" ht="12.75" customHeight="1" x14ac:dyDescent="0.25">
      <c r="A392" s="17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76"/>
      <c r="R392" s="376"/>
      <c r="S392" s="376"/>
      <c r="T392" s="376"/>
      <c r="U392" s="376"/>
      <c r="V392" s="376"/>
      <c r="W392" s="376"/>
      <c r="X392" s="376"/>
      <c r="Y392" s="376"/>
      <c r="Z392" s="376"/>
      <c r="AA392" s="376"/>
    </row>
    <row r="393" spans="1:27" ht="12.75" customHeight="1" x14ac:dyDescent="0.25">
      <c r="A393" s="17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76"/>
      <c r="R393" s="376"/>
      <c r="S393" s="376"/>
      <c r="T393" s="376"/>
      <c r="U393" s="376"/>
      <c r="V393" s="376"/>
      <c r="W393" s="376"/>
      <c r="X393" s="376"/>
      <c r="Y393" s="376"/>
      <c r="Z393" s="376"/>
      <c r="AA393" s="376"/>
    </row>
    <row r="394" spans="1:27" ht="12.75" customHeight="1" x14ac:dyDescent="0.25">
      <c r="A394" s="17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76"/>
      <c r="R394" s="376"/>
      <c r="S394" s="376"/>
      <c r="T394" s="376"/>
      <c r="U394" s="376"/>
      <c r="V394" s="376"/>
      <c r="W394" s="376"/>
      <c r="X394" s="376"/>
      <c r="Y394" s="376"/>
      <c r="Z394" s="376"/>
      <c r="AA394" s="376"/>
    </row>
    <row r="395" spans="1:27" ht="12.75" customHeight="1" x14ac:dyDescent="0.25">
      <c r="A395" s="17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76"/>
      <c r="R395" s="376"/>
      <c r="S395" s="376"/>
      <c r="T395" s="376"/>
      <c r="U395" s="376"/>
      <c r="V395" s="376"/>
      <c r="W395" s="376"/>
      <c r="X395" s="376"/>
      <c r="Y395" s="376"/>
      <c r="Z395" s="376"/>
      <c r="AA395" s="376"/>
    </row>
    <row r="396" spans="1:27" ht="12.75" customHeight="1" x14ac:dyDescent="0.25">
      <c r="A396" s="17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76"/>
      <c r="R396" s="376"/>
      <c r="S396" s="376"/>
      <c r="T396" s="376"/>
      <c r="U396" s="376"/>
      <c r="V396" s="376"/>
      <c r="W396" s="376"/>
      <c r="X396" s="376"/>
      <c r="Y396" s="376"/>
      <c r="Z396" s="376"/>
      <c r="AA396" s="376"/>
    </row>
    <row r="397" spans="1:27" ht="12.75" customHeight="1" x14ac:dyDescent="0.25">
      <c r="A397" s="17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76"/>
      <c r="R397" s="376"/>
      <c r="S397" s="376"/>
      <c r="T397" s="376"/>
      <c r="U397" s="376"/>
      <c r="V397" s="376"/>
      <c r="W397" s="376"/>
      <c r="X397" s="376"/>
      <c r="Y397" s="376"/>
      <c r="Z397" s="376"/>
      <c r="AA397" s="376"/>
    </row>
    <row r="398" spans="1:27" ht="12.75" customHeight="1" x14ac:dyDescent="0.25">
      <c r="A398" s="17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76"/>
      <c r="R398" s="376"/>
      <c r="S398" s="376"/>
      <c r="T398" s="376"/>
      <c r="U398" s="376"/>
      <c r="V398" s="376"/>
      <c r="W398" s="376"/>
      <c r="X398" s="376"/>
      <c r="Y398" s="376"/>
      <c r="Z398" s="376"/>
      <c r="AA398" s="376"/>
    </row>
    <row r="399" spans="1:27" ht="12.75" customHeight="1" x14ac:dyDescent="0.25">
      <c r="A399" s="17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76"/>
      <c r="R399" s="376"/>
      <c r="S399" s="376"/>
      <c r="T399" s="376"/>
      <c r="U399" s="376"/>
      <c r="V399" s="376"/>
      <c r="W399" s="376"/>
      <c r="X399" s="376"/>
      <c r="Y399" s="376"/>
      <c r="Z399" s="376"/>
      <c r="AA399" s="376"/>
    </row>
    <row r="400" spans="1:27" ht="12.75" customHeight="1" x14ac:dyDescent="0.25">
      <c r="A400" s="17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76"/>
      <c r="R400" s="376"/>
      <c r="S400" s="376"/>
      <c r="T400" s="376"/>
      <c r="U400" s="376"/>
      <c r="V400" s="376"/>
      <c r="W400" s="376"/>
      <c r="X400" s="376"/>
      <c r="Y400" s="376"/>
      <c r="Z400" s="376"/>
      <c r="AA400" s="376"/>
    </row>
    <row r="401" spans="1:27" ht="12.75" customHeight="1" x14ac:dyDescent="0.25">
      <c r="A401" s="17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76"/>
      <c r="R401" s="376"/>
      <c r="S401" s="376"/>
      <c r="T401" s="376"/>
      <c r="U401" s="376"/>
      <c r="V401" s="376"/>
      <c r="W401" s="376"/>
      <c r="X401" s="376"/>
      <c r="Y401" s="376"/>
      <c r="Z401" s="376"/>
      <c r="AA401" s="376"/>
    </row>
    <row r="402" spans="1:27" ht="12.75" customHeight="1" x14ac:dyDescent="0.25">
      <c r="A402" s="17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76"/>
      <c r="R402" s="376"/>
      <c r="S402" s="376"/>
      <c r="T402" s="376"/>
      <c r="U402" s="376"/>
      <c r="V402" s="376"/>
      <c r="W402" s="376"/>
      <c r="X402" s="376"/>
      <c r="Y402" s="376"/>
      <c r="Z402" s="376"/>
      <c r="AA402" s="376"/>
    </row>
    <row r="403" spans="1:27" ht="12.75" customHeight="1" x14ac:dyDescent="0.25">
      <c r="A403" s="17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76"/>
      <c r="R403" s="376"/>
      <c r="S403" s="376"/>
      <c r="T403" s="376"/>
      <c r="U403" s="376"/>
      <c r="V403" s="376"/>
      <c r="W403" s="376"/>
      <c r="X403" s="376"/>
      <c r="Y403" s="376"/>
      <c r="Z403" s="376"/>
      <c r="AA403" s="376"/>
    </row>
    <row r="404" spans="1:27" ht="12.75" customHeight="1" x14ac:dyDescent="0.25">
      <c r="A404" s="17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76"/>
      <c r="R404" s="376"/>
      <c r="S404" s="376"/>
      <c r="T404" s="376"/>
      <c r="U404" s="376"/>
      <c r="V404" s="376"/>
      <c r="W404" s="376"/>
      <c r="X404" s="376"/>
      <c r="Y404" s="376"/>
      <c r="Z404" s="376"/>
      <c r="AA404" s="376"/>
    </row>
    <row r="405" spans="1:27" ht="12.75" customHeight="1" x14ac:dyDescent="0.25">
      <c r="A405" s="17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76"/>
      <c r="R405" s="376"/>
      <c r="S405" s="376"/>
      <c r="T405" s="376"/>
      <c r="U405" s="376"/>
      <c r="V405" s="376"/>
      <c r="W405" s="376"/>
      <c r="X405" s="376"/>
      <c r="Y405" s="376"/>
      <c r="Z405" s="376"/>
      <c r="AA405" s="376"/>
    </row>
    <row r="406" spans="1:27" ht="12.75" customHeight="1" x14ac:dyDescent="0.25">
      <c r="A406" s="17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76"/>
      <c r="R406" s="376"/>
      <c r="S406" s="376"/>
      <c r="T406" s="376"/>
      <c r="U406" s="376"/>
      <c r="V406" s="376"/>
      <c r="W406" s="376"/>
      <c r="X406" s="376"/>
      <c r="Y406" s="376"/>
      <c r="Z406" s="376"/>
      <c r="AA406" s="376"/>
    </row>
    <row r="407" spans="1:27" ht="12.75" customHeight="1" x14ac:dyDescent="0.25">
      <c r="A407" s="17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76"/>
      <c r="R407" s="376"/>
      <c r="S407" s="376"/>
      <c r="T407" s="376"/>
      <c r="U407" s="376"/>
      <c r="V407" s="376"/>
      <c r="W407" s="376"/>
      <c r="X407" s="376"/>
      <c r="Y407" s="376"/>
      <c r="Z407" s="376"/>
      <c r="AA407" s="376"/>
    </row>
    <row r="408" spans="1:27" ht="12.75" customHeight="1" x14ac:dyDescent="0.25">
      <c r="A408" s="17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76"/>
      <c r="R408" s="376"/>
      <c r="S408" s="376"/>
      <c r="T408" s="376"/>
      <c r="U408" s="376"/>
      <c r="V408" s="376"/>
      <c r="W408" s="376"/>
      <c r="X408" s="376"/>
      <c r="Y408" s="376"/>
      <c r="Z408" s="376"/>
      <c r="AA408" s="376"/>
    </row>
    <row r="409" spans="1:27" ht="12.75" customHeight="1" x14ac:dyDescent="0.25">
      <c r="A409" s="17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76"/>
      <c r="R409" s="376"/>
      <c r="S409" s="376"/>
      <c r="T409" s="376"/>
      <c r="U409" s="376"/>
      <c r="V409" s="376"/>
      <c r="W409" s="376"/>
      <c r="X409" s="376"/>
      <c r="Y409" s="376"/>
      <c r="Z409" s="376"/>
      <c r="AA409" s="376"/>
    </row>
    <row r="410" spans="1:27" ht="12.75" customHeight="1" x14ac:dyDescent="0.25">
      <c r="A410" s="17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76"/>
      <c r="R410" s="376"/>
      <c r="S410" s="376"/>
      <c r="T410" s="376"/>
      <c r="U410" s="376"/>
      <c r="V410" s="376"/>
      <c r="W410" s="376"/>
      <c r="X410" s="376"/>
      <c r="Y410" s="376"/>
      <c r="Z410" s="376"/>
      <c r="AA410" s="376"/>
    </row>
    <row r="411" spans="1:27" ht="12.75" customHeight="1" x14ac:dyDescent="0.25">
      <c r="A411" s="17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76"/>
      <c r="R411" s="376"/>
      <c r="S411" s="376"/>
      <c r="T411" s="376"/>
      <c r="U411" s="376"/>
      <c r="V411" s="376"/>
      <c r="W411" s="376"/>
      <c r="X411" s="376"/>
      <c r="Y411" s="376"/>
      <c r="Z411" s="376"/>
      <c r="AA411" s="376"/>
    </row>
    <row r="412" spans="1:27" ht="12.75" customHeight="1" x14ac:dyDescent="0.25">
      <c r="A412" s="17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76"/>
      <c r="R412" s="376"/>
      <c r="S412" s="376"/>
      <c r="T412" s="376"/>
      <c r="U412" s="376"/>
      <c r="V412" s="376"/>
      <c r="W412" s="376"/>
      <c r="X412" s="376"/>
      <c r="Y412" s="376"/>
      <c r="Z412" s="376"/>
      <c r="AA412" s="376"/>
    </row>
    <row r="413" spans="1:27" ht="12.75" customHeight="1" x14ac:dyDescent="0.25">
      <c r="A413" s="17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76"/>
      <c r="R413" s="376"/>
      <c r="S413" s="376"/>
      <c r="T413" s="376"/>
      <c r="U413" s="376"/>
      <c r="V413" s="376"/>
      <c r="W413" s="376"/>
      <c r="X413" s="376"/>
      <c r="Y413" s="376"/>
      <c r="Z413" s="376"/>
      <c r="AA413" s="376"/>
    </row>
    <row r="414" spans="1:27" ht="12.75" customHeight="1" x14ac:dyDescent="0.25">
      <c r="A414" s="17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76"/>
      <c r="R414" s="376"/>
      <c r="S414" s="376"/>
      <c r="T414" s="376"/>
      <c r="U414" s="376"/>
      <c r="V414" s="376"/>
      <c r="W414" s="376"/>
      <c r="X414" s="376"/>
      <c r="Y414" s="376"/>
      <c r="Z414" s="376"/>
      <c r="AA414" s="376"/>
    </row>
    <row r="415" spans="1:27" ht="12.75" customHeight="1" x14ac:dyDescent="0.25">
      <c r="A415" s="17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76"/>
      <c r="R415" s="376"/>
      <c r="S415" s="376"/>
      <c r="T415" s="376"/>
      <c r="U415" s="376"/>
      <c r="V415" s="376"/>
      <c r="W415" s="376"/>
      <c r="X415" s="376"/>
      <c r="Y415" s="376"/>
      <c r="Z415" s="376"/>
      <c r="AA415" s="376"/>
    </row>
    <row r="416" spans="1:27" ht="12.75" customHeight="1" x14ac:dyDescent="0.25">
      <c r="A416" s="17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76"/>
      <c r="R416" s="376"/>
      <c r="S416" s="376"/>
      <c r="T416" s="376"/>
      <c r="U416" s="376"/>
      <c r="V416" s="376"/>
      <c r="W416" s="376"/>
      <c r="X416" s="376"/>
      <c r="Y416" s="376"/>
      <c r="Z416" s="376"/>
      <c r="AA416" s="376"/>
    </row>
    <row r="417" spans="1:27" ht="12.75" customHeight="1" x14ac:dyDescent="0.25">
      <c r="A417" s="17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76"/>
      <c r="R417" s="376"/>
      <c r="S417" s="376"/>
      <c r="T417" s="376"/>
      <c r="U417" s="376"/>
      <c r="V417" s="376"/>
      <c r="W417" s="376"/>
      <c r="X417" s="376"/>
      <c r="Y417" s="376"/>
      <c r="Z417" s="376"/>
      <c r="AA417" s="376"/>
    </row>
    <row r="418" spans="1:27" ht="12.75" customHeight="1" x14ac:dyDescent="0.25">
      <c r="A418" s="17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76"/>
      <c r="R418" s="376"/>
      <c r="S418" s="376"/>
      <c r="T418" s="376"/>
      <c r="U418" s="376"/>
      <c r="V418" s="376"/>
      <c r="W418" s="376"/>
      <c r="X418" s="376"/>
      <c r="Y418" s="376"/>
      <c r="Z418" s="376"/>
      <c r="AA418" s="376"/>
    </row>
    <row r="419" spans="1:27" ht="12.75" customHeight="1" x14ac:dyDescent="0.25">
      <c r="A419" s="17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76"/>
      <c r="R419" s="376"/>
      <c r="S419" s="376"/>
      <c r="T419" s="376"/>
      <c r="U419" s="376"/>
      <c r="V419" s="376"/>
      <c r="W419" s="376"/>
      <c r="X419" s="376"/>
      <c r="Y419" s="376"/>
      <c r="Z419" s="376"/>
      <c r="AA419" s="376"/>
    </row>
    <row r="420" spans="1:27" ht="12.75" customHeight="1" x14ac:dyDescent="0.25">
      <c r="A420" s="17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76"/>
      <c r="R420" s="376"/>
      <c r="S420" s="376"/>
      <c r="T420" s="376"/>
      <c r="U420" s="376"/>
      <c r="V420" s="376"/>
      <c r="W420" s="376"/>
      <c r="X420" s="376"/>
      <c r="Y420" s="376"/>
      <c r="Z420" s="376"/>
      <c r="AA420" s="376"/>
    </row>
    <row r="421" spans="1:27" ht="12.75" customHeight="1" x14ac:dyDescent="0.25">
      <c r="A421" s="17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76"/>
      <c r="R421" s="376"/>
      <c r="S421" s="376"/>
      <c r="T421" s="376"/>
      <c r="U421" s="376"/>
      <c r="V421" s="376"/>
      <c r="W421" s="376"/>
      <c r="X421" s="376"/>
      <c r="Y421" s="376"/>
      <c r="Z421" s="376"/>
      <c r="AA421" s="376"/>
    </row>
    <row r="422" spans="1:27" ht="12.75" customHeight="1" x14ac:dyDescent="0.25">
      <c r="A422" s="17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76"/>
      <c r="R422" s="376"/>
      <c r="S422" s="376"/>
      <c r="T422" s="376"/>
      <c r="U422" s="376"/>
      <c r="V422" s="376"/>
      <c r="W422" s="376"/>
      <c r="X422" s="376"/>
      <c r="Y422" s="376"/>
      <c r="Z422" s="376"/>
      <c r="AA422" s="376"/>
    </row>
    <row r="423" spans="1:27" ht="12.75" customHeight="1" x14ac:dyDescent="0.25">
      <c r="A423" s="17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76"/>
      <c r="R423" s="376"/>
      <c r="S423" s="376"/>
      <c r="T423" s="376"/>
      <c r="U423" s="376"/>
      <c r="V423" s="376"/>
      <c r="W423" s="376"/>
      <c r="X423" s="376"/>
      <c r="Y423" s="376"/>
      <c r="Z423" s="376"/>
      <c r="AA423" s="376"/>
    </row>
    <row r="424" spans="1:27" ht="12.75" customHeight="1" x14ac:dyDescent="0.25">
      <c r="A424" s="17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76"/>
      <c r="R424" s="376"/>
      <c r="S424" s="376"/>
      <c r="T424" s="376"/>
      <c r="U424" s="376"/>
      <c r="V424" s="376"/>
      <c r="W424" s="376"/>
      <c r="X424" s="376"/>
      <c r="Y424" s="376"/>
      <c r="Z424" s="376"/>
      <c r="AA424" s="376"/>
    </row>
    <row r="425" spans="1:27" ht="12.75" customHeight="1" x14ac:dyDescent="0.25">
      <c r="A425" s="17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76"/>
      <c r="R425" s="376"/>
      <c r="S425" s="376"/>
      <c r="T425" s="376"/>
      <c r="U425" s="376"/>
      <c r="V425" s="376"/>
      <c r="W425" s="376"/>
      <c r="X425" s="376"/>
      <c r="Y425" s="376"/>
      <c r="Z425" s="376"/>
      <c r="AA425" s="376"/>
    </row>
    <row r="426" spans="1:27" ht="12.75" customHeight="1" x14ac:dyDescent="0.25">
      <c r="A426" s="17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76"/>
      <c r="R426" s="376"/>
      <c r="S426" s="376"/>
      <c r="T426" s="376"/>
      <c r="U426" s="376"/>
      <c r="V426" s="376"/>
      <c r="W426" s="376"/>
      <c r="X426" s="376"/>
      <c r="Y426" s="376"/>
      <c r="Z426" s="376"/>
      <c r="AA426" s="376"/>
    </row>
    <row r="427" spans="1:27" ht="12.75" customHeight="1" x14ac:dyDescent="0.25">
      <c r="A427" s="17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76"/>
      <c r="R427" s="376"/>
      <c r="S427" s="376"/>
      <c r="T427" s="376"/>
      <c r="U427" s="376"/>
      <c r="V427" s="376"/>
      <c r="W427" s="376"/>
      <c r="X427" s="376"/>
      <c r="Y427" s="376"/>
      <c r="Z427" s="376"/>
      <c r="AA427" s="376"/>
    </row>
    <row r="428" spans="1:27" ht="12.75" customHeight="1" x14ac:dyDescent="0.25">
      <c r="A428" s="17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76"/>
      <c r="R428" s="376"/>
      <c r="S428" s="376"/>
      <c r="T428" s="376"/>
      <c r="U428" s="376"/>
      <c r="V428" s="376"/>
      <c r="W428" s="376"/>
      <c r="X428" s="376"/>
      <c r="Y428" s="376"/>
      <c r="Z428" s="376"/>
      <c r="AA428" s="376"/>
    </row>
    <row r="429" spans="1:27" ht="12.75" customHeight="1" x14ac:dyDescent="0.25">
      <c r="A429" s="17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76"/>
      <c r="R429" s="376"/>
      <c r="S429" s="376"/>
      <c r="T429" s="376"/>
      <c r="U429" s="376"/>
      <c r="V429" s="376"/>
      <c r="W429" s="376"/>
      <c r="X429" s="376"/>
      <c r="Y429" s="376"/>
      <c r="Z429" s="376"/>
      <c r="AA429" s="376"/>
    </row>
    <row r="430" spans="1:27" ht="12.75" customHeight="1" x14ac:dyDescent="0.25">
      <c r="A430" s="17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76"/>
      <c r="R430" s="376"/>
      <c r="S430" s="376"/>
      <c r="T430" s="376"/>
      <c r="U430" s="376"/>
      <c r="V430" s="376"/>
      <c r="W430" s="376"/>
      <c r="X430" s="376"/>
      <c r="Y430" s="376"/>
      <c r="Z430" s="376"/>
      <c r="AA430" s="376"/>
    </row>
    <row r="431" spans="1:27" ht="12.75" customHeight="1" x14ac:dyDescent="0.25">
      <c r="A431" s="17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76"/>
      <c r="R431" s="376"/>
      <c r="S431" s="376"/>
      <c r="T431" s="376"/>
      <c r="U431" s="376"/>
      <c r="V431" s="376"/>
      <c r="W431" s="376"/>
      <c r="X431" s="376"/>
      <c r="Y431" s="376"/>
      <c r="Z431" s="376"/>
      <c r="AA431" s="376"/>
    </row>
    <row r="432" spans="1:27" ht="12.75" customHeight="1" x14ac:dyDescent="0.25">
      <c r="A432" s="17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76"/>
      <c r="R432" s="376"/>
      <c r="S432" s="376"/>
      <c r="T432" s="376"/>
      <c r="U432" s="376"/>
      <c r="V432" s="376"/>
      <c r="W432" s="376"/>
      <c r="X432" s="376"/>
      <c r="Y432" s="376"/>
      <c r="Z432" s="376"/>
      <c r="AA432" s="376"/>
    </row>
    <row r="433" spans="1:27" ht="12.75" customHeight="1" x14ac:dyDescent="0.25">
      <c r="A433" s="17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76"/>
      <c r="R433" s="376"/>
      <c r="S433" s="376"/>
      <c r="T433" s="376"/>
      <c r="U433" s="376"/>
      <c r="V433" s="376"/>
      <c r="W433" s="376"/>
      <c r="X433" s="376"/>
      <c r="Y433" s="376"/>
      <c r="Z433" s="376"/>
      <c r="AA433" s="376"/>
    </row>
    <row r="434" spans="1:27" ht="12.75" customHeight="1" x14ac:dyDescent="0.25">
      <c r="A434" s="17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76"/>
      <c r="R434" s="376"/>
      <c r="S434" s="376"/>
      <c r="T434" s="376"/>
      <c r="U434" s="376"/>
      <c r="V434" s="376"/>
      <c r="W434" s="376"/>
      <c r="X434" s="376"/>
      <c r="Y434" s="376"/>
      <c r="Z434" s="376"/>
      <c r="AA434" s="376"/>
    </row>
    <row r="435" spans="1:27" ht="12.75" customHeight="1" x14ac:dyDescent="0.25">
      <c r="A435" s="17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76"/>
      <c r="R435" s="376"/>
      <c r="S435" s="376"/>
      <c r="T435" s="376"/>
      <c r="U435" s="376"/>
      <c r="V435" s="376"/>
      <c r="W435" s="376"/>
      <c r="X435" s="376"/>
      <c r="Y435" s="376"/>
      <c r="Z435" s="376"/>
      <c r="AA435" s="376"/>
    </row>
    <row r="436" spans="1:27" ht="12.75" customHeight="1" x14ac:dyDescent="0.25">
      <c r="A436" s="17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76"/>
      <c r="R436" s="376"/>
      <c r="S436" s="376"/>
      <c r="T436" s="376"/>
      <c r="U436" s="376"/>
      <c r="V436" s="376"/>
      <c r="W436" s="376"/>
      <c r="X436" s="376"/>
      <c r="Y436" s="376"/>
      <c r="Z436" s="376"/>
      <c r="AA436" s="376"/>
    </row>
    <row r="437" spans="1:27" ht="12.75" customHeight="1" x14ac:dyDescent="0.25">
      <c r="A437" s="17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76"/>
      <c r="R437" s="376"/>
      <c r="S437" s="376"/>
      <c r="T437" s="376"/>
      <c r="U437" s="376"/>
      <c r="V437" s="376"/>
      <c r="W437" s="376"/>
      <c r="X437" s="376"/>
      <c r="Y437" s="376"/>
      <c r="Z437" s="376"/>
      <c r="AA437" s="376"/>
    </row>
    <row r="438" spans="1:27" ht="12.75" customHeight="1" x14ac:dyDescent="0.25">
      <c r="A438" s="17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76"/>
      <c r="R438" s="376"/>
      <c r="S438" s="376"/>
      <c r="T438" s="376"/>
      <c r="U438" s="376"/>
      <c r="V438" s="376"/>
      <c r="W438" s="376"/>
      <c r="X438" s="376"/>
      <c r="Y438" s="376"/>
      <c r="Z438" s="376"/>
      <c r="AA438" s="376"/>
    </row>
    <row r="439" spans="1:27" ht="12.75" customHeight="1" x14ac:dyDescent="0.25">
      <c r="A439" s="17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76"/>
      <c r="R439" s="376"/>
      <c r="S439" s="376"/>
      <c r="T439" s="376"/>
      <c r="U439" s="376"/>
      <c r="V439" s="376"/>
      <c r="W439" s="376"/>
      <c r="X439" s="376"/>
      <c r="Y439" s="376"/>
      <c r="Z439" s="376"/>
      <c r="AA439" s="376"/>
    </row>
    <row r="440" spans="1:27" ht="12.75" customHeight="1" x14ac:dyDescent="0.25">
      <c r="A440" s="17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76"/>
      <c r="R440" s="376"/>
      <c r="S440" s="376"/>
      <c r="T440" s="376"/>
      <c r="U440" s="376"/>
      <c r="V440" s="376"/>
      <c r="W440" s="376"/>
      <c r="X440" s="376"/>
      <c r="Y440" s="376"/>
      <c r="Z440" s="376"/>
      <c r="AA440" s="376"/>
    </row>
    <row r="441" spans="1:27" ht="12.75" customHeight="1" x14ac:dyDescent="0.25">
      <c r="A441" s="17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76"/>
      <c r="R441" s="376"/>
      <c r="S441" s="376"/>
      <c r="T441" s="376"/>
      <c r="U441" s="376"/>
      <c r="V441" s="376"/>
      <c r="W441" s="376"/>
      <c r="X441" s="376"/>
      <c r="Y441" s="376"/>
      <c r="Z441" s="376"/>
      <c r="AA441" s="376"/>
    </row>
    <row r="442" spans="1:27" ht="12.75" customHeight="1" x14ac:dyDescent="0.25">
      <c r="A442" s="17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76"/>
      <c r="R442" s="376"/>
      <c r="S442" s="376"/>
      <c r="T442" s="376"/>
      <c r="U442" s="376"/>
      <c r="V442" s="376"/>
      <c r="W442" s="376"/>
      <c r="X442" s="376"/>
      <c r="Y442" s="376"/>
      <c r="Z442" s="376"/>
      <c r="AA442" s="376"/>
    </row>
    <row r="443" spans="1:27" ht="12.75" customHeight="1" x14ac:dyDescent="0.25">
      <c r="A443" s="17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76"/>
      <c r="R443" s="376"/>
      <c r="S443" s="376"/>
      <c r="T443" s="376"/>
      <c r="U443" s="376"/>
      <c r="V443" s="376"/>
      <c r="W443" s="376"/>
      <c r="X443" s="376"/>
      <c r="Y443" s="376"/>
      <c r="Z443" s="376"/>
      <c r="AA443" s="376"/>
    </row>
    <row r="444" spans="1:27" ht="12.75" customHeight="1" x14ac:dyDescent="0.25">
      <c r="A444" s="17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76"/>
      <c r="R444" s="376"/>
      <c r="S444" s="376"/>
      <c r="T444" s="376"/>
      <c r="U444" s="376"/>
      <c r="V444" s="376"/>
      <c r="W444" s="376"/>
      <c r="X444" s="376"/>
      <c r="Y444" s="376"/>
      <c r="Z444" s="376"/>
      <c r="AA444" s="376"/>
    </row>
    <row r="445" spans="1:27" ht="12.75" customHeight="1" x14ac:dyDescent="0.25">
      <c r="A445" s="17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76"/>
      <c r="R445" s="376"/>
      <c r="S445" s="376"/>
      <c r="T445" s="376"/>
      <c r="U445" s="376"/>
      <c r="V445" s="376"/>
      <c r="W445" s="376"/>
      <c r="X445" s="376"/>
      <c r="Y445" s="376"/>
      <c r="Z445" s="376"/>
      <c r="AA445" s="376"/>
    </row>
    <row r="446" spans="1:27" ht="12.75" customHeight="1" x14ac:dyDescent="0.25">
      <c r="A446" s="17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76"/>
      <c r="R446" s="376"/>
      <c r="S446" s="376"/>
      <c r="T446" s="376"/>
      <c r="U446" s="376"/>
      <c r="V446" s="376"/>
      <c r="W446" s="376"/>
      <c r="X446" s="376"/>
      <c r="Y446" s="376"/>
      <c r="Z446" s="376"/>
      <c r="AA446" s="376"/>
    </row>
    <row r="447" spans="1:27" ht="12.75" customHeight="1" x14ac:dyDescent="0.25">
      <c r="A447" s="17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76"/>
      <c r="R447" s="376"/>
      <c r="S447" s="376"/>
      <c r="T447" s="376"/>
      <c r="U447" s="376"/>
      <c r="V447" s="376"/>
      <c r="W447" s="376"/>
      <c r="X447" s="376"/>
      <c r="Y447" s="376"/>
      <c r="Z447" s="376"/>
      <c r="AA447" s="376"/>
    </row>
    <row r="448" spans="1:27" ht="12.75" customHeight="1" x14ac:dyDescent="0.25">
      <c r="A448" s="17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76"/>
      <c r="R448" s="376"/>
      <c r="S448" s="376"/>
      <c r="T448" s="376"/>
      <c r="U448" s="376"/>
      <c r="V448" s="376"/>
      <c r="W448" s="376"/>
      <c r="X448" s="376"/>
      <c r="Y448" s="376"/>
      <c r="Z448" s="376"/>
      <c r="AA448" s="376"/>
    </row>
    <row r="449" spans="1:27" ht="12.75" customHeight="1" x14ac:dyDescent="0.25">
      <c r="A449" s="17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76"/>
      <c r="R449" s="376"/>
      <c r="S449" s="376"/>
      <c r="T449" s="376"/>
      <c r="U449" s="376"/>
      <c r="V449" s="376"/>
      <c r="W449" s="376"/>
      <c r="X449" s="376"/>
      <c r="Y449" s="376"/>
      <c r="Z449" s="376"/>
      <c r="AA449" s="376"/>
    </row>
    <row r="450" spans="1:27" ht="12.75" customHeight="1" x14ac:dyDescent="0.25">
      <c r="A450" s="17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76"/>
      <c r="R450" s="376"/>
      <c r="S450" s="376"/>
      <c r="T450" s="376"/>
      <c r="U450" s="376"/>
      <c r="V450" s="376"/>
      <c r="W450" s="376"/>
      <c r="X450" s="376"/>
      <c r="Y450" s="376"/>
      <c r="Z450" s="376"/>
      <c r="AA450" s="376"/>
    </row>
    <row r="451" spans="1:27" ht="12.75" customHeight="1" x14ac:dyDescent="0.25">
      <c r="A451" s="17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76"/>
      <c r="R451" s="376"/>
      <c r="S451" s="376"/>
      <c r="T451" s="376"/>
      <c r="U451" s="376"/>
      <c r="V451" s="376"/>
      <c r="W451" s="376"/>
      <c r="X451" s="376"/>
      <c r="Y451" s="376"/>
      <c r="Z451" s="376"/>
      <c r="AA451" s="376"/>
    </row>
    <row r="452" spans="1:27" ht="12.75" customHeight="1" x14ac:dyDescent="0.25">
      <c r="A452" s="17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76"/>
      <c r="R452" s="376"/>
      <c r="S452" s="376"/>
      <c r="T452" s="376"/>
      <c r="U452" s="376"/>
      <c r="V452" s="376"/>
      <c r="W452" s="376"/>
      <c r="X452" s="376"/>
      <c r="Y452" s="376"/>
      <c r="Z452" s="376"/>
      <c r="AA452" s="376"/>
    </row>
    <row r="453" spans="1:27" ht="12.75" customHeight="1" x14ac:dyDescent="0.25">
      <c r="A453" s="17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76"/>
      <c r="R453" s="376"/>
      <c r="S453" s="376"/>
      <c r="T453" s="376"/>
      <c r="U453" s="376"/>
      <c r="V453" s="376"/>
      <c r="W453" s="376"/>
      <c r="X453" s="376"/>
      <c r="Y453" s="376"/>
      <c r="Z453" s="376"/>
      <c r="AA453" s="376"/>
    </row>
    <row r="454" spans="1:27" ht="12.75" customHeight="1" x14ac:dyDescent="0.25">
      <c r="A454" s="17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76"/>
      <c r="R454" s="376"/>
      <c r="S454" s="376"/>
      <c r="T454" s="376"/>
      <c r="U454" s="376"/>
      <c r="V454" s="376"/>
      <c r="W454" s="376"/>
      <c r="X454" s="376"/>
      <c r="Y454" s="376"/>
      <c r="Z454" s="376"/>
      <c r="AA454" s="376"/>
    </row>
    <row r="455" spans="1:27" ht="12.75" customHeight="1" x14ac:dyDescent="0.25">
      <c r="A455" s="17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76"/>
      <c r="R455" s="376"/>
      <c r="S455" s="376"/>
      <c r="T455" s="376"/>
      <c r="U455" s="376"/>
      <c r="V455" s="376"/>
      <c r="W455" s="376"/>
      <c r="X455" s="376"/>
      <c r="Y455" s="376"/>
      <c r="Z455" s="376"/>
      <c r="AA455" s="376"/>
    </row>
    <row r="456" spans="1:27" ht="12.75" customHeight="1" x14ac:dyDescent="0.25">
      <c r="A456" s="17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76"/>
      <c r="R456" s="376"/>
      <c r="S456" s="376"/>
      <c r="T456" s="376"/>
      <c r="U456" s="376"/>
      <c r="V456" s="376"/>
      <c r="W456" s="376"/>
      <c r="X456" s="376"/>
      <c r="Y456" s="376"/>
      <c r="Z456" s="376"/>
      <c r="AA456" s="376"/>
    </row>
    <row r="457" spans="1:27" ht="12.75" customHeight="1" x14ac:dyDescent="0.25">
      <c r="A457" s="17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76"/>
      <c r="R457" s="376"/>
      <c r="S457" s="376"/>
      <c r="T457" s="376"/>
      <c r="U457" s="376"/>
      <c r="V457" s="376"/>
      <c r="W457" s="376"/>
      <c r="X457" s="376"/>
      <c r="Y457" s="376"/>
      <c r="Z457" s="376"/>
      <c r="AA457" s="376"/>
    </row>
    <row r="458" spans="1:27" ht="12.75" customHeight="1" x14ac:dyDescent="0.25">
      <c r="A458" s="17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76"/>
      <c r="R458" s="376"/>
      <c r="S458" s="376"/>
      <c r="T458" s="376"/>
      <c r="U458" s="376"/>
      <c r="V458" s="376"/>
      <c r="W458" s="376"/>
      <c r="X458" s="376"/>
      <c r="Y458" s="376"/>
      <c r="Z458" s="376"/>
      <c r="AA458" s="376"/>
    </row>
    <row r="459" spans="1:27" ht="12.75" customHeight="1" x14ac:dyDescent="0.25">
      <c r="A459" s="17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76"/>
      <c r="R459" s="376"/>
      <c r="S459" s="376"/>
      <c r="T459" s="376"/>
      <c r="U459" s="376"/>
      <c r="V459" s="376"/>
      <c r="W459" s="376"/>
      <c r="X459" s="376"/>
      <c r="Y459" s="376"/>
      <c r="Z459" s="376"/>
      <c r="AA459" s="376"/>
    </row>
    <row r="460" spans="1:27" ht="12.75" customHeight="1" x14ac:dyDescent="0.25">
      <c r="A460" s="17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76"/>
      <c r="R460" s="376"/>
      <c r="S460" s="376"/>
      <c r="T460" s="376"/>
      <c r="U460" s="376"/>
      <c r="V460" s="376"/>
      <c r="W460" s="376"/>
      <c r="X460" s="376"/>
      <c r="Y460" s="376"/>
      <c r="Z460" s="376"/>
      <c r="AA460" s="376"/>
    </row>
    <row r="461" spans="1:27" ht="12.75" customHeight="1" x14ac:dyDescent="0.25">
      <c r="A461" s="17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76"/>
      <c r="R461" s="376"/>
      <c r="S461" s="376"/>
      <c r="T461" s="376"/>
      <c r="U461" s="376"/>
      <c r="V461" s="376"/>
      <c r="W461" s="376"/>
      <c r="X461" s="376"/>
      <c r="Y461" s="376"/>
      <c r="Z461" s="376"/>
      <c r="AA461" s="376"/>
    </row>
    <row r="462" spans="1:27" ht="12.75" customHeight="1" x14ac:dyDescent="0.25">
      <c r="A462" s="17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76"/>
      <c r="R462" s="376"/>
      <c r="S462" s="376"/>
      <c r="T462" s="376"/>
      <c r="U462" s="376"/>
      <c r="V462" s="376"/>
      <c r="W462" s="376"/>
      <c r="X462" s="376"/>
      <c r="Y462" s="376"/>
      <c r="Z462" s="376"/>
      <c r="AA462" s="376"/>
    </row>
    <row r="463" spans="1:27" ht="12.75" customHeight="1" x14ac:dyDescent="0.25">
      <c r="A463" s="17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76"/>
      <c r="R463" s="376"/>
      <c r="S463" s="376"/>
      <c r="T463" s="376"/>
      <c r="U463" s="376"/>
      <c r="V463" s="376"/>
      <c r="W463" s="376"/>
      <c r="X463" s="376"/>
      <c r="Y463" s="376"/>
      <c r="Z463" s="376"/>
      <c r="AA463" s="376"/>
    </row>
    <row r="464" spans="1:27" ht="12.75" customHeight="1" x14ac:dyDescent="0.25">
      <c r="A464" s="17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76"/>
      <c r="R464" s="376"/>
      <c r="S464" s="376"/>
      <c r="T464" s="376"/>
      <c r="U464" s="376"/>
      <c r="V464" s="376"/>
      <c r="W464" s="376"/>
      <c r="X464" s="376"/>
      <c r="Y464" s="376"/>
      <c r="Z464" s="376"/>
      <c r="AA464" s="376"/>
    </row>
    <row r="465" spans="1:27" ht="12.75" customHeight="1" x14ac:dyDescent="0.25">
      <c r="A465" s="17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76"/>
      <c r="R465" s="376"/>
      <c r="S465" s="376"/>
      <c r="T465" s="376"/>
      <c r="U465" s="376"/>
      <c r="V465" s="376"/>
      <c r="W465" s="376"/>
      <c r="X465" s="376"/>
      <c r="Y465" s="376"/>
      <c r="Z465" s="376"/>
      <c r="AA465" s="376"/>
    </row>
    <row r="466" spans="1:27" ht="12.75" customHeight="1" x14ac:dyDescent="0.25">
      <c r="A466" s="17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76"/>
      <c r="R466" s="376"/>
      <c r="S466" s="376"/>
      <c r="T466" s="376"/>
      <c r="U466" s="376"/>
      <c r="V466" s="376"/>
      <c r="W466" s="376"/>
      <c r="X466" s="376"/>
      <c r="Y466" s="376"/>
      <c r="Z466" s="376"/>
      <c r="AA466" s="376"/>
    </row>
    <row r="467" spans="1:27" ht="12.75" customHeight="1" x14ac:dyDescent="0.25">
      <c r="A467" s="17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76"/>
      <c r="R467" s="376"/>
      <c r="S467" s="376"/>
      <c r="T467" s="376"/>
      <c r="U467" s="376"/>
      <c r="V467" s="376"/>
      <c r="W467" s="376"/>
      <c r="X467" s="376"/>
      <c r="Y467" s="376"/>
      <c r="Z467" s="376"/>
      <c r="AA467" s="376"/>
    </row>
    <row r="468" spans="1:27" ht="12.75" customHeight="1" x14ac:dyDescent="0.25">
      <c r="A468" s="17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76"/>
      <c r="R468" s="376"/>
      <c r="S468" s="376"/>
      <c r="T468" s="376"/>
      <c r="U468" s="376"/>
      <c r="V468" s="376"/>
      <c r="W468" s="376"/>
      <c r="X468" s="376"/>
      <c r="Y468" s="376"/>
      <c r="Z468" s="376"/>
      <c r="AA468" s="376"/>
    </row>
    <row r="469" spans="1:27" ht="12.75" customHeight="1" x14ac:dyDescent="0.25">
      <c r="A469" s="17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76"/>
      <c r="R469" s="376"/>
      <c r="S469" s="376"/>
      <c r="T469" s="376"/>
      <c r="U469" s="376"/>
      <c r="V469" s="376"/>
      <c r="W469" s="376"/>
      <c r="X469" s="376"/>
      <c r="Y469" s="376"/>
      <c r="Z469" s="376"/>
      <c r="AA469" s="376"/>
    </row>
    <row r="470" spans="1:27" ht="12.75" customHeight="1" x14ac:dyDescent="0.25">
      <c r="A470" s="17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76"/>
      <c r="R470" s="376"/>
      <c r="S470" s="376"/>
      <c r="T470" s="376"/>
      <c r="U470" s="376"/>
      <c r="V470" s="376"/>
      <c r="W470" s="376"/>
      <c r="X470" s="376"/>
      <c r="Y470" s="376"/>
      <c r="Z470" s="376"/>
      <c r="AA470" s="376"/>
    </row>
    <row r="471" spans="1:27" ht="12.75" customHeight="1" x14ac:dyDescent="0.25">
      <c r="A471" s="17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76"/>
      <c r="R471" s="376"/>
      <c r="S471" s="376"/>
      <c r="T471" s="376"/>
      <c r="U471" s="376"/>
      <c r="V471" s="376"/>
      <c r="W471" s="376"/>
      <c r="X471" s="376"/>
      <c r="Y471" s="376"/>
      <c r="Z471" s="376"/>
      <c r="AA471" s="376"/>
    </row>
    <row r="472" spans="1:27" ht="12.75" customHeight="1" x14ac:dyDescent="0.25">
      <c r="A472" s="17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76"/>
      <c r="R472" s="376"/>
      <c r="S472" s="376"/>
      <c r="T472" s="376"/>
      <c r="U472" s="376"/>
      <c r="V472" s="376"/>
      <c r="W472" s="376"/>
      <c r="X472" s="376"/>
      <c r="Y472" s="376"/>
      <c r="Z472" s="376"/>
      <c r="AA472" s="376"/>
    </row>
    <row r="473" spans="1:27" ht="12.75" customHeight="1" x14ac:dyDescent="0.25">
      <c r="A473" s="17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76"/>
      <c r="R473" s="376"/>
      <c r="S473" s="376"/>
      <c r="T473" s="376"/>
      <c r="U473" s="376"/>
      <c r="V473" s="376"/>
      <c r="W473" s="376"/>
      <c r="X473" s="376"/>
      <c r="Y473" s="376"/>
      <c r="Z473" s="376"/>
      <c r="AA473" s="376"/>
    </row>
    <row r="474" spans="1:27" ht="12.75" customHeight="1" x14ac:dyDescent="0.25">
      <c r="A474" s="17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76"/>
      <c r="R474" s="376"/>
      <c r="S474" s="376"/>
      <c r="T474" s="376"/>
      <c r="U474" s="376"/>
      <c r="V474" s="376"/>
      <c r="W474" s="376"/>
      <c r="X474" s="376"/>
      <c r="Y474" s="376"/>
      <c r="Z474" s="376"/>
      <c r="AA474" s="376"/>
    </row>
    <row r="475" spans="1:27" ht="12.75" customHeight="1" x14ac:dyDescent="0.25">
      <c r="A475" s="17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76"/>
      <c r="R475" s="376"/>
      <c r="S475" s="376"/>
      <c r="T475" s="376"/>
      <c r="U475" s="376"/>
      <c r="V475" s="376"/>
      <c r="W475" s="376"/>
      <c r="X475" s="376"/>
      <c r="Y475" s="376"/>
      <c r="Z475" s="376"/>
      <c r="AA475" s="376"/>
    </row>
    <row r="476" spans="1:27" ht="12.75" customHeight="1" x14ac:dyDescent="0.25">
      <c r="A476" s="17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76"/>
      <c r="R476" s="376"/>
      <c r="S476" s="376"/>
      <c r="T476" s="376"/>
      <c r="U476" s="376"/>
      <c r="V476" s="376"/>
      <c r="W476" s="376"/>
      <c r="X476" s="376"/>
      <c r="Y476" s="376"/>
      <c r="Z476" s="376"/>
      <c r="AA476" s="376"/>
    </row>
    <row r="477" spans="1:27" ht="12.75" customHeight="1" x14ac:dyDescent="0.25">
      <c r="A477" s="17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76"/>
      <c r="R477" s="376"/>
      <c r="S477" s="376"/>
      <c r="T477" s="376"/>
      <c r="U477" s="376"/>
      <c r="V477" s="376"/>
      <c r="W477" s="376"/>
      <c r="X477" s="376"/>
      <c r="Y477" s="376"/>
      <c r="Z477" s="376"/>
      <c r="AA477" s="376"/>
    </row>
    <row r="478" spans="1:27" ht="12.75" customHeight="1" x14ac:dyDescent="0.25">
      <c r="A478" s="17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76"/>
      <c r="R478" s="376"/>
      <c r="S478" s="376"/>
      <c r="T478" s="376"/>
      <c r="U478" s="376"/>
      <c r="V478" s="376"/>
      <c r="W478" s="376"/>
      <c r="X478" s="376"/>
      <c r="Y478" s="376"/>
      <c r="Z478" s="376"/>
      <c r="AA478" s="376"/>
    </row>
    <row r="479" spans="1:27" ht="12.75" customHeight="1" x14ac:dyDescent="0.25">
      <c r="A479" s="17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76"/>
      <c r="R479" s="376"/>
      <c r="S479" s="376"/>
      <c r="T479" s="376"/>
      <c r="U479" s="376"/>
      <c r="V479" s="376"/>
      <c r="W479" s="376"/>
      <c r="X479" s="376"/>
      <c r="Y479" s="376"/>
      <c r="Z479" s="376"/>
      <c r="AA479" s="376"/>
    </row>
    <row r="480" spans="1:27" ht="12.75" customHeight="1" x14ac:dyDescent="0.25">
      <c r="A480" s="17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76"/>
      <c r="R480" s="376"/>
      <c r="S480" s="376"/>
      <c r="T480" s="376"/>
      <c r="U480" s="376"/>
      <c r="V480" s="376"/>
      <c r="W480" s="376"/>
      <c r="X480" s="376"/>
      <c r="Y480" s="376"/>
      <c r="Z480" s="376"/>
      <c r="AA480" s="376"/>
    </row>
    <row r="481" spans="1:27" ht="12.75" customHeight="1" x14ac:dyDescent="0.25">
      <c r="A481" s="17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76"/>
      <c r="R481" s="376"/>
      <c r="S481" s="376"/>
      <c r="T481" s="376"/>
      <c r="U481" s="376"/>
      <c r="V481" s="376"/>
      <c r="W481" s="376"/>
      <c r="X481" s="376"/>
      <c r="Y481" s="376"/>
      <c r="Z481" s="376"/>
      <c r="AA481" s="376"/>
    </row>
    <row r="482" spans="1:27" ht="12.75" customHeight="1" x14ac:dyDescent="0.25">
      <c r="A482" s="17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76"/>
      <c r="R482" s="376"/>
      <c r="S482" s="376"/>
      <c r="T482" s="376"/>
      <c r="U482" s="376"/>
      <c r="V482" s="376"/>
      <c r="W482" s="376"/>
      <c r="X482" s="376"/>
      <c r="Y482" s="376"/>
      <c r="Z482" s="376"/>
      <c r="AA482" s="376"/>
    </row>
    <row r="483" spans="1:27" ht="12.75" customHeight="1" x14ac:dyDescent="0.25">
      <c r="A483" s="17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76"/>
      <c r="R483" s="376"/>
      <c r="S483" s="376"/>
      <c r="T483" s="376"/>
      <c r="U483" s="376"/>
      <c r="V483" s="376"/>
      <c r="W483" s="376"/>
      <c r="X483" s="376"/>
      <c r="Y483" s="376"/>
      <c r="Z483" s="376"/>
      <c r="AA483" s="376"/>
    </row>
    <row r="484" spans="1:27" ht="12.75" customHeight="1" x14ac:dyDescent="0.25">
      <c r="A484" s="17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76"/>
      <c r="R484" s="376"/>
      <c r="S484" s="376"/>
      <c r="T484" s="376"/>
      <c r="U484" s="376"/>
      <c r="V484" s="376"/>
      <c r="W484" s="376"/>
      <c r="X484" s="376"/>
      <c r="Y484" s="376"/>
      <c r="Z484" s="376"/>
      <c r="AA484" s="376"/>
    </row>
    <row r="485" spans="1:27" ht="12.75" customHeight="1" x14ac:dyDescent="0.25">
      <c r="A485" s="17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76"/>
      <c r="R485" s="376"/>
      <c r="S485" s="376"/>
      <c r="T485" s="376"/>
      <c r="U485" s="376"/>
      <c r="V485" s="376"/>
      <c r="W485" s="376"/>
      <c r="X485" s="376"/>
      <c r="Y485" s="376"/>
      <c r="Z485" s="376"/>
      <c r="AA485" s="376"/>
    </row>
    <row r="486" spans="1:27" ht="12.75" customHeight="1" x14ac:dyDescent="0.25">
      <c r="A486" s="17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76"/>
      <c r="R486" s="376"/>
      <c r="S486" s="376"/>
      <c r="T486" s="376"/>
      <c r="U486" s="376"/>
      <c r="V486" s="376"/>
      <c r="W486" s="376"/>
      <c r="X486" s="376"/>
      <c r="Y486" s="376"/>
      <c r="Z486" s="376"/>
      <c r="AA486" s="376"/>
    </row>
    <row r="487" spans="1:27" ht="12.75" customHeight="1" x14ac:dyDescent="0.25">
      <c r="A487" s="17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76"/>
      <c r="R487" s="376"/>
      <c r="S487" s="376"/>
      <c r="T487" s="376"/>
      <c r="U487" s="376"/>
      <c r="V487" s="376"/>
      <c r="W487" s="376"/>
      <c r="X487" s="376"/>
      <c r="Y487" s="376"/>
      <c r="Z487" s="376"/>
      <c r="AA487" s="376"/>
    </row>
    <row r="488" spans="1:27" ht="12.75" customHeight="1" x14ac:dyDescent="0.25">
      <c r="A488" s="17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76"/>
      <c r="R488" s="376"/>
      <c r="S488" s="376"/>
      <c r="T488" s="376"/>
      <c r="U488" s="376"/>
      <c r="V488" s="376"/>
      <c r="W488" s="376"/>
      <c r="X488" s="376"/>
      <c r="Y488" s="376"/>
      <c r="Z488" s="376"/>
      <c r="AA488" s="376"/>
    </row>
    <row r="489" spans="1:27" ht="12.75" customHeight="1" x14ac:dyDescent="0.25">
      <c r="A489" s="17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76"/>
      <c r="R489" s="376"/>
      <c r="S489" s="376"/>
      <c r="T489" s="376"/>
      <c r="U489" s="376"/>
      <c r="V489" s="376"/>
      <c r="W489" s="376"/>
      <c r="X489" s="376"/>
      <c r="Y489" s="376"/>
      <c r="Z489" s="376"/>
      <c r="AA489" s="376"/>
    </row>
    <row r="490" spans="1:27" ht="12.75" customHeight="1" x14ac:dyDescent="0.25">
      <c r="A490" s="17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76"/>
      <c r="R490" s="376"/>
      <c r="S490" s="376"/>
      <c r="T490" s="376"/>
      <c r="U490" s="376"/>
      <c r="V490" s="376"/>
      <c r="W490" s="376"/>
      <c r="X490" s="376"/>
      <c r="Y490" s="376"/>
      <c r="Z490" s="376"/>
      <c r="AA490" s="376"/>
    </row>
    <row r="491" spans="1:27" ht="12.75" customHeight="1" x14ac:dyDescent="0.25">
      <c r="A491" s="17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76"/>
      <c r="R491" s="376"/>
      <c r="S491" s="376"/>
      <c r="T491" s="376"/>
      <c r="U491" s="376"/>
      <c r="V491" s="376"/>
      <c r="W491" s="376"/>
      <c r="X491" s="376"/>
      <c r="Y491" s="376"/>
      <c r="Z491" s="376"/>
      <c r="AA491" s="376"/>
    </row>
    <row r="492" spans="1:27" ht="12.75" customHeight="1" x14ac:dyDescent="0.25">
      <c r="A492" s="17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76"/>
      <c r="R492" s="376"/>
      <c r="S492" s="376"/>
      <c r="T492" s="376"/>
      <c r="U492" s="376"/>
      <c r="V492" s="376"/>
      <c r="W492" s="376"/>
      <c r="X492" s="376"/>
      <c r="Y492" s="376"/>
      <c r="Z492" s="376"/>
      <c r="AA492" s="376"/>
    </row>
    <row r="493" spans="1:27" ht="12.75" customHeight="1" x14ac:dyDescent="0.25">
      <c r="A493" s="17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76"/>
      <c r="R493" s="376"/>
      <c r="S493" s="376"/>
      <c r="T493" s="376"/>
      <c r="U493" s="376"/>
      <c r="V493" s="376"/>
      <c r="W493" s="376"/>
      <c r="X493" s="376"/>
      <c r="Y493" s="376"/>
      <c r="Z493" s="376"/>
      <c r="AA493" s="376"/>
    </row>
    <row r="494" spans="1:27" ht="12.75" customHeight="1" x14ac:dyDescent="0.25">
      <c r="A494" s="17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76"/>
      <c r="R494" s="376"/>
      <c r="S494" s="376"/>
      <c r="T494" s="376"/>
      <c r="U494" s="376"/>
      <c r="V494" s="376"/>
      <c r="W494" s="376"/>
      <c r="X494" s="376"/>
      <c r="Y494" s="376"/>
      <c r="Z494" s="376"/>
      <c r="AA494" s="376"/>
    </row>
    <row r="495" spans="1:27" ht="12.75" customHeight="1" x14ac:dyDescent="0.25">
      <c r="A495" s="17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76"/>
      <c r="R495" s="376"/>
      <c r="S495" s="376"/>
      <c r="T495" s="376"/>
      <c r="U495" s="376"/>
      <c r="V495" s="376"/>
      <c r="W495" s="376"/>
      <c r="X495" s="376"/>
      <c r="Y495" s="376"/>
      <c r="Z495" s="376"/>
      <c r="AA495" s="376"/>
    </row>
    <row r="496" spans="1:27" ht="12.75" customHeight="1" x14ac:dyDescent="0.25">
      <c r="A496" s="17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76"/>
      <c r="R496" s="376"/>
      <c r="S496" s="376"/>
      <c r="T496" s="376"/>
      <c r="U496" s="376"/>
      <c r="V496" s="376"/>
      <c r="W496" s="376"/>
      <c r="X496" s="376"/>
      <c r="Y496" s="376"/>
      <c r="Z496" s="376"/>
      <c r="AA496" s="376"/>
    </row>
    <row r="497" spans="1:27" ht="12.75" customHeight="1" x14ac:dyDescent="0.25">
      <c r="A497" s="17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76"/>
      <c r="R497" s="376"/>
      <c r="S497" s="376"/>
      <c r="T497" s="376"/>
      <c r="U497" s="376"/>
      <c r="V497" s="376"/>
      <c r="W497" s="376"/>
      <c r="X497" s="376"/>
      <c r="Y497" s="376"/>
      <c r="Z497" s="376"/>
      <c r="AA497" s="376"/>
    </row>
    <row r="498" spans="1:27" ht="12.75" customHeight="1" x14ac:dyDescent="0.25">
      <c r="A498" s="17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76"/>
      <c r="R498" s="376"/>
      <c r="S498" s="376"/>
      <c r="T498" s="376"/>
      <c r="U498" s="376"/>
      <c r="V498" s="376"/>
      <c r="W498" s="376"/>
      <c r="X498" s="376"/>
      <c r="Y498" s="376"/>
      <c r="Z498" s="376"/>
      <c r="AA498" s="376"/>
    </row>
    <row r="499" spans="1:27" ht="12.75" customHeight="1" x14ac:dyDescent="0.25">
      <c r="A499" s="17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76"/>
      <c r="R499" s="376"/>
      <c r="S499" s="376"/>
      <c r="T499" s="376"/>
      <c r="U499" s="376"/>
      <c r="V499" s="376"/>
      <c r="W499" s="376"/>
      <c r="X499" s="376"/>
      <c r="Y499" s="376"/>
      <c r="Z499" s="376"/>
      <c r="AA499" s="376"/>
    </row>
    <row r="500" spans="1:27" ht="12.75" customHeight="1" x14ac:dyDescent="0.25">
      <c r="A500" s="17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76"/>
      <c r="R500" s="376"/>
      <c r="S500" s="376"/>
      <c r="T500" s="376"/>
      <c r="U500" s="376"/>
      <c r="V500" s="376"/>
      <c r="W500" s="376"/>
      <c r="X500" s="376"/>
      <c r="Y500" s="376"/>
      <c r="Z500" s="376"/>
      <c r="AA500" s="376"/>
    </row>
    <row r="501" spans="1:27" ht="12.75" customHeight="1" x14ac:dyDescent="0.25">
      <c r="A501" s="17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76"/>
      <c r="R501" s="376"/>
      <c r="S501" s="376"/>
      <c r="T501" s="376"/>
      <c r="U501" s="376"/>
      <c r="V501" s="376"/>
      <c r="W501" s="376"/>
      <c r="X501" s="376"/>
      <c r="Y501" s="376"/>
      <c r="Z501" s="376"/>
      <c r="AA501" s="376"/>
    </row>
    <row r="502" spans="1:27" ht="12.75" customHeight="1" x14ac:dyDescent="0.25">
      <c r="A502" s="17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76"/>
      <c r="R502" s="376"/>
      <c r="S502" s="376"/>
      <c r="T502" s="376"/>
      <c r="U502" s="376"/>
      <c r="V502" s="376"/>
      <c r="W502" s="376"/>
      <c r="X502" s="376"/>
      <c r="Y502" s="376"/>
      <c r="Z502" s="376"/>
      <c r="AA502" s="376"/>
    </row>
    <row r="503" spans="1:27" ht="12.75" customHeight="1" x14ac:dyDescent="0.25">
      <c r="A503" s="17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76"/>
      <c r="R503" s="376"/>
      <c r="S503" s="376"/>
      <c r="T503" s="376"/>
      <c r="U503" s="376"/>
      <c r="V503" s="376"/>
      <c r="W503" s="376"/>
      <c r="X503" s="376"/>
      <c r="Y503" s="376"/>
      <c r="Z503" s="376"/>
      <c r="AA503" s="376"/>
    </row>
    <row r="504" spans="1:27" ht="12.75" customHeight="1" x14ac:dyDescent="0.25">
      <c r="A504" s="17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76"/>
      <c r="R504" s="376"/>
      <c r="S504" s="376"/>
      <c r="T504" s="376"/>
      <c r="U504" s="376"/>
      <c r="V504" s="376"/>
      <c r="W504" s="376"/>
      <c r="X504" s="376"/>
      <c r="Y504" s="376"/>
      <c r="Z504" s="376"/>
      <c r="AA504" s="376"/>
    </row>
    <row r="505" spans="1:27" ht="12.75" customHeight="1" x14ac:dyDescent="0.25">
      <c r="A505" s="17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76"/>
      <c r="R505" s="376"/>
      <c r="S505" s="376"/>
      <c r="T505" s="376"/>
      <c r="U505" s="376"/>
      <c r="V505" s="376"/>
      <c r="W505" s="376"/>
      <c r="X505" s="376"/>
      <c r="Y505" s="376"/>
      <c r="Z505" s="376"/>
      <c r="AA505" s="376"/>
    </row>
    <row r="506" spans="1:27" ht="12.75" customHeight="1" x14ac:dyDescent="0.25">
      <c r="A506" s="17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76"/>
      <c r="R506" s="376"/>
      <c r="S506" s="376"/>
      <c r="T506" s="376"/>
      <c r="U506" s="376"/>
      <c r="V506" s="376"/>
      <c r="W506" s="376"/>
      <c r="X506" s="376"/>
      <c r="Y506" s="376"/>
      <c r="Z506" s="376"/>
      <c r="AA506" s="376"/>
    </row>
    <row r="507" spans="1:27" ht="12.75" customHeight="1" x14ac:dyDescent="0.25">
      <c r="A507" s="17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76"/>
      <c r="R507" s="376"/>
      <c r="S507" s="376"/>
      <c r="T507" s="376"/>
      <c r="U507" s="376"/>
      <c r="V507" s="376"/>
      <c r="W507" s="376"/>
      <c r="X507" s="376"/>
      <c r="Y507" s="376"/>
      <c r="Z507" s="376"/>
      <c r="AA507" s="376"/>
    </row>
    <row r="508" spans="1:27" ht="12.75" customHeight="1" x14ac:dyDescent="0.25">
      <c r="A508" s="17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76"/>
      <c r="R508" s="376"/>
      <c r="S508" s="376"/>
      <c r="T508" s="376"/>
      <c r="U508" s="376"/>
      <c r="V508" s="376"/>
      <c r="W508" s="376"/>
      <c r="X508" s="376"/>
      <c r="Y508" s="376"/>
      <c r="Z508" s="376"/>
      <c r="AA508" s="376"/>
    </row>
    <row r="509" spans="1:27" ht="12.75" customHeight="1" x14ac:dyDescent="0.25">
      <c r="A509" s="17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76"/>
      <c r="R509" s="376"/>
      <c r="S509" s="376"/>
      <c r="T509" s="376"/>
      <c r="U509" s="376"/>
      <c r="V509" s="376"/>
      <c r="W509" s="376"/>
      <c r="X509" s="376"/>
      <c r="Y509" s="376"/>
      <c r="Z509" s="376"/>
      <c r="AA509" s="376"/>
    </row>
    <row r="510" spans="1:27" ht="12.75" customHeight="1" x14ac:dyDescent="0.25">
      <c r="A510" s="17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76"/>
      <c r="R510" s="376"/>
      <c r="S510" s="376"/>
      <c r="T510" s="376"/>
      <c r="U510" s="376"/>
      <c r="V510" s="376"/>
      <c r="W510" s="376"/>
      <c r="X510" s="376"/>
      <c r="Y510" s="376"/>
      <c r="Z510" s="376"/>
      <c r="AA510" s="376"/>
    </row>
    <row r="511" spans="1:27" ht="12.75" customHeight="1" x14ac:dyDescent="0.25">
      <c r="A511" s="17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76"/>
      <c r="R511" s="376"/>
      <c r="S511" s="376"/>
      <c r="T511" s="376"/>
      <c r="U511" s="376"/>
      <c r="V511" s="376"/>
      <c r="W511" s="376"/>
      <c r="X511" s="376"/>
      <c r="Y511" s="376"/>
      <c r="Z511" s="376"/>
      <c r="AA511" s="376"/>
    </row>
    <row r="512" spans="1:27" ht="12.75" customHeight="1" x14ac:dyDescent="0.25">
      <c r="A512" s="17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76"/>
      <c r="R512" s="376"/>
      <c r="S512" s="376"/>
      <c r="T512" s="376"/>
      <c r="U512" s="376"/>
      <c r="V512" s="376"/>
      <c r="W512" s="376"/>
      <c r="X512" s="376"/>
      <c r="Y512" s="376"/>
      <c r="Z512" s="376"/>
      <c r="AA512" s="376"/>
    </row>
    <row r="513" spans="1:27" ht="12.75" customHeight="1" x14ac:dyDescent="0.25">
      <c r="A513" s="17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76"/>
      <c r="R513" s="376"/>
      <c r="S513" s="376"/>
      <c r="T513" s="376"/>
      <c r="U513" s="376"/>
      <c r="V513" s="376"/>
      <c r="W513" s="376"/>
      <c r="X513" s="376"/>
      <c r="Y513" s="376"/>
      <c r="Z513" s="376"/>
      <c r="AA513" s="376"/>
    </row>
    <row r="514" spans="1:27" ht="12.75" customHeight="1" x14ac:dyDescent="0.25">
      <c r="A514" s="17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76"/>
      <c r="R514" s="376"/>
      <c r="S514" s="376"/>
      <c r="T514" s="376"/>
      <c r="U514" s="376"/>
      <c r="V514" s="376"/>
      <c r="W514" s="376"/>
      <c r="X514" s="376"/>
      <c r="Y514" s="376"/>
      <c r="Z514" s="376"/>
      <c r="AA514" s="376"/>
    </row>
    <row r="515" spans="1:27" ht="12.75" customHeight="1" x14ac:dyDescent="0.25">
      <c r="A515" s="17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76"/>
      <c r="R515" s="376"/>
      <c r="S515" s="376"/>
      <c r="T515" s="376"/>
      <c r="U515" s="376"/>
      <c r="V515" s="376"/>
      <c r="W515" s="376"/>
      <c r="X515" s="376"/>
      <c r="Y515" s="376"/>
      <c r="Z515" s="376"/>
      <c r="AA515" s="376"/>
    </row>
    <row r="516" spans="1:27" ht="12.75" customHeight="1" x14ac:dyDescent="0.25">
      <c r="A516" s="17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76"/>
      <c r="R516" s="376"/>
      <c r="S516" s="376"/>
      <c r="T516" s="376"/>
      <c r="U516" s="376"/>
      <c r="V516" s="376"/>
      <c r="W516" s="376"/>
      <c r="X516" s="376"/>
      <c r="Y516" s="376"/>
      <c r="Z516" s="376"/>
      <c r="AA516" s="376"/>
    </row>
    <row r="517" spans="1:27" ht="12.75" customHeight="1" x14ac:dyDescent="0.25">
      <c r="A517" s="17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76"/>
      <c r="R517" s="376"/>
      <c r="S517" s="376"/>
      <c r="T517" s="376"/>
      <c r="U517" s="376"/>
      <c r="V517" s="376"/>
      <c r="W517" s="376"/>
      <c r="X517" s="376"/>
      <c r="Y517" s="376"/>
      <c r="Z517" s="376"/>
      <c r="AA517" s="376"/>
    </row>
    <row r="518" spans="1:27" ht="12.75" customHeight="1" x14ac:dyDescent="0.25">
      <c r="A518" s="17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76"/>
      <c r="R518" s="376"/>
      <c r="S518" s="376"/>
      <c r="T518" s="376"/>
      <c r="U518" s="376"/>
      <c r="V518" s="376"/>
      <c r="W518" s="376"/>
      <c r="X518" s="376"/>
      <c r="Y518" s="376"/>
      <c r="Z518" s="376"/>
      <c r="AA518" s="376"/>
    </row>
    <row r="519" spans="1:27" ht="12.75" customHeight="1" x14ac:dyDescent="0.25">
      <c r="A519" s="17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76"/>
      <c r="R519" s="376"/>
      <c r="S519" s="376"/>
      <c r="T519" s="376"/>
      <c r="U519" s="376"/>
      <c r="V519" s="376"/>
      <c r="W519" s="376"/>
      <c r="X519" s="376"/>
      <c r="Y519" s="376"/>
      <c r="Z519" s="376"/>
      <c r="AA519" s="376"/>
    </row>
    <row r="520" spans="1:27" ht="12.75" customHeight="1" x14ac:dyDescent="0.25">
      <c r="A520" s="17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76"/>
      <c r="R520" s="376"/>
      <c r="S520" s="376"/>
      <c r="T520" s="376"/>
      <c r="U520" s="376"/>
      <c r="V520" s="376"/>
      <c r="W520" s="376"/>
      <c r="X520" s="376"/>
      <c r="Y520" s="376"/>
      <c r="Z520" s="376"/>
      <c r="AA520" s="376"/>
    </row>
    <row r="521" spans="1:27" ht="12.75" customHeight="1" x14ac:dyDescent="0.25">
      <c r="A521" s="17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76"/>
      <c r="R521" s="376"/>
      <c r="S521" s="376"/>
      <c r="T521" s="376"/>
      <c r="U521" s="376"/>
      <c r="V521" s="376"/>
      <c r="W521" s="376"/>
      <c r="X521" s="376"/>
      <c r="Y521" s="376"/>
      <c r="Z521" s="376"/>
      <c r="AA521" s="376"/>
    </row>
    <row r="522" spans="1:27" ht="12.75" customHeight="1" x14ac:dyDescent="0.25">
      <c r="A522" s="17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76"/>
      <c r="R522" s="376"/>
      <c r="S522" s="376"/>
      <c r="T522" s="376"/>
      <c r="U522" s="376"/>
      <c r="V522" s="376"/>
      <c r="W522" s="376"/>
      <c r="X522" s="376"/>
      <c r="Y522" s="376"/>
      <c r="Z522" s="376"/>
      <c r="AA522" s="376"/>
    </row>
    <row r="523" spans="1:27" ht="12.75" customHeight="1" x14ac:dyDescent="0.25">
      <c r="A523" s="17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76"/>
      <c r="R523" s="376"/>
      <c r="S523" s="376"/>
      <c r="T523" s="376"/>
      <c r="U523" s="376"/>
      <c r="V523" s="376"/>
      <c r="W523" s="376"/>
      <c r="X523" s="376"/>
      <c r="Y523" s="376"/>
      <c r="Z523" s="376"/>
      <c r="AA523" s="376"/>
    </row>
    <row r="524" spans="1:27" ht="12.75" customHeight="1" x14ac:dyDescent="0.25">
      <c r="A524" s="17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76"/>
      <c r="R524" s="376"/>
      <c r="S524" s="376"/>
      <c r="T524" s="376"/>
      <c r="U524" s="376"/>
      <c r="V524" s="376"/>
      <c r="W524" s="376"/>
      <c r="X524" s="376"/>
      <c r="Y524" s="376"/>
      <c r="Z524" s="376"/>
      <c r="AA524" s="376"/>
    </row>
    <row r="525" spans="1:27" ht="12.75" customHeight="1" x14ac:dyDescent="0.25">
      <c r="A525" s="17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76"/>
      <c r="R525" s="376"/>
      <c r="S525" s="376"/>
      <c r="T525" s="376"/>
      <c r="U525" s="376"/>
      <c r="V525" s="376"/>
      <c r="W525" s="376"/>
      <c r="X525" s="376"/>
      <c r="Y525" s="376"/>
      <c r="Z525" s="376"/>
      <c r="AA525" s="376"/>
    </row>
    <row r="526" spans="1:27" ht="12.75" customHeight="1" x14ac:dyDescent="0.25">
      <c r="A526" s="17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76"/>
      <c r="R526" s="376"/>
      <c r="S526" s="376"/>
      <c r="T526" s="376"/>
      <c r="U526" s="376"/>
      <c r="V526" s="376"/>
      <c r="W526" s="376"/>
      <c r="X526" s="376"/>
      <c r="Y526" s="376"/>
      <c r="Z526" s="376"/>
      <c r="AA526" s="376"/>
    </row>
    <row r="527" spans="1:27" ht="12.75" customHeight="1" x14ac:dyDescent="0.25">
      <c r="A527" s="17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76"/>
      <c r="R527" s="376"/>
      <c r="S527" s="376"/>
      <c r="T527" s="376"/>
      <c r="U527" s="376"/>
      <c r="V527" s="376"/>
      <c r="W527" s="376"/>
      <c r="X527" s="376"/>
      <c r="Y527" s="376"/>
      <c r="Z527" s="376"/>
      <c r="AA527" s="376"/>
    </row>
    <row r="528" spans="1:27" ht="12.75" customHeight="1" x14ac:dyDescent="0.25">
      <c r="A528" s="17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76"/>
      <c r="R528" s="376"/>
      <c r="S528" s="376"/>
      <c r="T528" s="376"/>
      <c r="U528" s="376"/>
      <c r="V528" s="376"/>
      <c r="W528" s="376"/>
      <c r="X528" s="376"/>
      <c r="Y528" s="376"/>
      <c r="Z528" s="376"/>
      <c r="AA528" s="376"/>
    </row>
    <row r="529" spans="1:27" ht="12.75" customHeight="1" x14ac:dyDescent="0.25">
      <c r="A529" s="17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76"/>
      <c r="R529" s="376"/>
      <c r="S529" s="376"/>
      <c r="T529" s="376"/>
      <c r="U529" s="376"/>
      <c r="V529" s="376"/>
      <c r="W529" s="376"/>
      <c r="X529" s="376"/>
      <c r="Y529" s="376"/>
      <c r="Z529" s="376"/>
      <c r="AA529" s="376"/>
    </row>
    <row r="530" spans="1:27" ht="12.75" customHeight="1" x14ac:dyDescent="0.25">
      <c r="A530" s="17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76"/>
      <c r="R530" s="376"/>
      <c r="S530" s="376"/>
      <c r="T530" s="376"/>
      <c r="U530" s="376"/>
      <c r="V530" s="376"/>
      <c r="W530" s="376"/>
      <c r="X530" s="376"/>
      <c r="Y530" s="376"/>
      <c r="Z530" s="376"/>
      <c r="AA530" s="376"/>
    </row>
    <row r="531" spans="1:27" ht="12.75" customHeight="1" x14ac:dyDescent="0.25">
      <c r="A531" s="17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76"/>
      <c r="R531" s="376"/>
      <c r="S531" s="376"/>
      <c r="T531" s="376"/>
      <c r="U531" s="376"/>
      <c r="V531" s="376"/>
      <c r="W531" s="376"/>
      <c r="X531" s="376"/>
      <c r="Y531" s="376"/>
      <c r="Z531" s="376"/>
      <c r="AA531" s="376"/>
    </row>
    <row r="532" spans="1:27" ht="12.75" customHeight="1" x14ac:dyDescent="0.25">
      <c r="A532" s="17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76"/>
      <c r="R532" s="376"/>
      <c r="S532" s="376"/>
      <c r="T532" s="376"/>
      <c r="U532" s="376"/>
      <c r="V532" s="376"/>
      <c r="W532" s="376"/>
      <c r="X532" s="376"/>
      <c r="Y532" s="376"/>
      <c r="Z532" s="376"/>
      <c r="AA532" s="376"/>
    </row>
    <row r="533" spans="1:27" ht="12.75" customHeight="1" x14ac:dyDescent="0.25">
      <c r="A533" s="17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76"/>
      <c r="R533" s="376"/>
      <c r="S533" s="376"/>
      <c r="T533" s="376"/>
      <c r="U533" s="376"/>
      <c r="V533" s="376"/>
      <c r="W533" s="376"/>
      <c r="X533" s="376"/>
      <c r="Y533" s="376"/>
      <c r="Z533" s="376"/>
      <c r="AA533" s="376"/>
    </row>
    <row r="534" spans="1:27" ht="12.75" customHeight="1" x14ac:dyDescent="0.25">
      <c r="A534" s="17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76"/>
      <c r="R534" s="376"/>
      <c r="S534" s="376"/>
      <c r="T534" s="376"/>
      <c r="U534" s="376"/>
      <c r="V534" s="376"/>
      <c r="W534" s="376"/>
      <c r="X534" s="376"/>
      <c r="Y534" s="376"/>
      <c r="Z534" s="376"/>
      <c r="AA534" s="376"/>
    </row>
    <row r="535" spans="1:27" ht="12.75" customHeight="1" x14ac:dyDescent="0.25">
      <c r="A535" s="17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76"/>
      <c r="R535" s="376"/>
      <c r="S535" s="376"/>
      <c r="T535" s="376"/>
      <c r="U535" s="376"/>
      <c r="V535" s="376"/>
      <c r="W535" s="376"/>
      <c r="X535" s="376"/>
      <c r="Y535" s="376"/>
      <c r="Z535" s="376"/>
      <c r="AA535" s="376"/>
    </row>
    <row r="536" spans="1:27" ht="12.75" customHeight="1" x14ac:dyDescent="0.25">
      <c r="A536" s="17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76"/>
      <c r="R536" s="376"/>
      <c r="S536" s="376"/>
      <c r="T536" s="376"/>
      <c r="U536" s="376"/>
      <c r="V536" s="376"/>
      <c r="W536" s="376"/>
      <c r="X536" s="376"/>
      <c r="Y536" s="376"/>
      <c r="Z536" s="376"/>
      <c r="AA536" s="376"/>
    </row>
    <row r="537" spans="1:27" ht="12.75" customHeight="1" x14ac:dyDescent="0.25">
      <c r="A537" s="17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76"/>
      <c r="R537" s="376"/>
      <c r="S537" s="376"/>
      <c r="T537" s="376"/>
      <c r="U537" s="376"/>
      <c r="V537" s="376"/>
      <c r="W537" s="376"/>
      <c r="X537" s="376"/>
      <c r="Y537" s="376"/>
      <c r="Z537" s="376"/>
      <c r="AA537" s="376"/>
    </row>
    <row r="538" spans="1:27" ht="12.75" customHeight="1" x14ac:dyDescent="0.25">
      <c r="A538" s="17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76"/>
      <c r="R538" s="376"/>
      <c r="S538" s="376"/>
      <c r="T538" s="376"/>
      <c r="U538" s="376"/>
      <c r="V538" s="376"/>
      <c r="W538" s="376"/>
      <c r="X538" s="376"/>
      <c r="Y538" s="376"/>
      <c r="Z538" s="376"/>
      <c r="AA538" s="376"/>
    </row>
    <row r="539" spans="1:27" ht="12.75" customHeight="1" x14ac:dyDescent="0.25">
      <c r="A539" s="17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76"/>
      <c r="R539" s="376"/>
      <c r="S539" s="376"/>
      <c r="T539" s="376"/>
      <c r="U539" s="376"/>
      <c r="V539" s="376"/>
      <c r="W539" s="376"/>
      <c r="X539" s="376"/>
      <c r="Y539" s="376"/>
      <c r="Z539" s="376"/>
      <c r="AA539" s="376"/>
    </row>
    <row r="540" spans="1:27" ht="12.75" customHeight="1" x14ac:dyDescent="0.25">
      <c r="A540" s="17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76"/>
      <c r="R540" s="376"/>
      <c r="S540" s="376"/>
      <c r="T540" s="376"/>
      <c r="U540" s="376"/>
      <c r="V540" s="376"/>
      <c r="W540" s="376"/>
      <c r="X540" s="376"/>
      <c r="Y540" s="376"/>
      <c r="Z540" s="376"/>
      <c r="AA540" s="376"/>
    </row>
    <row r="541" spans="1:27" ht="12.75" customHeight="1" x14ac:dyDescent="0.25">
      <c r="A541" s="17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76"/>
      <c r="R541" s="376"/>
      <c r="S541" s="376"/>
      <c r="T541" s="376"/>
      <c r="U541" s="376"/>
      <c r="V541" s="376"/>
      <c r="W541" s="376"/>
      <c r="X541" s="376"/>
      <c r="Y541" s="376"/>
      <c r="Z541" s="376"/>
      <c r="AA541" s="376"/>
    </row>
    <row r="542" spans="1:27" ht="12.75" customHeight="1" x14ac:dyDescent="0.25">
      <c r="A542" s="17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76"/>
      <c r="R542" s="376"/>
      <c r="S542" s="376"/>
      <c r="T542" s="376"/>
      <c r="U542" s="376"/>
      <c r="V542" s="376"/>
      <c r="W542" s="376"/>
      <c r="X542" s="376"/>
      <c r="Y542" s="376"/>
      <c r="Z542" s="376"/>
      <c r="AA542" s="376"/>
    </row>
    <row r="543" spans="1:27" ht="12.75" customHeight="1" x14ac:dyDescent="0.25">
      <c r="A543" s="17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76"/>
      <c r="R543" s="376"/>
      <c r="S543" s="376"/>
      <c r="T543" s="376"/>
      <c r="U543" s="376"/>
      <c r="V543" s="376"/>
      <c r="W543" s="376"/>
      <c r="X543" s="376"/>
      <c r="Y543" s="376"/>
      <c r="Z543" s="376"/>
      <c r="AA543" s="376"/>
    </row>
    <row r="544" spans="1:27" ht="12.75" customHeight="1" x14ac:dyDescent="0.25">
      <c r="A544" s="17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76"/>
      <c r="R544" s="376"/>
      <c r="S544" s="376"/>
      <c r="T544" s="376"/>
      <c r="U544" s="376"/>
      <c r="V544" s="376"/>
      <c r="W544" s="376"/>
      <c r="X544" s="376"/>
      <c r="Y544" s="376"/>
      <c r="Z544" s="376"/>
      <c r="AA544" s="376"/>
    </row>
    <row r="545" spans="1:27" ht="12.75" customHeight="1" x14ac:dyDescent="0.25">
      <c r="A545" s="17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76"/>
      <c r="R545" s="376"/>
      <c r="S545" s="376"/>
      <c r="T545" s="376"/>
      <c r="U545" s="376"/>
      <c r="V545" s="376"/>
      <c r="W545" s="376"/>
      <c r="X545" s="376"/>
      <c r="Y545" s="376"/>
      <c r="Z545" s="376"/>
      <c r="AA545" s="376"/>
    </row>
    <row r="546" spans="1:27" ht="12.75" customHeight="1" x14ac:dyDescent="0.25">
      <c r="A546" s="17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76"/>
      <c r="R546" s="376"/>
      <c r="S546" s="376"/>
      <c r="T546" s="376"/>
      <c r="U546" s="376"/>
      <c r="V546" s="376"/>
      <c r="W546" s="376"/>
      <c r="X546" s="376"/>
      <c r="Y546" s="376"/>
      <c r="Z546" s="376"/>
      <c r="AA546" s="376"/>
    </row>
    <row r="547" spans="1:27" ht="12.75" customHeight="1" x14ac:dyDescent="0.25">
      <c r="A547" s="17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76"/>
      <c r="R547" s="376"/>
      <c r="S547" s="376"/>
      <c r="T547" s="376"/>
      <c r="U547" s="376"/>
      <c r="V547" s="376"/>
      <c r="W547" s="376"/>
      <c r="X547" s="376"/>
      <c r="Y547" s="376"/>
      <c r="Z547" s="376"/>
      <c r="AA547" s="376"/>
    </row>
    <row r="548" spans="1:27" ht="12.75" customHeight="1" x14ac:dyDescent="0.25">
      <c r="A548" s="17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76"/>
      <c r="R548" s="376"/>
      <c r="S548" s="376"/>
      <c r="T548" s="376"/>
      <c r="U548" s="376"/>
      <c r="V548" s="376"/>
      <c r="W548" s="376"/>
      <c r="X548" s="376"/>
      <c r="Y548" s="376"/>
      <c r="Z548" s="376"/>
      <c r="AA548" s="376"/>
    </row>
    <row r="549" spans="1:27" ht="12.75" customHeight="1" x14ac:dyDescent="0.25">
      <c r="A549" s="17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76"/>
      <c r="R549" s="376"/>
      <c r="S549" s="376"/>
      <c r="T549" s="376"/>
      <c r="U549" s="376"/>
      <c r="V549" s="376"/>
      <c r="W549" s="376"/>
      <c r="X549" s="376"/>
      <c r="Y549" s="376"/>
      <c r="Z549" s="376"/>
      <c r="AA549" s="376"/>
    </row>
    <row r="550" spans="1:27" ht="12.75" customHeight="1" x14ac:dyDescent="0.25">
      <c r="A550" s="17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76"/>
      <c r="R550" s="376"/>
      <c r="S550" s="376"/>
      <c r="T550" s="376"/>
      <c r="U550" s="376"/>
      <c r="V550" s="376"/>
      <c r="W550" s="376"/>
      <c r="X550" s="376"/>
      <c r="Y550" s="376"/>
      <c r="Z550" s="376"/>
      <c r="AA550" s="376"/>
    </row>
    <row r="551" spans="1:27" ht="12.75" customHeight="1" x14ac:dyDescent="0.25">
      <c r="A551" s="17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76"/>
      <c r="R551" s="376"/>
      <c r="S551" s="376"/>
      <c r="T551" s="376"/>
      <c r="U551" s="376"/>
      <c r="V551" s="376"/>
      <c r="W551" s="376"/>
      <c r="X551" s="376"/>
      <c r="Y551" s="376"/>
      <c r="Z551" s="376"/>
      <c r="AA551" s="376"/>
    </row>
    <row r="552" spans="1:27" ht="12.75" customHeight="1" x14ac:dyDescent="0.25">
      <c r="A552" s="17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76"/>
      <c r="R552" s="376"/>
      <c r="S552" s="376"/>
      <c r="T552" s="376"/>
      <c r="U552" s="376"/>
      <c r="V552" s="376"/>
      <c r="W552" s="376"/>
      <c r="X552" s="376"/>
      <c r="Y552" s="376"/>
      <c r="Z552" s="376"/>
      <c r="AA552" s="376"/>
    </row>
    <row r="553" spans="1:27" ht="12.75" customHeight="1" x14ac:dyDescent="0.25">
      <c r="A553" s="17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76"/>
      <c r="R553" s="376"/>
      <c r="S553" s="376"/>
      <c r="T553" s="376"/>
      <c r="U553" s="376"/>
      <c r="V553" s="376"/>
      <c r="W553" s="376"/>
      <c r="X553" s="376"/>
      <c r="Y553" s="376"/>
      <c r="Z553" s="376"/>
      <c r="AA553" s="376"/>
    </row>
    <row r="554" spans="1:27" ht="12.75" customHeight="1" x14ac:dyDescent="0.25">
      <c r="A554" s="17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76"/>
      <c r="R554" s="376"/>
      <c r="S554" s="376"/>
      <c r="T554" s="376"/>
      <c r="U554" s="376"/>
      <c r="V554" s="376"/>
      <c r="W554" s="376"/>
      <c r="X554" s="376"/>
      <c r="Y554" s="376"/>
      <c r="Z554" s="376"/>
      <c r="AA554" s="376"/>
    </row>
    <row r="555" spans="1:27" ht="12.75" customHeight="1" x14ac:dyDescent="0.25">
      <c r="A555" s="17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76"/>
      <c r="R555" s="376"/>
      <c r="S555" s="376"/>
      <c r="T555" s="376"/>
      <c r="U555" s="376"/>
      <c r="V555" s="376"/>
      <c r="W555" s="376"/>
      <c r="X555" s="376"/>
      <c r="Y555" s="376"/>
      <c r="Z555" s="376"/>
      <c r="AA555" s="376"/>
    </row>
    <row r="556" spans="1:27" ht="12.75" customHeight="1" x14ac:dyDescent="0.25">
      <c r="A556" s="17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76"/>
      <c r="R556" s="376"/>
      <c r="S556" s="376"/>
      <c r="T556" s="376"/>
      <c r="U556" s="376"/>
      <c r="V556" s="376"/>
      <c r="W556" s="376"/>
      <c r="X556" s="376"/>
      <c r="Y556" s="376"/>
      <c r="Z556" s="376"/>
      <c r="AA556" s="376"/>
    </row>
    <row r="557" spans="1:27" ht="12.75" customHeight="1" x14ac:dyDescent="0.25">
      <c r="A557" s="17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76"/>
      <c r="R557" s="376"/>
      <c r="S557" s="376"/>
      <c r="T557" s="376"/>
      <c r="U557" s="376"/>
      <c r="V557" s="376"/>
      <c r="W557" s="376"/>
      <c r="X557" s="376"/>
      <c r="Y557" s="376"/>
      <c r="Z557" s="376"/>
      <c r="AA557" s="376"/>
    </row>
    <row r="558" spans="1:27" ht="12.75" customHeight="1" x14ac:dyDescent="0.25">
      <c r="A558" s="17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76"/>
      <c r="R558" s="376"/>
      <c r="S558" s="376"/>
      <c r="T558" s="376"/>
      <c r="U558" s="376"/>
      <c r="V558" s="376"/>
      <c r="W558" s="376"/>
      <c r="X558" s="376"/>
      <c r="Y558" s="376"/>
      <c r="Z558" s="376"/>
      <c r="AA558" s="376"/>
    </row>
    <row r="559" spans="1:27" ht="12.75" customHeight="1" x14ac:dyDescent="0.25">
      <c r="A559" s="17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76"/>
      <c r="R559" s="376"/>
      <c r="S559" s="376"/>
      <c r="T559" s="376"/>
      <c r="U559" s="376"/>
      <c r="V559" s="376"/>
      <c r="W559" s="376"/>
      <c r="X559" s="376"/>
      <c r="Y559" s="376"/>
      <c r="Z559" s="376"/>
      <c r="AA559" s="376"/>
    </row>
    <row r="560" spans="1:27" ht="12.75" customHeight="1" x14ac:dyDescent="0.25">
      <c r="A560" s="17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76"/>
      <c r="R560" s="376"/>
      <c r="S560" s="376"/>
      <c r="T560" s="376"/>
      <c r="U560" s="376"/>
      <c r="V560" s="376"/>
      <c r="W560" s="376"/>
      <c r="X560" s="376"/>
      <c r="Y560" s="376"/>
      <c r="Z560" s="376"/>
      <c r="AA560" s="376"/>
    </row>
    <row r="561" spans="1:27" ht="12.75" customHeight="1" x14ac:dyDescent="0.25">
      <c r="A561" s="17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76"/>
      <c r="R561" s="376"/>
      <c r="S561" s="376"/>
      <c r="T561" s="376"/>
      <c r="U561" s="376"/>
      <c r="V561" s="376"/>
      <c r="W561" s="376"/>
      <c r="X561" s="376"/>
      <c r="Y561" s="376"/>
      <c r="Z561" s="376"/>
      <c r="AA561" s="376"/>
    </row>
    <row r="562" spans="1:27" ht="12.75" customHeight="1" x14ac:dyDescent="0.25">
      <c r="A562" s="17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76"/>
      <c r="R562" s="376"/>
      <c r="S562" s="376"/>
      <c r="T562" s="376"/>
      <c r="U562" s="376"/>
      <c r="V562" s="376"/>
      <c r="W562" s="376"/>
      <c r="X562" s="376"/>
      <c r="Y562" s="376"/>
      <c r="Z562" s="376"/>
      <c r="AA562" s="376"/>
    </row>
    <row r="563" spans="1:27" ht="12.75" customHeight="1" x14ac:dyDescent="0.25">
      <c r="A563" s="17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76"/>
      <c r="R563" s="376"/>
      <c r="S563" s="376"/>
      <c r="T563" s="376"/>
      <c r="U563" s="376"/>
      <c r="V563" s="376"/>
      <c r="W563" s="376"/>
      <c r="X563" s="376"/>
      <c r="Y563" s="376"/>
      <c r="Z563" s="376"/>
      <c r="AA563" s="376"/>
    </row>
    <row r="564" spans="1:27" ht="12.75" customHeight="1" x14ac:dyDescent="0.25">
      <c r="A564" s="17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76"/>
      <c r="R564" s="376"/>
      <c r="S564" s="376"/>
      <c r="T564" s="376"/>
      <c r="U564" s="376"/>
      <c r="V564" s="376"/>
      <c r="W564" s="376"/>
      <c r="X564" s="376"/>
      <c r="Y564" s="376"/>
      <c r="Z564" s="376"/>
      <c r="AA564" s="376"/>
    </row>
    <row r="565" spans="1:27" ht="12.75" customHeight="1" x14ac:dyDescent="0.25">
      <c r="A565" s="17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76"/>
      <c r="R565" s="376"/>
      <c r="S565" s="376"/>
      <c r="T565" s="376"/>
      <c r="U565" s="376"/>
      <c r="V565" s="376"/>
      <c r="W565" s="376"/>
      <c r="X565" s="376"/>
      <c r="Y565" s="376"/>
      <c r="Z565" s="376"/>
      <c r="AA565" s="376"/>
    </row>
    <row r="566" spans="1:27" ht="12.75" customHeight="1" x14ac:dyDescent="0.25">
      <c r="A566" s="17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76"/>
      <c r="R566" s="376"/>
      <c r="S566" s="376"/>
      <c r="T566" s="376"/>
      <c r="U566" s="376"/>
      <c r="V566" s="376"/>
      <c r="W566" s="376"/>
      <c r="X566" s="376"/>
      <c r="Y566" s="376"/>
      <c r="Z566" s="376"/>
      <c r="AA566" s="376"/>
    </row>
    <row r="567" spans="1:27" ht="12.75" customHeight="1" x14ac:dyDescent="0.25">
      <c r="A567" s="17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76"/>
      <c r="R567" s="376"/>
      <c r="S567" s="376"/>
      <c r="T567" s="376"/>
      <c r="U567" s="376"/>
      <c r="V567" s="376"/>
      <c r="W567" s="376"/>
      <c r="X567" s="376"/>
      <c r="Y567" s="376"/>
      <c r="Z567" s="376"/>
      <c r="AA567" s="376"/>
    </row>
    <row r="568" spans="1:27" ht="12.75" customHeight="1" x14ac:dyDescent="0.25">
      <c r="A568" s="17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76"/>
      <c r="R568" s="376"/>
      <c r="S568" s="376"/>
      <c r="T568" s="376"/>
      <c r="U568" s="376"/>
      <c r="V568" s="376"/>
      <c r="W568" s="376"/>
      <c r="X568" s="376"/>
      <c r="Y568" s="376"/>
      <c r="Z568" s="376"/>
      <c r="AA568" s="376"/>
    </row>
    <row r="569" spans="1:27" ht="12.75" customHeight="1" x14ac:dyDescent="0.25">
      <c r="A569" s="17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76"/>
      <c r="R569" s="376"/>
      <c r="S569" s="376"/>
      <c r="T569" s="376"/>
      <c r="U569" s="376"/>
      <c r="V569" s="376"/>
      <c r="W569" s="376"/>
      <c r="X569" s="376"/>
      <c r="Y569" s="376"/>
      <c r="Z569" s="376"/>
      <c r="AA569" s="376"/>
    </row>
    <row r="570" spans="1:27" ht="12.75" customHeight="1" x14ac:dyDescent="0.25">
      <c r="A570" s="17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76"/>
      <c r="R570" s="376"/>
      <c r="S570" s="376"/>
      <c r="T570" s="376"/>
      <c r="U570" s="376"/>
      <c r="V570" s="376"/>
      <c r="W570" s="376"/>
      <c r="X570" s="376"/>
      <c r="Y570" s="376"/>
      <c r="Z570" s="376"/>
      <c r="AA570" s="376"/>
    </row>
    <row r="571" spans="1:27" ht="12.75" customHeight="1" x14ac:dyDescent="0.25">
      <c r="A571" s="17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76"/>
      <c r="R571" s="376"/>
      <c r="S571" s="376"/>
      <c r="T571" s="376"/>
      <c r="U571" s="376"/>
      <c r="V571" s="376"/>
      <c r="W571" s="376"/>
      <c r="X571" s="376"/>
      <c r="Y571" s="376"/>
      <c r="Z571" s="376"/>
      <c r="AA571" s="376"/>
    </row>
    <row r="572" spans="1:27" ht="12.75" customHeight="1" x14ac:dyDescent="0.25">
      <c r="A572" s="17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76"/>
      <c r="R572" s="376"/>
      <c r="S572" s="376"/>
      <c r="T572" s="376"/>
      <c r="U572" s="376"/>
      <c r="V572" s="376"/>
      <c r="W572" s="376"/>
      <c r="X572" s="376"/>
      <c r="Y572" s="376"/>
      <c r="Z572" s="376"/>
      <c r="AA572" s="376"/>
    </row>
    <row r="573" spans="1:27" ht="12.75" customHeight="1" x14ac:dyDescent="0.25">
      <c r="A573" s="17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76"/>
      <c r="R573" s="376"/>
      <c r="S573" s="376"/>
      <c r="T573" s="376"/>
      <c r="U573" s="376"/>
      <c r="V573" s="376"/>
      <c r="W573" s="376"/>
      <c r="X573" s="376"/>
      <c r="Y573" s="376"/>
      <c r="Z573" s="376"/>
      <c r="AA573" s="376"/>
    </row>
    <row r="574" spans="1:27" ht="12.75" customHeight="1" x14ac:dyDescent="0.25">
      <c r="A574" s="17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76"/>
      <c r="R574" s="376"/>
      <c r="S574" s="376"/>
      <c r="T574" s="376"/>
      <c r="U574" s="376"/>
      <c r="V574" s="376"/>
      <c r="W574" s="376"/>
      <c r="X574" s="376"/>
      <c r="Y574" s="376"/>
      <c r="Z574" s="376"/>
      <c r="AA574" s="376"/>
    </row>
    <row r="575" spans="1:27" ht="12.75" customHeight="1" x14ac:dyDescent="0.25">
      <c r="A575" s="17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76"/>
      <c r="R575" s="376"/>
      <c r="S575" s="376"/>
      <c r="T575" s="376"/>
      <c r="U575" s="376"/>
      <c r="V575" s="376"/>
      <c r="W575" s="376"/>
      <c r="X575" s="376"/>
      <c r="Y575" s="376"/>
      <c r="Z575" s="376"/>
      <c r="AA575" s="376"/>
    </row>
    <row r="576" spans="1:27" ht="12.75" customHeight="1" x14ac:dyDescent="0.25">
      <c r="A576" s="17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76"/>
      <c r="R576" s="376"/>
      <c r="S576" s="376"/>
      <c r="T576" s="376"/>
      <c r="U576" s="376"/>
      <c r="V576" s="376"/>
      <c r="W576" s="376"/>
      <c r="X576" s="376"/>
      <c r="Y576" s="376"/>
      <c r="Z576" s="376"/>
      <c r="AA576" s="376"/>
    </row>
    <row r="577" spans="1:27" ht="12.75" customHeight="1" x14ac:dyDescent="0.25">
      <c r="A577" s="17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76"/>
      <c r="R577" s="376"/>
      <c r="S577" s="376"/>
      <c r="T577" s="376"/>
      <c r="U577" s="376"/>
      <c r="V577" s="376"/>
      <c r="W577" s="376"/>
      <c r="X577" s="376"/>
      <c r="Y577" s="376"/>
      <c r="Z577" s="376"/>
      <c r="AA577" s="376"/>
    </row>
    <row r="578" spans="1:27" ht="12.75" customHeight="1" x14ac:dyDescent="0.25">
      <c r="A578" s="17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76"/>
      <c r="R578" s="376"/>
      <c r="S578" s="376"/>
      <c r="T578" s="376"/>
      <c r="U578" s="376"/>
      <c r="V578" s="376"/>
      <c r="W578" s="376"/>
      <c r="X578" s="376"/>
      <c r="Y578" s="376"/>
      <c r="Z578" s="376"/>
      <c r="AA578" s="376"/>
    </row>
    <row r="579" spans="1:27" ht="12.75" customHeight="1" x14ac:dyDescent="0.25">
      <c r="A579" s="17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76"/>
      <c r="R579" s="376"/>
      <c r="S579" s="376"/>
      <c r="T579" s="376"/>
      <c r="U579" s="376"/>
      <c r="V579" s="376"/>
      <c r="W579" s="376"/>
      <c r="X579" s="376"/>
      <c r="Y579" s="376"/>
      <c r="Z579" s="376"/>
      <c r="AA579" s="376"/>
    </row>
    <row r="580" spans="1:27" ht="12.75" customHeight="1" x14ac:dyDescent="0.25">
      <c r="A580" s="17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76"/>
      <c r="R580" s="376"/>
      <c r="S580" s="376"/>
      <c r="T580" s="376"/>
      <c r="U580" s="376"/>
      <c r="V580" s="376"/>
      <c r="W580" s="376"/>
      <c r="X580" s="376"/>
      <c r="Y580" s="376"/>
      <c r="Z580" s="376"/>
      <c r="AA580" s="376"/>
    </row>
    <row r="581" spans="1:27" ht="12.75" customHeight="1" x14ac:dyDescent="0.25">
      <c r="A581" s="17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76"/>
      <c r="R581" s="376"/>
      <c r="S581" s="376"/>
      <c r="T581" s="376"/>
      <c r="U581" s="376"/>
      <c r="V581" s="376"/>
      <c r="W581" s="376"/>
      <c r="X581" s="376"/>
      <c r="Y581" s="376"/>
      <c r="Z581" s="376"/>
      <c r="AA581" s="376"/>
    </row>
    <row r="582" spans="1:27" ht="12.75" customHeight="1" x14ac:dyDescent="0.25">
      <c r="A582" s="17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76"/>
      <c r="R582" s="376"/>
      <c r="S582" s="376"/>
      <c r="T582" s="376"/>
      <c r="U582" s="376"/>
      <c r="V582" s="376"/>
      <c r="W582" s="376"/>
      <c r="X582" s="376"/>
      <c r="Y582" s="376"/>
      <c r="Z582" s="376"/>
      <c r="AA582" s="376"/>
    </row>
    <row r="583" spans="1:27" ht="12.75" customHeight="1" x14ac:dyDescent="0.25">
      <c r="A583" s="17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76"/>
      <c r="R583" s="376"/>
      <c r="S583" s="376"/>
      <c r="T583" s="376"/>
      <c r="U583" s="376"/>
      <c r="V583" s="376"/>
      <c r="W583" s="376"/>
      <c r="X583" s="376"/>
      <c r="Y583" s="376"/>
      <c r="Z583" s="376"/>
      <c r="AA583" s="376"/>
    </row>
    <row r="584" spans="1:27" ht="12.75" customHeight="1" x14ac:dyDescent="0.25">
      <c r="A584" s="17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76"/>
      <c r="R584" s="376"/>
      <c r="S584" s="376"/>
      <c r="T584" s="376"/>
      <c r="U584" s="376"/>
      <c r="V584" s="376"/>
      <c r="W584" s="376"/>
      <c r="X584" s="376"/>
      <c r="Y584" s="376"/>
      <c r="Z584" s="376"/>
      <c r="AA584" s="376"/>
    </row>
    <row r="585" spans="1:27" ht="12.75" customHeight="1" x14ac:dyDescent="0.25">
      <c r="A585" s="17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76"/>
      <c r="R585" s="376"/>
      <c r="S585" s="376"/>
      <c r="T585" s="376"/>
      <c r="U585" s="376"/>
      <c r="V585" s="376"/>
      <c r="W585" s="376"/>
      <c r="X585" s="376"/>
      <c r="Y585" s="376"/>
      <c r="Z585" s="376"/>
      <c r="AA585" s="376"/>
    </row>
    <row r="586" spans="1:27" ht="12.75" customHeight="1" x14ac:dyDescent="0.25">
      <c r="A586" s="17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76"/>
      <c r="R586" s="376"/>
      <c r="S586" s="376"/>
      <c r="T586" s="376"/>
      <c r="U586" s="376"/>
      <c r="V586" s="376"/>
      <c r="W586" s="376"/>
      <c r="X586" s="376"/>
      <c r="Y586" s="376"/>
      <c r="Z586" s="376"/>
      <c r="AA586" s="376"/>
    </row>
    <row r="587" spans="1:27" ht="12.75" customHeight="1" x14ac:dyDescent="0.25">
      <c r="A587" s="17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76"/>
      <c r="R587" s="376"/>
      <c r="S587" s="376"/>
      <c r="T587" s="376"/>
      <c r="U587" s="376"/>
      <c r="V587" s="376"/>
      <c r="W587" s="376"/>
      <c r="X587" s="376"/>
      <c r="Y587" s="376"/>
      <c r="Z587" s="376"/>
      <c r="AA587" s="376"/>
    </row>
    <row r="588" spans="1:27" ht="12.75" customHeight="1" x14ac:dyDescent="0.25">
      <c r="A588" s="17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76"/>
      <c r="R588" s="376"/>
      <c r="S588" s="376"/>
      <c r="T588" s="376"/>
      <c r="U588" s="376"/>
      <c r="V588" s="376"/>
      <c r="W588" s="376"/>
      <c r="X588" s="376"/>
      <c r="Y588" s="376"/>
      <c r="Z588" s="376"/>
      <c r="AA588" s="376"/>
    </row>
    <row r="589" spans="1:27" ht="12.75" customHeight="1" x14ac:dyDescent="0.25">
      <c r="A589" s="17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76"/>
      <c r="R589" s="376"/>
      <c r="S589" s="376"/>
      <c r="T589" s="376"/>
      <c r="U589" s="376"/>
      <c r="V589" s="376"/>
      <c r="W589" s="376"/>
      <c r="X589" s="376"/>
      <c r="Y589" s="376"/>
      <c r="Z589" s="376"/>
      <c r="AA589" s="376"/>
    </row>
    <row r="590" spans="1:27" ht="12.75" customHeight="1" x14ac:dyDescent="0.25">
      <c r="A590" s="17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76"/>
      <c r="R590" s="376"/>
      <c r="S590" s="376"/>
      <c r="T590" s="376"/>
      <c r="U590" s="376"/>
      <c r="V590" s="376"/>
      <c r="W590" s="376"/>
      <c r="X590" s="376"/>
      <c r="Y590" s="376"/>
      <c r="Z590" s="376"/>
      <c r="AA590" s="376"/>
    </row>
    <row r="591" spans="1:27" ht="12.75" customHeight="1" x14ac:dyDescent="0.25">
      <c r="A591" s="17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76"/>
      <c r="R591" s="376"/>
      <c r="S591" s="376"/>
      <c r="T591" s="376"/>
      <c r="U591" s="376"/>
      <c r="V591" s="376"/>
      <c r="W591" s="376"/>
      <c r="X591" s="376"/>
      <c r="Y591" s="376"/>
      <c r="Z591" s="376"/>
      <c r="AA591" s="376"/>
    </row>
    <row r="592" spans="1:27" ht="12.75" customHeight="1" x14ac:dyDescent="0.25">
      <c r="A592" s="17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76"/>
      <c r="R592" s="376"/>
      <c r="S592" s="376"/>
      <c r="T592" s="376"/>
      <c r="U592" s="376"/>
      <c r="V592" s="376"/>
      <c r="W592" s="376"/>
      <c r="X592" s="376"/>
      <c r="Y592" s="376"/>
      <c r="Z592" s="376"/>
      <c r="AA592" s="376"/>
    </row>
    <row r="593" spans="1:27" ht="12.75" customHeight="1" x14ac:dyDescent="0.25">
      <c r="A593" s="17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76"/>
      <c r="R593" s="376"/>
      <c r="S593" s="376"/>
      <c r="T593" s="376"/>
      <c r="U593" s="376"/>
      <c r="V593" s="376"/>
      <c r="W593" s="376"/>
      <c r="X593" s="376"/>
      <c r="Y593" s="376"/>
      <c r="Z593" s="376"/>
      <c r="AA593" s="376"/>
    </row>
    <row r="594" spans="1:27" ht="12.75" customHeight="1" x14ac:dyDescent="0.25">
      <c r="A594" s="17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76"/>
      <c r="R594" s="376"/>
      <c r="S594" s="376"/>
      <c r="T594" s="376"/>
      <c r="U594" s="376"/>
      <c r="V594" s="376"/>
      <c r="W594" s="376"/>
      <c r="X594" s="376"/>
      <c r="Y594" s="376"/>
      <c r="Z594" s="376"/>
      <c r="AA594" s="376"/>
    </row>
    <row r="595" spans="1:27" ht="12.75" customHeight="1" x14ac:dyDescent="0.25">
      <c r="A595" s="17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76"/>
      <c r="R595" s="376"/>
      <c r="S595" s="376"/>
      <c r="T595" s="376"/>
      <c r="U595" s="376"/>
      <c r="V595" s="376"/>
      <c r="W595" s="376"/>
      <c r="X595" s="376"/>
      <c r="Y595" s="376"/>
      <c r="Z595" s="376"/>
      <c r="AA595" s="376"/>
    </row>
    <row r="596" spans="1:27" ht="12.75" customHeight="1" x14ac:dyDescent="0.25">
      <c r="A596" s="17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76"/>
      <c r="R596" s="376"/>
      <c r="S596" s="376"/>
      <c r="T596" s="376"/>
      <c r="U596" s="376"/>
      <c r="V596" s="376"/>
      <c r="W596" s="376"/>
      <c r="X596" s="376"/>
      <c r="Y596" s="376"/>
      <c r="Z596" s="376"/>
      <c r="AA596" s="376"/>
    </row>
    <row r="597" spans="1:27" ht="12.75" customHeight="1" x14ac:dyDescent="0.25">
      <c r="A597" s="17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76"/>
      <c r="R597" s="376"/>
      <c r="S597" s="376"/>
      <c r="T597" s="376"/>
      <c r="U597" s="376"/>
      <c r="V597" s="376"/>
      <c r="W597" s="376"/>
      <c r="X597" s="376"/>
      <c r="Y597" s="376"/>
      <c r="Z597" s="376"/>
      <c r="AA597" s="376"/>
    </row>
    <row r="598" spans="1:27" ht="12.75" customHeight="1" x14ac:dyDescent="0.25">
      <c r="A598" s="17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76"/>
      <c r="R598" s="376"/>
      <c r="S598" s="376"/>
      <c r="T598" s="376"/>
      <c r="U598" s="376"/>
      <c r="V598" s="376"/>
      <c r="W598" s="376"/>
      <c r="X598" s="376"/>
      <c r="Y598" s="376"/>
      <c r="Z598" s="376"/>
      <c r="AA598" s="376"/>
    </row>
    <row r="599" spans="1:27" ht="12.75" customHeight="1" x14ac:dyDescent="0.25">
      <c r="A599" s="17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76"/>
      <c r="R599" s="376"/>
      <c r="S599" s="376"/>
      <c r="T599" s="376"/>
      <c r="U599" s="376"/>
      <c r="V599" s="376"/>
      <c r="W599" s="376"/>
      <c r="X599" s="376"/>
      <c r="Y599" s="376"/>
      <c r="Z599" s="376"/>
      <c r="AA599" s="376"/>
    </row>
    <row r="600" spans="1:27" ht="12.75" customHeight="1" x14ac:dyDescent="0.25">
      <c r="A600" s="17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76"/>
      <c r="R600" s="376"/>
      <c r="S600" s="376"/>
      <c r="T600" s="376"/>
      <c r="U600" s="376"/>
      <c r="V600" s="376"/>
      <c r="W600" s="376"/>
      <c r="X600" s="376"/>
      <c r="Y600" s="376"/>
      <c r="Z600" s="376"/>
      <c r="AA600" s="376"/>
    </row>
    <row r="601" spans="1:27" ht="12.75" customHeight="1" x14ac:dyDescent="0.25">
      <c r="A601" s="17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76"/>
      <c r="R601" s="376"/>
      <c r="S601" s="376"/>
      <c r="T601" s="376"/>
      <c r="U601" s="376"/>
      <c r="V601" s="376"/>
      <c r="W601" s="376"/>
      <c r="X601" s="376"/>
      <c r="Y601" s="376"/>
      <c r="Z601" s="376"/>
      <c r="AA601" s="376"/>
    </row>
    <row r="602" spans="1:27" ht="12.75" customHeight="1" x14ac:dyDescent="0.25">
      <c r="A602" s="17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76"/>
      <c r="R602" s="376"/>
      <c r="S602" s="376"/>
      <c r="T602" s="376"/>
      <c r="U602" s="376"/>
      <c r="V602" s="376"/>
      <c r="W602" s="376"/>
      <c r="X602" s="376"/>
      <c r="Y602" s="376"/>
      <c r="Z602" s="376"/>
      <c r="AA602" s="376"/>
    </row>
    <row r="603" spans="1:27" ht="12.75" customHeight="1" x14ac:dyDescent="0.25">
      <c r="A603" s="17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76"/>
      <c r="R603" s="376"/>
      <c r="S603" s="376"/>
      <c r="T603" s="376"/>
      <c r="U603" s="376"/>
      <c r="V603" s="376"/>
      <c r="W603" s="376"/>
      <c r="X603" s="376"/>
      <c r="Y603" s="376"/>
      <c r="Z603" s="376"/>
      <c r="AA603" s="376"/>
    </row>
    <row r="604" spans="1:27" ht="12.75" customHeight="1" x14ac:dyDescent="0.25">
      <c r="A604" s="17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76"/>
      <c r="R604" s="376"/>
      <c r="S604" s="376"/>
      <c r="T604" s="376"/>
      <c r="U604" s="376"/>
      <c r="V604" s="376"/>
      <c r="W604" s="376"/>
      <c r="X604" s="376"/>
      <c r="Y604" s="376"/>
      <c r="Z604" s="376"/>
      <c r="AA604" s="376"/>
    </row>
    <row r="605" spans="1:27" ht="12.75" customHeight="1" x14ac:dyDescent="0.25">
      <c r="A605" s="17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76"/>
      <c r="R605" s="376"/>
      <c r="S605" s="376"/>
      <c r="T605" s="376"/>
      <c r="U605" s="376"/>
      <c r="V605" s="376"/>
      <c r="W605" s="376"/>
      <c r="X605" s="376"/>
      <c r="Y605" s="376"/>
      <c r="Z605" s="376"/>
      <c r="AA605" s="376"/>
    </row>
    <row r="606" spans="1:27" ht="12.75" customHeight="1" x14ac:dyDescent="0.25">
      <c r="A606" s="17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76"/>
      <c r="R606" s="376"/>
      <c r="S606" s="376"/>
      <c r="T606" s="376"/>
      <c r="U606" s="376"/>
      <c r="V606" s="376"/>
      <c r="W606" s="376"/>
      <c r="X606" s="376"/>
      <c r="Y606" s="376"/>
      <c r="Z606" s="376"/>
      <c r="AA606" s="376"/>
    </row>
    <row r="607" spans="1:27" ht="12.75" customHeight="1" x14ac:dyDescent="0.25">
      <c r="A607" s="17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76"/>
      <c r="R607" s="376"/>
      <c r="S607" s="376"/>
      <c r="T607" s="376"/>
      <c r="U607" s="376"/>
      <c r="V607" s="376"/>
      <c r="W607" s="376"/>
      <c r="X607" s="376"/>
      <c r="Y607" s="376"/>
      <c r="Z607" s="376"/>
      <c r="AA607" s="376"/>
    </row>
    <row r="608" spans="1:27" ht="12.75" customHeight="1" x14ac:dyDescent="0.25">
      <c r="A608" s="17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76"/>
      <c r="R608" s="376"/>
      <c r="S608" s="376"/>
      <c r="T608" s="376"/>
      <c r="U608" s="376"/>
      <c r="V608" s="376"/>
      <c r="W608" s="376"/>
      <c r="X608" s="376"/>
      <c r="Y608" s="376"/>
      <c r="Z608" s="376"/>
      <c r="AA608" s="376"/>
    </row>
    <row r="609" spans="1:27" ht="12.75" customHeight="1" x14ac:dyDescent="0.25">
      <c r="A609" s="17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76"/>
      <c r="R609" s="376"/>
      <c r="S609" s="376"/>
      <c r="T609" s="376"/>
      <c r="U609" s="376"/>
      <c r="V609" s="376"/>
      <c r="W609" s="376"/>
      <c r="X609" s="376"/>
      <c r="Y609" s="376"/>
      <c r="Z609" s="376"/>
      <c r="AA609" s="376"/>
    </row>
    <row r="610" spans="1:27" ht="12.75" customHeight="1" x14ac:dyDescent="0.25">
      <c r="A610" s="17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76"/>
      <c r="R610" s="376"/>
      <c r="S610" s="376"/>
      <c r="T610" s="376"/>
      <c r="U610" s="376"/>
      <c r="V610" s="376"/>
      <c r="W610" s="376"/>
      <c r="X610" s="376"/>
      <c r="Y610" s="376"/>
      <c r="Z610" s="376"/>
      <c r="AA610" s="376"/>
    </row>
    <row r="611" spans="1:27" ht="12.75" customHeight="1" x14ac:dyDescent="0.25">
      <c r="A611" s="17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76"/>
      <c r="R611" s="376"/>
      <c r="S611" s="376"/>
      <c r="T611" s="376"/>
      <c r="U611" s="376"/>
      <c r="V611" s="376"/>
      <c r="W611" s="376"/>
      <c r="X611" s="376"/>
      <c r="Y611" s="376"/>
      <c r="Z611" s="376"/>
      <c r="AA611" s="376"/>
    </row>
    <row r="612" spans="1:27" ht="12.75" customHeight="1" x14ac:dyDescent="0.25">
      <c r="A612" s="17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76"/>
      <c r="R612" s="376"/>
      <c r="S612" s="376"/>
      <c r="T612" s="376"/>
      <c r="U612" s="376"/>
      <c r="V612" s="376"/>
      <c r="W612" s="376"/>
      <c r="X612" s="376"/>
      <c r="Y612" s="376"/>
      <c r="Z612" s="376"/>
      <c r="AA612" s="376"/>
    </row>
    <row r="613" spans="1:27" ht="12.75" customHeight="1" x14ac:dyDescent="0.25">
      <c r="A613" s="17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76"/>
      <c r="R613" s="376"/>
      <c r="S613" s="376"/>
      <c r="T613" s="376"/>
      <c r="U613" s="376"/>
      <c r="V613" s="376"/>
      <c r="W613" s="376"/>
      <c r="X613" s="376"/>
      <c r="Y613" s="376"/>
      <c r="Z613" s="376"/>
      <c r="AA613" s="376"/>
    </row>
    <row r="614" spans="1:27" ht="12.75" customHeight="1" x14ac:dyDescent="0.25">
      <c r="A614" s="17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76"/>
      <c r="R614" s="376"/>
      <c r="S614" s="376"/>
      <c r="T614" s="376"/>
      <c r="U614" s="376"/>
      <c r="V614" s="376"/>
      <c r="W614" s="376"/>
      <c r="X614" s="376"/>
      <c r="Y614" s="376"/>
      <c r="Z614" s="376"/>
      <c r="AA614" s="376"/>
    </row>
    <row r="615" spans="1:27" ht="12.75" customHeight="1" x14ac:dyDescent="0.25">
      <c r="A615" s="17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76"/>
      <c r="R615" s="376"/>
      <c r="S615" s="376"/>
      <c r="T615" s="376"/>
      <c r="U615" s="376"/>
      <c r="V615" s="376"/>
      <c r="W615" s="376"/>
      <c r="X615" s="376"/>
      <c r="Y615" s="376"/>
      <c r="Z615" s="376"/>
      <c r="AA615" s="376"/>
    </row>
    <row r="616" spans="1:27" ht="12.75" customHeight="1" x14ac:dyDescent="0.25">
      <c r="A616" s="17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76"/>
      <c r="R616" s="376"/>
      <c r="S616" s="376"/>
      <c r="T616" s="376"/>
      <c r="U616" s="376"/>
      <c r="V616" s="376"/>
      <c r="W616" s="376"/>
      <c r="X616" s="376"/>
      <c r="Y616" s="376"/>
      <c r="Z616" s="376"/>
      <c r="AA616" s="376"/>
    </row>
    <row r="617" spans="1:27" ht="12.75" customHeight="1" x14ac:dyDescent="0.25">
      <c r="A617" s="17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76"/>
      <c r="R617" s="376"/>
      <c r="S617" s="376"/>
      <c r="T617" s="376"/>
      <c r="U617" s="376"/>
      <c r="V617" s="376"/>
      <c r="W617" s="376"/>
      <c r="X617" s="376"/>
      <c r="Y617" s="376"/>
      <c r="Z617" s="376"/>
      <c r="AA617" s="376"/>
    </row>
    <row r="618" spans="1:27" ht="12.75" customHeight="1" x14ac:dyDescent="0.25">
      <c r="A618" s="17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76"/>
      <c r="R618" s="376"/>
      <c r="S618" s="376"/>
      <c r="T618" s="376"/>
      <c r="U618" s="376"/>
      <c r="V618" s="376"/>
      <c r="W618" s="376"/>
      <c r="X618" s="376"/>
      <c r="Y618" s="376"/>
      <c r="Z618" s="376"/>
      <c r="AA618" s="376"/>
    </row>
    <row r="619" spans="1:27" ht="12.75" customHeight="1" x14ac:dyDescent="0.25">
      <c r="A619" s="17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76"/>
      <c r="R619" s="376"/>
      <c r="S619" s="376"/>
      <c r="T619" s="376"/>
      <c r="U619" s="376"/>
      <c r="V619" s="376"/>
      <c r="W619" s="376"/>
      <c r="X619" s="376"/>
      <c r="Y619" s="376"/>
      <c r="Z619" s="376"/>
      <c r="AA619" s="376"/>
    </row>
    <row r="620" spans="1:27" ht="12.75" customHeight="1" x14ac:dyDescent="0.25">
      <c r="A620" s="17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76"/>
      <c r="R620" s="376"/>
      <c r="S620" s="376"/>
      <c r="T620" s="376"/>
      <c r="U620" s="376"/>
      <c r="V620" s="376"/>
      <c r="W620" s="376"/>
      <c r="X620" s="376"/>
      <c r="Y620" s="376"/>
      <c r="Z620" s="376"/>
      <c r="AA620" s="376"/>
    </row>
    <row r="621" spans="1:27" ht="12.75" customHeight="1" x14ac:dyDescent="0.25">
      <c r="A621" s="17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76"/>
      <c r="R621" s="376"/>
      <c r="S621" s="376"/>
      <c r="T621" s="376"/>
      <c r="U621" s="376"/>
      <c r="V621" s="376"/>
      <c r="W621" s="376"/>
      <c r="X621" s="376"/>
      <c r="Y621" s="376"/>
      <c r="Z621" s="376"/>
      <c r="AA621" s="376"/>
    </row>
    <row r="622" spans="1:27" ht="12.75" customHeight="1" x14ac:dyDescent="0.25">
      <c r="A622" s="17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76"/>
      <c r="R622" s="376"/>
      <c r="S622" s="376"/>
      <c r="T622" s="376"/>
      <c r="U622" s="376"/>
      <c r="V622" s="376"/>
      <c r="W622" s="376"/>
      <c r="X622" s="376"/>
      <c r="Y622" s="376"/>
      <c r="Z622" s="376"/>
      <c r="AA622" s="376"/>
    </row>
    <row r="623" spans="1:27" ht="12.75" customHeight="1" x14ac:dyDescent="0.25">
      <c r="A623" s="17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76"/>
      <c r="R623" s="376"/>
      <c r="S623" s="376"/>
      <c r="T623" s="376"/>
      <c r="U623" s="376"/>
      <c r="V623" s="376"/>
      <c r="W623" s="376"/>
      <c r="X623" s="376"/>
      <c r="Y623" s="376"/>
      <c r="Z623" s="376"/>
      <c r="AA623" s="376"/>
    </row>
    <row r="624" spans="1:27" ht="12.75" customHeight="1" x14ac:dyDescent="0.25">
      <c r="A624" s="17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76"/>
      <c r="R624" s="376"/>
      <c r="S624" s="376"/>
      <c r="T624" s="376"/>
      <c r="U624" s="376"/>
      <c r="V624" s="376"/>
      <c r="W624" s="376"/>
      <c r="X624" s="376"/>
      <c r="Y624" s="376"/>
      <c r="Z624" s="376"/>
      <c r="AA624" s="376"/>
    </row>
    <row r="625" spans="1:27" ht="12.75" customHeight="1" x14ac:dyDescent="0.25">
      <c r="A625" s="17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76"/>
      <c r="R625" s="376"/>
      <c r="S625" s="376"/>
      <c r="T625" s="376"/>
      <c r="U625" s="376"/>
      <c r="V625" s="376"/>
      <c r="W625" s="376"/>
      <c r="X625" s="376"/>
      <c r="Y625" s="376"/>
      <c r="Z625" s="376"/>
      <c r="AA625" s="376"/>
    </row>
    <row r="626" spans="1:27" ht="12.75" customHeight="1" x14ac:dyDescent="0.25">
      <c r="A626" s="17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76"/>
      <c r="R626" s="376"/>
      <c r="S626" s="376"/>
      <c r="T626" s="376"/>
      <c r="U626" s="376"/>
      <c r="V626" s="376"/>
      <c r="W626" s="376"/>
      <c r="X626" s="376"/>
      <c r="Y626" s="376"/>
      <c r="Z626" s="376"/>
      <c r="AA626" s="376"/>
    </row>
    <row r="627" spans="1:27" ht="12.75" customHeight="1" x14ac:dyDescent="0.25">
      <c r="A627" s="17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76"/>
      <c r="R627" s="376"/>
      <c r="S627" s="376"/>
      <c r="T627" s="376"/>
      <c r="U627" s="376"/>
      <c r="V627" s="376"/>
      <c r="W627" s="376"/>
      <c r="X627" s="376"/>
      <c r="Y627" s="376"/>
      <c r="Z627" s="376"/>
      <c r="AA627" s="376"/>
    </row>
    <row r="628" spans="1:27" ht="12.75" customHeight="1" x14ac:dyDescent="0.25">
      <c r="A628" s="17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76"/>
      <c r="R628" s="376"/>
      <c r="S628" s="376"/>
      <c r="T628" s="376"/>
      <c r="U628" s="376"/>
      <c r="V628" s="376"/>
      <c r="W628" s="376"/>
      <c r="X628" s="376"/>
      <c r="Y628" s="376"/>
      <c r="Z628" s="376"/>
      <c r="AA628" s="376"/>
    </row>
    <row r="629" spans="1:27" ht="12.75" customHeight="1" x14ac:dyDescent="0.25">
      <c r="A629" s="17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76"/>
      <c r="R629" s="376"/>
      <c r="S629" s="376"/>
      <c r="T629" s="376"/>
      <c r="U629" s="376"/>
      <c r="V629" s="376"/>
      <c r="W629" s="376"/>
      <c r="X629" s="376"/>
      <c r="Y629" s="376"/>
      <c r="Z629" s="376"/>
      <c r="AA629" s="376"/>
    </row>
    <row r="630" spans="1:27" ht="12.75" customHeight="1" x14ac:dyDescent="0.25">
      <c r="A630" s="17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76"/>
      <c r="R630" s="376"/>
      <c r="S630" s="376"/>
      <c r="T630" s="376"/>
      <c r="U630" s="376"/>
      <c r="V630" s="376"/>
      <c r="W630" s="376"/>
      <c r="X630" s="376"/>
      <c r="Y630" s="376"/>
      <c r="Z630" s="376"/>
      <c r="AA630" s="376"/>
    </row>
    <row r="631" spans="1:27" ht="12.75" customHeight="1" x14ac:dyDescent="0.25">
      <c r="A631" s="17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76"/>
      <c r="R631" s="376"/>
      <c r="S631" s="376"/>
      <c r="T631" s="376"/>
      <c r="U631" s="376"/>
      <c r="V631" s="376"/>
      <c r="W631" s="376"/>
      <c r="X631" s="376"/>
      <c r="Y631" s="376"/>
      <c r="Z631" s="376"/>
      <c r="AA631" s="376"/>
    </row>
    <row r="632" spans="1:27" ht="12.75" customHeight="1" x14ac:dyDescent="0.25">
      <c r="A632" s="17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76"/>
      <c r="R632" s="376"/>
      <c r="S632" s="376"/>
      <c r="T632" s="376"/>
      <c r="U632" s="376"/>
      <c r="V632" s="376"/>
      <c r="W632" s="376"/>
      <c r="X632" s="376"/>
      <c r="Y632" s="376"/>
      <c r="Z632" s="376"/>
      <c r="AA632" s="376"/>
    </row>
    <row r="633" spans="1:27" ht="12.75" customHeight="1" x14ac:dyDescent="0.25">
      <c r="A633" s="17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76"/>
      <c r="R633" s="376"/>
      <c r="S633" s="376"/>
      <c r="T633" s="376"/>
      <c r="U633" s="376"/>
      <c r="V633" s="376"/>
      <c r="W633" s="376"/>
      <c r="X633" s="376"/>
      <c r="Y633" s="376"/>
      <c r="Z633" s="376"/>
      <c r="AA633" s="376"/>
    </row>
    <row r="634" spans="1:27" ht="12.75" customHeight="1" x14ac:dyDescent="0.25">
      <c r="A634" s="17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76"/>
      <c r="R634" s="376"/>
      <c r="S634" s="376"/>
      <c r="T634" s="376"/>
      <c r="U634" s="376"/>
      <c r="V634" s="376"/>
      <c r="W634" s="376"/>
      <c r="X634" s="376"/>
      <c r="Y634" s="376"/>
      <c r="Z634" s="376"/>
      <c r="AA634" s="376"/>
    </row>
    <row r="635" spans="1:27" ht="12.75" customHeight="1" x14ac:dyDescent="0.25">
      <c r="A635" s="17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76"/>
      <c r="R635" s="376"/>
      <c r="S635" s="376"/>
      <c r="T635" s="376"/>
      <c r="U635" s="376"/>
      <c r="V635" s="376"/>
      <c r="W635" s="376"/>
      <c r="X635" s="376"/>
      <c r="Y635" s="376"/>
      <c r="Z635" s="376"/>
      <c r="AA635" s="376"/>
    </row>
    <row r="636" spans="1:27" ht="12.75" customHeight="1" x14ac:dyDescent="0.25">
      <c r="A636" s="17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76"/>
      <c r="R636" s="376"/>
      <c r="S636" s="376"/>
      <c r="T636" s="376"/>
      <c r="U636" s="376"/>
      <c r="V636" s="376"/>
      <c r="W636" s="376"/>
      <c r="X636" s="376"/>
      <c r="Y636" s="376"/>
      <c r="Z636" s="376"/>
      <c r="AA636" s="376"/>
    </row>
    <row r="637" spans="1:27" ht="12.75" customHeight="1" x14ac:dyDescent="0.25">
      <c r="A637" s="17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76"/>
      <c r="R637" s="376"/>
      <c r="S637" s="376"/>
      <c r="T637" s="376"/>
      <c r="U637" s="376"/>
      <c r="V637" s="376"/>
      <c r="W637" s="376"/>
      <c r="X637" s="376"/>
      <c r="Y637" s="376"/>
      <c r="Z637" s="376"/>
      <c r="AA637" s="376"/>
    </row>
    <row r="638" spans="1:27" ht="12.75" customHeight="1" x14ac:dyDescent="0.25">
      <c r="A638" s="17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76"/>
      <c r="R638" s="376"/>
      <c r="S638" s="376"/>
      <c r="T638" s="376"/>
      <c r="U638" s="376"/>
      <c r="V638" s="376"/>
      <c r="W638" s="376"/>
      <c r="X638" s="376"/>
      <c r="Y638" s="376"/>
      <c r="Z638" s="376"/>
      <c r="AA638" s="376"/>
    </row>
    <row r="639" spans="1:27" ht="12.75" customHeight="1" x14ac:dyDescent="0.25">
      <c r="A639" s="17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76"/>
      <c r="R639" s="376"/>
      <c r="S639" s="376"/>
      <c r="T639" s="376"/>
      <c r="U639" s="376"/>
      <c r="V639" s="376"/>
      <c r="W639" s="376"/>
      <c r="X639" s="376"/>
      <c r="Y639" s="376"/>
      <c r="Z639" s="376"/>
      <c r="AA639" s="376"/>
    </row>
    <row r="640" spans="1:27" ht="12.75" customHeight="1" x14ac:dyDescent="0.25">
      <c r="A640" s="17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76"/>
      <c r="R640" s="376"/>
      <c r="S640" s="376"/>
      <c r="T640" s="376"/>
      <c r="U640" s="376"/>
      <c r="V640" s="376"/>
      <c r="W640" s="376"/>
      <c r="X640" s="376"/>
      <c r="Y640" s="376"/>
      <c r="Z640" s="376"/>
      <c r="AA640" s="376"/>
    </row>
    <row r="641" spans="1:27" ht="12.75" customHeight="1" x14ac:dyDescent="0.25">
      <c r="A641" s="17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76"/>
      <c r="R641" s="376"/>
      <c r="S641" s="376"/>
      <c r="T641" s="376"/>
      <c r="U641" s="376"/>
      <c r="V641" s="376"/>
      <c r="W641" s="376"/>
      <c r="X641" s="376"/>
      <c r="Y641" s="376"/>
      <c r="Z641" s="376"/>
      <c r="AA641" s="376"/>
    </row>
    <row r="642" spans="1:27" ht="12.75" customHeight="1" x14ac:dyDescent="0.25">
      <c r="A642" s="17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76"/>
      <c r="R642" s="376"/>
      <c r="S642" s="376"/>
      <c r="T642" s="376"/>
      <c r="U642" s="376"/>
      <c r="V642" s="376"/>
      <c r="W642" s="376"/>
      <c r="X642" s="376"/>
      <c r="Y642" s="376"/>
      <c r="Z642" s="376"/>
      <c r="AA642" s="376"/>
    </row>
    <row r="643" spans="1:27" ht="12.75" customHeight="1" x14ac:dyDescent="0.25">
      <c r="A643" s="17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76"/>
      <c r="R643" s="376"/>
      <c r="S643" s="376"/>
      <c r="T643" s="376"/>
      <c r="U643" s="376"/>
      <c r="V643" s="376"/>
      <c r="W643" s="376"/>
      <c r="X643" s="376"/>
      <c r="Y643" s="376"/>
      <c r="Z643" s="376"/>
      <c r="AA643" s="376"/>
    </row>
    <row r="644" spans="1:27" ht="12.75" customHeight="1" x14ac:dyDescent="0.25">
      <c r="A644" s="17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76"/>
      <c r="R644" s="376"/>
      <c r="S644" s="376"/>
      <c r="T644" s="376"/>
      <c r="U644" s="376"/>
      <c r="V644" s="376"/>
      <c r="W644" s="376"/>
      <c r="X644" s="376"/>
      <c r="Y644" s="376"/>
      <c r="Z644" s="376"/>
      <c r="AA644" s="376"/>
    </row>
    <row r="645" spans="1:27" ht="12.75" customHeight="1" x14ac:dyDescent="0.25">
      <c r="A645" s="17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76"/>
      <c r="R645" s="376"/>
      <c r="S645" s="376"/>
      <c r="T645" s="376"/>
      <c r="U645" s="376"/>
      <c r="V645" s="376"/>
      <c r="W645" s="376"/>
      <c r="X645" s="376"/>
      <c r="Y645" s="376"/>
      <c r="Z645" s="376"/>
      <c r="AA645" s="376"/>
    </row>
    <row r="646" spans="1:27" ht="12.75" customHeight="1" x14ac:dyDescent="0.25">
      <c r="A646" s="17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76"/>
      <c r="R646" s="376"/>
      <c r="S646" s="376"/>
      <c r="T646" s="376"/>
      <c r="U646" s="376"/>
      <c r="V646" s="376"/>
      <c r="W646" s="376"/>
      <c r="X646" s="376"/>
      <c r="Y646" s="376"/>
      <c r="Z646" s="376"/>
      <c r="AA646" s="376"/>
    </row>
    <row r="647" spans="1:27" ht="12.75" customHeight="1" x14ac:dyDescent="0.25">
      <c r="A647" s="17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76"/>
      <c r="R647" s="376"/>
      <c r="S647" s="376"/>
      <c r="T647" s="376"/>
      <c r="U647" s="376"/>
      <c r="V647" s="376"/>
      <c r="W647" s="376"/>
      <c r="X647" s="376"/>
      <c r="Y647" s="376"/>
      <c r="Z647" s="376"/>
      <c r="AA647" s="376"/>
    </row>
    <row r="648" spans="1:27" ht="12.75" customHeight="1" x14ac:dyDescent="0.25">
      <c r="A648" s="17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76"/>
      <c r="R648" s="376"/>
      <c r="S648" s="376"/>
      <c r="T648" s="376"/>
      <c r="U648" s="376"/>
      <c r="V648" s="376"/>
      <c r="W648" s="376"/>
      <c r="X648" s="376"/>
      <c r="Y648" s="376"/>
      <c r="Z648" s="376"/>
      <c r="AA648" s="376"/>
    </row>
    <row r="649" spans="1:27" ht="12.75" customHeight="1" x14ac:dyDescent="0.25">
      <c r="A649" s="17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76"/>
      <c r="R649" s="376"/>
      <c r="S649" s="376"/>
      <c r="T649" s="376"/>
      <c r="U649" s="376"/>
      <c r="V649" s="376"/>
      <c r="W649" s="376"/>
      <c r="X649" s="376"/>
      <c r="Y649" s="376"/>
      <c r="Z649" s="376"/>
      <c r="AA649" s="376"/>
    </row>
    <row r="650" spans="1:27" ht="12.75" customHeight="1" x14ac:dyDescent="0.25">
      <c r="A650" s="17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76"/>
      <c r="R650" s="376"/>
      <c r="S650" s="376"/>
      <c r="T650" s="376"/>
      <c r="U650" s="376"/>
      <c r="V650" s="376"/>
      <c r="W650" s="376"/>
      <c r="X650" s="376"/>
      <c r="Y650" s="376"/>
      <c r="Z650" s="376"/>
      <c r="AA650" s="376"/>
    </row>
    <row r="651" spans="1:27" ht="12.75" customHeight="1" x14ac:dyDescent="0.25">
      <c r="A651" s="17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76"/>
      <c r="R651" s="376"/>
      <c r="S651" s="376"/>
      <c r="T651" s="376"/>
      <c r="U651" s="376"/>
      <c r="V651" s="376"/>
      <c r="W651" s="376"/>
      <c r="X651" s="376"/>
      <c r="Y651" s="376"/>
      <c r="Z651" s="376"/>
      <c r="AA651" s="376"/>
    </row>
    <row r="652" spans="1:27" ht="12.75" customHeight="1" x14ac:dyDescent="0.25">
      <c r="A652" s="17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76"/>
      <c r="R652" s="376"/>
      <c r="S652" s="376"/>
      <c r="T652" s="376"/>
      <c r="U652" s="376"/>
      <c r="V652" s="376"/>
      <c r="W652" s="376"/>
      <c r="X652" s="376"/>
      <c r="Y652" s="376"/>
      <c r="Z652" s="376"/>
      <c r="AA652" s="376"/>
    </row>
    <row r="653" spans="1:27" ht="12.75" customHeight="1" x14ac:dyDescent="0.25">
      <c r="A653" s="17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76"/>
      <c r="R653" s="376"/>
      <c r="S653" s="376"/>
      <c r="T653" s="376"/>
      <c r="U653" s="376"/>
      <c r="V653" s="376"/>
      <c r="W653" s="376"/>
      <c r="X653" s="376"/>
      <c r="Y653" s="376"/>
      <c r="Z653" s="376"/>
      <c r="AA653" s="376"/>
    </row>
    <row r="654" spans="1:27" ht="12.75" customHeight="1" x14ac:dyDescent="0.25">
      <c r="A654" s="17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76"/>
      <c r="R654" s="376"/>
      <c r="S654" s="376"/>
      <c r="T654" s="376"/>
      <c r="U654" s="376"/>
      <c r="V654" s="376"/>
      <c r="W654" s="376"/>
      <c r="X654" s="376"/>
      <c r="Y654" s="376"/>
      <c r="Z654" s="376"/>
      <c r="AA654" s="376"/>
    </row>
    <row r="655" spans="1:27" ht="12.75" customHeight="1" x14ac:dyDescent="0.25">
      <c r="A655" s="17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76"/>
      <c r="R655" s="376"/>
      <c r="S655" s="376"/>
      <c r="T655" s="376"/>
      <c r="U655" s="376"/>
      <c r="V655" s="376"/>
      <c r="W655" s="376"/>
      <c r="X655" s="376"/>
      <c r="Y655" s="376"/>
      <c r="Z655" s="376"/>
      <c r="AA655" s="376"/>
    </row>
    <row r="656" spans="1:27" ht="12.75" customHeight="1" x14ac:dyDescent="0.25">
      <c r="A656" s="17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76"/>
      <c r="R656" s="376"/>
      <c r="S656" s="376"/>
      <c r="T656" s="376"/>
      <c r="U656" s="376"/>
      <c r="V656" s="376"/>
      <c r="W656" s="376"/>
      <c r="X656" s="376"/>
      <c r="Y656" s="376"/>
      <c r="Z656" s="376"/>
      <c r="AA656" s="376"/>
    </row>
    <row r="657" spans="1:27" ht="12.75" customHeight="1" x14ac:dyDescent="0.25">
      <c r="A657" s="17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76"/>
      <c r="R657" s="376"/>
      <c r="S657" s="376"/>
      <c r="T657" s="376"/>
      <c r="U657" s="376"/>
      <c r="V657" s="376"/>
      <c r="W657" s="376"/>
      <c r="X657" s="376"/>
      <c r="Y657" s="376"/>
      <c r="Z657" s="376"/>
      <c r="AA657" s="376"/>
    </row>
    <row r="658" spans="1:27" ht="12.75" customHeight="1" x14ac:dyDescent="0.25">
      <c r="A658" s="17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76"/>
      <c r="R658" s="376"/>
      <c r="S658" s="376"/>
      <c r="T658" s="376"/>
      <c r="U658" s="376"/>
      <c r="V658" s="376"/>
      <c r="W658" s="376"/>
      <c r="X658" s="376"/>
      <c r="Y658" s="376"/>
      <c r="Z658" s="376"/>
      <c r="AA658" s="376"/>
    </row>
    <row r="659" spans="1:27" ht="12.75" customHeight="1" x14ac:dyDescent="0.25">
      <c r="A659" s="17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76"/>
      <c r="R659" s="376"/>
      <c r="S659" s="376"/>
      <c r="T659" s="376"/>
      <c r="U659" s="376"/>
      <c r="V659" s="376"/>
      <c r="W659" s="376"/>
      <c r="X659" s="376"/>
      <c r="Y659" s="376"/>
      <c r="Z659" s="376"/>
      <c r="AA659" s="376"/>
    </row>
    <row r="660" spans="1:27" ht="12.75" customHeight="1" x14ac:dyDescent="0.25">
      <c r="A660" s="17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76"/>
      <c r="R660" s="376"/>
      <c r="S660" s="376"/>
      <c r="T660" s="376"/>
      <c r="U660" s="376"/>
      <c r="V660" s="376"/>
      <c r="W660" s="376"/>
      <c r="X660" s="376"/>
      <c r="Y660" s="376"/>
      <c r="Z660" s="376"/>
      <c r="AA660" s="376"/>
    </row>
    <row r="661" spans="1:27" ht="12.75" customHeight="1" x14ac:dyDescent="0.25">
      <c r="A661" s="17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76"/>
      <c r="R661" s="376"/>
      <c r="S661" s="376"/>
      <c r="T661" s="376"/>
      <c r="U661" s="376"/>
      <c r="V661" s="376"/>
      <c r="W661" s="376"/>
      <c r="X661" s="376"/>
      <c r="Y661" s="376"/>
      <c r="Z661" s="376"/>
      <c r="AA661" s="376"/>
    </row>
    <row r="662" spans="1:27" ht="12.75" customHeight="1" x14ac:dyDescent="0.25">
      <c r="A662" s="17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76"/>
      <c r="R662" s="376"/>
      <c r="S662" s="376"/>
      <c r="T662" s="376"/>
      <c r="U662" s="376"/>
      <c r="V662" s="376"/>
      <c r="W662" s="376"/>
      <c r="X662" s="376"/>
      <c r="Y662" s="376"/>
      <c r="Z662" s="376"/>
      <c r="AA662" s="376"/>
    </row>
    <row r="663" spans="1:27" ht="12.75" customHeight="1" x14ac:dyDescent="0.25">
      <c r="A663" s="17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76"/>
      <c r="R663" s="376"/>
      <c r="S663" s="376"/>
      <c r="T663" s="376"/>
      <c r="U663" s="376"/>
      <c r="V663" s="376"/>
      <c r="W663" s="376"/>
      <c r="X663" s="376"/>
      <c r="Y663" s="376"/>
      <c r="Z663" s="376"/>
      <c r="AA663" s="376"/>
    </row>
    <row r="664" spans="1:27" ht="12.75" customHeight="1" x14ac:dyDescent="0.25">
      <c r="A664" s="17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76"/>
      <c r="R664" s="376"/>
      <c r="S664" s="376"/>
      <c r="T664" s="376"/>
      <c r="U664" s="376"/>
      <c r="V664" s="376"/>
      <c r="W664" s="376"/>
      <c r="X664" s="376"/>
      <c r="Y664" s="376"/>
      <c r="Z664" s="376"/>
      <c r="AA664" s="376"/>
    </row>
    <row r="665" spans="1:27" ht="12.75" customHeight="1" x14ac:dyDescent="0.25">
      <c r="A665" s="17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76"/>
      <c r="R665" s="376"/>
      <c r="S665" s="376"/>
      <c r="T665" s="376"/>
      <c r="U665" s="376"/>
      <c r="V665" s="376"/>
      <c r="W665" s="376"/>
      <c r="X665" s="376"/>
      <c r="Y665" s="376"/>
      <c r="Z665" s="376"/>
      <c r="AA665" s="376"/>
    </row>
    <row r="666" spans="1:27" ht="12.75" customHeight="1" x14ac:dyDescent="0.25">
      <c r="A666" s="17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76"/>
      <c r="R666" s="376"/>
      <c r="S666" s="376"/>
      <c r="T666" s="376"/>
      <c r="U666" s="376"/>
      <c r="V666" s="376"/>
      <c r="W666" s="376"/>
      <c r="X666" s="376"/>
      <c r="Y666" s="376"/>
      <c r="Z666" s="376"/>
      <c r="AA666" s="376"/>
    </row>
    <row r="667" spans="1:27" ht="12.75" customHeight="1" x14ac:dyDescent="0.25">
      <c r="A667" s="17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76"/>
      <c r="R667" s="376"/>
      <c r="S667" s="376"/>
      <c r="T667" s="376"/>
      <c r="U667" s="376"/>
      <c r="V667" s="376"/>
      <c r="W667" s="376"/>
      <c r="X667" s="376"/>
      <c r="Y667" s="376"/>
      <c r="Z667" s="376"/>
      <c r="AA667" s="376"/>
    </row>
    <row r="668" spans="1:27" ht="12.75" customHeight="1" x14ac:dyDescent="0.25">
      <c r="A668" s="17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76"/>
      <c r="R668" s="376"/>
      <c r="S668" s="376"/>
      <c r="T668" s="376"/>
      <c r="U668" s="376"/>
      <c r="V668" s="376"/>
      <c r="W668" s="376"/>
      <c r="X668" s="376"/>
      <c r="Y668" s="376"/>
      <c r="Z668" s="376"/>
      <c r="AA668" s="376"/>
    </row>
    <row r="669" spans="1:27" ht="12.75" customHeight="1" x14ac:dyDescent="0.25">
      <c r="A669" s="17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76"/>
      <c r="R669" s="376"/>
      <c r="S669" s="376"/>
      <c r="T669" s="376"/>
      <c r="U669" s="376"/>
      <c r="V669" s="376"/>
      <c r="W669" s="376"/>
      <c r="X669" s="376"/>
      <c r="Y669" s="376"/>
      <c r="Z669" s="376"/>
      <c r="AA669" s="376"/>
    </row>
    <row r="670" spans="1:27" ht="12.75" customHeight="1" x14ac:dyDescent="0.25">
      <c r="A670" s="17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76"/>
      <c r="R670" s="376"/>
      <c r="S670" s="376"/>
      <c r="T670" s="376"/>
      <c r="U670" s="376"/>
      <c r="V670" s="376"/>
      <c r="W670" s="376"/>
      <c r="X670" s="376"/>
      <c r="Y670" s="376"/>
      <c r="Z670" s="376"/>
      <c r="AA670" s="376"/>
    </row>
    <row r="671" spans="1:27" ht="12.75" customHeight="1" x14ac:dyDescent="0.25">
      <c r="A671" s="17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76"/>
      <c r="R671" s="376"/>
      <c r="S671" s="376"/>
      <c r="T671" s="376"/>
      <c r="U671" s="376"/>
      <c r="V671" s="376"/>
      <c r="W671" s="376"/>
      <c r="X671" s="376"/>
      <c r="Y671" s="376"/>
      <c r="Z671" s="376"/>
      <c r="AA671" s="376"/>
    </row>
    <row r="672" spans="1:27" ht="12.75" customHeight="1" x14ac:dyDescent="0.25">
      <c r="A672" s="17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76"/>
      <c r="R672" s="376"/>
      <c r="S672" s="376"/>
      <c r="T672" s="376"/>
      <c r="U672" s="376"/>
      <c r="V672" s="376"/>
      <c r="W672" s="376"/>
      <c r="X672" s="376"/>
      <c r="Y672" s="376"/>
      <c r="Z672" s="376"/>
      <c r="AA672" s="376"/>
    </row>
    <row r="673" spans="1:27" ht="12.75" customHeight="1" x14ac:dyDescent="0.25">
      <c r="A673" s="17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76"/>
      <c r="R673" s="376"/>
      <c r="S673" s="376"/>
      <c r="T673" s="376"/>
      <c r="U673" s="376"/>
      <c r="V673" s="376"/>
      <c r="W673" s="376"/>
      <c r="X673" s="376"/>
      <c r="Y673" s="376"/>
      <c r="Z673" s="376"/>
      <c r="AA673" s="376"/>
    </row>
    <row r="674" spans="1:27" ht="12.75" customHeight="1" x14ac:dyDescent="0.25">
      <c r="A674" s="17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76"/>
      <c r="R674" s="376"/>
      <c r="S674" s="376"/>
      <c r="T674" s="376"/>
      <c r="U674" s="376"/>
      <c r="V674" s="376"/>
      <c r="W674" s="376"/>
      <c r="X674" s="376"/>
      <c r="Y674" s="376"/>
      <c r="Z674" s="376"/>
      <c r="AA674" s="376"/>
    </row>
    <row r="675" spans="1:27" ht="12.75" customHeight="1" x14ac:dyDescent="0.25">
      <c r="A675" s="17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76"/>
      <c r="R675" s="376"/>
      <c r="S675" s="376"/>
      <c r="T675" s="376"/>
      <c r="U675" s="376"/>
      <c r="V675" s="376"/>
      <c r="W675" s="376"/>
      <c r="X675" s="376"/>
      <c r="Y675" s="376"/>
      <c r="Z675" s="376"/>
      <c r="AA675" s="376"/>
    </row>
    <row r="676" spans="1:27" ht="12.75" customHeight="1" x14ac:dyDescent="0.25">
      <c r="A676" s="17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76"/>
      <c r="R676" s="376"/>
      <c r="S676" s="376"/>
      <c r="T676" s="376"/>
      <c r="U676" s="376"/>
      <c r="V676" s="376"/>
      <c r="W676" s="376"/>
      <c r="X676" s="376"/>
      <c r="Y676" s="376"/>
      <c r="Z676" s="376"/>
      <c r="AA676" s="376"/>
    </row>
    <row r="677" spans="1:27" ht="12.75" customHeight="1" x14ac:dyDescent="0.25">
      <c r="A677" s="17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76"/>
      <c r="R677" s="376"/>
      <c r="S677" s="376"/>
      <c r="T677" s="376"/>
      <c r="U677" s="376"/>
      <c r="V677" s="376"/>
      <c r="W677" s="376"/>
      <c r="X677" s="376"/>
      <c r="Y677" s="376"/>
      <c r="Z677" s="376"/>
      <c r="AA677" s="376"/>
    </row>
    <row r="678" spans="1:27" ht="12.75" customHeight="1" x14ac:dyDescent="0.25">
      <c r="A678" s="17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76"/>
      <c r="R678" s="376"/>
      <c r="S678" s="376"/>
      <c r="T678" s="376"/>
      <c r="U678" s="376"/>
      <c r="V678" s="376"/>
      <c r="W678" s="376"/>
      <c r="X678" s="376"/>
      <c r="Y678" s="376"/>
      <c r="Z678" s="376"/>
      <c r="AA678" s="376"/>
    </row>
    <row r="679" spans="1:27" ht="12.75" customHeight="1" x14ac:dyDescent="0.25">
      <c r="A679" s="17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76"/>
      <c r="R679" s="376"/>
      <c r="S679" s="376"/>
      <c r="T679" s="376"/>
      <c r="U679" s="376"/>
      <c r="V679" s="376"/>
      <c r="W679" s="376"/>
      <c r="X679" s="376"/>
      <c r="Y679" s="376"/>
      <c r="Z679" s="376"/>
      <c r="AA679" s="376"/>
    </row>
    <row r="680" spans="1:27" ht="12.75" customHeight="1" x14ac:dyDescent="0.25">
      <c r="A680" s="17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76"/>
      <c r="R680" s="376"/>
      <c r="S680" s="376"/>
      <c r="T680" s="376"/>
      <c r="U680" s="376"/>
      <c r="V680" s="376"/>
      <c r="W680" s="376"/>
      <c r="X680" s="376"/>
      <c r="Y680" s="376"/>
      <c r="Z680" s="376"/>
      <c r="AA680" s="376"/>
    </row>
    <row r="681" spans="1:27" ht="12.75" customHeight="1" x14ac:dyDescent="0.25">
      <c r="A681" s="17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76"/>
      <c r="R681" s="376"/>
      <c r="S681" s="376"/>
      <c r="T681" s="376"/>
      <c r="U681" s="376"/>
      <c r="V681" s="376"/>
      <c r="W681" s="376"/>
      <c r="X681" s="376"/>
      <c r="Y681" s="376"/>
      <c r="Z681" s="376"/>
      <c r="AA681" s="376"/>
    </row>
    <row r="682" spans="1:27" ht="12.75" customHeight="1" x14ac:dyDescent="0.25">
      <c r="A682" s="17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76"/>
      <c r="R682" s="376"/>
      <c r="S682" s="376"/>
      <c r="T682" s="376"/>
      <c r="U682" s="376"/>
      <c r="V682" s="376"/>
      <c r="W682" s="376"/>
      <c r="X682" s="376"/>
      <c r="Y682" s="376"/>
      <c r="Z682" s="376"/>
      <c r="AA682" s="376"/>
    </row>
    <row r="683" spans="1:27" ht="12.75" customHeight="1" x14ac:dyDescent="0.25">
      <c r="A683" s="17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76"/>
      <c r="R683" s="376"/>
      <c r="S683" s="376"/>
      <c r="T683" s="376"/>
      <c r="U683" s="376"/>
      <c r="V683" s="376"/>
      <c r="W683" s="376"/>
      <c r="X683" s="376"/>
      <c r="Y683" s="376"/>
      <c r="Z683" s="376"/>
      <c r="AA683" s="376"/>
    </row>
    <row r="684" spans="1:27" ht="12.75" customHeight="1" x14ac:dyDescent="0.25">
      <c r="A684" s="17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76"/>
      <c r="R684" s="376"/>
      <c r="S684" s="376"/>
      <c r="T684" s="376"/>
      <c r="U684" s="376"/>
      <c r="V684" s="376"/>
      <c r="W684" s="376"/>
      <c r="X684" s="376"/>
      <c r="Y684" s="376"/>
      <c r="Z684" s="376"/>
      <c r="AA684" s="376"/>
    </row>
    <row r="685" spans="1:27" ht="12.75" customHeight="1" x14ac:dyDescent="0.25">
      <c r="A685" s="17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76"/>
      <c r="R685" s="376"/>
      <c r="S685" s="376"/>
      <c r="T685" s="376"/>
      <c r="U685" s="376"/>
      <c r="V685" s="376"/>
      <c r="W685" s="376"/>
      <c r="X685" s="376"/>
      <c r="Y685" s="376"/>
      <c r="Z685" s="376"/>
      <c r="AA685" s="376"/>
    </row>
    <row r="686" spans="1:27" ht="12.75" customHeight="1" x14ac:dyDescent="0.25">
      <c r="A686" s="17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76"/>
      <c r="R686" s="376"/>
      <c r="S686" s="376"/>
      <c r="T686" s="376"/>
      <c r="U686" s="376"/>
      <c r="V686" s="376"/>
      <c r="W686" s="376"/>
      <c r="X686" s="376"/>
      <c r="Y686" s="376"/>
      <c r="Z686" s="376"/>
      <c r="AA686" s="376"/>
    </row>
    <row r="687" spans="1:27" ht="12.75" customHeight="1" x14ac:dyDescent="0.25">
      <c r="A687" s="17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76"/>
      <c r="R687" s="376"/>
      <c r="S687" s="376"/>
      <c r="T687" s="376"/>
      <c r="U687" s="376"/>
      <c r="V687" s="376"/>
      <c r="W687" s="376"/>
      <c r="X687" s="376"/>
      <c r="Y687" s="376"/>
      <c r="Z687" s="376"/>
      <c r="AA687" s="376"/>
    </row>
    <row r="688" spans="1:27" ht="12.75" customHeight="1" x14ac:dyDescent="0.25">
      <c r="A688" s="17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76"/>
      <c r="R688" s="376"/>
      <c r="S688" s="376"/>
      <c r="T688" s="376"/>
      <c r="U688" s="376"/>
      <c r="V688" s="376"/>
      <c r="W688" s="376"/>
      <c r="X688" s="376"/>
      <c r="Y688" s="376"/>
      <c r="Z688" s="376"/>
      <c r="AA688" s="376"/>
    </row>
    <row r="689" spans="1:27" ht="12.75" customHeight="1" x14ac:dyDescent="0.25">
      <c r="A689" s="17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76"/>
      <c r="R689" s="376"/>
      <c r="S689" s="376"/>
      <c r="T689" s="376"/>
      <c r="U689" s="376"/>
      <c r="V689" s="376"/>
      <c r="W689" s="376"/>
      <c r="X689" s="376"/>
      <c r="Y689" s="376"/>
      <c r="Z689" s="376"/>
      <c r="AA689" s="376"/>
    </row>
    <row r="690" spans="1:27" ht="12.75" customHeight="1" x14ac:dyDescent="0.25">
      <c r="A690" s="17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76"/>
      <c r="R690" s="376"/>
      <c r="S690" s="376"/>
      <c r="T690" s="376"/>
      <c r="U690" s="376"/>
      <c r="V690" s="376"/>
      <c r="W690" s="376"/>
      <c r="X690" s="376"/>
      <c r="Y690" s="376"/>
      <c r="Z690" s="376"/>
      <c r="AA690" s="376"/>
    </row>
    <row r="691" spans="1:27" ht="12.75" customHeight="1" x14ac:dyDescent="0.25">
      <c r="A691" s="17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76"/>
      <c r="R691" s="376"/>
      <c r="S691" s="376"/>
      <c r="T691" s="376"/>
      <c r="U691" s="376"/>
      <c r="V691" s="376"/>
      <c r="W691" s="376"/>
      <c r="X691" s="376"/>
      <c r="Y691" s="376"/>
      <c r="Z691" s="376"/>
      <c r="AA691" s="376"/>
    </row>
    <row r="692" spans="1:27" ht="12.75" customHeight="1" x14ac:dyDescent="0.25">
      <c r="A692" s="17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76"/>
      <c r="R692" s="376"/>
      <c r="S692" s="376"/>
      <c r="T692" s="376"/>
      <c r="U692" s="376"/>
      <c r="V692" s="376"/>
      <c r="W692" s="376"/>
      <c r="X692" s="376"/>
      <c r="Y692" s="376"/>
      <c r="Z692" s="376"/>
      <c r="AA692" s="376"/>
    </row>
    <row r="693" spans="1:27" ht="12.75" customHeight="1" x14ac:dyDescent="0.25">
      <c r="A693" s="17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76"/>
      <c r="R693" s="376"/>
      <c r="S693" s="376"/>
      <c r="T693" s="376"/>
      <c r="U693" s="376"/>
      <c r="V693" s="376"/>
      <c r="W693" s="376"/>
      <c r="X693" s="376"/>
      <c r="Y693" s="376"/>
      <c r="Z693" s="376"/>
      <c r="AA693" s="376"/>
    </row>
    <row r="694" spans="1:27" ht="12.75" customHeight="1" x14ac:dyDescent="0.25">
      <c r="A694" s="17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76"/>
      <c r="R694" s="376"/>
      <c r="S694" s="376"/>
      <c r="T694" s="376"/>
      <c r="U694" s="376"/>
      <c r="V694" s="376"/>
      <c r="W694" s="376"/>
      <c r="X694" s="376"/>
      <c r="Y694" s="376"/>
      <c r="Z694" s="376"/>
      <c r="AA694" s="376"/>
    </row>
    <row r="695" spans="1:27" ht="12.75" customHeight="1" x14ac:dyDescent="0.25">
      <c r="A695" s="17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76"/>
      <c r="R695" s="376"/>
      <c r="S695" s="376"/>
      <c r="T695" s="376"/>
      <c r="U695" s="376"/>
      <c r="V695" s="376"/>
      <c r="W695" s="376"/>
      <c r="X695" s="376"/>
      <c r="Y695" s="376"/>
      <c r="Z695" s="376"/>
      <c r="AA695" s="376"/>
    </row>
    <row r="696" spans="1:27" ht="12.75" customHeight="1" x14ac:dyDescent="0.25">
      <c r="A696" s="17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76"/>
      <c r="R696" s="376"/>
      <c r="S696" s="376"/>
      <c r="T696" s="376"/>
      <c r="U696" s="376"/>
      <c r="V696" s="376"/>
      <c r="W696" s="376"/>
      <c r="X696" s="376"/>
      <c r="Y696" s="376"/>
      <c r="Z696" s="376"/>
      <c r="AA696" s="376"/>
    </row>
    <row r="697" spans="1:27" ht="12.75" customHeight="1" x14ac:dyDescent="0.25">
      <c r="A697" s="17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76"/>
      <c r="R697" s="376"/>
      <c r="S697" s="376"/>
      <c r="T697" s="376"/>
      <c r="U697" s="376"/>
      <c r="V697" s="376"/>
      <c r="W697" s="376"/>
      <c r="X697" s="376"/>
      <c r="Y697" s="376"/>
      <c r="Z697" s="376"/>
      <c r="AA697" s="376"/>
    </row>
    <row r="698" spans="1:27" ht="12.75" customHeight="1" x14ac:dyDescent="0.25">
      <c r="A698" s="17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76"/>
      <c r="R698" s="376"/>
      <c r="S698" s="376"/>
      <c r="T698" s="376"/>
      <c r="U698" s="376"/>
      <c r="V698" s="376"/>
      <c r="W698" s="376"/>
      <c r="X698" s="376"/>
      <c r="Y698" s="376"/>
      <c r="Z698" s="376"/>
      <c r="AA698" s="376"/>
    </row>
    <row r="699" spans="1:27" ht="12.75" customHeight="1" x14ac:dyDescent="0.25">
      <c r="A699" s="17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76"/>
      <c r="R699" s="376"/>
      <c r="S699" s="376"/>
      <c r="T699" s="376"/>
      <c r="U699" s="376"/>
      <c r="V699" s="376"/>
      <c r="W699" s="376"/>
      <c r="X699" s="376"/>
      <c r="Y699" s="376"/>
      <c r="Z699" s="376"/>
      <c r="AA699" s="376"/>
    </row>
    <row r="700" spans="1:27" ht="12.75" customHeight="1" x14ac:dyDescent="0.25">
      <c r="A700" s="17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76"/>
      <c r="R700" s="376"/>
      <c r="S700" s="376"/>
      <c r="T700" s="376"/>
      <c r="U700" s="376"/>
      <c r="V700" s="376"/>
      <c r="W700" s="376"/>
      <c r="X700" s="376"/>
      <c r="Y700" s="376"/>
      <c r="Z700" s="376"/>
      <c r="AA700" s="376"/>
    </row>
    <row r="701" spans="1:27" ht="12.75" customHeight="1" x14ac:dyDescent="0.25">
      <c r="A701" s="17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76"/>
      <c r="R701" s="376"/>
      <c r="S701" s="376"/>
      <c r="T701" s="376"/>
      <c r="U701" s="376"/>
      <c r="V701" s="376"/>
      <c r="W701" s="376"/>
      <c r="X701" s="376"/>
      <c r="Y701" s="376"/>
      <c r="Z701" s="376"/>
      <c r="AA701" s="376"/>
    </row>
    <row r="702" spans="1:27" ht="12.75" customHeight="1" x14ac:dyDescent="0.25">
      <c r="A702" s="17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76"/>
      <c r="R702" s="376"/>
      <c r="S702" s="376"/>
      <c r="T702" s="376"/>
      <c r="U702" s="376"/>
      <c r="V702" s="376"/>
      <c r="W702" s="376"/>
      <c r="X702" s="376"/>
      <c r="Y702" s="376"/>
      <c r="Z702" s="376"/>
      <c r="AA702" s="376"/>
    </row>
    <row r="703" spans="1:27" ht="12.75" customHeight="1" x14ac:dyDescent="0.25">
      <c r="A703" s="17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76"/>
      <c r="R703" s="376"/>
      <c r="S703" s="376"/>
      <c r="T703" s="376"/>
      <c r="U703" s="376"/>
      <c r="V703" s="376"/>
      <c r="W703" s="376"/>
      <c r="X703" s="376"/>
      <c r="Y703" s="376"/>
      <c r="Z703" s="376"/>
      <c r="AA703" s="376"/>
    </row>
    <row r="704" spans="1:27" ht="12.75" customHeight="1" x14ac:dyDescent="0.25">
      <c r="A704" s="17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76"/>
      <c r="R704" s="376"/>
      <c r="S704" s="376"/>
      <c r="T704" s="376"/>
      <c r="U704" s="376"/>
      <c r="V704" s="376"/>
      <c r="W704" s="376"/>
      <c r="X704" s="376"/>
      <c r="Y704" s="376"/>
      <c r="Z704" s="376"/>
      <c r="AA704" s="376"/>
    </row>
    <row r="705" spans="1:27" ht="12.75" customHeight="1" x14ac:dyDescent="0.25">
      <c r="A705" s="17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76"/>
      <c r="R705" s="376"/>
      <c r="S705" s="376"/>
      <c r="T705" s="376"/>
      <c r="U705" s="376"/>
      <c r="V705" s="376"/>
      <c r="W705" s="376"/>
      <c r="X705" s="376"/>
      <c r="Y705" s="376"/>
      <c r="Z705" s="376"/>
      <c r="AA705" s="376"/>
    </row>
    <row r="706" spans="1:27" ht="12.75" customHeight="1" x14ac:dyDescent="0.25">
      <c r="A706" s="17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76"/>
      <c r="R706" s="376"/>
      <c r="S706" s="376"/>
      <c r="T706" s="376"/>
      <c r="U706" s="376"/>
      <c r="V706" s="376"/>
      <c r="W706" s="376"/>
      <c r="X706" s="376"/>
      <c r="Y706" s="376"/>
      <c r="Z706" s="376"/>
      <c r="AA706" s="376"/>
    </row>
    <row r="707" spans="1:27" ht="12.75" customHeight="1" x14ac:dyDescent="0.25">
      <c r="A707" s="17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76"/>
      <c r="R707" s="376"/>
      <c r="S707" s="376"/>
      <c r="T707" s="376"/>
      <c r="U707" s="376"/>
      <c r="V707" s="376"/>
      <c r="W707" s="376"/>
      <c r="X707" s="376"/>
      <c r="Y707" s="376"/>
      <c r="Z707" s="376"/>
      <c r="AA707" s="376"/>
    </row>
    <row r="708" spans="1:27" ht="12.75" customHeight="1" x14ac:dyDescent="0.25">
      <c r="A708" s="17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76"/>
      <c r="R708" s="376"/>
      <c r="S708" s="376"/>
      <c r="T708" s="376"/>
      <c r="U708" s="376"/>
      <c r="V708" s="376"/>
      <c r="W708" s="376"/>
      <c r="X708" s="376"/>
      <c r="Y708" s="376"/>
      <c r="Z708" s="376"/>
      <c r="AA708" s="376"/>
    </row>
    <row r="709" spans="1:27" ht="12.75" customHeight="1" x14ac:dyDescent="0.25">
      <c r="A709" s="17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76"/>
      <c r="R709" s="376"/>
      <c r="S709" s="376"/>
      <c r="T709" s="376"/>
      <c r="U709" s="376"/>
      <c r="V709" s="376"/>
      <c r="W709" s="376"/>
      <c r="X709" s="376"/>
      <c r="Y709" s="376"/>
      <c r="Z709" s="376"/>
      <c r="AA709" s="376"/>
    </row>
    <row r="710" spans="1:27" ht="12.75" customHeight="1" x14ac:dyDescent="0.25">
      <c r="A710" s="17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76"/>
      <c r="R710" s="376"/>
      <c r="S710" s="376"/>
      <c r="T710" s="376"/>
      <c r="U710" s="376"/>
      <c r="V710" s="376"/>
      <c r="W710" s="376"/>
      <c r="X710" s="376"/>
      <c r="Y710" s="376"/>
      <c r="Z710" s="376"/>
      <c r="AA710" s="376"/>
    </row>
    <row r="711" spans="1:27" ht="12.75" customHeight="1" x14ac:dyDescent="0.25">
      <c r="A711" s="17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76"/>
      <c r="R711" s="376"/>
      <c r="S711" s="376"/>
      <c r="T711" s="376"/>
      <c r="U711" s="376"/>
      <c r="V711" s="376"/>
      <c r="W711" s="376"/>
      <c r="X711" s="376"/>
      <c r="Y711" s="376"/>
      <c r="Z711" s="376"/>
      <c r="AA711" s="376"/>
    </row>
    <row r="712" spans="1:27" ht="12.75" customHeight="1" x14ac:dyDescent="0.25">
      <c r="A712" s="17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76"/>
      <c r="R712" s="376"/>
      <c r="S712" s="376"/>
      <c r="T712" s="376"/>
      <c r="U712" s="376"/>
      <c r="V712" s="376"/>
      <c r="W712" s="376"/>
      <c r="X712" s="376"/>
      <c r="Y712" s="376"/>
      <c r="Z712" s="376"/>
      <c r="AA712" s="376"/>
    </row>
    <row r="713" spans="1:27" ht="12.75" customHeight="1" x14ac:dyDescent="0.25">
      <c r="A713" s="17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76"/>
      <c r="R713" s="376"/>
      <c r="S713" s="376"/>
      <c r="T713" s="376"/>
      <c r="U713" s="376"/>
      <c r="V713" s="376"/>
      <c r="W713" s="376"/>
      <c r="X713" s="376"/>
      <c r="Y713" s="376"/>
      <c r="Z713" s="376"/>
      <c r="AA713" s="376"/>
    </row>
    <row r="714" spans="1:27" ht="12.75" customHeight="1" x14ac:dyDescent="0.25">
      <c r="A714" s="17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76"/>
      <c r="R714" s="376"/>
      <c r="S714" s="376"/>
      <c r="T714" s="376"/>
      <c r="U714" s="376"/>
      <c r="V714" s="376"/>
      <c r="W714" s="376"/>
      <c r="X714" s="376"/>
      <c r="Y714" s="376"/>
      <c r="Z714" s="376"/>
      <c r="AA714" s="376"/>
    </row>
    <row r="715" spans="1:27" ht="12.75" customHeight="1" x14ac:dyDescent="0.25">
      <c r="A715" s="17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76"/>
      <c r="R715" s="376"/>
      <c r="S715" s="376"/>
      <c r="T715" s="376"/>
      <c r="U715" s="376"/>
      <c r="V715" s="376"/>
      <c r="W715" s="376"/>
      <c r="X715" s="376"/>
      <c r="Y715" s="376"/>
      <c r="Z715" s="376"/>
      <c r="AA715" s="376"/>
    </row>
    <row r="716" spans="1:27" ht="12.75" customHeight="1" x14ac:dyDescent="0.25">
      <c r="A716" s="17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76"/>
      <c r="R716" s="376"/>
      <c r="S716" s="376"/>
      <c r="T716" s="376"/>
      <c r="U716" s="376"/>
      <c r="V716" s="376"/>
      <c r="W716" s="376"/>
      <c r="X716" s="376"/>
      <c r="Y716" s="376"/>
      <c r="Z716" s="376"/>
      <c r="AA716" s="376"/>
    </row>
    <row r="717" spans="1:27" ht="12.75" customHeight="1" x14ac:dyDescent="0.25">
      <c r="A717" s="17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76"/>
      <c r="R717" s="376"/>
      <c r="S717" s="376"/>
      <c r="T717" s="376"/>
      <c r="U717" s="376"/>
      <c r="V717" s="376"/>
      <c r="W717" s="376"/>
      <c r="X717" s="376"/>
      <c r="Y717" s="376"/>
      <c r="Z717" s="376"/>
      <c r="AA717" s="376"/>
    </row>
    <row r="718" spans="1:27" ht="12.75" customHeight="1" x14ac:dyDescent="0.25">
      <c r="A718" s="17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76"/>
      <c r="R718" s="376"/>
      <c r="S718" s="376"/>
      <c r="T718" s="376"/>
      <c r="U718" s="376"/>
      <c r="V718" s="376"/>
      <c r="W718" s="376"/>
      <c r="X718" s="376"/>
      <c r="Y718" s="376"/>
      <c r="Z718" s="376"/>
      <c r="AA718" s="376"/>
    </row>
    <row r="719" spans="1:27" ht="12.75" customHeight="1" x14ac:dyDescent="0.25">
      <c r="A719" s="17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76"/>
      <c r="R719" s="376"/>
      <c r="S719" s="376"/>
      <c r="T719" s="376"/>
      <c r="U719" s="376"/>
      <c r="V719" s="376"/>
      <c r="W719" s="376"/>
      <c r="X719" s="376"/>
      <c r="Y719" s="376"/>
      <c r="Z719" s="376"/>
      <c r="AA719" s="376"/>
    </row>
    <row r="720" spans="1:27" ht="12.75" customHeight="1" x14ac:dyDescent="0.25">
      <c r="A720" s="17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76"/>
      <c r="R720" s="376"/>
      <c r="S720" s="376"/>
      <c r="T720" s="376"/>
      <c r="U720" s="376"/>
      <c r="V720" s="376"/>
      <c r="W720" s="376"/>
      <c r="X720" s="376"/>
      <c r="Y720" s="376"/>
      <c r="Z720" s="376"/>
      <c r="AA720" s="376"/>
    </row>
    <row r="721" spans="1:27" ht="12.75" customHeight="1" x14ac:dyDescent="0.25">
      <c r="A721" s="17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76"/>
      <c r="R721" s="376"/>
      <c r="S721" s="376"/>
      <c r="T721" s="376"/>
      <c r="U721" s="376"/>
      <c r="V721" s="376"/>
      <c r="W721" s="376"/>
      <c r="X721" s="376"/>
      <c r="Y721" s="376"/>
      <c r="Z721" s="376"/>
      <c r="AA721" s="376"/>
    </row>
    <row r="722" spans="1:27" ht="12.75" customHeight="1" x14ac:dyDescent="0.25">
      <c r="A722" s="17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76"/>
      <c r="R722" s="376"/>
      <c r="S722" s="376"/>
      <c r="T722" s="376"/>
      <c r="U722" s="376"/>
      <c r="V722" s="376"/>
      <c r="W722" s="376"/>
      <c r="X722" s="376"/>
      <c r="Y722" s="376"/>
      <c r="Z722" s="376"/>
      <c r="AA722" s="376"/>
    </row>
    <row r="723" spans="1:27" ht="12.75" customHeight="1" x14ac:dyDescent="0.25">
      <c r="A723" s="17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76"/>
      <c r="R723" s="376"/>
      <c r="S723" s="376"/>
      <c r="T723" s="376"/>
      <c r="U723" s="376"/>
      <c r="V723" s="376"/>
      <c r="W723" s="376"/>
      <c r="X723" s="376"/>
      <c r="Y723" s="376"/>
      <c r="Z723" s="376"/>
      <c r="AA723" s="376"/>
    </row>
    <row r="724" spans="1:27" ht="12.75" customHeight="1" x14ac:dyDescent="0.25">
      <c r="A724" s="17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76"/>
      <c r="R724" s="376"/>
      <c r="S724" s="376"/>
      <c r="T724" s="376"/>
      <c r="U724" s="376"/>
      <c r="V724" s="376"/>
      <c r="W724" s="376"/>
      <c r="X724" s="376"/>
      <c r="Y724" s="376"/>
      <c r="Z724" s="376"/>
      <c r="AA724" s="376"/>
    </row>
    <row r="725" spans="1:27" ht="12.75" customHeight="1" x14ac:dyDescent="0.25">
      <c r="A725" s="17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76"/>
      <c r="R725" s="376"/>
      <c r="S725" s="376"/>
      <c r="T725" s="376"/>
      <c r="U725" s="376"/>
      <c r="V725" s="376"/>
      <c r="W725" s="376"/>
      <c r="X725" s="376"/>
      <c r="Y725" s="376"/>
      <c r="Z725" s="376"/>
      <c r="AA725" s="376"/>
    </row>
    <row r="726" spans="1:27" ht="12.75" customHeight="1" x14ac:dyDescent="0.25">
      <c r="A726" s="17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76"/>
      <c r="R726" s="376"/>
      <c r="S726" s="376"/>
      <c r="T726" s="376"/>
      <c r="U726" s="376"/>
      <c r="V726" s="376"/>
      <c r="W726" s="376"/>
      <c r="X726" s="376"/>
      <c r="Y726" s="376"/>
      <c r="Z726" s="376"/>
      <c r="AA726" s="376"/>
    </row>
    <row r="727" spans="1:27" ht="12.75" customHeight="1" x14ac:dyDescent="0.25">
      <c r="A727" s="17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76"/>
      <c r="R727" s="376"/>
      <c r="S727" s="376"/>
      <c r="T727" s="376"/>
      <c r="U727" s="376"/>
      <c r="V727" s="376"/>
      <c r="W727" s="376"/>
      <c r="X727" s="376"/>
      <c r="Y727" s="376"/>
      <c r="Z727" s="376"/>
      <c r="AA727" s="376"/>
    </row>
    <row r="728" spans="1:27" ht="12.75" customHeight="1" x14ac:dyDescent="0.25">
      <c r="A728" s="17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76"/>
      <c r="R728" s="376"/>
      <c r="S728" s="376"/>
      <c r="T728" s="376"/>
      <c r="U728" s="376"/>
      <c r="V728" s="376"/>
      <c r="W728" s="376"/>
      <c r="X728" s="376"/>
      <c r="Y728" s="376"/>
      <c r="Z728" s="376"/>
      <c r="AA728" s="376"/>
    </row>
    <row r="729" spans="1:27" ht="12.75" customHeight="1" x14ac:dyDescent="0.25">
      <c r="A729" s="17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76"/>
      <c r="R729" s="376"/>
      <c r="S729" s="376"/>
      <c r="T729" s="376"/>
      <c r="U729" s="376"/>
      <c r="V729" s="376"/>
      <c r="W729" s="376"/>
      <c r="X729" s="376"/>
      <c r="Y729" s="376"/>
      <c r="Z729" s="376"/>
      <c r="AA729" s="376"/>
    </row>
    <row r="730" spans="1:27" ht="12.75" customHeight="1" x14ac:dyDescent="0.25">
      <c r="A730" s="17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76"/>
      <c r="R730" s="376"/>
      <c r="S730" s="376"/>
      <c r="T730" s="376"/>
      <c r="U730" s="376"/>
      <c r="V730" s="376"/>
      <c r="W730" s="376"/>
      <c r="X730" s="376"/>
      <c r="Y730" s="376"/>
      <c r="Z730" s="376"/>
      <c r="AA730" s="376"/>
    </row>
    <row r="731" spans="1:27" ht="12.75" customHeight="1" x14ac:dyDescent="0.25">
      <c r="A731" s="17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76"/>
      <c r="R731" s="376"/>
      <c r="S731" s="376"/>
      <c r="T731" s="376"/>
      <c r="U731" s="376"/>
      <c r="V731" s="376"/>
      <c r="W731" s="376"/>
      <c r="X731" s="376"/>
      <c r="Y731" s="376"/>
      <c r="Z731" s="376"/>
      <c r="AA731" s="376"/>
    </row>
    <row r="732" spans="1:27" ht="12.75" customHeight="1" x14ac:dyDescent="0.25">
      <c r="A732" s="17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76"/>
      <c r="R732" s="376"/>
      <c r="S732" s="376"/>
      <c r="T732" s="376"/>
      <c r="U732" s="376"/>
      <c r="V732" s="376"/>
      <c r="W732" s="376"/>
      <c r="X732" s="376"/>
      <c r="Y732" s="376"/>
      <c r="Z732" s="376"/>
      <c r="AA732" s="376"/>
    </row>
    <row r="733" spans="1:27" ht="12.75" customHeight="1" x14ac:dyDescent="0.25">
      <c r="A733" s="17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76"/>
      <c r="R733" s="376"/>
      <c r="S733" s="376"/>
      <c r="T733" s="376"/>
      <c r="U733" s="376"/>
      <c r="V733" s="376"/>
      <c r="W733" s="376"/>
      <c r="X733" s="376"/>
      <c r="Y733" s="376"/>
      <c r="Z733" s="376"/>
      <c r="AA733" s="376"/>
    </row>
    <row r="734" spans="1:27" ht="12.75" customHeight="1" x14ac:dyDescent="0.25">
      <c r="A734" s="17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76"/>
      <c r="R734" s="376"/>
      <c r="S734" s="376"/>
      <c r="T734" s="376"/>
      <c r="U734" s="376"/>
      <c r="V734" s="376"/>
      <c r="W734" s="376"/>
      <c r="X734" s="376"/>
      <c r="Y734" s="376"/>
      <c r="Z734" s="376"/>
      <c r="AA734" s="376"/>
    </row>
    <row r="735" spans="1:27" ht="12.75" customHeight="1" x14ac:dyDescent="0.25">
      <c r="A735" s="17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76"/>
      <c r="R735" s="376"/>
      <c r="S735" s="376"/>
      <c r="T735" s="376"/>
      <c r="U735" s="376"/>
      <c r="V735" s="376"/>
      <c r="W735" s="376"/>
      <c r="X735" s="376"/>
      <c r="Y735" s="376"/>
      <c r="Z735" s="376"/>
      <c r="AA735" s="376"/>
    </row>
    <row r="736" spans="1:27" ht="12.75" customHeight="1" x14ac:dyDescent="0.25">
      <c r="A736" s="17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76"/>
      <c r="R736" s="376"/>
      <c r="S736" s="376"/>
      <c r="T736" s="376"/>
      <c r="U736" s="376"/>
      <c r="V736" s="376"/>
      <c r="W736" s="376"/>
      <c r="X736" s="376"/>
      <c r="Y736" s="376"/>
      <c r="Z736" s="376"/>
      <c r="AA736" s="376"/>
    </row>
    <row r="737" spans="1:27" ht="12.75" customHeight="1" x14ac:dyDescent="0.25">
      <c r="A737" s="17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76"/>
      <c r="R737" s="376"/>
      <c r="S737" s="376"/>
      <c r="T737" s="376"/>
      <c r="U737" s="376"/>
      <c r="V737" s="376"/>
      <c r="W737" s="376"/>
      <c r="X737" s="376"/>
      <c r="Y737" s="376"/>
      <c r="Z737" s="376"/>
      <c r="AA737" s="376"/>
    </row>
    <row r="738" spans="1:27" ht="12.75" customHeight="1" x14ac:dyDescent="0.25">
      <c r="A738" s="17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76"/>
      <c r="R738" s="376"/>
      <c r="S738" s="376"/>
      <c r="T738" s="376"/>
      <c r="U738" s="376"/>
      <c r="V738" s="376"/>
      <c r="W738" s="376"/>
      <c r="X738" s="376"/>
      <c r="Y738" s="376"/>
      <c r="Z738" s="376"/>
      <c r="AA738" s="376"/>
    </row>
    <row r="739" spans="1:27" ht="12.75" customHeight="1" x14ac:dyDescent="0.25">
      <c r="A739" s="17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76"/>
      <c r="R739" s="376"/>
      <c r="S739" s="376"/>
      <c r="T739" s="376"/>
      <c r="U739" s="376"/>
      <c r="V739" s="376"/>
      <c r="W739" s="376"/>
      <c r="X739" s="376"/>
      <c r="Y739" s="376"/>
      <c r="Z739" s="376"/>
      <c r="AA739" s="376"/>
    </row>
    <row r="740" spans="1:27" ht="12.75" customHeight="1" x14ac:dyDescent="0.25">
      <c r="A740" s="17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76"/>
      <c r="R740" s="376"/>
      <c r="S740" s="376"/>
      <c r="T740" s="376"/>
      <c r="U740" s="376"/>
      <c r="V740" s="376"/>
      <c r="W740" s="376"/>
      <c r="X740" s="376"/>
      <c r="Y740" s="376"/>
      <c r="Z740" s="376"/>
      <c r="AA740" s="376"/>
    </row>
    <row r="741" spans="1:27" ht="12.75" customHeight="1" x14ac:dyDescent="0.25">
      <c r="A741" s="17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76"/>
      <c r="R741" s="376"/>
      <c r="S741" s="376"/>
      <c r="T741" s="376"/>
      <c r="U741" s="376"/>
      <c r="V741" s="376"/>
      <c r="W741" s="376"/>
      <c r="X741" s="376"/>
      <c r="Y741" s="376"/>
      <c r="Z741" s="376"/>
      <c r="AA741" s="376"/>
    </row>
    <row r="742" spans="1:27" ht="12.75" customHeight="1" x14ac:dyDescent="0.25">
      <c r="A742" s="17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76"/>
      <c r="R742" s="376"/>
      <c r="S742" s="376"/>
      <c r="T742" s="376"/>
      <c r="U742" s="376"/>
      <c r="V742" s="376"/>
      <c r="W742" s="376"/>
      <c r="X742" s="376"/>
      <c r="Y742" s="376"/>
      <c r="Z742" s="376"/>
      <c r="AA742" s="376"/>
    </row>
    <row r="743" spans="1:27" ht="12.75" customHeight="1" x14ac:dyDescent="0.25">
      <c r="A743" s="17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76"/>
      <c r="R743" s="376"/>
      <c r="S743" s="376"/>
      <c r="T743" s="376"/>
      <c r="U743" s="376"/>
      <c r="V743" s="376"/>
      <c r="W743" s="376"/>
      <c r="X743" s="376"/>
      <c r="Y743" s="376"/>
      <c r="Z743" s="376"/>
      <c r="AA743" s="376"/>
    </row>
    <row r="744" spans="1:27" ht="12.75" customHeight="1" x14ac:dyDescent="0.25">
      <c r="A744" s="17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76"/>
      <c r="R744" s="376"/>
      <c r="S744" s="376"/>
      <c r="T744" s="376"/>
      <c r="U744" s="376"/>
      <c r="V744" s="376"/>
      <c r="W744" s="376"/>
      <c r="X744" s="376"/>
      <c r="Y744" s="376"/>
      <c r="Z744" s="376"/>
      <c r="AA744" s="376"/>
    </row>
    <row r="745" spans="1:27" ht="12.75" customHeight="1" x14ac:dyDescent="0.25">
      <c r="A745" s="17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76"/>
      <c r="R745" s="376"/>
      <c r="S745" s="376"/>
      <c r="T745" s="376"/>
      <c r="U745" s="376"/>
      <c r="V745" s="376"/>
      <c r="W745" s="376"/>
      <c r="X745" s="376"/>
      <c r="Y745" s="376"/>
      <c r="Z745" s="376"/>
      <c r="AA745" s="376"/>
    </row>
    <row r="746" spans="1:27" ht="12.75" customHeight="1" x14ac:dyDescent="0.25">
      <c r="A746" s="17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76"/>
      <c r="R746" s="376"/>
      <c r="S746" s="376"/>
      <c r="T746" s="376"/>
      <c r="U746" s="376"/>
      <c r="V746" s="376"/>
      <c r="W746" s="376"/>
      <c r="X746" s="376"/>
      <c r="Y746" s="376"/>
      <c r="Z746" s="376"/>
      <c r="AA746" s="376"/>
    </row>
    <row r="747" spans="1:27" ht="12.75" customHeight="1" x14ac:dyDescent="0.25">
      <c r="A747" s="17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76"/>
      <c r="R747" s="376"/>
      <c r="S747" s="376"/>
      <c r="T747" s="376"/>
      <c r="U747" s="376"/>
      <c r="V747" s="376"/>
      <c r="W747" s="376"/>
      <c r="X747" s="376"/>
      <c r="Y747" s="376"/>
      <c r="Z747" s="376"/>
      <c r="AA747" s="376"/>
    </row>
    <row r="748" spans="1:27" ht="12.75" customHeight="1" x14ac:dyDescent="0.25">
      <c r="A748" s="17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76"/>
      <c r="R748" s="376"/>
      <c r="S748" s="376"/>
      <c r="T748" s="376"/>
      <c r="U748" s="376"/>
      <c r="V748" s="376"/>
      <c r="W748" s="376"/>
      <c r="X748" s="376"/>
      <c r="Y748" s="376"/>
      <c r="Z748" s="376"/>
      <c r="AA748" s="376"/>
    </row>
    <row r="749" spans="1:27" ht="12.75" customHeight="1" x14ac:dyDescent="0.25">
      <c r="A749" s="17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76"/>
      <c r="R749" s="376"/>
      <c r="S749" s="376"/>
      <c r="T749" s="376"/>
      <c r="U749" s="376"/>
      <c r="V749" s="376"/>
      <c r="W749" s="376"/>
      <c r="X749" s="376"/>
      <c r="Y749" s="376"/>
      <c r="Z749" s="376"/>
      <c r="AA749" s="376"/>
    </row>
    <row r="750" spans="1:27" ht="12.75" customHeight="1" x14ac:dyDescent="0.25">
      <c r="A750" s="17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76"/>
      <c r="R750" s="376"/>
      <c r="S750" s="376"/>
      <c r="T750" s="376"/>
      <c r="U750" s="376"/>
      <c r="V750" s="376"/>
      <c r="W750" s="376"/>
      <c r="X750" s="376"/>
      <c r="Y750" s="376"/>
      <c r="Z750" s="376"/>
      <c r="AA750" s="376"/>
    </row>
    <row r="751" spans="1:27" ht="12.75" customHeight="1" x14ac:dyDescent="0.25">
      <c r="A751" s="17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76"/>
      <c r="R751" s="376"/>
      <c r="S751" s="376"/>
      <c r="T751" s="376"/>
      <c r="U751" s="376"/>
      <c r="V751" s="376"/>
      <c r="W751" s="376"/>
      <c r="X751" s="376"/>
      <c r="Y751" s="376"/>
      <c r="Z751" s="376"/>
      <c r="AA751" s="376"/>
    </row>
    <row r="752" spans="1:27" ht="12.75" customHeight="1" x14ac:dyDescent="0.25">
      <c r="A752" s="17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76"/>
      <c r="R752" s="376"/>
      <c r="S752" s="376"/>
      <c r="T752" s="376"/>
      <c r="U752" s="376"/>
      <c r="V752" s="376"/>
      <c r="W752" s="376"/>
      <c r="X752" s="376"/>
      <c r="Y752" s="376"/>
      <c r="Z752" s="376"/>
      <c r="AA752" s="376"/>
    </row>
    <row r="753" spans="1:27" ht="12.75" customHeight="1" x14ac:dyDescent="0.25">
      <c r="A753" s="17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76"/>
      <c r="R753" s="376"/>
      <c r="S753" s="376"/>
      <c r="T753" s="376"/>
      <c r="U753" s="376"/>
      <c r="V753" s="376"/>
      <c r="W753" s="376"/>
      <c r="X753" s="376"/>
      <c r="Y753" s="376"/>
      <c r="Z753" s="376"/>
      <c r="AA753" s="376"/>
    </row>
    <row r="754" spans="1:27" ht="12.75" customHeight="1" x14ac:dyDescent="0.25">
      <c r="A754" s="17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76"/>
      <c r="R754" s="376"/>
      <c r="S754" s="376"/>
      <c r="T754" s="376"/>
      <c r="U754" s="376"/>
      <c r="V754" s="376"/>
      <c r="W754" s="376"/>
      <c r="X754" s="376"/>
      <c r="Y754" s="376"/>
      <c r="Z754" s="376"/>
      <c r="AA754" s="376"/>
    </row>
    <row r="755" spans="1:27" ht="12.75" customHeight="1" x14ac:dyDescent="0.25">
      <c r="A755" s="17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76"/>
      <c r="R755" s="376"/>
      <c r="S755" s="376"/>
      <c r="T755" s="376"/>
      <c r="U755" s="376"/>
      <c r="V755" s="376"/>
      <c r="W755" s="376"/>
      <c r="X755" s="376"/>
      <c r="Y755" s="376"/>
      <c r="Z755" s="376"/>
      <c r="AA755" s="376"/>
    </row>
    <row r="756" spans="1:27" ht="12.75" customHeight="1" x14ac:dyDescent="0.25">
      <c r="A756" s="17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76"/>
      <c r="R756" s="376"/>
      <c r="S756" s="376"/>
      <c r="T756" s="376"/>
      <c r="U756" s="376"/>
      <c r="V756" s="376"/>
      <c r="W756" s="376"/>
      <c r="X756" s="376"/>
      <c r="Y756" s="376"/>
      <c r="Z756" s="376"/>
      <c r="AA756" s="376"/>
    </row>
    <row r="757" spans="1:27" ht="12.75" customHeight="1" x14ac:dyDescent="0.25">
      <c r="A757" s="17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76"/>
      <c r="R757" s="376"/>
      <c r="S757" s="376"/>
      <c r="T757" s="376"/>
      <c r="U757" s="376"/>
      <c r="V757" s="376"/>
      <c r="W757" s="376"/>
      <c r="X757" s="376"/>
      <c r="Y757" s="376"/>
      <c r="Z757" s="376"/>
      <c r="AA757" s="376"/>
    </row>
    <row r="758" spans="1:27" ht="12.75" customHeight="1" x14ac:dyDescent="0.25">
      <c r="A758" s="17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76"/>
      <c r="R758" s="376"/>
      <c r="S758" s="376"/>
      <c r="T758" s="376"/>
      <c r="U758" s="376"/>
      <c r="V758" s="376"/>
      <c r="W758" s="376"/>
      <c r="X758" s="376"/>
      <c r="Y758" s="376"/>
      <c r="Z758" s="376"/>
      <c r="AA758" s="376"/>
    </row>
    <row r="759" spans="1:27" ht="12.75" customHeight="1" x14ac:dyDescent="0.25">
      <c r="A759" s="17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76"/>
      <c r="R759" s="376"/>
      <c r="S759" s="376"/>
      <c r="T759" s="376"/>
      <c r="U759" s="376"/>
      <c r="V759" s="376"/>
      <c r="W759" s="376"/>
      <c r="X759" s="376"/>
      <c r="Y759" s="376"/>
      <c r="Z759" s="376"/>
      <c r="AA759" s="376"/>
    </row>
    <row r="760" spans="1:27" ht="12.75" customHeight="1" x14ac:dyDescent="0.25">
      <c r="A760" s="17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76"/>
      <c r="R760" s="376"/>
      <c r="S760" s="376"/>
      <c r="T760" s="376"/>
      <c r="U760" s="376"/>
      <c r="V760" s="376"/>
      <c r="W760" s="376"/>
      <c r="X760" s="376"/>
      <c r="Y760" s="376"/>
      <c r="Z760" s="376"/>
      <c r="AA760" s="376"/>
    </row>
    <row r="761" spans="1:27" ht="12.75" customHeight="1" x14ac:dyDescent="0.25">
      <c r="A761" s="17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76"/>
      <c r="R761" s="376"/>
      <c r="S761" s="376"/>
      <c r="T761" s="376"/>
      <c r="U761" s="376"/>
      <c r="V761" s="376"/>
      <c r="W761" s="376"/>
      <c r="X761" s="376"/>
      <c r="Y761" s="376"/>
      <c r="Z761" s="376"/>
      <c r="AA761" s="376"/>
    </row>
    <row r="762" spans="1:27" ht="12.75" customHeight="1" x14ac:dyDescent="0.25">
      <c r="A762" s="17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76"/>
      <c r="R762" s="376"/>
      <c r="S762" s="376"/>
      <c r="T762" s="376"/>
      <c r="U762" s="376"/>
      <c r="V762" s="376"/>
      <c r="W762" s="376"/>
      <c r="X762" s="376"/>
      <c r="Y762" s="376"/>
      <c r="Z762" s="376"/>
      <c r="AA762" s="376"/>
    </row>
    <row r="763" spans="1:27" ht="12.75" customHeight="1" x14ac:dyDescent="0.25">
      <c r="A763" s="17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76"/>
      <c r="R763" s="376"/>
      <c r="S763" s="376"/>
      <c r="T763" s="376"/>
      <c r="U763" s="376"/>
      <c r="V763" s="376"/>
      <c r="W763" s="376"/>
      <c r="X763" s="376"/>
      <c r="Y763" s="376"/>
      <c r="Z763" s="376"/>
      <c r="AA763" s="376"/>
    </row>
    <row r="764" spans="1:27" ht="12.75" customHeight="1" x14ac:dyDescent="0.25">
      <c r="A764" s="17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76"/>
      <c r="R764" s="376"/>
      <c r="S764" s="376"/>
      <c r="T764" s="376"/>
      <c r="U764" s="376"/>
      <c r="V764" s="376"/>
      <c r="W764" s="376"/>
      <c r="X764" s="376"/>
      <c r="Y764" s="376"/>
      <c r="Z764" s="376"/>
      <c r="AA764" s="376"/>
    </row>
    <row r="765" spans="1:27" ht="12.75" customHeight="1" x14ac:dyDescent="0.25">
      <c r="A765" s="17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76"/>
      <c r="R765" s="376"/>
      <c r="S765" s="376"/>
      <c r="T765" s="376"/>
      <c r="U765" s="376"/>
      <c r="V765" s="376"/>
      <c r="W765" s="376"/>
      <c r="X765" s="376"/>
      <c r="Y765" s="376"/>
      <c r="Z765" s="376"/>
      <c r="AA765" s="376"/>
    </row>
    <row r="766" spans="1:27" ht="12.75" customHeight="1" x14ac:dyDescent="0.25">
      <c r="A766" s="17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76"/>
      <c r="R766" s="376"/>
      <c r="S766" s="376"/>
      <c r="T766" s="376"/>
      <c r="U766" s="376"/>
      <c r="V766" s="376"/>
      <c r="W766" s="376"/>
      <c r="X766" s="376"/>
      <c r="Y766" s="376"/>
      <c r="Z766" s="376"/>
      <c r="AA766" s="376"/>
    </row>
    <row r="767" spans="1:27" ht="12.75" customHeight="1" x14ac:dyDescent="0.25">
      <c r="A767" s="17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76"/>
      <c r="R767" s="376"/>
      <c r="S767" s="376"/>
      <c r="T767" s="376"/>
      <c r="U767" s="376"/>
      <c r="V767" s="376"/>
      <c r="W767" s="376"/>
      <c r="X767" s="376"/>
      <c r="Y767" s="376"/>
      <c r="Z767" s="376"/>
      <c r="AA767" s="376"/>
    </row>
    <row r="768" spans="1:27" ht="12.75" customHeight="1" x14ac:dyDescent="0.25">
      <c r="A768" s="17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76"/>
      <c r="R768" s="376"/>
      <c r="S768" s="376"/>
      <c r="T768" s="376"/>
      <c r="U768" s="376"/>
      <c r="V768" s="376"/>
      <c r="W768" s="376"/>
      <c r="X768" s="376"/>
      <c r="Y768" s="376"/>
      <c r="Z768" s="376"/>
      <c r="AA768" s="376"/>
    </row>
    <row r="769" spans="1:27" ht="12.75" customHeight="1" x14ac:dyDescent="0.25">
      <c r="A769" s="17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76"/>
      <c r="R769" s="376"/>
      <c r="S769" s="376"/>
      <c r="T769" s="376"/>
      <c r="U769" s="376"/>
      <c r="V769" s="376"/>
      <c r="W769" s="376"/>
      <c r="X769" s="376"/>
      <c r="Y769" s="376"/>
      <c r="Z769" s="376"/>
      <c r="AA769" s="376"/>
    </row>
    <row r="770" spans="1:27" ht="12.75" customHeight="1" x14ac:dyDescent="0.25">
      <c r="A770" s="17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76"/>
      <c r="R770" s="376"/>
      <c r="S770" s="376"/>
      <c r="T770" s="376"/>
      <c r="U770" s="376"/>
      <c r="V770" s="376"/>
      <c r="W770" s="376"/>
      <c r="X770" s="376"/>
      <c r="Y770" s="376"/>
      <c r="Z770" s="376"/>
      <c r="AA770" s="376"/>
    </row>
    <row r="771" spans="1:27" ht="12.75" customHeight="1" x14ac:dyDescent="0.25">
      <c r="A771" s="17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76"/>
      <c r="R771" s="376"/>
      <c r="S771" s="376"/>
      <c r="T771" s="376"/>
      <c r="U771" s="376"/>
      <c r="V771" s="376"/>
      <c r="W771" s="376"/>
      <c r="X771" s="376"/>
      <c r="Y771" s="376"/>
      <c r="Z771" s="376"/>
      <c r="AA771" s="376"/>
    </row>
    <row r="772" spans="1:27" ht="12.75" customHeight="1" x14ac:dyDescent="0.25">
      <c r="A772" s="17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76"/>
      <c r="R772" s="376"/>
      <c r="S772" s="376"/>
      <c r="T772" s="376"/>
      <c r="U772" s="376"/>
      <c r="V772" s="376"/>
      <c r="W772" s="376"/>
      <c r="X772" s="376"/>
      <c r="Y772" s="376"/>
      <c r="Z772" s="376"/>
      <c r="AA772" s="376"/>
    </row>
    <row r="773" spans="1:27" ht="12.75" customHeight="1" x14ac:dyDescent="0.25">
      <c r="A773" s="17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76"/>
      <c r="R773" s="376"/>
      <c r="S773" s="376"/>
      <c r="T773" s="376"/>
      <c r="U773" s="376"/>
      <c r="V773" s="376"/>
      <c r="W773" s="376"/>
      <c r="X773" s="376"/>
      <c r="Y773" s="376"/>
      <c r="Z773" s="376"/>
      <c r="AA773" s="376"/>
    </row>
    <row r="774" spans="1:27" ht="12.75" customHeight="1" x14ac:dyDescent="0.25">
      <c r="A774" s="17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76"/>
      <c r="R774" s="376"/>
      <c r="S774" s="376"/>
      <c r="T774" s="376"/>
      <c r="U774" s="376"/>
      <c r="V774" s="376"/>
      <c r="W774" s="376"/>
      <c r="X774" s="376"/>
      <c r="Y774" s="376"/>
      <c r="Z774" s="376"/>
      <c r="AA774" s="376"/>
    </row>
    <row r="775" spans="1:27" ht="12.75" customHeight="1" x14ac:dyDescent="0.25">
      <c r="A775" s="17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76"/>
      <c r="R775" s="376"/>
      <c r="S775" s="376"/>
      <c r="T775" s="376"/>
      <c r="U775" s="376"/>
      <c r="V775" s="376"/>
      <c r="W775" s="376"/>
      <c r="X775" s="376"/>
      <c r="Y775" s="376"/>
      <c r="Z775" s="376"/>
      <c r="AA775" s="376"/>
    </row>
    <row r="776" spans="1:27" ht="12.75" customHeight="1" x14ac:dyDescent="0.25">
      <c r="A776" s="17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76"/>
      <c r="R776" s="376"/>
      <c r="S776" s="376"/>
      <c r="T776" s="376"/>
      <c r="U776" s="376"/>
      <c r="V776" s="376"/>
      <c r="W776" s="376"/>
      <c r="X776" s="376"/>
      <c r="Y776" s="376"/>
      <c r="Z776" s="376"/>
      <c r="AA776" s="376"/>
    </row>
    <row r="777" spans="1:27" ht="12.75" customHeight="1" x14ac:dyDescent="0.25">
      <c r="A777" s="17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76"/>
      <c r="R777" s="376"/>
      <c r="S777" s="376"/>
      <c r="T777" s="376"/>
      <c r="U777" s="376"/>
      <c r="V777" s="376"/>
      <c r="W777" s="376"/>
      <c r="X777" s="376"/>
      <c r="Y777" s="376"/>
      <c r="Z777" s="376"/>
      <c r="AA777" s="376"/>
    </row>
    <row r="778" spans="1:27" ht="12.75" customHeight="1" x14ac:dyDescent="0.25">
      <c r="A778" s="17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76"/>
      <c r="R778" s="376"/>
      <c r="S778" s="376"/>
      <c r="T778" s="376"/>
      <c r="U778" s="376"/>
      <c r="V778" s="376"/>
      <c r="W778" s="376"/>
      <c r="X778" s="376"/>
      <c r="Y778" s="376"/>
      <c r="Z778" s="376"/>
      <c r="AA778" s="376"/>
    </row>
    <row r="779" spans="1:27" ht="12.75" customHeight="1" x14ac:dyDescent="0.25">
      <c r="A779" s="17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76"/>
      <c r="R779" s="376"/>
      <c r="S779" s="376"/>
      <c r="T779" s="376"/>
      <c r="U779" s="376"/>
      <c r="V779" s="376"/>
      <c r="W779" s="376"/>
      <c r="X779" s="376"/>
      <c r="Y779" s="376"/>
      <c r="Z779" s="376"/>
      <c r="AA779" s="376"/>
    </row>
    <row r="780" spans="1:27" ht="12.75" customHeight="1" x14ac:dyDescent="0.25">
      <c r="A780" s="17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76"/>
      <c r="R780" s="376"/>
      <c r="S780" s="376"/>
      <c r="T780" s="376"/>
      <c r="U780" s="376"/>
      <c r="V780" s="376"/>
      <c r="W780" s="376"/>
      <c r="X780" s="376"/>
      <c r="Y780" s="376"/>
      <c r="Z780" s="376"/>
      <c r="AA780" s="376"/>
    </row>
    <row r="781" spans="1:27" ht="12.75" customHeight="1" x14ac:dyDescent="0.25">
      <c r="A781" s="17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76"/>
      <c r="R781" s="376"/>
      <c r="S781" s="376"/>
      <c r="T781" s="376"/>
      <c r="U781" s="376"/>
      <c r="V781" s="376"/>
      <c r="W781" s="376"/>
      <c r="X781" s="376"/>
      <c r="Y781" s="376"/>
      <c r="Z781" s="376"/>
      <c r="AA781" s="376"/>
    </row>
    <row r="782" spans="1:27" ht="12.75" customHeight="1" x14ac:dyDescent="0.25">
      <c r="A782" s="17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76"/>
      <c r="R782" s="376"/>
      <c r="S782" s="376"/>
      <c r="T782" s="376"/>
      <c r="U782" s="376"/>
      <c r="V782" s="376"/>
      <c r="W782" s="376"/>
      <c r="X782" s="376"/>
      <c r="Y782" s="376"/>
      <c r="Z782" s="376"/>
      <c r="AA782" s="376"/>
    </row>
    <row r="783" spans="1:27" ht="12.75" customHeight="1" x14ac:dyDescent="0.25">
      <c r="A783" s="17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76"/>
      <c r="R783" s="376"/>
      <c r="S783" s="376"/>
      <c r="T783" s="376"/>
      <c r="U783" s="376"/>
      <c r="V783" s="376"/>
      <c r="W783" s="376"/>
      <c r="X783" s="376"/>
      <c r="Y783" s="376"/>
      <c r="Z783" s="376"/>
      <c r="AA783" s="376"/>
    </row>
    <row r="784" spans="1:27" ht="12.75" customHeight="1" x14ac:dyDescent="0.25">
      <c r="A784" s="17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76"/>
      <c r="R784" s="376"/>
      <c r="S784" s="376"/>
      <c r="T784" s="376"/>
      <c r="U784" s="376"/>
      <c r="V784" s="376"/>
      <c r="W784" s="376"/>
      <c r="X784" s="376"/>
      <c r="Y784" s="376"/>
      <c r="Z784" s="376"/>
      <c r="AA784" s="376"/>
    </row>
    <row r="785" spans="1:27" ht="12.75" customHeight="1" x14ac:dyDescent="0.25">
      <c r="A785" s="17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76"/>
      <c r="R785" s="376"/>
      <c r="S785" s="376"/>
      <c r="T785" s="376"/>
      <c r="U785" s="376"/>
      <c r="V785" s="376"/>
      <c r="W785" s="376"/>
      <c r="X785" s="376"/>
      <c r="Y785" s="376"/>
      <c r="Z785" s="376"/>
      <c r="AA785" s="376"/>
    </row>
    <row r="786" spans="1:27" ht="12.75" customHeight="1" x14ac:dyDescent="0.25">
      <c r="A786" s="17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76"/>
      <c r="R786" s="376"/>
      <c r="S786" s="376"/>
      <c r="T786" s="376"/>
      <c r="U786" s="376"/>
      <c r="V786" s="376"/>
      <c r="W786" s="376"/>
      <c r="X786" s="376"/>
      <c r="Y786" s="376"/>
      <c r="Z786" s="376"/>
      <c r="AA786" s="376"/>
    </row>
    <row r="787" spans="1:27" ht="12.75" customHeight="1" x14ac:dyDescent="0.25">
      <c r="A787" s="17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76"/>
      <c r="R787" s="376"/>
      <c r="S787" s="376"/>
      <c r="T787" s="376"/>
      <c r="U787" s="376"/>
      <c r="V787" s="376"/>
      <c r="W787" s="376"/>
      <c r="X787" s="376"/>
      <c r="Y787" s="376"/>
      <c r="Z787" s="376"/>
      <c r="AA787" s="376"/>
    </row>
    <row r="788" spans="1:27" ht="12.75" customHeight="1" x14ac:dyDescent="0.25">
      <c r="A788" s="17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76"/>
      <c r="R788" s="376"/>
      <c r="S788" s="376"/>
      <c r="T788" s="376"/>
      <c r="U788" s="376"/>
      <c r="V788" s="376"/>
      <c r="W788" s="376"/>
      <c r="X788" s="376"/>
      <c r="Y788" s="376"/>
      <c r="Z788" s="376"/>
      <c r="AA788" s="376"/>
    </row>
    <row r="789" spans="1:27" ht="12.75" customHeight="1" x14ac:dyDescent="0.25">
      <c r="A789" s="17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76"/>
      <c r="R789" s="376"/>
      <c r="S789" s="376"/>
      <c r="T789" s="376"/>
      <c r="U789" s="376"/>
      <c r="V789" s="376"/>
      <c r="W789" s="376"/>
      <c r="X789" s="376"/>
      <c r="Y789" s="376"/>
      <c r="Z789" s="376"/>
      <c r="AA789" s="376"/>
    </row>
    <row r="790" spans="1:27" ht="12.75" customHeight="1" x14ac:dyDescent="0.25">
      <c r="A790" s="17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76"/>
      <c r="R790" s="376"/>
      <c r="S790" s="376"/>
      <c r="T790" s="376"/>
      <c r="U790" s="376"/>
      <c r="V790" s="376"/>
      <c r="W790" s="376"/>
      <c r="X790" s="376"/>
      <c r="Y790" s="376"/>
      <c r="Z790" s="376"/>
      <c r="AA790" s="376"/>
    </row>
    <row r="791" spans="1:27" ht="12.75" customHeight="1" x14ac:dyDescent="0.25">
      <c r="A791" s="17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76"/>
      <c r="R791" s="376"/>
      <c r="S791" s="376"/>
      <c r="T791" s="376"/>
      <c r="U791" s="376"/>
      <c r="V791" s="376"/>
      <c r="W791" s="376"/>
      <c r="X791" s="376"/>
      <c r="Y791" s="376"/>
      <c r="Z791" s="376"/>
      <c r="AA791" s="376"/>
    </row>
    <row r="792" spans="1:27" ht="12.75" customHeight="1" x14ac:dyDescent="0.25">
      <c r="A792" s="17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76"/>
      <c r="R792" s="376"/>
      <c r="S792" s="376"/>
      <c r="T792" s="376"/>
      <c r="U792" s="376"/>
      <c r="V792" s="376"/>
      <c r="W792" s="376"/>
      <c r="X792" s="376"/>
      <c r="Y792" s="376"/>
      <c r="Z792" s="376"/>
      <c r="AA792" s="376"/>
    </row>
    <row r="793" spans="1:27" ht="12.75" customHeight="1" x14ac:dyDescent="0.25">
      <c r="A793" s="17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76"/>
      <c r="R793" s="376"/>
      <c r="S793" s="376"/>
      <c r="T793" s="376"/>
      <c r="U793" s="376"/>
      <c r="V793" s="376"/>
      <c r="W793" s="376"/>
      <c r="X793" s="376"/>
      <c r="Y793" s="376"/>
      <c r="Z793" s="376"/>
      <c r="AA793" s="376"/>
    </row>
    <row r="794" spans="1:27" ht="12.75" customHeight="1" x14ac:dyDescent="0.25">
      <c r="A794" s="17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76"/>
      <c r="R794" s="376"/>
      <c r="S794" s="376"/>
      <c r="T794" s="376"/>
      <c r="U794" s="376"/>
      <c r="V794" s="376"/>
      <c r="W794" s="376"/>
      <c r="X794" s="376"/>
      <c r="Y794" s="376"/>
      <c r="Z794" s="376"/>
      <c r="AA794" s="376"/>
    </row>
    <row r="795" spans="1:27" ht="12.75" customHeight="1" x14ac:dyDescent="0.25">
      <c r="A795" s="17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76"/>
      <c r="R795" s="376"/>
      <c r="S795" s="376"/>
      <c r="T795" s="376"/>
      <c r="U795" s="376"/>
      <c r="V795" s="376"/>
      <c r="W795" s="376"/>
      <c r="X795" s="376"/>
      <c r="Y795" s="376"/>
      <c r="Z795" s="376"/>
      <c r="AA795" s="376"/>
    </row>
    <row r="796" spans="1:27" ht="12.75" customHeight="1" x14ac:dyDescent="0.25">
      <c r="A796" s="17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76"/>
      <c r="R796" s="376"/>
      <c r="S796" s="376"/>
      <c r="T796" s="376"/>
      <c r="U796" s="376"/>
      <c r="V796" s="376"/>
      <c r="W796" s="376"/>
      <c r="X796" s="376"/>
      <c r="Y796" s="376"/>
      <c r="Z796" s="376"/>
      <c r="AA796" s="376"/>
    </row>
    <row r="797" spans="1:27" ht="12.75" customHeight="1" x14ac:dyDescent="0.25">
      <c r="A797" s="17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76"/>
      <c r="R797" s="376"/>
      <c r="S797" s="376"/>
      <c r="T797" s="376"/>
      <c r="U797" s="376"/>
      <c r="V797" s="376"/>
      <c r="W797" s="376"/>
      <c r="X797" s="376"/>
      <c r="Y797" s="376"/>
      <c r="Z797" s="376"/>
      <c r="AA797" s="376"/>
    </row>
    <row r="798" spans="1:27" ht="12.75" customHeight="1" x14ac:dyDescent="0.25">
      <c r="A798" s="17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76"/>
      <c r="R798" s="376"/>
      <c r="S798" s="376"/>
      <c r="T798" s="376"/>
      <c r="U798" s="376"/>
      <c r="V798" s="376"/>
      <c r="W798" s="376"/>
      <c r="X798" s="376"/>
      <c r="Y798" s="376"/>
      <c r="Z798" s="376"/>
      <c r="AA798" s="376"/>
    </row>
    <row r="799" spans="1:27" ht="12.75" customHeight="1" x14ac:dyDescent="0.25">
      <c r="A799" s="17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76"/>
      <c r="R799" s="376"/>
      <c r="S799" s="376"/>
      <c r="T799" s="376"/>
      <c r="U799" s="376"/>
      <c r="V799" s="376"/>
      <c r="W799" s="376"/>
      <c r="X799" s="376"/>
      <c r="Y799" s="376"/>
      <c r="Z799" s="376"/>
      <c r="AA799" s="376"/>
    </row>
    <row r="800" spans="1:27" ht="12.75" customHeight="1" x14ac:dyDescent="0.25">
      <c r="A800" s="17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76"/>
      <c r="R800" s="376"/>
      <c r="S800" s="376"/>
      <c r="T800" s="376"/>
      <c r="U800" s="376"/>
      <c r="V800" s="376"/>
      <c r="W800" s="376"/>
      <c r="X800" s="376"/>
      <c r="Y800" s="376"/>
      <c r="Z800" s="376"/>
      <c r="AA800" s="376"/>
    </row>
    <row r="801" spans="1:27" ht="12.75" customHeight="1" x14ac:dyDescent="0.25">
      <c r="A801" s="17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76"/>
      <c r="R801" s="376"/>
      <c r="S801" s="376"/>
      <c r="T801" s="376"/>
      <c r="U801" s="376"/>
      <c r="V801" s="376"/>
      <c r="W801" s="376"/>
      <c r="X801" s="376"/>
      <c r="Y801" s="376"/>
      <c r="Z801" s="376"/>
      <c r="AA801" s="376"/>
    </row>
    <row r="802" spans="1:27" ht="12.75" customHeight="1" x14ac:dyDescent="0.25">
      <c r="A802" s="17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76"/>
      <c r="R802" s="376"/>
      <c r="S802" s="376"/>
      <c r="T802" s="376"/>
      <c r="U802" s="376"/>
      <c r="V802" s="376"/>
      <c r="W802" s="376"/>
      <c r="X802" s="376"/>
      <c r="Y802" s="376"/>
      <c r="Z802" s="376"/>
      <c r="AA802" s="376"/>
    </row>
    <row r="803" spans="1:27" ht="12.75" customHeight="1" x14ac:dyDescent="0.25">
      <c r="A803" s="17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76"/>
      <c r="R803" s="376"/>
      <c r="S803" s="376"/>
      <c r="T803" s="376"/>
      <c r="U803" s="376"/>
      <c r="V803" s="376"/>
      <c r="W803" s="376"/>
      <c r="X803" s="376"/>
      <c r="Y803" s="376"/>
      <c r="Z803" s="376"/>
      <c r="AA803" s="376"/>
    </row>
    <row r="804" spans="1:27" ht="12.75" customHeight="1" x14ac:dyDescent="0.25">
      <c r="A804" s="17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76"/>
      <c r="R804" s="376"/>
      <c r="S804" s="376"/>
      <c r="T804" s="376"/>
      <c r="U804" s="376"/>
      <c r="V804" s="376"/>
      <c r="W804" s="376"/>
      <c r="X804" s="376"/>
      <c r="Y804" s="376"/>
      <c r="Z804" s="376"/>
      <c r="AA804" s="376"/>
    </row>
    <row r="805" spans="1:27" ht="12.75" customHeight="1" x14ac:dyDescent="0.25">
      <c r="A805" s="17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76"/>
      <c r="R805" s="376"/>
      <c r="S805" s="376"/>
      <c r="T805" s="376"/>
      <c r="U805" s="376"/>
      <c r="V805" s="376"/>
      <c r="W805" s="376"/>
      <c r="X805" s="376"/>
      <c r="Y805" s="376"/>
      <c r="Z805" s="376"/>
      <c r="AA805" s="376"/>
    </row>
    <row r="806" spans="1:27" ht="12.75" customHeight="1" x14ac:dyDescent="0.25">
      <c r="A806" s="17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76"/>
      <c r="R806" s="376"/>
      <c r="S806" s="376"/>
      <c r="T806" s="376"/>
      <c r="U806" s="376"/>
      <c r="V806" s="376"/>
      <c r="W806" s="376"/>
      <c r="X806" s="376"/>
      <c r="Y806" s="376"/>
      <c r="Z806" s="376"/>
      <c r="AA806" s="376"/>
    </row>
    <row r="807" spans="1:27" ht="12.75" customHeight="1" x14ac:dyDescent="0.25">
      <c r="A807" s="17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76"/>
      <c r="R807" s="376"/>
      <c r="S807" s="376"/>
      <c r="T807" s="376"/>
      <c r="U807" s="376"/>
      <c r="V807" s="376"/>
      <c r="W807" s="376"/>
      <c r="X807" s="376"/>
      <c r="Y807" s="376"/>
      <c r="Z807" s="376"/>
      <c r="AA807" s="376"/>
    </row>
    <row r="808" spans="1:27" ht="12.75" customHeight="1" x14ac:dyDescent="0.25">
      <c r="A808" s="17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76"/>
      <c r="R808" s="376"/>
      <c r="S808" s="376"/>
      <c r="T808" s="376"/>
      <c r="U808" s="376"/>
      <c r="V808" s="376"/>
      <c r="W808" s="376"/>
      <c r="X808" s="376"/>
      <c r="Y808" s="376"/>
      <c r="Z808" s="376"/>
      <c r="AA808" s="376"/>
    </row>
    <row r="809" spans="1:27" ht="12.75" customHeight="1" x14ac:dyDescent="0.25">
      <c r="A809" s="17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76"/>
      <c r="R809" s="376"/>
      <c r="S809" s="376"/>
      <c r="T809" s="376"/>
      <c r="U809" s="376"/>
      <c r="V809" s="376"/>
      <c r="W809" s="376"/>
      <c r="X809" s="376"/>
      <c r="Y809" s="376"/>
      <c r="Z809" s="376"/>
      <c r="AA809" s="376"/>
    </row>
    <row r="810" spans="1:27" ht="12.75" customHeight="1" x14ac:dyDescent="0.25">
      <c r="A810" s="17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76"/>
      <c r="R810" s="376"/>
      <c r="S810" s="376"/>
      <c r="T810" s="376"/>
      <c r="U810" s="376"/>
      <c r="V810" s="376"/>
      <c r="W810" s="376"/>
      <c r="X810" s="376"/>
      <c r="Y810" s="376"/>
      <c r="Z810" s="376"/>
      <c r="AA810" s="376"/>
    </row>
    <row r="811" spans="1:27" ht="12.75" customHeight="1" x14ac:dyDescent="0.25">
      <c r="A811" s="17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76"/>
      <c r="R811" s="376"/>
      <c r="S811" s="376"/>
      <c r="T811" s="376"/>
      <c r="U811" s="376"/>
      <c r="V811" s="376"/>
      <c r="W811" s="376"/>
      <c r="X811" s="376"/>
      <c r="Y811" s="376"/>
      <c r="Z811" s="376"/>
      <c r="AA811" s="376"/>
    </row>
    <row r="812" spans="1:27" ht="12.75" customHeight="1" x14ac:dyDescent="0.25">
      <c r="A812" s="17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76"/>
      <c r="R812" s="376"/>
      <c r="S812" s="376"/>
      <c r="T812" s="376"/>
      <c r="U812" s="376"/>
      <c r="V812" s="376"/>
      <c r="W812" s="376"/>
      <c r="X812" s="376"/>
      <c r="Y812" s="376"/>
      <c r="Z812" s="376"/>
      <c r="AA812" s="376"/>
    </row>
    <row r="813" spans="1:27" ht="12.75" customHeight="1" x14ac:dyDescent="0.25">
      <c r="A813" s="17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76"/>
      <c r="R813" s="376"/>
      <c r="S813" s="376"/>
      <c r="T813" s="376"/>
      <c r="U813" s="376"/>
      <c r="V813" s="376"/>
      <c r="W813" s="376"/>
      <c r="X813" s="376"/>
      <c r="Y813" s="376"/>
      <c r="Z813" s="376"/>
      <c r="AA813" s="376"/>
    </row>
    <row r="814" spans="1:27" ht="12.75" customHeight="1" x14ac:dyDescent="0.25">
      <c r="A814" s="17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76"/>
      <c r="R814" s="376"/>
      <c r="S814" s="376"/>
      <c r="T814" s="376"/>
      <c r="U814" s="376"/>
      <c r="V814" s="376"/>
      <c r="W814" s="376"/>
      <c r="X814" s="376"/>
      <c r="Y814" s="376"/>
      <c r="Z814" s="376"/>
      <c r="AA814" s="376"/>
    </row>
    <row r="815" spans="1:27" ht="12.75" customHeight="1" x14ac:dyDescent="0.25">
      <c r="A815" s="17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76"/>
      <c r="R815" s="376"/>
      <c r="S815" s="376"/>
      <c r="T815" s="376"/>
      <c r="U815" s="376"/>
      <c r="V815" s="376"/>
      <c r="W815" s="376"/>
      <c r="X815" s="376"/>
      <c r="Y815" s="376"/>
      <c r="Z815" s="376"/>
      <c r="AA815" s="376"/>
    </row>
    <row r="816" spans="1:27" ht="12.75" customHeight="1" x14ac:dyDescent="0.25">
      <c r="A816" s="17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76"/>
      <c r="R816" s="376"/>
      <c r="S816" s="376"/>
      <c r="T816" s="376"/>
      <c r="U816" s="376"/>
      <c r="V816" s="376"/>
      <c r="W816" s="376"/>
      <c r="X816" s="376"/>
      <c r="Y816" s="376"/>
      <c r="Z816" s="376"/>
      <c r="AA816" s="376"/>
    </row>
    <row r="817" spans="1:27" ht="12.75" customHeight="1" x14ac:dyDescent="0.25">
      <c r="A817" s="17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76"/>
      <c r="R817" s="376"/>
      <c r="S817" s="376"/>
      <c r="T817" s="376"/>
      <c r="U817" s="376"/>
      <c r="V817" s="376"/>
      <c r="W817" s="376"/>
      <c r="X817" s="376"/>
      <c r="Y817" s="376"/>
      <c r="Z817" s="376"/>
      <c r="AA817" s="376"/>
    </row>
    <row r="818" spans="1:27" ht="12.75" customHeight="1" x14ac:dyDescent="0.25">
      <c r="A818" s="17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76"/>
      <c r="R818" s="376"/>
      <c r="S818" s="376"/>
      <c r="T818" s="376"/>
      <c r="U818" s="376"/>
      <c r="V818" s="376"/>
      <c r="W818" s="376"/>
      <c r="X818" s="376"/>
      <c r="Y818" s="376"/>
      <c r="Z818" s="376"/>
      <c r="AA818" s="376"/>
    </row>
    <row r="819" spans="1:27" ht="12.75" customHeight="1" x14ac:dyDescent="0.25">
      <c r="A819" s="17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76"/>
      <c r="R819" s="376"/>
      <c r="S819" s="376"/>
      <c r="T819" s="376"/>
      <c r="U819" s="376"/>
      <c r="V819" s="376"/>
      <c r="W819" s="376"/>
      <c r="X819" s="376"/>
      <c r="Y819" s="376"/>
      <c r="Z819" s="376"/>
      <c r="AA819" s="376"/>
    </row>
    <row r="820" spans="1:27" ht="12.75" customHeight="1" x14ac:dyDescent="0.25">
      <c r="A820" s="17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76"/>
      <c r="R820" s="376"/>
      <c r="S820" s="376"/>
      <c r="T820" s="376"/>
      <c r="U820" s="376"/>
      <c r="V820" s="376"/>
      <c r="W820" s="376"/>
      <c r="X820" s="376"/>
      <c r="Y820" s="376"/>
      <c r="Z820" s="376"/>
      <c r="AA820" s="376"/>
    </row>
    <row r="821" spans="1:27" ht="12.75" customHeight="1" x14ac:dyDescent="0.25">
      <c r="A821" s="17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76"/>
      <c r="R821" s="376"/>
      <c r="S821" s="376"/>
      <c r="T821" s="376"/>
      <c r="U821" s="376"/>
      <c r="V821" s="376"/>
      <c r="W821" s="376"/>
      <c r="X821" s="376"/>
      <c r="Y821" s="376"/>
      <c r="Z821" s="376"/>
      <c r="AA821" s="376"/>
    </row>
    <row r="822" spans="1:27" ht="12.75" customHeight="1" x14ac:dyDescent="0.25">
      <c r="A822" s="17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76"/>
      <c r="R822" s="376"/>
      <c r="S822" s="376"/>
      <c r="T822" s="376"/>
      <c r="U822" s="376"/>
      <c r="V822" s="376"/>
      <c r="W822" s="376"/>
      <c r="X822" s="376"/>
      <c r="Y822" s="376"/>
      <c r="Z822" s="376"/>
      <c r="AA822" s="376"/>
    </row>
    <row r="823" spans="1:27" ht="12.75" customHeight="1" x14ac:dyDescent="0.25">
      <c r="A823" s="17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76"/>
      <c r="R823" s="376"/>
      <c r="S823" s="376"/>
      <c r="T823" s="376"/>
      <c r="U823" s="376"/>
      <c r="V823" s="376"/>
      <c r="W823" s="376"/>
      <c r="X823" s="376"/>
      <c r="Y823" s="376"/>
      <c r="Z823" s="376"/>
      <c r="AA823" s="376"/>
    </row>
    <row r="824" spans="1:27" ht="12.75" customHeight="1" x14ac:dyDescent="0.25">
      <c r="A824" s="17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76"/>
      <c r="R824" s="376"/>
      <c r="S824" s="376"/>
      <c r="T824" s="376"/>
      <c r="U824" s="376"/>
      <c r="V824" s="376"/>
      <c r="W824" s="376"/>
      <c r="X824" s="376"/>
      <c r="Y824" s="376"/>
      <c r="Z824" s="376"/>
      <c r="AA824" s="376"/>
    </row>
    <row r="825" spans="1:27" ht="12.75" customHeight="1" x14ac:dyDescent="0.25">
      <c r="A825" s="17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76"/>
      <c r="R825" s="376"/>
      <c r="S825" s="376"/>
      <c r="T825" s="376"/>
      <c r="U825" s="376"/>
      <c r="V825" s="376"/>
      <c r="W825" s="376"/>
      <c r="X825" s="376"/>
      <c r="Y825" s="376"/>
      <c r="Z825" s="376"/>
      <c r="AA825" s="376"/>
    </row>
    <row r="826" spans="1:27" ht="12.75" customHeight="1" x14ac:dyDescent="0.25">
      <c r="A826" s="17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76"/>
      <c r="R826" s="376"/>
      <c r="S826" s="376"/>
      <c r="T826" s="376"/>
      <c r="U826" s="376"/>
      <c r="V826" s="376"/>
      <c r="W826" s="376"/>
      <c r="X826" s="376"/>
      <c r="Y826" s="376"/>
      <c r="Z826" s="376"/>
      <c r="AA826" s="376"/>
    </row>
    <row r="827" spans="1:27" ht="12.75" customHeight="1" x14ac:dyDescent="0.25">
      <c r="A827" s="17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76"/>
      <c r="R827" s="376"/>
      <c r="S827" s="376"/>
      <c r="T827" s="376"/>
      <c r="U827" s="376"/>
      <c r="V827" s="376"/>
      <c r="W827" s="376"/>
      <c r="X827" s="376"/>
      <c r="Y827" s="376"/>
      <c r="Z827" s="376"/>
      <c r="AA827" s="376"/>
    </row>
    <row r="828" spans="1:27" ht="12.75" customHeight="1" x14ac:dyDescent="0.25">
      <c r="A828" s="17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76"/>
      <c r="R828" s="376"/>
      <c r="S828" s="376"/>
      <c r="T828" s="376"/>
      <c r="U828" s="376"/>
      <c r="V828" s="376"/>
      <c r="W828" s="376"/>
      <c r="X828" s="376"/>
      <c r="Y828" s="376"/>
      <c r="Z828" s="376"/>
      <c r="AA828" s="376"/>
    </row>
    <row r="829" spans="1:27" ht="12.75" customHeight="1" x14ac:dyDescent="0.25">
      <c r="A829" s="17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76"/>
      <c r="R829" s="376"/>
      <c r="S829" s="376"/>
      <c r="T829" s="376"/>
      <c r="U829" s="376"/>
      <c r="V829" s="376"/>
      <c r="W829" s="376"/>
      <c r="X829" s="376"/>
      <c r="Y829" s="376"/>
      <c r="Z829" s="376"/>
      <c r="AA829" s="376"/>
    </row>
    <row r="830" spans="1:27" ht="12.75" customHeight="1" x14ac:dyDescent="0.25">
      <c r="A830" s="17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76"/>
      <c r="R830" s="376"/>
      <c r="S830" s="376"/>
      <c r="T830" s="376"/>
      <c r="U830" s="376"/>
      <c r="V830" s="376"/>
      <c r="W830" s="376"/>
      <c r="X830" s="376"/>
      <c r="Y830" s="376"/>
      <c r="Z830" s="376"/>
      <c r="AA830" s="376"/>
    </row>
    <row r="831" spans="1:27" ht="12.75" customHeight="1" x14ac:dyDescent="0.25">
      <c r="A831" s="17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76"/>
      <c r="R831" s="376"/>
      <c r="S831" s="376"/>
      <c r="T831" s="376"/>
      <c r="U831" s="376"/>
      <c r="V831" s="376"/>
      <c r="W831" s="376"/>
      <c r="X831" s="376"/>
      <c r="Y831" s="376"/>
      <c r="Z831" s="376"/>
      <c r="AA831" s="376"/>
    </row>
    <row r="832" spans="1:27" ht="12.75" customHeight="1" x14ac:dyDescent="0.25">
      <c r="A832" s="17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76"/>
      <c r="R832" s="376"/>
      <c r="S832" s="376"/>
      <c r="T832" s="376"/>
      <c r="U832" s="376"/>
      <c r="V832" s="376"/>
      <c r="W832" s="376"/>
      <c r="X832" s="376"/>
      <c r="Y832" s="376"/>
      <c r="Z832" s="376"/>
      <c r="AA832" s="376"/>
    </row>
    <row r="833" spans="1:27" ht="12.75" customHeight="1" x14ac:dyDescent="0.25">
      <c r="A833" s="17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76"/>
      <c r="R833" s="376"/>
      <c r="S833" s="376"/>
      <c r="T833" s="376"/>
      <c r="U833" s="376"/>
      <c r="V833" s="376"/>
      <c r="W833" s="376"/>
      <c r="X833" s="376"/>
      <c r="Y833" s="376"/>
      <c r="Z833" s="376"/>
      <c r="AA833" s="376"/>
    </row>
    <row r="834" spans="1:27" ht="12.75" customHeight="1" x14ac:dyDescent="0.25">
      <c r="A834" s="17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76"/>
      <c r="R834" s="376"/>
      <c r="S834" s="376"/>
      <c r="T834" s="376"/>
      <c r="U834" s="376"/>
      <c r="V834" s="376"/>
      <c r="W834" s="376"/>
      <c r="X834" s="376"/>
      <c r="Y834" s="376"/>
      <c r="Z834" s="376"/>
      <c r="AA834" s="376"/>
    </row>
    <row r="835" spans="1:27" ht="12.75" customHeight="1" x14ac:dyDescent="0.25">
      <c r="A835" s="17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76"/>
      <c r="R835" s="376"/>
      <c r="S835" s="376"/>
      <c r="T835" s="376"/>
      <c r="U835" s="376"/>
      <c r="V835" s="376"/>
      <c r="W835" s="376"/>
      <c r="X835" s="376"/>
      <c r="Y835" s="376"/>
      <c r="Z835" s="376"/>
      <c r="AA835" s="376"/>
    </row>
    <row r="836" spans="1:27" ht="12.75" customHeight="1" x14ac:dyDescent="0.25">
      <c r="A836" s="17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76"/>
      <c r="R836" s="376"/>
      <c r="S836" s="376"/>
      <c r="T836" s="376"/>
      <c r="U836" s="376"/>
      <c r="V836" s="376"/>
      <c r="W836" s="376"/>
      <c r="X836" s="376"/>
      <c r="Y836" s="376"/>
      <c r="Z836" s="376"/>
      <c r="AA836" s="376"/>
    </row>
    <row r="837" spans="1:27" ht="12.75" customHeight="1" x14ac:dyDescent="0.25">
      <c r="A837" s="17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76"/>
      <c r="R837" s="376"/>
      <c r="S837" s="376"/>
      <c r="T837" s="376"/>
      <c r="U837" s="376"/>
      <c r="V837" s="376"/>
      <c r="W837" s="376"/>
      <c r="X837" s="376"/>
      <c r="Y837" s="376"/>
      <c r="Z837" s="376"/>
      <c r="AA837" s="376"/>
    </row>
    <row r="838" spans="1:27" ht="12.75" customHeight="1" x14ac:dyDescent="0.25">
      <c r="A838" s="17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76"/>
      <c r="R838" s="376"/>
      <c r="S838" s="376"/>
      <c r="T838" s="376"/>
      <c r="U838" s="376"/>
      <c r="V838" s="376"/>
      <c r="W838" s="376"/>
      <c r="X838" s="376"/>
      <c r="Y838" s="376"/>
      <c r="Z838" s="376"/>
      <c r="AA838" s="376"/>
    </row>
    <row r="839" spans="1:27" ht="12.75" customHeight="1" x14ac:dyDescent="0.25">
      <c r="A839" s="17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76"/>
      <c r="R839" s="376"/>
      <c r="S839" s="376"/>
      <c r="T839" s="376"/>
      <c r="U839" s="376"/>
      <c r="V839" s="376"/>
      <c r="W839" s="376"/>
      <c r="X839" s="376"/>
      <c r="Y839" s="376"/>
      <c r="Z839" s="376"/>
      <c r="AA839" s="376"/>
    </row>
    <row r="840" spans="1:27" ht="12.75" customHeight="1" x14ac:dyDescent="0.25">
      <c r="A840" s="17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76"/>
      <c r="R840" s="376"/>
      <c r="S840" s="376"/>
      <c r="T840" s="376"/>
      <c r="U840" s="376"/>
      <c r="V840" s="376"/>
      <c r="W840" s="376"/>
      <c r="X840" s="376"/>
      <c r="Y840" s="376"/>
      <c r="Z840" s="376"/>
      <c r="AA840" s="376"/>
    </row>
    <row r="841" spans="1:27" ht="12.75" customHeight="1" x14ac:dyDescent="0.25">
      <c r="A841" s="17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76"/>
      <c r="R841" s="376"/>
      <c r="S841" s="376"/>
      <c r="T841" s="376"/>
      <c r="U841" s="376"/>
      <c r="V841" s="376"/>
      <c r="W841" s="376"/>
      <c r="X841" s="376"/>
      <c r="Y841" s="376"/>
      <c r="Z841" s="376"/>
      <c r="AA841" s="376"/>
    </row>
    <row r="842" spans="1:27" ht="12.75" customHeight="1" x14ac:dyDescent="0.25">
      <c r="A842" s="17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76"/>
      <c r="R842" s="376"/>
      <c r="S842" s="376"/>
      <c r="T842" s="376"/>
      <c r="U842" s="376"/>
      <c r="V842" s="376"/>
      <c r="W842" s="376"/>
      <c r="X842" s="376"/>
      <c r="Y842" s="376"/>
      <c r="Z842" s="376"/>
      <c r="AA842" s="376"/>
    </row>
    <row r="843" spans="1:27" ht="12.75" customHeight="1" x14ac:dyDescent="0.25">
      <c r="A843" s="17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76"/>
      <c r="R843" s="376"/>
      <c r="S843" s="376"/>
      <c r="T843" s="376"/>
      <c r="U843" s="376"/>
      <c r="V843" s="376"/>
      <c r="W843" s="376"/>
      <c r="X843" s="376"/>
      <c r="Y843" s="376"/>
      <c r="Z843" s="376"/>
      <c r="AA843" s="376"/>
    </row>
    <row r="844" spans="1:27" ht="12.75" customHeight="1" x14ac:dyDescent="0.25">
      <c r="A844" s="17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76"/>
      <c r="R844" s="376"/>
      <c r="S844" s="376"/>
      <c r="T844" s="376"/>
      <c r="U844" s="376"/>
      <c r="V844" s="376"/>
      <c r="W844" s="376"/>
      <c r="X844" s="376"/>
      <c r="Y844" s="376"/>
      <c r="Z844" s="376"/>
      <c r="AA844" s="376"/>
    </row>
    <row r="845" spans="1:27" ht="12.75" customHeight="1" x14ac:dyDescent="0.25">
      <c r="A845" s="17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76"/>
      <c r="R845" s="376"/>
      <c r="S845" s="376"/>
      <c r="T845" s="376"/>
      <c r="U845" s="376"/>
      <c r="V845" s="376"/>
      <c r="W845" s="376"/>
      <c r="X845" s="376"/>
      <c r="Y845" s="376"/>
      <c r="Z845" s="376"/>
      <c r="AA845" s="376"/>
    </row>
    <row r="846" spans="1:27" ht="12.75" customHeight="1" x14ac:dyDescent="0.25">
      <c r="A846" s="17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76"/>
      <c r="R846" s="376"/>
      <c r="S846" s="376"/>
      <c r="T846" s="376"/>
      <c r="U846" s="376"/>
      <c r="V846" s="376"/>
      <c r="W846" s="376"/>
      <c r="X846" s="376"/>
      <c r="Y846" s="376"/>
      <c r="Z846" s="376"/>
      <c r="AA846" s="376"/>
    </row>
    <row r="847" spans="1:27" ht="12.75" customHeight="1" x14ac:dyDescent="0.25">
      <c r="A847" s="17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76"/>
      <c r="R847" s="376"/>
      <c r="S847" s="376"/>
      <c r="T847" s="376"/>
      <c r="U847" s="376"/>
      <c r="V847" s="376"/>
      <c r="W847" s="376"/>
      <c r="X847" s="376"/>
      <c r="Y847" s="376"/>
      <c r="Z847" s="376"/>
      <c r="AA847" s="376"/>
    </row>
    <row r="848" spans="1:27" ht="12.75" customHeight="1" x14ac:dyDescent="0.25">
      <c r="A848" s="17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76"/>
      <c r="R848" s="376"/>
      <c r="S848" s="376"/>
      <c r="T848" s="376"/>
      <c r="U848" s="376"/>
      <c r="V848" s="376"/>
      <c r="W848" s="376"/>
      <c r="X848" s="376"/>
      <c r="Y848" s="376"/>
      <c r="Z848" s="376"/>
      <c r="AA848" s="376"/>
    </row>
    <row r="849" spans="1:27" ht="12.75" customHeight="1" x14ac:dyDescent="0.25">
      <c r="A849" s="17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76"/>
      <c r="R849" s="376"/>
      <c r="S849" s="376"/>
      <c r="T849" s="376"/>
      <c r="U849" s="376"/>
      <c r="V849" s="376"/>
      <c r="W849" s="376"/>
      <c r="X849" s="376"/>
      <c r="Y849" s="376"/>
      <c r="Z849" s="376"/>
      <c r="AA849" s="376"/>
    </row>
    <row r="850" spans="1:27" ht="12.75" customHeight="1" x14ac:dyDescent="0.25">
      <c r="A850" s="17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76"/>
      <c r="R850" s="376"/>
      <c r="S850" s="376"/>
      <c r="T850" s="376"/>
      <c r="U850" s="376"/>
      <c r="V850" s="376"/>
      <c r="W850" s="376"/>
      <c r="X850" s="376"/>
      <c r="Y850" s="376"/>
      <c r="Z850" s="376"/>
      <c r="AA850" s="376"/>
    </row>
    <row r="851" spans="1:27" ht="12.75" customHeight="1" x14ac:dyDescent="0.25">
      <c r="A851" s="17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76"/>
      <c r="R851" s="376"/>
      <c r="S851" s="376"/>
      <c r="T851" s="376"/>
      <c r="U851" s="376"/>
      <c r="V851" s="376"/>
      <c r="W851" s="376"/>
      <c r="X851" s="376"/>
      <c r="Y851" s="376"/>
      <c r="Z851" s="376"/>
      <c r="AA851" s="376"/>
    </row>
    <row r="852" spans="1:27" ht="12.75" customHeight="1" x14ac:dyDescent="0.25">
      <c r="A852" s="17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76"/>
      <c r="R852" s="376"/>
      <c r="S852" s="376"/>
      <c r="T852" s="376"/>
      <c r="U852" s="376"/>
      <c r="V852" s="376"/>
      <c r="W852" s="376"/>
      <c r="X852" s="376"/>
      <c r="Y852" s="376"/>
      <c r="Z852" s="376"/>
      <c r="AA852" s="376"/>
    </row>
    <row r="853" spans="1:27" ht="12.75" customHeight="1" x14ac:dyDescent="0.25">
      <c r="A853" s="17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76"/>
      <c r="R853" s="376"/>
      <c r="S853" s="376"/>
      <c r="T853" s="376"/>
      <c r="U853" s="376"/>
      <c r="V853" s="376"/>
      <c r="W853" s="376"/>
      <c r="X853" s="376"/>
      <c r="Y853" s="376"/>
      <c r="Z853" s="376"/>
      <c r="AA853" s="376"/>
    </row>
    <row r="854" spans="1:27" ht="12.75" customHeight="1" x14ac:dyDescent="0.25">
      <c r="A854" s="17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76"/>
      <c r="R854" s="376"/>
      <c r="S854" s="376"/>
      <c r="T854" s="376"/>
      <c r="U854" s="376"/>
      <c r="V854" s="376"/>
      <c r="W854" s="376"/>
      <c r="X854" s="376"/>
      <c r="Y854" s="376"/>
      <c r="Z854" s="376"/>
      <c r="AA854" s="376"/>
    </row>
    <row r="855" spans="1:27" ht="12.75" customHeight="1" x14ac:dyDescent="0.25">
      <c r="A855" s="17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76"/>
      <c r="R855" s="376"/>
      <c r="S855" s="376"/>
      <c r="T855" s="376"/>
      <c r="U855" s="376"/>
      <c r="V855" s="376"/>
      <c r="W855" s="376"/>
      <c r="X855" s="376"/>
      <c r="Y855" s="376"/>
      <c r="Z855" s="376"/>
      <c r="AA855" s="376"/>
    </row>
    <row r="856" spans="1:27" ht="12.75" customHeight="1" x14ac:dyDescent="0.25">
      <c r="A856" s="17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76"/>
      <c r="R856" s="376"/>
      <c r="S856" s="376"/>
      <c r="T856" s="376"/>
      <c r="U856" s="376"/>
      <c r="V856" s="376"/>
      <c r="W856" s="376"/>
      <c r="X856" s="376"/>
      <c r="Y856" s="376"/>
      <c r="Z856" s="376"/>
      <c r="AA856" s="376"/>
    </row>
    <row r="857" spans="1:27" ht="12.75" customHeight="1" x14ac:dyDescent="0.25">
      <c r="A857" s="17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76"/>
      <c r="R857" s="376"/>
      <c r="S857" s="376"/>
      <c r="T857" s="376"/>
      <c r="U857" s="376"/>
      <c r="V857" s="376"/>
      <c r="W857" s="376"/>
      <c r="X857" s="376"/>
      <c r="Y857" s="376"/>
      <c r="Z857" s="376"/>
      <c r="AA857" s="376"/>
    </row>
    <row r="858" spans="1:27" ht="12.75" customHeight="1" x14ac:dyDescent="0.25">
      <c r="A858" s="17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76"/>
      <c r="R858" s="376"/>
      <c r="S858" s="376"/>
      <c r="T858" s="376"/>
      <c r="U858" s="376"/>
      <c r="V858" s="376"/>
      <c r="W858" s="376"/>
      <c r="X858" s="376"/>
      <c r="Y858" s="376"/>
      <c r="Z858" s="376"/>
      <c r="AA858" s="376"/>
    </row>
    <row r="859" spans="1:27" ht="12.75" customHeight="1" x14ac:dyDescent="0.25">
      <c r="A859" s="17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76"/>
      <c r="R859" s="376"/>
      <c r="S859" s="376"/>
      <c r="T859" s="376"/>
      <c r="U859" s="376"/>
      <c r="V859" s="376"/>
      <c r="W859" s="376"/>
      <c r="X859" s="376"/>
      <c r="Y859" s="376"/>
      <c r="Z859" s="376"/>
      <c r="AA859" s="376"/>
    </row>
    <row r="860" spans="1:27" ht="12.75" customHeight="1" x14ac:dyDescent="0.25">
      <c r="A860" s="17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76"/>
      <c r="R860" s="376"/>
      <c r="S860" s="376"/>
      <c r="T860" s="376"/>
      <c r="U860" s="376"/>
      <c r="V860" s="376"/>
      <c r="W860" s="376"/>
      <c r="X860" s="376"/>
      <c r="Y860" s="376"/>
      <c r="Z860" s="376"/>
      <c r="AA860" s="376"/>
    </row>
    <row r="861" spans="1:27" ht="12.75" customHeight="1" x14ac:dyDescent="0.25">
      <c r="A861" s="17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76"/>
      <c r="R861" s="376"/>
      <c r="S861" s="376"/>
      <c r="T861" s="376"/>
      <c r="U861" s="376"/>
      <c r="V861" s="376"/>
      <c r="W861" s="376"/>
      <c r="X861" s="376"/>
      <c r="Y861" s="376"/>
      <c r="Z861" s="376"/>
      <c r="AA861" s="376"/>
    </row>
    <row r="862" spans="1:27" ht="12.75" customHeight="1" x14ac:dyDescent="0.25">
      <c r="A862" s="17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76"/>
      <c r="R862" s="376"/>
      <c r="S862" s="376"/>
      <c r="T862" s="376"/>
      <c r="U862" s="376"/>
      <c r="V862" s="376"/>
      <c r="W862" s="376"/>
      <c r="X862" s="376"/>
      <c r="Y862" s="376"/>
      <c r="Z862" s="376"/>
      <c r="AA862" s="376"/>
    </row>
    <row r="863" spans="1:27" ht="12.75" customHeight="1" x14ac:dyDescent="0.25">
      <c r="A863" s="17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76"/>
      <c r="R863" s="376"/>
      <c r="S863" s="376"/>
      <c r="T863" s="376"/>
      <c r="U863" s="376"/>
      <c r="V863" s="376"/>
      <c r="W863" s="376"/>
      <c r="X863" s="376"/>
      <c r="Y863" s="376"/>
      <c r="Z863" s="376"/>
      <c r="AA863" s="376"/>
    </row>
    <row r="864" spans="1:27" ht="12.75" customHeight="1" x14ac:dyDescent="0.25">
      <c r="A864" s="17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76"/>
      <c r="R864" s="376"/>
      <c r="S864" s="376"/>
      <c r="T864" s="376"/>
      <c r="U864" s="376"/>
      <c r="V864" s="376"/>
      <c r="W864" s="376"/>
      <c r="X864" s="376"/>
      <c r="Y864" s="376"/>
      <c r="Z864" s="376"/>
      <c r="AA864" s="376"/>
    </row>
    <row r="865" spans="1:27" ht="12.75" customHeight="1" x14ac:dyDescent="0.25">
      <c r="A865" s="17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76"/>
      <c r="R865" s="376"/>
      <c r="S865" s="376"/>
      <c r="T865" s="376"/>
      <c r="U865" s="376"/>
      <c r="V865" s="376"/>
      <c r="W865" s="376"/>
      <c r="X865" s="376"/>
      <c r="Y865" s="376"/>
      <c r="Z865" s="376"/>
      <c r="AA865" s="376"/>
    </row>
    <row r="866" spans="1:27" ht="12.75" customHeight="1" x14ac:dyDescent="0.25">
      <c r="A866" s="17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76"/>
      <c r="R866" s="376"/>
      <c r="S866" s="376"/>
      <c r="T866" s="376"/>
      <c r="U866" s="376"/>
      <c r="V866" s="376"/>
      <c r="W866" s="376"/>
      <c r="X866" s="376"/>
      <c r="Y866" s="376"/>
      <c r="Z866" s="376"/>
      <c r="AA866" s="376"/>
    </row>
    <row r="867" spans="1:27" ht="12.75" customHeight="1" x14ac:dyDescent="0.25">
      <c r="A867" s="17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76"/>
      <c r="R867" s="376"/>
      <c r="S867" s="376"/>
      <c r="T867" s="376"/>
      <c r="U867" s="376"/>
      <c r="V867" s="376"/>
      <c r="W867" s="376"/>
      <c r="X867" s="376"/>
      <c r="Y867" s="376"/>
      <c r="Z867" s="376"/>
      <c r="AA867" s="376"/>
    </row>
    <row r="868" spans="1:27" ht="12.75" customHeight="1" x14ac:dyDescent="0.25">
      <c r="A868" s="17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76"/>
      <c r="R868" s="376"/>
      <c r="S868" s="376"/>
      <c r="T868" s="376"/>
      <c r="U868" s="376"/>
      <c r="V868" s="376"/>
      <c r="W868" s="376"/>
      <c r="X868" s="376"/>
      <c r="Y868" s="376"/>
      <c r="Z868" s="376"/>
      <c r="AA868" s="376"/>
    </row>
    <row r="869" spans="1:27" ht="12.75" customHeight="1" x14ac:dyDescent="0.25">
      <c r="A869" s="17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76"/>
      <c r="R869" s="376"/>
      <c r="S869" s="376"/>
      <c r="T869" s="376"/>
      <c r="U869" s="376"/>
      <c r="V869" s="376"/>
      <c r="W869" s="376"/>
      <c r="X869" s="376"/>
      <c r="Y869" s="376"/>
      <c r="Z869" s="376"/>
      <c r="AA869" s="376"/>
    </row>
    <row r="870" spans="1:27" ht="12.75" customHeight="1" x14ac:dyDescent="0.25">
      <c r="A870" s="17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76"/>
      <c r="R870" s="376"/>
      <c r="S870" s="376"/>
      <c r="T870" s="376"/>
      <c r="U870" s="376"/>
      <c r="V870" s="376"/>
      <c r="W870" s="376"/>
      <c r="X870" s="376"/>
      <c r="Y870" s="376"/>
      <c r="Z870" s="376"/>
      <c r="AA870" s="376"/>
    </row>
    <row r="871" spans="1:27" ht="12.75" customHeight="1" x14ac:dyDescent="0.25">
      <c r="A871" s="17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76"/>
      <c r="R871" s="376"/>
      <c r="S871" s="376"/>
      <c r="T871" s="376"/>
      <c r="U871" s="376"/>
      <c r="V871" s="376"/>
      <c r="W871" s="376"/>
      <c r="X871" s="376"/>
      <c r="Y871" s="376"/>
      <c r="Z871" s="376"/>
      <c r="AA871" s="376"/>
    </row>
    <row r="872" spans="1:27" ht="12.75" customHeight="1" x14ac:dyDescent="0.25">
      <c r="A872" s="17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76"/>
      <c r="R872" s="376"/>
      <c r="S872" s="376"/>
      <c r="T872" s="376"/>
      <c r="U872" s="376"/>
      <c r="V872" s="376"/>
      <c r="W872" s="376"/>
      <c r="X872" s="376"/>
      <c r="Y872" s="376"/>
      <c r="Z872" s="376"/>
      <c r="AA872" s="376"/>
    </row>
    <row r="873" spans="1:27" ht="12.75" customHeight="1" x14ac:dyDescent="0.25">
      <c r="A873" s="17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76"/>
      <c r="R873" s="376"/>
      <c r="S873" s="376"/>
      <c r="T873" s="376"/>
      <c r="U873" s="376"/>
      <c r="V873" s="376"/>
      <c r="W873" s="376"/>
      <c r="X873" s="376"/>
      <c r="Y873" s="376"/>
      <c r="Z873" s="376"/>
      <c r="AA873" s="376"/>
    </row>
    <row r="874" spans="1:27" ht="12.75" customHeight="1" x14ac:dyDescent="0.25">
      <c r="A874" s="17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76"/>
      <c r="R874" s="376"/>
      <c r="S874" s="376"/>
      <c r="T874" s="376"/>
      <c r="U874" s="376"/>
      <c r="V874" s="376"/>
      <c r="W874" s="376"/>
      <c r="X874" s="376"/>
      <c r="Y874" s="376"/>
      <c r="Z874" s="376"/>
      <c r="AA874" s="376"/>
    </row>
    <row r="875" spans="1:27" ht="12.75" customHeight="1" x14ac:dyDescent="0.25">
      <c r="A875" s="17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76"/>
      <c r="R875" s="376"/>
      <c r="S875" s="376"/>
      <c r="T875" s="376"/>
      <c r="U875" s="376"/>
      <c r="V875" s="376"/>
      <c r="W875" s="376"/>
      <c r="X875" s="376"/>
      <c r="Y875" s="376"/>
      <c r="Z875" s="376"/>
      <c r="AA875" s="376"/>
    </row>
    <row r="876" spans="1:27" ht="12.75" customHeight="1" x14ac:dyDescent="0.25">
      <c r="A876" s="17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76"/>
      <c r="R876" s="376"/>
      <c r="S876" s="376"/>
      <c r="T876" s="376"/>
      <c r="U876" s="376"/>
      <c r="V876" s="376"/>
      <c r="W876" s="376"/>
      <c r="X876" s="376"/>
      <c r="Y876" s="376"/>
      <c r="Z876" s="376"/>
      <c r="AA876" s="376"/>
    </row>
    <row r="877" spans="1:27" ht="12.75" customHeight="1" x14ac:dyDescent="0.25">
      <c r="A877" s="17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76"/>
      <c r="R877" s="376"/>
      <c r="S877" s="376"/>
      <c r="T877" s="376"/>
      <c r="U877" s="376"/>
      <c r="V877" s="376"/>
      <c r="W877" s="376"/>
      <c r="X877" s="376"/>
      <c r="Y877" s="376"/>
      <c r="Z877" s="376"/>
      <c r="AA877" s="376"/>
    </row>
    <row r="878" spans="1:27" ht="12.75" customHeight="1" x14ac:dyDescent="0.25">
      <c r="A878" s="17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76"/>
      <c r="R878" s="376"/>
      <c r="S878" s="376"/>
      <c r="T878" s="376"/>
      <c r="U878" s="376"/>
      <c r="V878" s="376"/>
      <c r="W878" s="376"/>
      <c r="X878" s="376"/>
      <c r="Y878" s="376"/>
      <c r="Z878" s="376"/>
      <c r="AA878" s="376"/>
    </row>
    <row r="879" spans="1:27" ht="12.75" customHeight="1" x14ac:dyDescent="0.25">
      <c r="A879" s="17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76"/>
      <c r="R879" s="376"/>
      <c r="S879" s="376"/>
      <c r="T879" s="376"/>
      <c r="U879" s="376"/>
      <c r="V879" s="376"/>
      <c r="W879" s="376"/>
      <c r="X879" s="376"/>
      <c r="Y879" s="376"/>
      <c r="Z879" s="376"/>
      <c r="AA879" s="376"/>
    </row>
    <row r="880" spans="1:27" ht="12.75" customHeight="1" x14ac:dyDescent="0.25">
      <c r="A880" s="17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76"/>
      <c r="R880" s="376"/>
      <c r="S880" s="376"/>
      <c r="T880" s="376"/>
      <c r="U880" s="376"/>
      <c r="V880" s="376"/>
      <c r="W880" s="376"/>
      <c r="X880" s="376"/>
      <c r="Y880" s="376"/>
      <c r="Z880" s="376"/>
      <c r="AA880" s="376"/>
    </row>
    <row r="881" spans="1:27" ht="12.75" customHeight="1" x14ac:dyDescent="0.25">
      <c r="A881" s="17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76"/>
      <c r="R881" s="376"/>
      <c r="S881" s="376"/>
      <c r="T881" s="376"/>
      <c r="U881" s="376"/>
      <c r="V881" s="376"/>
      <c r="W881" s="376"/>
      <c r="X881" s="376"/>
      <c r="Y881" s="376"/>
      <c r="Z881" s="376"/>
      <c r="AA881" s="376"/>
    </row>
    <row r="882" spans="1:27" ht="12.75" customHeight="1" x14ac:dyDescent="0.25">
      <c r="A882" s="17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  <c r="AA882" s="376"/>
    </row>
    <row r="883" spans="1:27" ht="12.75" customHeight="1" x14ac:dyDescent="0.25">
      <c r="A883" s="17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76"/>
      <c r="R883" s="376"/>
      <c r="S883" s="376"/>
      <c r="T883" s="376"/>
      <c r="U883" s="376"/>
      <c r="V883" s="376"/>
      <c r="W883" s="376"/>
      <c r="X883" s="376"/>
      <c r="Y883" s="376"/>
      <c r="Z883" s="376"/>
      <c r="AA883" s="376"/>
    </row>
    <row r="884" spans="1:27" ht="12.75" customHeight="1" x14ac:dyDescent="0.25">
      <c r="A884" s="17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76"/>
      <c r="R884" s="376"/>
      <c r="S884" s="376"/>
      <c r="T884" s="376"/>
      <c r="U884" s="376"/>
      <c r="V884" s="376"/>
      <c r="W884" s="376"/>
      <c r="X884" s="376"/>
      <c r="Y884" s="376"/>
      <c r="Z884" s="376"/>
      <c r="AA884" s="376"/>
    </row>
    <row r="885" spans="1:27" ht="12.75" customHeight="1" x14ac:dyDescent="0.25">
      <c r="A885" s="17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76"/>
      <c r="R885" s="376"/>
      <c r="S885" s="376"/>
      <c r="T885" s="376"/>
      <c r="U885" s="376"/>
      <c r="V885" s="376"/>
      <c r="W885" s="376"/>
      <c r="X885" s="376"/>
      <c r="Y885" s="376"/>
      <c r="Z885" s="376"/>
      <c r="AA885" s="376"/>
    </row>
    <row r="886" spans="1:27" ht="12.75" customHeight="1" x14ac:dyDescent="0.25">
      <c r="A886" s="17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76"/>
      <c r="R886" s="376"/>
      <c r="S886" s="376"/>
      <c r="T886" s="376"/>
      <c r="U886" s="376"/>
      <c r="V886" s="376"/>
      <c r="W886" s="376"/>
      <c r="X886" s="376"/>
      <c r="Y886" s="376"/>
      <c r="Z886" s="376"/>
      <c r="AA886" s="376"/>
    </row>
    <row r="887" spans="1:27" ht="12.75" customHeight="1" x14ac:dyDescent="0.25">
      <c r="A887" s="17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76"/>
      <c r="R887" s="376"/>
      <c r="S887" s="376"/>
      <c r="T887" s="376"/>
      <c r="U887" s="376"/>
      <c r="V887" s="376"/>
      <c r="W887" s="376"/>
      <c r="X887" s="376"/>
      <c r="Y887" s="376"/>
      <c r="Z887" s="376"/>
      <c r="AA887" s="376"/>
    </row>
    <row r="888" spans="1:27" ht="12.75" customHeight="1" x14ac:dyDescent="0.25">
      <c r="A888" s="17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76"/>
      <c r="R888" s="376"/>
      <c r="S888" s="376"/>
      <c r="T888" s="376"/>
      <c r="U888" s="376"/>
      <c r="V888" s="376"/>
      <c r="W888" s="376"/>
      <c r="X888" s="376"/>
      <c r="Y888" s="376"/>
      <c r="Z888" s="376"/>
      <c r="AA888" s="376"/>
    </row>
    <row r="889" spans="1:27" ht="12.75" customHeight="1" x14ac:dyDescent="0.25">
      <c r="A889" s="17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76"/>
      <c r="R889" s="376"/>
      <c r="S889" s="376"/>
      <c r="T889" s="376"/>
      <c r="U889" s="376"/>
      <c r="V889" s="376"/>
      <c r="W889" s="376"/>
      <c r="X889" s="376"/>
      <c r="Y889" s="376"/>
      <c r="Z889" s="376"/>
      <c r="AA889" s="376"/>
    </row>
    <row r="890" spans="1:27" ht="12.75" customHeight="1" x14ac:dyDescent="0.25">
      <c r="A890" s="17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76"/>
      <c r="R890" s="376"/>
      <c r="S890" s="376"/>
      <c r="T890" s="376"/>
      <c r="U890" s="376"/>
      <c r="V890" s="376"/>
      <c r="W890" s="376"/>
      <c r="X890" s="376"/>
      <c r="Y890" s="376"/>
      <c r="Z890" s="376"/>
      <c r="AA890" s="376"/>
    </row>
    <row r="891" spans="1:27" ht="12.75" customHeight="1" x14ac:dyDescent="0.25">
      <c r="A891" s="17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76"/>
      <c r="R891" s="376"/>
      <c r="S891" s="376"/>
      <c r="T891" s="376"/>
      <c r="U891" s="376"/>
      <c r="V891" s="376"/>
      <c r="W891" s="376"/>
      <c r="X891" s="376"/>
      <c r="Y891" s="376"/>
      <c r="Z891" s="376"/>
      <c r="AA891" s="376"/>
    </row>
    <row r="892" spans="1:27" ht="12.75" customHeight="1" x14ac:dyDescent="0.25">
      <c r="A892" s="17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76"/>
      <c r="R892" s="376"/>
      <c r="S892" s="376"/>
      <c r="T892" s="376"/>
      <c r="U892" s="376"/>
      <c r="V892" s="376"/>
      <c r="W892" s="376"/>
      <c r="X892" s="376"/>
      <c r="Y892" s="376"/>
      <c r="Z892" s="376"/>
      <c r="AA892" s="376"/>
    </row>
    <row r="893" spans="1:27" ht="12.75" customHeight="1" x14ac:dyDescent="0.25">
      <c r="A893" s="17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76"/>
      <c r="R893" s="376"/>
      <c r="S893" s="376"/>
      <c r="T893" s="376"/>
      <c r="U893" s="376"/>
      <c r="V893" s="376"/>
      <c r="W893" s="376"/>
      <c r="X893" s="376"/>
      <c r="Y893" s="376"/>
      <c r="Z893" s="376"/>
      <c r="AA893" s="376"/>
    </row>
    <row r="894" spans="1:27" ht="12.75" customHeight="1" x14ac:dyDescent="0.25">
      <c r="A894" s="17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76"/>
      <c r="R894" s="376"/>
      <c r="S894" s="376"/>
      <c r="T894" s="376"/>
      <c r="U894" s="376"/>
      <c r="V894" s="376"/>
      <c r="W894" s="376"/>
      <c r="X894" s="376"/>
      <c r="Y894" s="376"/>
      <c r="Z894" s="376"/>
      <c r="AA894" s="376"/>
    </row>
    <row r="895" spans="1:27" ht="12.75" customHeight="1" x14ac:dyDescent="0.25">
      <c r="A895" s="17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76"/>
      <c r="R895" s="376"/>
      <c r="S895" s="376"/>
      <c r="T895" s="376"/>
      <c r="U895" s="376"/>
      <c r="V895" s="376"/>
      <c r="W895" s="376"/>
      <c r="X895" s="376"/>
      <c r="Y895" s="376"/>
      <c r="Z895" s="376"/>
      <c r="AA895" s="376"/>
    </row>
    <row r="896" spans="1:27" ht="12.75" customHeight="1" x14ac:dyDescent="0.25">
      <c r="A896" s="17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76"/>
      <c r="R896" s="376"/>
      <c r="S896" s="376"/>
      <c r="T896" s="376"/>
      <c r="U896" s="376"/>
      <c r="V896" s="376"/>
      <c r="W896" s="376"/>
      <c r="X896" s="376"/>
      <c r="Y896" s="376"/>
      <c r="Z896" s="376"/>
      <c r="AA896" s="376"/>
    </row>
    <row r="897" spans="1:27" ht="12.75" customHeight="1" x14ac:dyDescent="0.25">
      <c r="A897" s="17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76"/>
      <c r="R897" s="376"/>
      <c r="S897" s="376"/>
      <c r="T897" s="376"/>
      <c r="U897" s="376"/>
      <c r="V897" s="376"/>
      <c r="W897" s="376"/>
      <c r="X897" s="376"/>
      <c r="Y897" s="376"/>
      <c r="Z897" s="376"/>
      <c r="AA897" s="376"/>
    </row>
    <row r="898" spans="1:27" ht="12.75" customHeight="1" x14ac:dyDescent="0.25">
      <c r="A898" s="17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76"/>
      <c r="R898" s="376"/>
      <c r="S898" s="376"/>
      <c r="T898" s="376"/>
      <c r="U898" s="376"/>
      <c r="V898" s="376"/>
      <c r="W898" s="376"/>
      <c r="X898" s="376"/>
      <c r="Y898" s="376"/>
      <c r="Z898" s="376"/>
      <c r="AA898" s="376"/>
    </row>
    <row r="899" spans="1:27" ht="12.75" customHeight="1" x14ac:dyDescent="0.25">
      <c r="A899" s="17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76"/>
      <c r="R899" s="376"/>
      <c r="S899" s="376"/>
      <c r="T899" s="376"/>
      <c r="U899" s="376"/>
      <c r="V899" s="376"/>
      <c r="W899" s="376"/>
      <c r="X899" s="376"/>
      <c r="Y899" s="376"/>
      <c r="Z899" s="376"/>
      <c r="AA899" s="376"/>
    </row>
    <row r="900" spans="1:27" ht="12.75" customHeight="1" x14ac:dyDescent="0.25">
      <c r="A900" s="17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76"/>
      <c r="R900" s="376"/>
      <c r="S900" s="376"/>
      <c r="T900" s="376"/>
      <c r="U900" s="376"/>
      <c r="V900" s="376"/>
      <c r="W900" s="376"/>
      <c r="X900" s="376"/>
      <c r="Y900" s="376"/>
      <c r="Z900" s="376"/>
      <c r="AA900" s="376"/>
    </row>
    <row r="901" spans="1:27" ht="12.75" customHeight="1" x14ac:dyDescent="0.25">
      <c r="A901" s="17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76"/>
      <c r="R901" s="376"/>
      <c r="S901" s="376"/>
      <c r="T901" s="376"/>
      <c r="U901" s="376"/>
      <c r="V901" s="376"/>
      <c r="W901" s="376"/>
      <c r="X901" s="376"/>
      <c r="Y901" s="376"/>
      <c r="Z901" s="376"/>
      <c r="AA901" s="376"/>
    </row>
    <row r="902" spans="1:27" ht="12.75" customHeight="1" x14ac:dyDescent="0.25">
      <c r="A902" s="17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76"/>
      <c r="R902" s="376"/>
      <c r="S902" s="376"/>
      <c r="T902" s="376"/>
      <c r="U902" s="376"/>
      <c r="V902" s="376"/>
      <c r="W902" s="376"/>
      <c r="X902" s="376"/>
      <c r="Y902" s="376"/>
      <c r="Z902" s="376"/>
      <c r="AA902" s="376"/>
    </row>
    <row r="903" spans="1:27" ht="12.75" customHeight="1" x14ac:dyDescent="0.25">
      <c r="A903" s="17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76"/>
      <c r="R903" s="376"/>
      <c r="S903" s="376"/>
      <c r="T903" s="376"/>
      <c r="U903" s="376"/>
      <c r="V903" s="376"/>
      <c r="W903" s="376"/>
      <c r="X903" s="376"/>
      <c r="Y903" s="376"/>
      <c r="Z903" s="376"/>
      <c r="AA903" s="376"/>
    </row>
    <row r="904" spans="1:27" ht="12.75" customHeight="1" x14ac:dyDescent="0.25">
      <c r="A904" s="17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76"/>
      <c r="R904" s="376"/>
      <c r="S904" s="376"/>
      <c r="T904" s="376"/>
      <c r="U904" s="376"/>
      <c r="V904" s="376"/>
      <c r="W904" s="376"/>
      <c r="X904" s="376"/>
      <c r="Y904" s="376"/>
      <c r="Z904" s="376"/>
      <c r="AA904" s="376"/>
    </row>
    <row r="905" spans="1:27" ht="12.75" customHeight="1" x14ac:dyDescent="0.25">
      <c r="A905" s="17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76"/>
      <c r="R905" s="376"/>
      <c r="S905" s="376"/>
      <c r="T905" s="376"/>
      <c r="U905" s="376"/>
      <c r="V905" s="376"/>
      <c r="W905" s="376"/>
      <c r="X905" s="376"/>
      <c r="Y905" s="376"/>
      <c r="Z905" s="376"/>
      <c r="AA905" s="376"/>
    </row>
    <row r="906" spans="1:27" ht="12.75" customHeight="1" x14ac:dyDescent="0.25">
      <c r="A906" s="17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76"/>
      <c r="R906" s="376"/>
      <c r="S906" s="376"/>
      <c r="T906" s="376"/>
      <c r="U906" s="376"/>
      <c r="V906" s="376"/>
      <c r="W906" s="376"/>
      <c r="X906" s="376"/>
      <c r="Y906" s="376"/>
      <c r="Z906" s="376"/>
      <c r="AA906" s="376"/>
    </row>
    <row r="907" spans="1:27" ht="12.75" customHeight="1" x14ac:dyDescent="0.25">
      <c r="A907" s="17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76"/>
      <c r="R907" s="376"/>
      <c r="S907" s="376"/>
      <c r="T907" s="376"/>
      <c r="U907" s="376"/>
      <c r="V907" s="376"/>
      <c r="W907" s="376"/>
      <c r="X907" s="376"/>
      <c r="Y907" s="376"/>
      <c r="Z907" s="376"/>
      <c r="AA907" s="376"/>
    </row>
    <row r="908" spans="1:27" ht="12.75" customHeight="1" x14ac:dyDescent="0.25">
      <c r="A908" s="17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76"/>
      <c r="R908" s="376"/>
      <c r="S908" s="376"/>
      <c r="T908" s="376"/>
      <c r="U908" s="376"/>
      <c r="V908" s="376"/>
      <c r="W908" s="376"/>
      <c r="X908" s="376"/>
      <c r="Y908" s="376"/>
      <c r="Z908" s="376"/>
      <c r="AA908" s="376"/>
    </row>
    <row r="909" spans="1:27" ht="12.75" customHeight="1" x14ac:dyDescent="0.25">
      <c r="A909" s="17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76"/>
      <c r="R909" s="376"/>
      <c r="S909" s="376"/>
      <c r="T909" s="376"/>
      <c r="U909" s="376"/>
      <c r="V909" s="376"/>
      <c r="W909" s="376"/>
      <c r="X909" s="376"/>
      <c r="Y909" s="376"/>
      <c r="Z909" s="376"/>
      <c r="AA909" s="376"/>
    </row>
    <row r="910" spans="1:27" ht="12.75" customHeight="1" x14ac:dyDescent="0.25">
      <c r="A910" s="17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76"/>
      <c r="R910" s="376"/>
      <c r="S910" s="376"/>
      <c r="T910" s="376"/>
      <c r="U910" s="376"/>
      <c r="V910" s="376"/>
      <c r="W910" s="376"/>
      <c r="X910" s="376"/>
      <c r="Y910" s="376"/>
      <c r="Z910" s="376"/>
      <c r="AA910" s="376"/>
    </row>
    <row r="911" spans="1:27" ht="12.75" customHeight="1" x14ac:dyDescent="0.25">
      <c r="A911" s="17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76"/>
      <c r="R911" s="376"/>
      <c r="S911" s="376"/>
      <c r="T911" s="376"/>
      <c r="U911" s="376"/>
      <c r="V911" s="376"/>
      <c r="W911" s="376"/>
      <c r="X911" s="376"/>
      <c r="Y911" s="376"/>
      <c r="Z911" s="376"/>
      <c r="AA911" s="376"/>
    </row>
    <row r="912" spans="1:27" ht="12.75" customHeight="1" x14ac:dyDescent="0.25">
      <c r="A912" s="17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76"/>
      <c r="R912" s="376"/>
      <c r="S912" s="376"/>
      <c r="T912" s="376"/>
      <c r="U912" s="376"/>
      <c r="V912" s="376"/>
      <c r="W912" s="376"/>
      <c r="X912" s="376"/>
      <c r="Y912" s="376"/>
      <c r="Z912" s="376"/>
      <c r="AA912" s="376"/>
    </row>
    <row r="913" spans="1:27" ht="12.75" customHeight="1" x14ac:dyDescent="0.25">
      <c r="A913" s="17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76"/>
      <c r="R913" s="376"/>
      <c r="S913" s="376"/>
      <c r="T913" s="376"/>
      <c r="U913" s="376"/>
      <c r="V913" s="376"/>
      <c r="W913" s="376"/>
      <c r="X913" s="376"/>
      <c r="Y913" s="376"/>
      <c r="Z913" s="376"/>
      <c r="AA913" s="376"/>
    </row>
    <row r="914" spans="1:27" ht="12.75" customHeight="1" x14ac:dyDescent="0.25">
      <c r="A914" s="17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76"/>
      <c r="R914" s="376"/>
      <c r="S914" s="376"/>
      <c r="T914" s="376"/>
      <c r="U914" s="376"/>
      <c r="V914" s="376"/>
      <c r="W914" s="376"/>
      <c r="X914" s="376"/>
      <c r="Y914" s="376"/>
      <c r="Z914" s="376"/>
      <c r="AA914" s="376"/>
    </row>
    <row r="915" spans="1:27" ht="12.75" customHeight="1" x14ac:dyDescent="0.25">
      <c r="A915" s="17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76"/>
      <c r="R915" s="376"/>
      <c r="S915" s="376"/>
      <c r="T915" s="376"/>
      <c r="U915" s="376"/>
      <c r="V915" s="376"/>
      <c r="W915" s="376"/>
      <c r="X915" s="376"/>
      <c r="Y915" s="376"/>
      <c r="Z915" s="376"/>
      <c r="AA915" s="376"/>
    </row>
    <row r="916" spans="1:27" ht="12.75" customHeight="1" x14ac:dyDescent="0.25">
      <c r="A916" s="17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76"/>
      <c r="R916" s="376"/>
      <c r="S916" s="376"/>
      <c r="T916" s="376"/>
      <c r="U916" s="376"/>
      <c r="V916" s="376"/>
      <c r="W916" s="376"/>
      <c r="X916" s="376"/>
      <c r="Y916" s="376"/>
      <c r="Z916" s="376"/>
      <c r="AA916" s="376"/>
    </row>
    <row r="917" spans="1:27" ht="12.75" customHeight="1" x14ac:dyDescent="0.25">
      <c r="A917" s="17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76"/>
      <c r="R917" s="376"/>
      <c r="S917" s="376"/>
      <c r="T917" s="376"/>
      <c r="U917" s="376"/>
      <c r="V917" s="376"/>
      <c r="W917" s="376"/>
      <c r="X917" s="376"/>
      <c r="Y917" s="376"/>
      <c r="Z917" s="376"/>
      <c r="AA917" s="376"/>
    </row>
    <row r="918" spans="1:27" ht="12.75" customHeight="1" x14ac:dyDescent="0.25">
      <c r="A918" s="17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76"/>
      <c r="R918" s="376"/>
      <c r="S918" s="376"/>
      <c r="T918" s="376"/>
      <c r="U918" s="376"/>
      <c r="V918" s="376"/>
      <c r="W918" s="376"/>
      <c r="X918" s="376"/>
      <c r="Y918" s="376"/>
      <c r="Z918" s="376"/>
      <c r="AA918" s="376"/>
    </row>
    <row r="919" spans="1:27" ht="12.75" customHeight="1" x14ac:dyDescent="0.25">
      <c r="A919" s="17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76"/>
      <c r="R919" s="376"/>
      <c r="S919" s="376"/>
      <c r="T919" s="376"/>
      <c r="U919" s="376"/>
      <c r="V919" s="376"/>
      <c r="W919" s="376"/>
      <c r="X919" s="376"/>
      <c r="Y919" s="376"/>
      <c r="Z919" s="376"/>
      <c r="AA919" s="376"/>
    </row>
    <row r="920" spans="1:27" ht="12.75" customHeight="1" x14ac:dyDescent="0.25">
      <c r="A920" s="17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76"/>
      <c r="R920" s="376"/>
      <c r="S920" s="376"/>
      <c r="T920" s="376"/>
      <c r="U920" s="376"/>
      <c r="V920" s="376"/>
      <c r="W920" s="376"/>
      <c r="X920" s="376"/>
      <c r="Y920" s="376"/>
      <c r="Z920" s="376"/>
      <c r="AA920" s="376"/>
    </row>
    <row r="921" spans="1:27" ht="12.75" customHeight="1" x14ac:dyDescent="0.25">
      <c r="A921" s="17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76"/>
      <c r="R921" s="376"/>
      <c r="S921" s="376"/>
      <c r="T921" s="376"/>
      <c r="U921" s="376"/>
      <c r="V921" s="376"/>
      <c r="W921" s="376"/>
      <c r="X921" s="376"/>
      <c r="Y921" s="376"/>
      <c r="Z921" s="376"/>
      <c r="AA921" s="376"/>
    </row>
    <row r="922" spans="1:27" ht="12.75" customHeight="1" x14ac:dyDescent="0.25">
      <c r="A922" s="17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76"/>
      <c r="R922" s="376"/>
      <c r="S922" s="376"/>
      <c r="T922" s="376"/>
      <c r="U922" s="376"/>
      <c r="V922" s="376"/>
      <c r="W922" s="376"/>
      <c r="X922" s="376"/>
      <c r="Y922" s="376"/>
      <c r="Z922" s="376"/>
      <c r="AA922" s="376"/>
    </row>
    <row r="923" spans="1:27" ht="12.75" customHeight="1" x14ac:dyDescent="0.25">
      <c r="A923" s="17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76"/>
      <c r="R923" s="376"/>
      <c r="S923" s="376"/>
      <c r="T923" s="376"/>
      <c r="U923" s="376"/>
      <c r="V923" s="376"/>
      <c r="W923" s="376"/>
      <c r="X923" s="376"/>
      <c r="Y923" s="376"/>
      <c r="Z923" s="376"/>
      <c r="AA923" s="376"/>
    </row>
    <row r="924" spans="1:27" ht="12.75" customHeight="1" x14ac:dyDescent="0.25">
      <c r="A924" s="17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76"/>
      <c r="R924" s="376"/>
      <c r="S924" s="376"/>
      <c r="T924" s="376"/>
      <c r="U924" s="376"/>
      <c r="V924" s="376"/>
      <c r="W924" s="376"/>
      <c r="X924" s="376"/>
      <c r="Y924" s="376"/>
      <c r="Z924" s="376"/>
      <c r="AA924" s="376"/>
    </row>
    <row r="925" spans="1:27" ht="12.75" customHeight="1" x14ac:dyDescent="0.25">
      <c r="A925" s="17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76"/>
      <c r="R925" s="376"/>
      <c r="S925" s="376"/>
      <c r="T925" s="376"/>
      <c r="U925" s="376"/>
      <c r="V925" s="376"/>
      <c r="W925" s="376"/>
      <c r="X925" s="376"/>
      <c r="Y925" s="376"/>
      <c r="Z925" s="376"/>
      <c r="AA925" s="376"/>
    </row>
    <row r="926" spans="1:27" ht="12.75" customHeight="1" x14ac:dyDescent="0.25">
      <c r="A926" s="17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76"/>
      <c r="R926" s="376"/>
      <c r="S926" s="376"/>
      <c r="T926" s="376"/>
      <c r="U926" s="376"/>
      <c r="V926" s="376"/>
      <c r="W926" s="376"/>
      <c r="X926" s="376"/>
      <c r="Y926" s="376"/>
      <c r="Z926" s="376"/>
      <c r="AA926" s="376"/>
    </row>
    <row r="927" spans="1:27" ht="12.75" customHeight="1" x14ac:dyDescent="0.25">
      <c r="A927" s="17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76"/>
      <c r="R927" s="376"/>
      <c r="S927" s="376"/>
      <c r="T927" s="376"/>
      <c r="U927" s="376"/>
      <c r="V927" s="376"/>
      <c r="W927" s="376"/>
      <c r="X927" s="376"/>
      <c r="Y927" s="376"/>
      <c r="Z927" s="376"/>
      <c r="AA927" s="376"/>
    </row>
    <row r="928" spans="1:27" ht="12.75" customHeight="1" x14ac:dyDescent="0.25">
      <c r="A928" s="17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76"/>
      <c r="R928" s="376"/>
      <c r="S928" s="376"/>
      <c r="T928" s="376"/>
      <c r="U928" s="376"/>
      <c r="V928" s="376"/>
      <c r="W928" s="376"/>
      <c r="X928" s="376"/>
      <c r="Y928" s="376"/>
      <c r="Z928" s="376"/>
      <c r="AA928" s="376"/>
    </row>
    <row r="929" spans="1:27" ht="12.75" customHeight="1" x14ac:dyDescent="0.25">
      <c r="A929" s="17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76"/>
      <c r="R929" s="376"/>
      <c r="S929" s="376"/>
      <c r="T929" s="376"/>
      <c r="U929" s="376"/>
      <c r="V929" s="376"/>
      <c r="W929" s="376"/>
      <c r="X929" s="376"/>
      <c r="Y929" s="376"/>
      <c r="Z929" s="376"/>
      <c r="AA929" s="376"/>
    </row>
    <row r="930" spans="1:27" ht="12.75" customHeight="1" x14ac:dyDescent="0.25">
      <c r="A930" s="17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76"/>
      <c r="R930" s="376"/>
      <c r="S930" s="376"/>
      <c r="T930" s="376"/>
      <c r="U930" s="376"/>
      <c r="V930" s="376"/>
      <c r="W930" s="376"/>
      <c r="X930" s="376"/>
      <c r="Y930" s="376"/>
      <c r="Z930" s="376"/>
      <c r="AA930" s="376"/>
    </row>
    <row r="931" spans="1:27" ht="12.75" customHeight="1" x14ac:dyDescent="0.25">
      <c r="A931" s="17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76"/>
      <c r="R931" s="376"/>
      <c r="S931" s="376"/>
      <c r="T931" s="376"/>
      <c r="U931" s="376"/>
      <c r="V931" s="376"/>
      <c r="W931" s="376"/>
      <c r="X931" s="376"/>
      <c r="Y931" s="376"/>
      <c r="Z931" s="376"/>
      <c r="AA931" s="376"/>
    </row>
    <row r="932" spans="1:27" ht="12.75" customHeight="1" x14ac:dyDescent="0.25">
      <c r="A932" s="17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76"/>
      <c r="R932" s="376"/>
      <c r="S932" s="376"/>
      <c r="T932" s="376"/>
      <c r="U932" s="376"/>
      <c r="V932" s="376"/>
      <c r="W932" s="376"/>
      <c r="X932" s="376"/>
      <c r="Y932" s="376"/>
      <c r="Z932" s="376"/>
      <c r="AA932" s="376"/>
    </row>
    <row r="933" spans="1:27" ht="12.75" customHeight="1" x14ac:dyDescent="0.25">
      <c r="A933" s="17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76"/>
      <c r="R933" s="376"/>
      <c r="S933" s="376"/>
      <c r="T933" s="376"/>
      <c r="U933" s="376"/>
      <c r="V933" s="376"/>
      <c r="W933" s="376"/>
      <c r="X933" s="376"/>
      <c r="Y933" s="376"/>
      <c r="Z933" s="376"/>
      <c r="AA933" s="376"/>
    </row>
    <row r="934" spans="1:27" ht="12.75" customHeight="1" x14ac:dyDescent="0.25">
      <c r="A934" s="17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76"/>
      <c r="R934" s="376"/>
      <c r="S934" s="376"/>
      <c r="T934" s="376"/>
      <c r="U934" s="376"/>
      <c r="V934" s="376"/>
      <c r="W934" s="376"/>
      <c r="X934" s="376"/>
      <c r="Y934" s="376"/>
      <c r="Z934" s="376"/>
      <c r="AA934" s="376"/>
    </row>
    <row r="935" spans="1:27" ht="12.75" customHeight="1" x14ac:dyDescent="0.25">
      <c r="A935" s="17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76"/>
      <c r="R935" s="376"/>
      <c r="S935" s="376"/>
      <c r="T935" s="376"/>
      <c r="U935" s="376"/>
      <c r="V935" s="376"/>
      <c r="W935" s="376"/>
      <c r="X935" s="376"/>
      <c r="Y935" s="376"/>
      <c r="Z935" s="376"/>
      <c r="AA935" s="376"/>
    </row>
    <row r="936" spans="1:27" ht="12.75" customHeight="1" x14ac:dyDescent="0.25">
      <c r="A936" s="17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76"/>
      <c r="R936" s="376"/>
      <c r="S936" s="376"/>
      <c r="T936" s="376"/>
      <c r="U936" s="376"/>
      <c r="V936" s="376"/>
      <c r="W936" s="376"/>
      <c r="X936" s="376"/>
      <c r="Y936" s="376"/>
      <c r="Z936" s="376"/>
      <c r="AA936" s="376"/>
    </row>
    <row r="937" spans="1:27" ht="12.75" customHeight="1" x14ac:dyDescent="0.25">
      <c r="A937" s="17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76"/>
      <c r="R937" s="376"/>
      <c r="S937" s="376"/>
      <c r="T937" s="376"/>
      <c r="U937" s="376"/>
      <c r="V937" s="376"/>
      <c r="W937" s="376"/>
      <c r="X937" s="376"/>
      <c r="Y937" s="376"/>
      <c r="Z937" s="376"/>
      <c r="AA937" s="376"/>
    </row>
    <row r="938" spans="1:27" ht="12.75" customHeight="1" x14ac:dyDescent="0.25">
      <c r="A938" s="17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76"/>
      <c r="R938" s="376"/>
      <c r="S938" s="376"/>
      <c r="T938" s="376"/>
      <c r="U938" s="376"/>
      <c r="V938" s="376"/>
      <c r="W938" s="376"/>
      <c r="X938" s="376"/>
      <c r="Y938" s="376"/>
      <c r="Z938" s="376"/>
      <c r="AA938" s="376"/>
    </row>
    <row r="939" spans="1:27" ht="12.75" customHeight="1" x14ac:dyDescent="0.25">
      <c r="A939" s="17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76"/>
      <c r="R939" s="376"/>
      <c r="S939" s="376"/>
      <c r="T939" s="376"/>
      <c r="U939" s="376"/>
      <c r="V939" s="376"/>
      <c r="W939" s="376"/>
      <c r="X939" s="376"/>
      <c r="Y939" s="376"/>
      <c r="Z939" s="376"/>
      <c r="AA939" s="376"/>
    </row>
    <row r="940" spans="1:27" ht="12.75" customHeight="1" x14ac:dyDescent="0.25">
      <c r="A940" s="17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76"/>
      <c r="R940" s="376"/>
      <c r="S940" s="376"/>
      <c r="T940" s="376"/>
      <c r="U940" s="376"/>
      <c r="V940" s="376"/>
      <c r="W940" s="376"/>
      <c r="X940" s="376"/>
      <c r="Y940" s="376"/>
      <c r="Z940" s="376"/>
      <c r="AA940" s="376"/>
    </row>
    <row r="941" spans="1:27" ht="12.75" customHeight="1" x14ac:dyDescent="0.25">
      <c r="A941" s="17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76"/>
      <c r="R941" s="376"/>
      <c r="S941" s="376"/>
      <c r="T941" s="376"/>
      <c r="U941" s="376"/>
      <c r="V941" s="376"/>
      <c r="W941" s="376"/>
      <c r="X941" s="376"/>
      <c r="Y941" s="376"/>
      <c r="Z941" s="376"/>
      <c r="AA941" s="376"/>
    </row>
    <row r="942" spans="1:27" ht="12.75" customHeight="1" x14ac:dyDescent="0.25">
      <c r="A942" s="17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76"/>
      <c r="R942" s="376"/>
      <c r="S942" s="376"/>
      <c r="T942" s="376"/>
      <c r="U942" s="376"/>
      <c r="V942" s="376"/>
      <c r="W942" s="376"/>
      <c r="X942" s="376"/>
      <c r="Y942" s="376"/>
      <c r="Z942" s="376"/>
      <c r="AA942" s="376"/>
    </row>
    <row r="943" spans="1:27" ht="12.75" customHeight="1" x14ac:dyDescent="0.25">
      <c r="A943" s="17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76"/>
      <c r="R943" s="376"/>
      <c r="S943" s="376"/>
      <c r="T943" s="376"/>
      <c r="U943" s="376"/>
      <c r="V943" s="376"/>
      <c r="W943" s="376"/>
      <c r="X943" s="376"/>
      <c r="Y943" s="376"/>
      <c r="Z943" s="376"/>
      <c r="AA943" s="376"/>
    </row>
    <row r="944" spans="1:27" ht="12.75" customHeight="1" x14ac:dyDescent="0.25">
      <c r="A944" s="17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76"/>
      <c r="R944" s="376"/>
      <c r="S944" s="376"/>
      <c r="T944" s="376"/>
      <c r="U944" s="376"/>
      <c r="V944" s="376"/>
      <c r="W944" s="376"/>
      <c r="X944" s="376"/>
      <c r="Y944" s="376"/>
      <c r="Z944" s="376"/>
      <c r="AA944" s="376"/>
    </row>
    <row r="945" spans="1:27" ht="12.75" customHeight="1" x14ac:dyDescent="0.25">
      <c r="A945" s="17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76"/>
      <c r="R945" s="376"/>
      <c r="S945" s="376"/>
      <c r="T945" s="376"/>
      <c r="U945" s="376"/>
      <c r="V945" s="376"/>
      <c r="W945" s="376"/>
      <c r="X945" s="376"/>
      <c r="Y945" s="376"/>
      <c r="Z945" s="376"/>
      <c r="AA945" s="376"/>
    </row>
    <row r="946" spans="1:27" ht="12.75" customHeight="1" x14ac:dyDescent="0.25">
      <c r="A946" s="17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76"/>
      <c r="R946" s="376"/>
      <c r="S946" s="376"/>
      <c r="T946" s="376"/>
      <c r="U946" s="376"/>
      <c r="V946" s="376"/>
      <c r="W946" s="376"/>
      <c r="X946" s="376"/>
      <c r="Y946" s="376"/>
      <c r="Z946" s="376"/>
      <c r="AA946" s="376"/>
    </row>
    <row r="947" spans="1:27" ht="12.75" customHeight="1" x14ac:dyDescent="0.25">
      <c r="A947" s="17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76"/>
      <c r="R947" s="376"/>
      <c r="S947" s="376"/>
      <c r="T947" s="376"/>
      <c r="U947" s="376"/>
      <c r="V947" s="376"/>
      <c r="W947" s="376"/>
      <c r="X947" s="376"/>
      <c r="Y947" s="376"/>
      <c r="Z947" s="376"/>
      <c r="AA947" s="376"/>
    </row>
    <row r="948" spans="1:27" ht="12.75" customHeight="1" x14ac:dyDescent="0.25">
      <c r="A948" s="17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76"/>
      <c r="R948" s="376"/>
      <c r="S948" s="376"/>
      <c r="T948" s="376"/>
      <c r="U948" s="376"/>
      <c r="V948" s="376"/>
      <c r="W948" s="376"/>
      <c r="X948" s="376"/>
      <c r="Y948" s="376"/>
      <c r="Z948" s="376"/>
      <c r="AA948" s="376"/>
    </row>
    <row r="949" spans="1:27" ht="12.75" customHeight="1" x14ac:dyDescent="0.25">
      <c r="A949" s="17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76"/>
      <c r="R949" s="376"/>
      <c r="S949" s="376"/>
      <c r="T949" s="376"/>
      <c r="U949" s="376"/>
      <c r="V949" s="376"/>
      <c r="W949" s="376"/>
      <c r="X949" s="376"/>
      <c r="Y949" s="376"/>
      <c r="Z949" s="376"/>
      <c r="AA949" s="376"/>
    </row>
    <row r="950" spans="1:27" ht="12.75" customHeight="1" x14ac:dyDescent="0.25">
      <c r="A950" s="17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76"/>
      <c r="R950" s="376"/>
      <c r="S950" s="376"/>
      <c r="T950" s="376"/>
      <c r="U950" s="376"/>
      <c r="V950" s="376"/>
      <c r="W950" s="376"/>
      <c r="X950" s="376"/>
      <c r="Y950" s="376"/>
      <c r="Z950" s="376"/>
      <c r="AA950" s="376"/>
    </row>
    <row r="951" spans="1:27" ht="12.75" customHeight="1" x14ac:dyDescent="0.25">
      <c r="A951" s="17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76"/>
      <c r="R951" s="376"/>
      <c r="S951" s="376"/>
      <c r="T951" s="376"/>
      <c r="U951" s="376"/>
      <c r="V951" s="376"/>
      <c r="W951" s="376"/>
      <c r="X951" s="376"/>
      <c r="Y951" s="376"/>
      <c r="Z951" s="376"/>
      <c r="AA951" s="376"/>
    </row>
    <row r="952" spans="1:27" ht="12.75" customHeight="1" x14ac:dyDescent="0.25">
      <c r="A952" s="17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76"/>
      <c r="R952" s="376"/>
      <c r="S952" s="376"/>
      <c r="T952" s="376"/>
      <c r="U952" s="376"/>
      <c r="V952" s="376"/>
      <c r="W952" s="376"/>
      <c r="X952" s="376"/>
      <c r="Y952" s="376"/>
      <c r="Z952" s="376"/>
      <c r="AA952" s="376"/>
    </row>
    <row r="953" spans="1:27" ht="12.75" customHeight="1" x14ac:dyDescent="0.25">
      <c r="A953" s="17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76"/>
      <c r="R953" s="376"/>
      <c r="S953" s="376"/>
      <c r="T953" s="376"/>
      <c r="U953" s="376"/>
      <c r="V953" s="376"/>
      <c r="W953" s="376"/>
      <c r="X953" s="376"/>
      <c r="Y953" s="376"/>
      <c r="Z953" s="376"/>
      <c r="AA953" s="376"/>
    </row>
    <row r="954" spans="1:27" ht="12.75" customHeight="1" x14ac:dyDescent="0.25">
      <c r="A954" s="17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76"/>
      <c r="R954" s="376"/>
      <c r="S954" s="376"/>
      <c r="T954" s="376"/>
      <c r="U954" s="376"/>
      <c r="V954" s="376"/>
      <c r="W954" s="376"/>
      <c r="X954" s="376"/>
      <c r="Y954" s="376"/>
      <c r="Z954" s="376"/>
      <c r="AA954" s="376"/>
    </row>
    <row r="955" spans="1:27" ht="12.75" customHeight="1" x14ac:dyDescent="0.25">
      <c r="A955" s="17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76"/>
      <c r="R955" s="376"/>
      <c r="S955" s="376"/>
      <c r="T955" s="376"/>
      <c r="U955" s="376"/>
      <c r="V955" s="376"/>
      <c r="W955" s="376"/>
      <c r="X955" s="376"/>
      <c r="Y955" s="376"/>
      <c r="Z955" s="376"/>
      <c r="AA955" s="376"/>
    </row>
    <row r="956" spans="1:27" ht="12.75" customHeight="1" x14ac:dyDescent="0.25">
      <c r="A956" s="17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76"/>
      <c r="R956" s="376"/>
      <c r="S956" s="376"/>
      <c r="T956" s="376"/>
      <c r="U956" s="376"/>
      <c r="V956" s="376"/>
      <c r="W956" s="376"/>
      <c r="X956" s="376"/>
      <c r="Y956" s="376"/>
      <c r="Z956" s="376"/>
      <c r="AA956" s="376"/>
    </row>
    <row r="957" spans="1:27" ht="12.75" customHeight="1" x14ac:dyDescent="0.25">
      <c r="A957" s="17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76"/>
      <c r="R957" s="376"/>
      <c r="S957" s="376"/>
      <c r="T957" s="376"/>
      <c r="U957" s="376"/>
      <c r="V957" s="376"/>
      <c r="W957" s="376"/>
      <c r="X957" s="376"/>
      <c r="Y957" s="376"/>
      <c r="Z957" s="376"/>
      <c r="AA957" s="376"/>
    </row>
    <row r="958" spans="1:27" ht="12.75" customHeight="1" x14ac:dyDescent="0.25">
      <c r="A958" s="17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76"/>
      <c r="R958" s="376"/>
      <c r="S958" s="376"/>
      <c r="T958" s="376"/>
      <c r="U958" s="376"/>
      <c r="V958" s="376"/>
      <c r="W958" s="376"/>
      <c r="X958" s="376"/>
      <c r="Y958" s="376"/>
      <c r="Z958" s="376"/>
      <c r="AA958" s="376"/>
    </row>
    <row r="959" spans="1:27" ht="12.75" customHeight="1" x14ac:dyDescent="0.25">
      <c r="A959" s="17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76"/>
      <c r="R959" s="376"/>
      <c r="S959" s="376"/>
      <c r="T959" s="376"/>
      <c r="U959" s="376"/>
      <c r="V959" s="376"/>
      <c r="W959" s="376"/>
      <c r="X959" s="376"/>
      <c r="Y959" s="376"/>
      <c r="Z959" s="376"/>
      <c r="AA959" s="376"/>
    </row>
    <row r="960" spans="1:27" ht="12.75" customHeight="1" x14ac:dyDescent="0.25">
      <c r="A960" s="17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76"/>
      <c r="R960" s="376"/>
      <c r="S960" s="376"/>
      <c r="T960" s="376"/>
      <c r="U960" s="376"/>
      <c r="V960" s="376"/>
      <c r="W960" s="376"/>
      <c r="X960" s="376"/>
      <c r="Y960" s="376"/>
      <c r="Z960" s="376"/>
      <c r="AA960" s="376"/>
    </row>
    <row r="961" spans="1:27" ht="12.75" customHeight="1" x14ac:dyDescent="0.25">
      <c r="A961" s="17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76"/>
      <c r="R961" s="376"/>
      <c r="S961" s="376"/>
      <c r="T961" s="376"/>
      <c r="U961" s="376"/>
      <c r="V961" s="376"/>
      <c r="W961" s="376"/>
      <c r="X961" s="376"/>
      <c r="Y961" s="376"/>
      <c r="Z961" s="376"/>
      <c r="AA961" s="376"/>
    </row>
    <row r="962" spans="1:27" ht="12.75" customHeight="1" x14ac:dyDescent="0.25">
      <c r="A962" s="17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76"/>
      <c r="R962" s="376"/>
      <c r="S962" s="376"/>
      <c r="T962" s="376"/>
      <c r="U962" s="376"/>
      <c r="V962" s="376"/>
      <c r="W962" s="376"/>
      <c r="X962" s="376"/>
      <c r="Y962" s="376"/>
      <c r="Z962" s="376"/>
      <c r="AA962" s="376"/>
    </row>
    <row r="963" spans="1:27" ht="12.75" customHeight="1" x14ac:dyDescent="0.25">
      <c r="A963" s="17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76"/>
      <c r="R963" s="376"/>
      <c r="S963" s="376"/>
      <c r="T963" s="376"/>
      <c r="U963" s="376"/>
      <c r="V963" s="376"/>
      <c r="W963" s="376"/>
      <c r="X963" s="376"/>
      <c r="Y963" s="376"/>
      <c r="Z963" s="376"/>
      <c r="AA963" s="376"/>
    </row>
    <row r="964" spans="1:27" ht="12.75" customHeight="1" x14ac:dyDescent="0.25">
      <c r="A964" s="17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76"/>
      <c r="R964" s="376"/>
      <c r="S964" s="376"/>
      <c r="T964" s="376"/>
      <c r="U964" s="376"/>
      <c r="V964" s="376"/>
      <c r="W964" s="376"/>
      <c r="X964" s="376"/>
      <c r="Y964" s="376"/>
      <c r="Z964" s="376"/>
      <c r="AA964" s="376"/>
    </row>
    <row r="965" spans="1:27" ht="12.75" customHeight="1" x14ac:dyDescent="0.25">
      <c r="A965" s="17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76"/>
      <c r="R965" s="376"/>
      <c r="S965" s="376"/>
      <c r="T965" s="376"/>
      <c r="U965" s="376"/>
      <c r="V965" s="376"/>
      <c r="W965" s="376"/>
      <c r="X965" s="376"/>
      <c r="Y965" s="376"/>
      <c r="Z965" s="376"/>
      <c r="AA965" s="376"/>
    </row>
    <row r="966" spans="1:27" ht="12.75" customHeight="1" x14ac:dyDescent="0.25">
      <c r="A966" s="17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76"/>
      <c r="R966" s="376"/>
      <c r="S966" s="376"/>
      <c r="T966" s="376"/>
      <c r="U966" s="376"/>
      <c r="V966" s="376"/>
      <c r="W966" s="376"/>
      <c r="X966" s="376"/>
      <c r="Y966" s="376"/>
      <c r="Z966" s="376"/>
      <c r="AA966" s="376"/>
    </row>
    <row r="967" spans="1:27" ht="12.75" customHeight="1" x14ac:dyDescent="0.25">
      <c r="A967" s="17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76"/>
      <c r="R967" s="376"/>
      <c r="S967" s="376"/>
      <c r="T967" s="376"/>
      <c r="U967" s="376"/>
      <c r="V967" s="376"/>
      <c r="W967" s="376"/>
      <c r="X967" s="376"/>
      <c r="Y967" s="376"/>
      <c r="Z967" s="376"/>
      <c r="AA967" s="376"/>
    </row>
    <row r="968" spans="1:27" ht="12.75" customHeight="1" x14ac:dyDescent="0.25">
      <c r="A968" s="17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76"/>
      <c r="R968" s="376"/>
      <c r="S968" s="376"/>
      <c r="T968" s="376"/>
      <c r="U968" s="376"/>
      <c r="V968" s="376"/>
      <c r="W968" s="376"/>
      <c r="X968" s="376"/>
      <c r="Y968" s="376"/>
      <c r="Z968" s="376"/>
      <c r="AA968" s="376"/>
    </row>
    <row r="969" spans="1:27" ht="12.75" customHeight="1" x14ac:dyDescent="0.25">
      <c r="A969" s="17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76"/>
      <c r="R969" s="376"/>
      <c r="S969" s="376"/>
      <c r="T969" s="376"/>
      <c r="U969" s="376"/>
      <c r="V969" s="376"/>
      <c r="W969" s="376"/>
      <c r="X969" s="376"/>
      <c r="Y969" s="376"/>
      <c r="Z969" s="376"/>
      <c r="AA969" s="376"/>
    </row>
    <row r="970" spans="1:27" ht="12.75" customHeight="1" x14ac:dyDescent="0.25">
      <c r="A970" s="17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76"/>
      <c r="R970" s="376"/>
      <c r="S970" s="376"/>
      <c r="T970" s="376"/>
      <c r="U970" s="376"/>
      <c r="V970" s="376"/>
      <c r="W970" s="376"/>
      <c r="X970" s="376"/>
      <c r="Y970" s="376"/>
      <c r="Z970" s="376"/>
      <c r="AA970" s="376"/>
    </row>
    <row r="971" spans="1:27" ht="12.75" customHeight="1" x14ac:dyDescent="0.25">
      <c r="A971" s="17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76"/>
      <c r="R971" s="376"/>
      <c r="S971" s="376"/>
      <c r="T971" s="376"/>
      <c r="U971" s="376"/>
      <c r="V971" s="376"/>
      <c r="W971" s="376"/>
      <c r="X971" s="376"/>
      <c r="Y971" s="376"/>
      <c r="Z971" s="376"/>
      <c r="AA971" s="376"/>
    </row>
    <row r="972" spans="1:27" ht="12.75" customHeight="1" x14ac:dyDescent="0.25">
      <c r="A972" s="17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76"/>
      <c r="R972" s="376"/>
      <c r="S972" s="376"/>
      <c r="T972" s="376"/>
      <c r="U972" s="376"/>
      <c r="V972" s="376"/>
      <c r="W972" s="376"/>
      <c r="X972" s="376"/>
      <c r="Y972" s="376"/>
      <c r="Z972" s="376"/>
      <c r="AA972" s="376"/>
    </row>
    <row r="973" spans="1:27" ht="12.75" customHeight="1" x14ac:dyDescent="0.25">
      <c r="A973" s="17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76"/>
      <c r="R973" s="376"/>
      <c r="S973" s="376"/>
      <c r="T973" s="376"/>
      <c r="U973" s="376"/>
      <c r="V973" s="376"/>
      <c r="W973" s="376"/>
      <c r="X973" s="376"/>
      <c r="Y973" s="376"/>
      <c r="Z973" s="376"/>
      <c r="AA973" s="376"/>
    </row>
    <row r="974" spans="1:27" ht="12.75" customHeight="1" x14ac:dyDescent="0.25">
      <c r="A974" s="17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76"/>
      <c r="R974" s="376"/>
      <c r="S974" s="376"/>
      <c r="T974" s="376"/>
      <c r="U974" s="376"/>
      <c r="V974" s="376"/>
      <c r="W974" s="376"/>
      <c r="X974" s="376"/>
      <c r="Y974" s="376"/>
      <c r="Z974" s="376"/>
      <c r="AA974" s="376"/>
    </row>
    <row r="975" spans="1:27" ht="12.75" customHeight="1" x14ac:dyDescent="0.25">
      <c r="A975" s="17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76"/>
      <c r="R975" s="376"/>
      <c r="S975" s="376"/>
      <c r="T975" s="376"/>
      <c r="U975" s="376"/>
      <c r="V975" s="376"/>
      <c r="W975" s="376"/>
      <c r="X975" s="376"/>
      <c r="Y975" s="376"/>
      <c r="Z975" s="376"/>
      <c r="AA975" s="376"/>
    </row>
    <row r="976" spans="1:27" ht="12.75" customHeight="1" x14ac:dyDescent="0.25">
      <c r="A976" s="17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76"/>
      <c r="R976" s="376"/>
      <c r="S976" s="376"/>
      <c r="T976" s="376"/>
      <c r="U976" s="376"/>
      <c r="V976" s="376"/>
      <c r="W976" s="376"/>
      <c r="X976" s="376"/>
      <c r="Y976" s="376"/>
      <c r="Z976" s="376"/>
      <c r="AA976" s="376"/>
    </row>
    <row r="977" spans="1:27" ht="12.75" customHeight="1" x14ac:dyDescent="0.25">
      <c r="A977" s="17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76"/>
      <c r="R977" s="376"/>
      <c r="S977" s="376"/>
      <c r="T977" s="376"/>
      <c r="U977" s="376"/>
      <c r="V977" s="376"/>
      <c r="W977" s="376"/>
      <c r="X977" s="376"/>
      <c r="Y977" s="376"/>
      <c r="Z977" s="376"/>
      <c r="AA977" s="376"/>
    </row>
    <row r="978" spans="1:27" ht="12.75" customHeight="1" x14ac:dyDescent="0.25">
      <c r="A978" s="17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76"/>
      <c r="R978" s="376"/>
      <c r="S978" s="376"/>
      <c r="T978" s="376"/>
      <c r="U978" s="376"/>
      <c r="V978" s="376"/>
      <c r="W978" s="376"/>
      <c r="X978" s="376"/>
      <c r="Y978" s="376"/>
      <c r="Z978" s="376"/>
      <c r="AA978" s="376"/>
    </row>
    <row r="979" spans="1:27" ht="12.75" customHeight="1" x14ac:dyDescent="0.25">
      <c r="A979" s="17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76"/>
      <c r="R979" s="376"/>
      <c r="S979" s="376"/>
      <c r="T979" s="376"/>
      <c r="U979" s="376"/>
      <c r="V979" s="376"/>
      <c r="W979" s="376"/>
      <c r="X979" s="376"/>
      <c r="Y979" s="376"/>
      <c r="Z979" s="376"/>
      <c r="AA979" s="376"/>
    </row>
    <row r="980" spans="1:27" ht="12.75" customHeight="1" x14ac:dyDescent="0.25">
      <c r="A980" s="17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76"/>
      <c r="R980" s="376"/>
      <c r="S980" s="376"/>
      <c r="T980" s="376"/>
      <c r="U980" s="376"/>
      <c r="V980" s="376"/>
      <c r="W980" s="376"/>
      <c r="X980" s="376"/>
      <c r="Y980" s="376"/>
      <c r="Z980" s="376"/>
      <c r="AA980" s="376"/>
    </row>
    <row r="981" spans="1:27" ht="12.75" customHeight="1" x14ac:dyDescent="0.25">
      <c r="A981" s="17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76"/>
      <c r="R981" s="376"/>
      <c r="S981" s="376"/>
      <c r="T981" s="376"/>
      <c r="U981" s="376"/>
      <c r="V981" s="376"/>
      <c r="W981" s="376"/>
      <c r="X981" s="376"/>
      <c r="Y981" s="376"/>
      <c r="Z981" s="376"/>
      <c r="AA981" s="376"/>
    </row>
    <row r="982" spans="1:27" ht="12.75" customHeight="1" x14ac:dyDescent="0.25">
      <c r="A982" s="17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76"/>
      <c r="R982" s="376"/>
      <c r="S982" s="376"/>
      <c r="T982" s="376"/>
      <c r="U982" s="376"/>
      <c r="V982" s="376"/>
      <c r="W982" s="376"/>
      <c r="X982" s="376"/>
      <c r="Y982" s="376"/>
      <c r="Z982" s="376"/>
      <c r="AA982" s="376"/>
    </row>
    <row r="983" spans="1:27" ht="12.75" customHeight="1" x14ac:dyDescent="0.25">
      <c r="A983" s="17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76"/>
      <c r="R983" s="376"/>
      <c r="S983" s="376"/>
      <c r="T983" s="376"/>
      <c r="U983" s="376"/>
      <c r="V983" s="376"/>
      <c r="W983" s="376"/>
      <c r="X983" s="376"/>
      <c r="Y983" s="376"/>
      <c r="Z983" s="376"/>
      <c r="AA983" s="376"/>
    </row>
    <row r="984" spans="1:27" ht="12.75" customHeight="1" x14ac:dyDescent="0.25">
      <c r="A984" s="17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76"/>
      <c r="R984" s="376"/>
      <c r="S984" s="376"/>
      <c r="T984" s="376"/>
      <c r="U984" s="376"/>
      <c r="V984" s="376"/>
      <c r="W984" s="376"/>
      <c r="X984" s="376"/>
      <c r="Y984" s="376"/>
      <c r="Z984" s="376"/>
      <c r="AA984" s="376"/>
    </row>
    <row r="985" spans="1:27" ht="12.75" customHeight="1" x14ac:dyDescent="0.25">
      <c r="A985" s="17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76"/>
      <c r="R985" s="376"/>
      <c r="S985" s="376"/>
      <c r="T985" s="376"/>
      <c r="U985" s="376"/>
      <c r="V985" s="376"/>
      <c r="W985" s="376"/>
      <c r="X985" s="376"/>
      <c r="Y985" s="376"/>
      <c r="Z985" s="376"/>
      <c r="AA985" s="376"/>
    </row>
    <row r="986" spans="1:27" ht="12.75" customHeight="1" x14ac:dyDescent="0.25">
      <c r="A986" s="17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76"/>
      <c r="R986" s="376"/>
      <c r="S986" s="376"/>
      <c r="T986" s="376"/>
      <c r="U986" s="376"/>
      <c r="V986" s="376"/>
      <c r="W986" s="376"/>
      <c r="X986" s="376"/>
      <c r="Y986" s="376"/>
      <c r="Z986" s="376"/>
      <c r="AA986" s="376"/>
    </row>
    <row r="987" spans="1:27" ht="12.75" customHeight="1" x14ac:dyDescent="0.25">
      <c r="A987" s="17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76"/>
      <c r="R987" s="376"/>
      <c r="S987" s="376"/>
      <c r="T987" s="376"/>
      <c r="U987" s="376"/>
      <c r="V987" s="376"/>
      <c r="W987" s="376"/>
      <c r="X987" s="376"/>
      <c r="Y987" s="376"/>
      <c r="Z987" s="376"/>
      <c r="AA987" s="376"/>
    </row>
    <row r="988" spans="1:27" ht="12.75" customHeight="1" x14ac:dyDescent="0.25">
      <c r="A988" s="17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76"/>
      <c r="R988" s="376"/>
      <c r="S988" s="376"/>
      <c r="T988" s="376"/>
      <c r="U988" s="376"/>
      <c r="V988" s="376"/>
      <c r="W988" s="376"/>
      <c r="X988" s="376"/>
      <c r="Y988" s="376"/>
      <c r="Z988" s="376"/>
      <c r="AA988" s="376"/>
    </row>
    <row r="989" spans="1:27" ht="12.75" customHeight="1" x14ac:dyDescent="0.25">
      <c r="A989" s="17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76"/>
      <c r="R989" s="376"/>
      <c r="S989" s="376"/>
      <c r="T989" s="376"/>
      <c r="U989" s="376"/>
      <c r="V989" s="376"/>
      <c r="W989" s="376"/>
      <c r="X989" s="376"/>
      <c r="Y989" s="376"/>
      <c r="Z989" s="376"/>
      <c r="AA989" s="376"/>
    </row>
    <row r="990" spans="1:27" ht="12.75" customHeight="1" x14ac:dyDescent="0.25">
      <c r="A990" s="17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76"/>
      <c r="R990" s="376"/>
      <c r="S990" s="376"/>
      <c r="T990" s="376"/>
      <c r="U990" s="376"/>
      <c r="V990" s="376"/>
      <c r="W990" s="376"/>
      <c r="X990" s="376"/>
      <c r="Y990" s="376"/>
      <c r="Z990" s="376"/>
      <c r="AA990" s="376"/>
    </row>
    <row r="991" spans="1:27" ht="12.75" customHeight="1" x14ac:dyDescent="0.25">
      <c r="A991" s="17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76"/>
      <c r="R991" s="376"/>
      <c r="S991" s="376"/>
      <c r="T991" s="376"/>
      <c r="U991" s="376"/>
      <c r="V991" s="376"/>
      <c r="W991" s="376"/>
      <c r="X991" s="376"/>
      <c r="Y991" s="376"/>
      <c r="Z991" s="376"/>
      <c r="AA991" s="376"/>
    </row>
    <row r="992" spans="1:27" ht="12.75" customHeight="1" x14ac:dyDescent="0.25">
      <c r="A992" s="17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76"/>
      <c r="R992" s="376"/>
      <c r="S992" s="376"/>
      <c r="T992" s="376"/>
      <c r="U992" s="376"/>
      <c r="V992" s="376"/>
      <c r="W992" s="376"/>
      <c r="X992" s="376"/>
      <c r="Y992" s="376"/>
      <c r="Z992" s="376"/>
      <c r="AA992" s="376"/>
    </row>
    <row r="993" spans="1:27" ht="12.75" customHeight="1" x14ac:dyDescent="0.25">
      <c r="A993" s="17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76"/>
      <c r="R993" s="376"/>
      <c r="S993" s="376"/>
      <c r="T993" s="376"/>
      <c r="U993" s="376"/>
      <c r="V993" s="376"/>
      <c r="W993" s="376"/>
      <c r="X993" s="376"/>
      <c r="Y993" s="376"/>
      <c r="Z993" s="376"/>
      <c r="AA993" s="376"/>
    </row>
    <row r="994" spans="1:27" ht="12.75" customHeight="1" x14ac:dyDescent="0.25">
      <c r="A994" s="17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76"/>
      <c r="R994" s="376"/>
      <c r="S994" s="376"/>
      <c r="T994" s="376"/>
      <c r="U994" s="376"/>
      <c r="V994" s="376"/>
      <c r="W994" s="376"/>
      <c r="X994" s="376"/>
      <c r="Y994" s="376"/>
      <c r="Z994" s="376"/>
      <c r="AA994" s="376"/>
    </row>
    <row r="995" spans="1:27" ht="12.75" customHeight="1" x14ac:dyDescent="0.25">
      <c r="A995" s="17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76"/>
      <c r="R995" s="376"/>
      <c r="S995" s="376"/>
      <c r="T995" s="376"/>
      <c r="U995" s="376"/>
      <c r="V995" s="376"/>
      <c r="W995" s="376"/>
      <c r="X995" s="376"/>
      <c r="Y995" s="376"/>
      <c r="Z995" s="376"/>
      <c r="AA995" s="376"/>
    </row>
    <row r="996" spans="1:27" ht="12.75" customHeight="1" x14ac:dyDescent="0.25">
      <c r="A996" s="17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76"/>
      <c r="R996" s="376"/>
      <c r="S996" s="376"/>
      <c r="T996" s="376"/>
      <c r="U996" s="376"/>
      <c r="V996" s="376"/>
      <c r="W996" s="376"/>
      <c r="X996" s="376"/>
      <c r="Y996" s="376"/>
      <c r="Z996" s="376"/>
      <c r="AA996" s="376"/>
    </row>
    <row r="997" spans="1:27" ht="12.75" customHeight="1" x14ac:dyDescent="0.25">
      <c r="A997" s="17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76"/>
      <c r="R997" s="376"/>
      <c r="S997" s="376"/>
      <c r="T997" s="376"/>
      <c r="U997" s="376"/>
      <c r="V997" s="376"/>
      <c r="W997" s="376"/>
      <c r="X997" s="376"/>
      <c r="Y997" s="376"/>
      <c r="Z997" s="376"/>
      <c r="AA997" s="376"/>
    </row>
    <row r="998" spans="1:27" ht="12.75" customHeight="1" x14ac:dyDescent="0.25">
      <c r="A998" s="17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76"/>
      <c r="R998" s="376"/>
      <c r="S998" s="376"/>
      <c r="T998" s="376"/>
      <c r="U998" s="376"/>
      <c r="V998" s="376"/>
      <c r="W998" s="376"/>
      <c r="X998" s="376"/>
      <c r="Y998" s="376"/>
      <c r="Z998" s="376"/>
      <c r="AA998" s="376"/>
    </row>
    <row r="999" spans="1:27" ht="12.75" customHeight="1" x14ac:dyDescent="0.25">
      <c r="A999" s="17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76"/>
      <c r="R999" s="376"/>
      <c r="S999" s="376"/>
      <c r="T999" s="376"/>
      <c r="U999" s="376"/>
      <c r="V999" s="376"/>
      <c r="W999" s="376"/>
      <c r="X999" s="376"/>
      <c r="Y999" s="376"/>
      <c r="Z999" s="376"/>
      <c r="AA999" s="376"/>
    </row>
    <row r="1000" spans="1:27" ht="12.75" customHeight="1" x14ac:dyDescent="0.25">
      <c r="A1000" s="17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76"/>
      <c r="R1000" s="376"/>
      <c r="S1000" s="376"/>
      <c r="T1000" s="376"/>
      <c r="U1000" s="376"/>
      <c r="V1000" s="376"/>
      <c r="W1000" s="376"/>
      <c r="X1000" s="376"/>
      <c r="Y1000" s="376"/>
      <c r="Z1000" s="376"/>
      <c r="AA1000" s="376"/>
    </row>
    <row r="1001" spans="1:27" ht="12.75" customHeight="1" x14ac:dyDescent="0.25">
      <c r="A1001" s="17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76"/>
      <c r="R1001" s="376"/>
      <c r="S1001" s="376"/>
      <c r="T1001" s="376"/>
      <c r="U1001" s="376"/>
      <c r="V1001" s="376"/>
      <c r="W1001" s="376"/>
      <c r="X1001" s="376"/>
      <c r="Y1001" s="376"/>
      <c r="Z1001" s="376"/>
      <c r="AA1001" s="376"/>
    </row>
  </sheetData>
  <scenarios current="3" sqref="B185:B186">
    <scenario name="Precio + 10%" locked="1" count="1" user="Microsoft Office User" comment="Creado por Microsoft Office User el 1/04/2022_x000a_Modificado por Microsoft Office User el 1/04/2022_x000a_Modificado por Microsoft Office User el 17/04/2022_x000a_Modificado por Microsoft Office User el 11/05/2022_x000a_Modificado por Microsoft Office User el 12/05/2022_x000a_Mo">
      <inputCells r="B22" val="8322,6" numFmtId="4"/>
    </scenario>
    <scenario name="Precio + 5%" locked="1" count="1" user="Microsoft Office User" comment="Creado por Microsoft Office User el 1/04/2022_x000a_Modificado por Microsoft Office User el 1/04/2022_x000a_Modificado por Microsoft Office User el 17/04/2022_x000a_Modificado por Microsoft Office User el 11/05/2022_x000a_Modificado por Microsoft Office User el 12/05/2022_x000a_Mo">
      <inputCells r="B22" val="7944,3" numFmtId="4"/>
    </scenario>
    <scenario name="Precio - 5%" locked="1" count="1" user="Microsoft Office User" comment="Creado por Microsoft Office User el 1/04/2022_x000a_Modificado por Microsoft Office User el 1/04/2022_x000a_Modificado por Microsoft Office User el 17/04/2022_x000a_Modificado por Microsoft Office User el 11/05/2022_x000a_Modificado por Microsoft Office User el 12/05/2022_x000a_Mo">
      <inputCells r="B22" val="7187,7" numFmtId="4"/>
    </scenario>
    <scenario name="Precio - 10%" locked="1" count="1" user="Microsoft Office User" comment="Creado por Microsoft Office User el 11/05/2022_x000a_Modificado por Microsoft Office User el 11/05/2022_x000a_Modificado por Microsoft Office User el 12/05/2022_x000a_Modificado por Microsoft Office User el 1/06/2022">
      <inputCells r="B22" val="6809,4" numFmtId="4"/>
    </scenario>
  </scenarios>
  <mergeCells count="33">
    <mergeCell ref="W52:X52"/>
    <mergeCell ref="O53:X53"/>
    <mergeCell ref="A60:B60"/>
    <mergeCell ref="A64:B64"/>
    <mergeCell ref="E65:F65"/>
    <mergeCell ref="A160:F160"/>
    <mergeCell ref="A107:F107"/>
    <mergeCell ref="A108:F108"/>
    <mergeCell ref="A133:G133"/>
    <mergeCell ref="A134:G134"/>
    <mergeCell ref="A143:F143"/>
    <mergeCell ref="A144:F144"/>
    <mergeCell ref="A145:F145"/>
    <mergeCell ref="A98:C98"/>
    <mergeCell ref="E98:G98"/>
    <mergeCell ref="A106:F106"/>
    <mergeCell ref="A158:F158"/>
    <mergeCell ref="A159:F159"/>
    <mergeCell ref="A43:G43"/>
    <mergeCell ref="A53:B53"/>
    <mergeCell ref="A96:C96"/>
    <mergeCell ref="E96:G96"/>
    <mergeCell ref="A97:C97"/>
    <mergeCell ref="E97:G97"/>
    <mergeCell ref="C69:F69"/>
    <mergeCell ref="A74:F74"/>
    <mergeCell ref="A75:F75"/>
    <mergeCell ref="A76:F76"/>
    <mergeCell ref="F6:H6"/>
    <mergeCell ref="B15:E15"/>
    <mergeCell ref="A16:G16"/>
    <mergeCell ref="A27:G27"/>
    <mergeCell ref="A35:B35"/>
  </mergeCells>
  <pageMargins left="0.39370078740157483" right="0.35433070866141736" top="0.39370078740157483" bottom="0.98425196850393704" header="0" footer="0"/>
  <pageSetup paperSize="9" orientation="landscape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>
              <from>
                <xdr:col>6</xdr:col>
                <xdr:colOff>85725</xdr:colOff>
                <xdr:row>135</xdr:row>
                <xdr:rowOff>38100</xdr:rowOff>
              </from>
              <to>
                <xdr:col>6</xdr:col>
                <xdr:colOff>1495425</xdr:colOff>
                <xdr:row>138</xdr:row>
                <xdr:rowOff>38100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B1:H9"/>
  <sheetViews>
    <sheetView showGridLines="0" workbookViewId="0">
      <selection activeCell="B2" sqref="B2:H9"/>
    </sheetView>
  </sheetViews>
  <sheetFormatPr baseColWidth="10" defaultRowHeight="15" outlineLevelRow="1" outlineLevelCol="1" x14ac:dyDescent="0.25"/>
  <cols>
    <col min="3" max="3" width="14.28515625" customWidth="1"/>
    <col min="4" max="4" width="14.7109375" bestFit="1" customWidth="1" outlineLevel="1"/>
    <col min="5" max="6" width="15.140625" bestFit="1" customWidth="1" outlineLevel="1"/>
    <col min="7" max="7" width="14.7109375" bestFit="1" customWidth="1" outlineLevel="1"/>
    <col min="8" max="8" width="15.140625" bestFit="1" customWidth="1" outlineLevel="1"/>
  </cols>
  <sheetData>
    <row r="1" spans="2:8" ht="15.75" thickBot="1" x14ac:dyDescent="0.3"/>
    <row r="2" spans="2:8" ht="15.75" x14ac:dyDescent="0.25">
      <c r="B2" s="285" t="s">
        <v>175</v>
      </c>
      <c r="C2" s="285"/>
      <c r="D2" s="290"/>
      <c r="E2" s="290"/>
      <c r="F2" s="290"/>
      <c r="G2" s="290"/>
      <c r="H2" s="290"/>
    </row>
    <row r="3" spans="2:8" ht="15.75" collapsed="1" x14ac:dyDescent="0.25">
      <c r="B3" s="284"/>
      <c r="C3" s="284"/>
      <c r="D3" s="291" t="s">
        <v>176</v>
      </c>
      <c r="E3" s="291" t="s">
        <v>15</v>
      </c>
      <c r="F3" s="291" t="s">
        <v>236</v>
      </c>
      <c r="G3" s="291" t="s">
        <v>237</v>
      </c>
      <c r="H3" s="291" t="s">
        <v>234</v>
      </c>
    </row>
    <row r="4" spans="2:8" ht="67.5" hidden="1" outlineLevel="1" x14ac:dyDescent="0.25">
      <c r="B4" s="287"/>
      <c r="C4" s="287"/>
      <c r="D4" s="282"/>
      <c r="E4" s="292" t="s">
        <v>235</v>
      </c>
      <c r="F4" s="292" t="s">
        <v>233</v>
      </c>
      <c r="G4" s="292" t="s">
        <v>233</v>
      </c>
      <c r="H4" s="292" t="s">
        <v>235</v>
      </c>
    </row>
    <row r="5" spans="2:8" x14ac:dyDescent="0.25">
      <c r="B5" s="288" t="s">
        <v>177</v>
      </c>
      <c r="C5" s="288"/>
      <c r="D5" s="286"/>
      <c r="E5" s="286"/>
      <c r="F5" s="286"/>
      <c r="G5" s="286"/>
      <c r="H5" s="286"/>
    </row>
    <row r="6" spans="2:8" outlineLevel="1" x14ac:dyDescent="0.25">
      <c r="B6" s="287"/>
      <c r="C6" s="287" t="s">
        <v>11</v>
      </c>
      <c r="D6" s="331">
        <v>7566</v>
      </c>
      <c r="E6" s="332">
        <v>8322.6</v>
      </c>
      <c r="F6" s="332">
        <v>7944.3</v>
      </c>
      <c r="G6" s="332">
        <v>7187.7</v>
      </c>
      <c r="H6" s="332">
        <v>6809.4</v>
      </c>
    </row>
    <row r="7" spans="2:8" x14ac:dyDescent="0.25">
      <c r="B7" s="288" t="s">
        <v>178</v>
      </c>
      <c r="C7" s="288"/>
      <c r="D7" s="286"/>
      <c r="E7" s="286"/>
      <c r="F7" s="286"/>
      <c r="G7" s="286"/>
      <c r="H7" s="286"/>
    </row>
    <row r="8" spans="2:8" outlineLevel="1" x14ac:dyDescent="0.25">
      <c r="B8" s="287"/>
      <c r="C8" s="287" t="s">
        <v>238</v>
      </c>
      <c r="D8" s="283">
        <v>0.182742195031632</v>
      </c>
      <c r="E8" s="283">
        <v>0.51146474635920303</v>
      </c>
      <c r="F8" s="283">
        <v>0.37271763329624202</v>
      </c>
      <c r="G8" s="283">
        <v>-0.18596725896542399</v>
      </c>
      <c r="H8" s="283"/>
    </row>
    <row r="9" spans="2:8" ht="15.75" outlineLevel="1" thickBot="1" x14ac:dyDescent="0.3">
      <c r="B9" s="289"/>
      <c r="C9" s="289" t="s">
        <v>179</v>
      </c>
      <c r="D9" s="296">
        <v>272188828.78251499</v>
      </c>
      <c r="E9" s="296">
        <v>2414431261.1160202</v>
      </c>
      <c r="F9" s="296">
        <v>1343310044.94927</v>
      </c>
      <c r="G9" s="345">
        <v>-798932387.38423896</v>
      </c>
      <c r="H9" s="345">
        <v>-1870053603.5509901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B1:H9"/>
  <sheetViews>
    <sheetView showGridLines="0" workbookViewId="0">
      <selection activeCell="B2" sqref="B2:H9"/>
    </sheetView>
  </sheetViews>
  <sheetFormatPr baseColWidth="10" defaultRowHeight="15" outlineLevelRow="1" outlineLevelCol="1" x14ac:dyDescent="0.25"/>
  <cols>
    <col min="3" max="3" width="25.140625" bestFit="1" customWidth="1"/>
    <col min="4" max="8" width="15" bestFit="1" customWidth="1" outlineLevel="1"/>
  </cols>
  <sheetData>
    <row r="1" spans="2:8" ht="15.75" thickBot="1" x14ac:dyDescent="0.3"/>
    <row r="2" spans="2:8" ht="15.75" x14ac:dyDescent="0.25">
      <c r="B2" s="285" t="s">
        <v>175</v>
      </c>
      <c r="C2" s="285"/>
      <c r="D2" s="290"/>
      <c r="E2" s="290"/>
      <c r="F2" s="290"/>
      <c r="G2" s="290"/>
      <c r="H2" s="290"/>
    </row>
    <row r="3" spans="2:8" ht="15.75" collapsed="1" x14ac:dyDescent="0.25">
      <c r="B3" s="284"/>
      <c r="C3" s="284"/>
      <c r="D3" s="291" t="s">
        <v>176</v>
      </c>
      <c r="E3" s="291" t="s">
        <v>241</v>
      </c>
      <c r="F3" s="291" t="s">
        <v>240</v>
      </c>
      <c r="G3" s="291" t="s">
        <v>242</v>
      </c>
      <c r="H3" s="291" t="s">
        <v>239</v>
      </c>
    </row>
    <row r="4" spans="2:8" ht="67.5" hidden="1" outlineLevel="1" x14ac:dyDescent="0.25">
      <c r="B4" s="287"/>
      <c r="C4" s="287"/>
      <c r="D4" s="282"/>
      <c r="E4" s="292" t="s">
        <v>235</v>
      </c>
      <c r="F4" s="292" t="s">
        <v>235</v>
      </c>
      <c r="G4" s="292" t="s">
        <v>235</v>
      </c>
      <c r="H4" s="292" t="s">
        <v>235</v>
      </c>
    </row>
    <row r="5" spans="2:8" x14ac:dyDescent="0.25">
      <c r="B5" s="288" t="s">
        <v>177</v>
      </c>
      <c r="C5" s="288"/>
      <c r="D5" s="286"/>
      <c r="E5" s="286"/>
      <c r="F5" s="286"/>
      <c r="G5" s="286"/>
      <c r="H5" s="286"/>
    </row>
    <row r="6" spans="2:8" outlineLevel="1" x14ac:dyDescent="0.25">
      <c r="B6" s="287"/>
      <c r="C6" s="287" t="s">
        <v>243</v>
      </c>
      <c r="D6" s="282">
        <v>5200</v>
      </c>
      <c r="E6" s="293">
        <v>5148</v>
      </c>
      <c r="F6" s="293">
        <v>5044</v>
      </c>
      <c r="G6" s="293">
        <v>4940</v>
      </c>
      <c r="H6" s="293">
        <v>4680</v>
      </c>
    </row>
    <row r="7" spans="2:8" x14ac:dyDescent="0.25">
      <c r="B7" s="288" t="s">
        <v>178</v>
      </c>
      <c r="C7" s="288"/>
      <c r="D7" s="286"/>
      <c r="E7" s="286"/>
      <c r="F7" s="286"/>
      <c r="G7" s="286"/>
      <c r="H7" s="286"/>
    </row>
    <row r="8" spans="2:8" outlineLevel="1" x14ac:dyDescent="0.25">
      <c r="B8" s="287"/>
      <c r="C8" s="287" t="s">
        <v>238</v>
      </c>
      <c r="D8" s="283">
        <v>0.182742195031632</v>
      </c>
      <c r="E8" s="283">
        <v>0.175559851699708</v>
      </c>
      <c r="F8" s="283">
        <v>0.16081866819311399</v>
      </c>
      <c r="G8" s="283">
        <v>0.145537654999466</v>
      </c>
      <c r="H8" s="283">
        <v>0.104616771992429</v>
      </c>
    </row>
    <row r="9" spans="2:8" ht="15.75" outlineLevel="1" thickBot="1" x14ac:dyDescent="0.3">
      <c r="B9" s="289"/>
      <c r="C9" s="289" t="s">
        <v>179</v>
      </c>
      <c r="D9" s="296">
        <v>272188828.78251499</v>
      </c>
      <c r="E9" s="296">
        <v>239769735.00562501</v>
      </c>
      <c r="F9" s="296">
        <v>174931547.451846</v>
      </c>
      <c r="G9" s="296">
        <v>110093359.898067</v>
      </c>
      <c r="H9" s="345">
        <v>-52002108.986380197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B1:H13"/>
  <sheetViews>
    <sheetView showGridLines="0" workbookViewId="0">
      <selection activeCell="B2" sqref="B2:H9"/>
    </sheetView>
  </sheetViews>
  <sheetFormatPr baseColWidth="10" defaultRowHeight="15" outlineLevelRow="1" outlineLevelCol="1" x14ac:dyDescent="0.25"/>
  <cols>
    <col min="3" max="3" width="12.85546875" bestFit="1" customWidth="1"/>
    <col min="4" max="5" width="15.28515625" bestFit="1" customWidth="1" outlineLevel="1"/>
    <col min="6" max="6" width="14.7109375" bestFit="1" customWidth="1" outlineLevel="1"/>
    <col min="7" max="8" width="15.28515625" bestFit="1" customWidth="1" outlineLevel="1"/>
  </cols>
  <sheetData>
    <row r="1" spans="2:8" ht="15.75" thickBot="1" x14ac:dyDescent="0.3"/>
    <row r="2" spans="2:8" ht="15.75" x14ac:dyDescent="0.25">
      <c r="B2" s="285" t="s">
        <v>175</v>
      </c>
      <c r="C2" s="285"/>
      <c r="D2" s="290"/>
      <c r="E2" s="290"/>
      <c r="F2" s="290"/>
      <c r="G2" s="290"/>
      <c r="H2" s="290"/>
    </row>
    <row r="3" spans="2:8" ht="15.75" collapsed="1" x14ac:dyDescent="0.25">
      <c r="B3" s="284"/>
      <c r="C3" s="284"/>
      <c r="D3" s="291" t="s">
        <v>176</v>
      </c>
      <c r="E3" s="291" t="s">
        <v>247</v>
      </c>
      <c r="F3" s="291" t="s">
        <v>246</v>
      </c>
      <c r="G3" s="291" t="s">
        <v>248</v>
      </c>
      <c r="H3" s="291" t="s">
        <v>244</v>
      </c>
    </row>
    <row r="4" spans="2:8" ht="101.25" hidden="1" outlineLevel="1" x14ac:dyDescent="0.25">
      <c r="B4" s="287"/>
      <c r="C4" s="287"/>
      <c r="D4" s="282"/>
      <c r="E4" s="292" t="s">
        <v>245</v>
      </c>
      <c r="F4" s="292" t="s">
        <v>245</v>
      </c>
      <c r="G4" s="292" t="s">
        <v>245</v>
      </c>
      <c r="H4" s="292" t="s">
        <v>245</v>
      </c>
    </row>
    <row r="5" spans="2:8" x14ac:dyDescent="0.25">
      <c r="B5" s="288" t="s">
        <v>177</v>
      </c>
      <c r="C5" s="288"/>
      <c r="D5" s="286"/>
      <c r="E5" s="286"/>
      <c r="F5" s="286"/>
      <c r="G5" s="286"/>
      <c r="H5" s="286"/>
    </row>
    <row r="6" spans="2:8" outlineLevel="1" x14ac:dyDescent="0.25">
      <c r="B6" s="287"/>
      <c r="C6" s="287" t="str">
        <f>CONSTANTES!I33</f>
        <v>Costo alimento</v>
      </c>
      <c r="D6" s="329">
        <v>2096640000</v>
      </c>
      <c r="E6" s="330">
        <v>2117606400</v>
      </c>
      <c r="F6" s="330">
        <v>2159539200</v>
      </c>
      <c r="G6" s="330">
        <v>2201472000</v>
      </c>
      <c r="H6" s="330">
        <v>2306304000</v>
      </c>
    </row>
    <row r="7" spans="2:8" x14ac:dyDescent="0.25">
      <c r="B7" s="288" t="s">
        <v>178</v>
      </c>
      <c r="C7" s="288"/>
      <c r="D7" s="286"/>
      <c r="E7" s="286"/>
      <c r="F7" s="286"/>
      <c r="G7" s="286"/>
      <c r="H7" s="286"/>
    </row>
    <row r="8" spans="2:8" outlineLevel="1" x14ac:dyDescent="0.25">
      <c r="B8" s="287"/>
      <c r="C8" s="287" t="s">
        <v>13</v>
      </c>
      <c r="D8" s="283">
        <v>0.182742195031632</v>
      </c>
      <c r="E8" s="283">
        <v>0.15764856175027001</v>
      </c>
      <c r="F8" s="283">
        <v>0.10342949688505799</v>
      </c>
      <c r="G8" s="283">
        <v>4.2073300917277297E-2</v>
      </c>
      <c r="H8" s="283">
        <v>-0.17484271134276799</v>
      </c>
    </row>
    <row r="9" spans="2:8" ht="15.75" outlineLevel="1" thickBot="1" x14ac:dyDescent="0.3">
      <c r="B9" s="289"/>
      <c r="C9" s="289" t="s">
        <v>179</v>
      </c>
      <c r="D9" s="296">
        <v>272188828.78251499</v>
      </c>
      <c r="E9" s="296">
        <v>161423371.31334001</v>
      </c>
      <c r="F9" s="345">
        <v>-59625170.158949502</v>
      </c>
      <c r="G9" s="345">
        <v>-280041827.20500302</v>
      </c>
      <c r="H9" s="345">
        <v>-828404755.36913502</v>
      </c>
    </row>
    <row r="11" spans="2:8" ht="409.5" customHeight="1" x14ac:dyDescent="0.25">
      <c r="B11" s="375"/>
      <c r="C11" s="375"/>
      <c r="D11" s="375"/>
      <c r="E11" s="375"/>
    </row>
    <row r="12" spans="2:8" x14ac:dyDescent="0.25">
      <c r="B12" s="295"/>
    </row>
    <row r="13" spans="2:8" x14ac:dyDescent="0.25">
      <c r="B13" s="295"/>
    </row>
  </sheetData>
  <mergeCells count="1">
    <mergeCell ref="B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B1:H12"/>
  <sheetViews>
    <sheetView showGridLines="0" workbookViewId="0">
      <selection activeCell="B2" sqref="B2:H9"/>
    </sheetView>
  </sheetViews>
  <sheetFormatPr baseColWidth="10" defaultRowHeight="15" outlineLevelRow="1" outlineLevelCol="1" x14ac:dyDescent="0.25"/>
  <cols>
    <col min="3" max="3" width="19.140625" bestFit="1" customWidth="1"/>
    <col min="4" max="5" width="18.7109375" customWidth="1" outlineLevel="1"/>
    <col min="6" max="6" width="18.85546875" customWidth="1" outlineLevel="1"/>
    <col min="7" max="8" width="18.7109375" customWidth="1" outlineLevel="1"/>
  </cols>
  <sheetData>
    <row r="1" spans="2:8" ht="15.75" thickBot="1" x14ac:dyDescent="0.3"/>
    <row r="2" spans="2:8" ht="12" customHeight="1" x14ac:dyDescent="0.25">
      <c r="B2" s="285" t="s">
        <v>175</v>
      </c>
      <c r="C2" s="285"/>
      <c r="D2" s="290"/>
      <c r="E2" s="290"/>
      <c r="F2" s="290"/>
      <c r="G2" s="290"/>
      <c r="H2" s="290"/>
    </row>
    <row r="3" spans="2:8" ht="26.25" collapsed="1" x14ac:dyDescent="0.25">
      <c r="B3" s="284"/>
      <c r="C3" s="284"/>
      <c r="D3" s="299" t="s">
        <v>249</v>
      </c>
      <c r="E3" s="299" t="s">
        <v>250</v>
      </c>
      <c r="F3" s="299" t="s">
        <v>251</v>
      </c>
      <c r="G3" s="299" t="s">
        <v>252</v>
      </c>
      <c r="H3" s="299" t="s">
        <v>253</v>
      </c>
    </row>
    <row r="4" spans="2:8" ht="67.5" hidden="1" outlineLevel="1" x14ac:dyDescent="0.25">
      <c r="B4" s="287"/>
      <c r="C4" s="287"/>
      <c r="D4" s="282"/>
      <c r="E4" s="292" t="s">
        <v>245</v>
      </c>
      <c r="F4" s="292" t="s">
        <v>245</v>
      </c>
      <c r="G4" s="292" t="s">
        <v>245</v>
      </c>
      <c r="H4" s="292" t="s">
        <v>245</v>
      </c>
    </row>
    <row r="5" spans="2:8" x14ac:dyDescent="0.25">
      <c r="B5" s="288" t="s">
        <v>177</v>
      </c>
      <c r="C5" s="288"/>
      <c r="D5" s="286"/>
      <c r="E5" s="286"/>
      <c r="F5" s="286"/>
      <c r="G5" s="286"/>
      <c r="H5" s="286"/>
    </row>
    <row r="6" spans="2:8" outlineLevel="1" x14ac:dyDescent="0.25">
      <c r="B6" s="287"/>
      <c r="C6" s="287" t="str">
        <f>CONSTANTES!A54</f>
        <v>Préstamo (millones)</v>
      </c>
      <c r="D6" s="327">
        <v>1200000000</v>
      </c>
      <c r="E6" s="328">
        <v>1485575697</v>
      </c>
      <c r="F6" s="328">
        <v>1683652456.5999999</v>
      </c>
      <c r="G6" s="328">
        <v>1881729216.2</v>
      </c>
      <c r="H6" s="328">
        <v>1980767596</v>
      </c>
    </row>
    <row r="7" spans="2:8" x14ac:dyDescent="0.25">
      <c r="B7" s="288" t="s">
        <v>178</v>
      </c>
      <c r="C7" s="288"/>
      <c r="D7" s="286"/>
      <c r="E7" s="286"/>
      <c r="F7" s="286"/>
      <c r="G7" s="286"/>
      <c r="H7" s="286"/>
    </row>
    <row r="8" spans="2:8" outlineLevel="1" x14ac:dyDescent="0.25">
      <c r="B8" s="287"/>
      <c r="C8" s="287" t="s">
        <v>13</v>
      </c>
      <c r="D8" s="283">
        <v>0.182742195031632</v>
      </c>
      <c r="E8" s="283">
        <v>0.233338508479809</v>
      </c>
      <c r="F8" s="283">
        <v>0.28701692900803699</v>
      </c>
      <c r="G8" s="283">
        <v>0.37589282049728701</v>
      </c>
      <c r="H8" s="283">
        <v>0.452199178849095</v>
      </c>
    </row>
    <row r="9" spans="2:8" ht="15.75" outlineLevel="1" thickBot="1" x14ac:dyDescent="0.3">
      <c r="B9" s="289"/>
      <c r="C9" s="289" t="s">
        <v>179</v>
      </c>
      <c r="D9" s="296">
        <v>272188828.78251499</v>
      </c>
      <c r="E9" s="296">
        <v>464879958.73192102</v>
      </c>
      <c r="F9" s="296">
        <v>594758431.06260896</v>
      </c>
      <c r="G9" s="296">
        <v>721315084.04437494</v>
      </c>
      <c r="H9" s="296">
        <v>783280064.32648897</v>
      </c>
    </row>
    <row r="12" spans="2:8" x14ac:dyDescent="0.25">
      <c r="B12" s="3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CORRIENTES</vt:lpstr>
      <vt:lpstr>Base</vt:lpstr>
      <vt:lpstr>Tabla Nómina</vt:lpstr>
      <vt:lpstr>Depreciacion</vt:lpstr>
      <vt:lpstr>Amortizacion del crédito</vt:lpstr>
      <vt:lpstr>CONSTANTES</vt:lpstr>
      <vt:lpstr>Escenario 1 Sensibilidad Precio</vt:lpstr>
      <vt:lpstr>Escenario 2 Mortandad f</vt:lpstr>
      <vt:lpstr>Escenario 3 Incremento alimento</vt:lpstr>
      <vt:lpstr>Escenario 4 Financiamiento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Ingeniería Industrial</dc:creator>
  <cp:lastModifiedBy>hp</cp:lastModifiedBy>
  <dcterms:created xsi:type="dcterms:W3CDTF">2017-10-25T22:25:53Z</dcterms:created>
  <dcterms:modified xsi:type="dcterms:W3CDTF">2022-06-08T19:18:53Z</dcterms:modified>
</cp:coreProperties>
</file>