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INFORME FINAL PROYECTO DE GRADO\"/>
    </mc:Choice>
  </mc:AlternateContent>
  <xr:revisionPtr revIDLastSave="0" documentId="13_ncr:1_{829E1F16-EC15-48D4-8BE6-22D6C38F7104}" xr6:coauthVersionLast="40" xr6:coauthVersionMax="40" xr10:uidLastSave="{00000000-0000-0000-0000-000000000000}"/>
  <bookViews>
    <workbookView xWindow="0" yWindow="0" windowWidth="20490" windowHeight="8940" xr2:uid="{00000000-000D-0000-FFFF-FFFF00000000}"/>
  </bookViews>
  <sheets>
    <sheet name="Modelo de evaluación de obs" sheetId="4" r:id="rId1"/>
    <sheet name="Ponderación criterio clínico" sheetId="2" r:id="rId2"/>
    <sheet name="Ponderación criterio técnico" sheetId="3" r:id="rId3"/>
  </sheets>
  <calcPr calcId="191029"/>
  <extLst>
    <ext uri="GoogleSheetsCustomDataVersion1">
      <go:sheetsCustomData xmlns:go="http://customooxmlschemas.google.com/" r:id="rId7" roundtripDataSignature="AMtx7mjYBcUL80PaJdhaQsUpL5ruKHAdDw=="/>
    </ext>
  </extLst>
</workbook>
</file>

<file path=xl/calcChain.xml><?xml version="1.0" encoding="utf-8"?>
<calcChain xmlns="http://schemas.openxmlformats.org/spreadsheetml/2006/main">
  <c r="C3" i="4" l="1"/>
  <c r="D3" i="4"/>
  <c r="E3" i="4" s="1"/>
  <c r="F3" i="4"/>
  <c r="G3" i="4" s="1"/>
  <c r="H3" i="4" s="1"/>
  <c r="I3" i="4"/>
  <c r="J3" i="4"/>
  <c r="K3" i="4" s="1"/>
  <c r="M3" i="4"/>
  <c r="N3" i="4" s="1"/>
  <c r="O3" i="4"/>
  <c r="P3" i="4"/>
  <c r="R3" i="4"/>
  <c r="S3" i="4"/>
  <c r="T3" i="4" s="1"/>
  <c r="V3" i="4"/>
  <c r="X3" i="4"/>
  <c r="Y3" i="4" s="1"/>
  <c r="Z3" i="4" s="1"/>
  <c r="C4" i="4"/>
  <c r="D4" i="4"/>
  <c r="E4" i="4"/>
  <c r="F4" i="4"/>
  <c r="G4" i="4" s="1"/>
  <c r="H4" i="4" s="1"/>
  <c r="I4" i="4"/>
  <c r="J4" i="4"/>
  <c r="K4" i="4" s="1"/>
  <c r="M4" i="4"/>
  <c r="N4" i="4" s="1"/>
  <c r="O4" i="4"/>
  <c r="P4" i="4"/>
  <c r="R4" i="4"/>
  <c r="S4" i="4"/>
  <c r="T4" i="4" s="1"/>
  <c r="V4" i="4"/>
  <c r="X4" i="4"/>
  <c r="Y4" i="4" s="1"/>
  <c r="Z4" i="4" s="1"/>
  <c r="C5" i="4"/>
  <c r="D5" i="4"/>
  <c r="E5" i="4"/>
  <c r="L5" i="4" s="1"/>
  <c r="F5" i="4"/>
  <c r="G5" i="4" s="1"/>
  <c r="H5" i="4" s="1"/>
  <c r="I5" i="4"/>
  <c r="J5" i="4"/>
  <c r="K5" i="4" s="1"/>
  <c r="M5" i="4"/>
  <c r="N5" i="4" s="1"/>
  <c r="O5" i="4"/>
  <c r="P5" i="4"/>
  <c r="R5" i="4"/>
  <c r="T5" i="4"/>
  <c r="V5" i="4"/>
  <c r="X5" i="4"/>
  <c r="Y5" i="4"/>
  <c r="Z5" i="4" s="1"/>
  <c r="C6" i="4"/>
  <c r="D6" i="4" s="1"/>
  <c r="E6" i="4" s="1"/>
  <c r="F6" i="4"/>
  <c r="G6" i="4"/>
  <c r="H6" i="4" s="1"/>
  <c r="I6" i="4"/>
  <c r="J6" i="4"/>
  <c r="K6" i="4"/>
  <c r="M6" i="4"/>
  <c r="N6" i="4" s="1"/>
  <c r="O6" i="4"/>
  <c r="P6" i="4" s="1"/>
  <c r="R6" i="4"/>
  <c r="S6" i="4"/>
  <c r="T6" i="4"/>
  <c r="V6" i="4"/>
  <c r="X6" i="4"/>
  <c r="Y6" i="4"/>
  <c r="Z6" i="4" s="1"/>
  <c r="C7" i="4"/>
  <c r="D7" i="4" s="1"/>
  <c r="E7" i="4" s="1"/>
  <c r="F7" i="4"/>
  <c r="G7" i="4"/>
  <c r="H7" i="4" s="1"/>
  <c r="I7" i="4"/>
  <c r="J7" i="4"/>
  <c r="K7" i="4" s="1"/>
  <c r="M7" i="4"/>
  <c r="N7" i="4" s="1"/>
  <c r="O7" i="4"/>
  <c r="P7" i="4" s="1"/>
  <c r="R7" i="4"/>
  <c r="S7" i="4"/>
  <c r="T7" i="4"/>
  <c r="V7" i="4"/>
  <c r="X7" i="4"/>
  <c r="Y7" i="4"/>
  <c r="Z7" i="4" s="1"/>
  <c r="C8" i="4"/>
  <c r="D8" i="4" s="1"/>
  <c r="E8" i="4"/>
  <c r="F8" i="4"/>
  <c r="G8" i="4" s="1"/>
  <c r="H8" i="4" s="1"/>
  <c r="I8" i="4"/>
  <c r="J8" i="4"/>
  <c r="K8" i="4" s="1"/>
  <c r="M8" i="4"/>
  <c r="N8" i="4" s="1"/>
  <c r="O8" i="4"/>
  <c r="P8" i="4" s="1"/>
  <c r="R8" i="4"/>
  <c r="T8" i="4"/>
  <c r="V8" i="4"/>
  <c r="Y8" i="4"/>
  <c r="Z8" i="4" s="1"/>
  <c r="C9" i="4"/>
  <c r="D9" i="4"/>
  <c r="E9" i="4" s="1"/>
  <c r="F9" i="4"/>
  <c r="G9" i="4"/>
  <c r="H9" i="4"/>
  <c r="I9" i="4"/>
  <c r="J9" i="4" s="1"/>
  <c r="K9" i="4" s="1"/>
  <c r="M9" i="4"/>
  <c r="N9" i="4" s="1"/>
  <c r="O9" i="4"/>
  <c r="P9" i="4" s="1"/>
  <c r="R9" i="4"/>
  <c r="S9" i="4"/>
  <c r="T9" i="4"/>
  <c r="V9" i="4"/>
  <c r="X9" i="4"/>
  <c r="Y9" i="4"/>
  <c r="Z9" i="4" s="1"/>
  <c r="C10" i="4"/>
  <c r="D10" i="4" s="1"/>
  <c r="E10" i="4" s="1"/>
  <c r="F10" i="4"/>
  <c r="G10" i="4"/>
  <c r="H10" i="4" s="1"/>
  <c r="I10" i="4"/>
  <c r="J10" i="4" s="1"/>
  <c r="K10" i="4"/>
  <c r="L10" i="4"/>
  <c r="M10" i="4"/>
  <c r="N10" i="4" s="1"/>
  <c r="W10" i="4" s="1"/>
  <c r="AA10" i="4" s="1"/>
  <c r="AB10" i="4" s="1"/>
  <c r="O10" i="4"/>
  <c r="P10" i="4"/>
  <c r="R10" i="4"/>
  <c r="S10" i="4"/>
  <c r="T10" i="4"/>
  <c r="V10" i="4"/>
  <c r="X10" i="4"/>
  <c r="Y10" i="4"/>
  <c r="Z10" i="4"/>
  <c r="C11" i="4"/>
  <c r="D11" i="4" s="1"/>
  <c r="E11" i="4" s="1"/>
  <c r="F11" i="4"/>
  <c r="G11" i="4"/>
  <c r="H11" i="4" s="1"/>
  <c r="I11" i="4"/>
  <c r="J11" i="4" s="1"/>
  <c r="K11" i="4" s="1"/>
  <c r="M11" i="4"/>
  <c r="N11" i="4" s="1"/>
  <c r="W11" i="4" s="1"/>
  <c r="O11" i="4"/>
  <c r="P11" i="4"/>
  <c r="R11" i="4"/>
  <c r="T11" i="4"/>
  <c r="V11" i="4"/>
  <c r="X11" i="4"/>
  <c r="Y11" i="4" s="1"/>
  <c r="Z11" i="4" s="1"/>
  <c r="C12" i="4"/>
  <c r="D12" i="4"/>
  <c r="E12" i="4"/>
  <c r="F12" i="4"/>
  <c r="G12" i="4" s="1"/>
  <c r="H12" i="4" s="1"/>
  <c r="L12" i="4" s="1"/>
  <c r="I12" i="4"/>
  <c r="J12" i="4"/>
  <c r="K12" i="4" s="1"/>
  <c r="M12" i="4"/>
  <c r="N12" i="4" s="1"/>
  <c r="O12" i="4"/>
  <c r="P12" i="4"/>
  <c r="R12" i="4"/>
  <c r="S12" i="4"/>
  <c r="T12" i="4" s="1"/>
  <c r="V12" i="4"/>
  <c r="X12" i="4"/>
  <c r="Y12" i="4" s="1"/>
  <c r="Z12" i="4" s="1"/>
  <c r="C13" i="4"/>
  <c r="D13" i="4"/>
  <c r="E13" i="4"/>
  <c r="F13" i="4"/>
  <c r="G13" i="4" s="1"/>
  <c r="H13" i="4" s="1"/>
  <c r="L13" i="4" s="1"/>
  <c r="I13" i="4"/>
  <c r="J13" i="4"/>
  <c r="K13" i="4" s="1"/>
  <c r="M13" i="4"/>
  <c r="N13" i="4" s="1"/>
  <c r="W13" i="4" s="1"/>
  <c r="AA13" i="4" s="1"/>
  <c r="AB13" i="4" s="1"/>
  <c r="O13" i="4"/>
  <c r="P13" i="4"/>
  <c r="R13" i="4"/>
  <c r="S13" i="4"/>
  <c r="T13" i="4" s="1"/>
  <c r="V13" i="4"/>
  <c r="X13" i="4"/>
  <c r="Y13" i="4" s="1"/>
  <c r="Z13" i="4" s="1"/>
  <c r="C14" i="4"/>
  <c r="D14" i="4"/>
  <c r="E14" i="4"/>
  <c r="F14" i="4"/>
  <c r="G14" i="4" s="1"/>
  <c r="H14" i="4" s="1"/>
  <c r="I14" i="4"/>
  <c r="J14" i="4"/>
  <c r="K14" i="4" s="1"/>
  <c r="L14" i="4"/>
  <c r="M14" i="4"/>
  <c r="N14" i="4" s="1"/>
  <c r="W14" i="4" s="1"/>
  <c r="O14" i="4"/>
  <c r="P14" i="4"/>
  <c r="R14" i="4"/>
  <c r="S14" i="4"/>
  <c r="T14" i="4" s="1"/>
  <c r="V14" i="4"/>
  <c r="X14" i="4"/>
  <c r="Y14" i="4" s="1"/>
  <c r="Z14" i="4" s="1"/>
  <c r="C15" i="4"/>
  <c r="D15" i="4"/>
  <c r="E15" i="4"/>
  <c r="F15" i="4"/>
  <c r="G15" i="4" s="1"/>
  <c r="H15" i="4" s="1"/>
  <c r="I15" i="4"/>
  <c r="J15" i="4"/>
  <c r="K15" i="4" s="1"/>
  <c r="L15" i="4" s="1"/>
  <c r="M15" i="4"/>
  <c r="N15" i="4" s="1"/>
  <c r="W15" i="4" s="1"/>
  <c r="O15" i="4"/>
  <c r="P15" i="4"/>
  <c r="R15" i="4"/>
  <c r="S15" i="4"/>
  <c r="T15" i="4" s="1"/>
  <c r="V15" i="4"/>
  <c r="X15" i="4"/>
  <c r="Y15" i="4" s="1"/>
  <c r="Z15" i="4" s="1"/>
  <c r="C16" i="4"/>
  <c r="D16" i="4"/>
  <c r="E16" i="4"/>
  <c r="F16" i="4"/>
  <c r="G16" i="4" s="1"/>
  <c r="H16" i="4" s="1"/>
  <c r="L16" i="4" s="1"/>
  <c r="I16" i="4"/>
  <c r="J16" i="4"/>
  <c r="K16" i="4" s="1"/>
  <c r="M16" i="4"/>
  <c r="N16" i="4" s="1"/>
  <c r="W16" i="4" s="1"/>
  <c r="O16" i="4"/>
  <c r="P16" i="4"/>
  <c r="R16" i="4"/>
  <c r="T16" i="4"/>
  <c r="V16" i="4"/>
  <c r="X16" i="4"/>
  <c r="Y16" i="4" s="1"/>
  <c r="Z16" i="4" s="1"/>
  <c r="C17" i="4"/>
  <c r="D17" i="4" s="1"/>
  <c r="E17" i="4" s="1"/>
  <c r="F17" i="4"/>
  <c r="G17" i="4"/>
  <c r="H17" i="4" s="1"/>
  <c r="I17" i="4"/>
  <c r="J17" i="4" s="1"/>
  <c r="K17" i="4" s="1"/>
  <c r="M17" i="4"/>
  <c r="N17" i="4" s="1"/>
  <c r="O17" i="4"/>
  <c r="P17" i="4" s="1"/>
  <c r="R17" i="4"/>
  <c r="S17" i="4"/>
  <c r="T17" i="4" s="1"/>
  <c r="V17" i="4"/>
  <c r="X17" i="4"/>
  <c r="Y17" i="4" s="1"/>
  <c r="Z17" i="4" s="1"/>
  <c r="C18" i="4"/>
  <c r="D18" i="4" s="1"/>
  <c r="E18" i="4" s="1"/>
  <c r="F18" i="4"/>
  <c r="G18" i="4"/>
  <c r="H18" i="4" s="1"/>
  <c r="I18" i="4"/>
  <c r="J18" i="4" s="1"/>
  <c r="K18" i="4" s="1"/>
  <c r="M18" i="4"/>
  <c r="N18" i="4" s="1"/>
  <c r="O18" i="4"/>
  <c r="P18" i="4" s="1"/>
  <c r="R18" i="4"/>
  <c r="T18" i="4"/>
  <c r="V18" i="4"/>
  <c r="X18" i="4"/>
  <c r="Y18" i="4" s="1"/>
  <c r="Z18" i="4" s="1"/>
  <c r="C19" i="4"/>
  <c r="D19" i="4" s="1"/>
  <c r="E19" i="4" s="1"/>
  <c r="F19" i="4"/>
  <c r="G19" i="4" s="1"/>
  <c r="H19" i="4" s="1"/>
  <c r="I19" i="4"/>
  <c r="J19" i="4"/>
  <c r="K19" i="4"/>
  <c r="M19" i="4"/>
  <c r="N19" i="4" s="1"/>
  <c r="O19" i="4"/>
  <c r="P19" i="4" s="1"/>
  <c r="R19" i="4"/>
  <c r="S19" i="4"/>
  <c r="T19" i="4"/>
  <c r="V19" i="4"/>
  <c r="X19" i="4"/>
  <c r="Y19" i="4"/>
  <c r="Z19" i="4"/>
  <c r="C20" i="4"/>
  <c r="D20" i="4"/>
  <c r="E20" i="4" s="1"/>
  <c r="L20" i="4" s="1"/>
  <c r="F20" i="4"/>
  <c r="G20" i="4" s="1"/>
  <c r="H20" i="4" s="1"/>
  <c r="I20" i="4"/>
  <c r="J20" i="4"/>
  <c r="K20" i="4" s="1"/>
  <c r="N20" i="4"/>
  <c r="O20" i="4"/>
  <c r="P20" i="4" s="1"/>
  <c r="R20" i="4"/>
  <c r="T20" i="4"/>
  <c r="V20" i="4"/>
  <c r="X20" i="4"/>
  <c r="Y20" i="4" s="1"/>
  <c r="Z20" i="4"/>
  <c r="C21" i="4"/>
  <c r="D21" i="4"/>
  <c r="E21" i="4" s="1"/>
  <c r="L21" i="4" s="1"/>
  <c r="F21" i="4"/>
  <c r="G21" i="4" s="1"/>
  <c r="H21" i="4" s="1"/>
  <c r="I21" i="4"/>
  <c r="J21" i="4" s="1"/>
  <c r="K21" i="4" s="1"/>
  <c r="M21" i="4"/>
  <c r="N21" i="4" s="1"/>
  <c r="O21" i="4"/>
  <c r="P21" i="4"/>
  <c r="R21" i="4"/>
  <c r="T21" i="4"/>
  <c r="V21" i="4"/>
  <c r="X21" i="4"/>
  <c r="Y21" i="4"/>
  <c r="Z21" i="4" s="1"/>
  <c r="C22" i="4"/>
  <c r="D22" i="4" s="1"/>
  <c r="E22" i="4"/>
  <c r="F22" i="4"/>
  <c r="G22" i="4" s="1"/>
  <c r="H22" i="4" s="1"/>
  <c r="I22" i="4"/>
  <c r="J22" i="4"/>
  <c r="K22" i="4" s="1"/>
  <c r="M22" i="4"/>
  <c r="N22" i="4" s="1"/>
  <c r="O22" i="4"/>
  <c r="P22" i="4" s="1"/>
  <c r="R22" i="4"/>
  <c r="T22" i="4"/>
  <c r="V22" i="4"/>
  <c r="X22" i="4"/>
  <c r="Y22" i="4"/>
  <c r="Z22" i="4" s="1"/>
  <c r="C23" i="4"/>
  <c r="D23" i="4" s="1"/>
  <c r="E23" i="4" s="1"/>
  <c r="L23" i="4" s="1"/>
  <c r="F23" i="4"/>
  <c r="G23" i="4" s="1"/>
  <c r="H23" i="4"/>
  <c r="I23" i="4"/>
  <c r="J23" i="4"/>
  <c r="K23" i="4" s="1"/>
  <c r="M23" i="4"/>
  <c r="N23" i="4" s="1"/>
  <c r="P23" i="4"/>
  <c r="R23" i="4"/>
  <c r="T23" i="4"/>
  <c r="V23" i="4"/>
  <c r="Y23" i="4"/>
  <c r="Z23" i="4" s="1"/>
  <c r="C24" i="4"/>
  <c r="D24" i="4" s="1"/>
  <c r="E24" i="4"/>
  <c r="F24" i="4"/>
  <c r="G24" i="4"/>
  <c r="H24" i="4" s="1"/>
  <c r="I24" i="4"/>
  <c r="J24" i="4"/>
  <c r="K24" i="4"/>
  <c r="M24" i="4"/>
  <c r="N24" i="4" s="1"/>
  <c r="W24" i="4" s="1"/>
  <c r="O24" i="4"/>
  <c r="P24" i="4" s="1"/>
  <c r="R24" i="4"/>
  <c r="T24" i="4"/>
  <c r="V24" i="4"/>
  <c r="Y24" i="4"/>
  <c r="Z24" i="4" s="1"/>
  <c r="C25" i="4"/>
  <c r="D25" i="4" s="1"/>
  <c r="E25" i="4"/>
  <c r="F25" i="4"/>
  <c r="G25" i="4" s="1"/>
  <c r="H25" i="4" s="1"/>
  <c r="I25" i="4"/>
  <c r="J25" i="4"/>
  <c r="K25" i="4"/>
  <c r="M25" i="4"/>
  <c r="N25" i="4" s="1"/>
  <c r="O25" i="4"/>
  <c r="P25" i="4" s="1"/>
  <c r="R25" i="4"/>
  <c r="S25" i="4"/>
  <c r="T25" i="4" s="1"/>
  <c r="V25" i="4"/>
  <c r="X25" i="4"/>
  <c r="Y25" i="4" s="1"/>
  <c r="Z25" i="4" s="1"/>
  <c r="C26" i="4"/>
  <c r="D26" i="4" s="1"/>
  <c r="E26" i="4" s="1"/>
  <c r="F26" i="4"/>
  <c r="G26" i="4"/>
  <c r="H26" i="4" s="1"/>
  <c r="I26" i="4"/>
  <c r="J26" i="4" s="1"/>
  <c r="K26" i="4" s="1"/>
  <c r="M26" i="4"/>
  <c r="N26" i="4" s="1"/>
  <c r="O26" i="4"/>
  <c r="P26" i="4" s="1"/>
  <c r="R26" i="4"/>
  <c r="T26" i="4"/>
  <c r="V26" i="4"/>
  <c r="X26" i="4"/>
  <c r="Y26" i="4"/>
  <c r="Z26" i="4"/>
  <c r="C27" i="4"/>
  <c r="D27" i="4"/>
  <c r="E27" i="4" s="1"/>
  <c r="F27" i="4"/>
  <c r="G27" i="4" s="1"/>
  <c r="H27" i="4" s="1"/>
  <c r="I27" i="4"/>
  <c r="J27" i="4"/>
  <c r="K27" i="4" s="1"/>
  <c r="M27" i="4"/>
  <c r="N27" i="4" s="1"/>
  <c r="O27" i="4"/>
  <c r="P27" i="4" s="1"/>
  <c r="R27" i="4"/>
  <c r="S27" i="4"/>
  <c r="T27" i="4" s="1"/>
  <c r="V27" i="4"/>
  <c r="X27" i="4"/>
  <c r="Y27" i="4"/>
  <c r="Z27" i="4" s="1"/>
  <c r="C28" i="4"/>
  <c r="D28" i="4"/>
  <c r="E28" i="4" s="1"/>
  <c r="F28" i="4"/>
  <c r="G28" i="4" s="1"/>
  <c r="H28" i="4" s="1"/>
  <c r="I28" i="4"/>
  <c r="J28" i="4"/>
  <c r="K28" i="4" s="1"/>
  <c r="M28" i="4"/>
  <c r="N28" i="4" s="1"/>
  <c r="W28" i="4" s="1"/>
  <c r="O28" i="4"/>
  <c r="P28" i="4"/>
  <c r="R28" i="4"/>
  <c r="T28" i="4"/>
  <c r="V28" i="4"/>
  <c r="X28" i="4"/>
  <c r="Y28" i="4"/>
  <c r="Z28" i="4" s="1"/>
  <c r="C29" i="4"/>
  <c r="D29" i="4" s="1"/>
  <c r="E29" i="4" s="1"/>
  <c r="L29" i="4" s="1"/>
  <c r="F29" i="4"/>
  <c r="G29" i="4"/>
  <c r="H29" i="4" s="1"/>
  <c r="I29" i="4"/>
  <c r="J29" i="4" s="1"/>
  <c r="K29" i="4"/>
  <c r="M29" i="4"/>
  <c r="N29" i="4" s="1"/>
  <c r="P29" i="4"/>
  <c r="R29" i="4"/>
  <c r="T29" i="4"/>
  <c r="V29" i="4"/>
  <c r="X29" i="4"/>
  <c r="Y29" i="4"/>
  <c r="Z29" i="4" s="1"/>
  <c r="C30" i="4"/>
  <c r="D30" i="4" s="1"/>
  <c r="E30" i="4"/>
  <c r="F30" i="4"/>
  <c r="G30" i="4" s="1"/>
  <c r="H30" i="4" s="1"/>
  <c r="I30" i="4"/>
  <c r="J30" i="4"/>
  <c r="K30" i="4" s="1"/>
  <c r="M30" i="4"/>
  <c r="N30" i="4" s="1"/>
  <c r="O30" i="4"/>
  <c r="P30" i="4" s="1"/>
  <c r="R30" i="4"/>
  <c r="S30" i="4"/>
  <c r="T30" i="4"/>
  <c r="V30" i="4"/>
  <c r="X30" i="4"/>
  <c r="Y30" i="4"/>
  <c r="Z30" i="4" s="1"/>
  <c r="C31" i="4"/>
  <c r="D31" i="4" s="1"/>
  <c r="E31" i="4"/>
  <c r="F31" i="4"/>
  <c r="G31" i="4" s="1"/>
  <c r="H31" i="4" s="1"/>
  <c r="I31" i="4"/>
  <c r="J31" i="4"/>
  <c r="K31" i="4"/>
  <c r="M31" i="4"/>
  <c r="N31" i="4" s="1"/>
  <c r="O31" i="4"/>
  <c r="P31" i="4" s="1"/>
  <c r="R31" i="4"/>
  <c r="T31" i="4"/>
  <c r="V31" i="4"/>
  <c r="X31" i="4"/>
  <c r="Y31" i="4"/>
  <c r="Z31" i="4" s="1"/>
  <c r="C32" i="4"/>
  <c r="D32" i="4"/>
  <c r="E32" i="4" s="1"/>
  <c r="F32" i="4"/>
  <c r="G32" i="4" s="1"/>
  <c r="H32" i="4" s="1"/>
  <c r="I32" i="4"/>
  <c r="J32" i="4"/>
  <c r="K32" i="4" s="1"/>
  <c r="M32" i="4"/>
  <c r="N32" i="4"/>
  <c r="W32" i="4" s="1"/>
  <c r="O32" i="4"/>
  <c r="P32" i="4"/>
  <c r="R32" i="4"/>
  <c r="T32" i="4"/>
  <c r="V32" i="4"/>
  <c r="X32" i="4"/>
  <c r="Y32" i="4"/>
  <c r="Z32" i="4" s="1"/>
  <c r="C33" i="4"/>
  <c r="D33" i="4" s="1"/>
  <c r="E33" i="4" s="1"/>
  <c r="F33" i="4"/>
  <c r="G33" i="4"/>
  <c r="H33" i="4" s="1"/>
  <c r="I33" i="4"/>
  <c r="J33" i="4" s="1"/>
  <c r="K33" i="4"/>
  <c r="L33" i="4"/>
  <c r="M33" i="4"/>
  <c r="N33" i="4" s="1"/>
  <c r="O33" i="4"/>
  <c r="P33" i="4"/>
  <c r="R33" i="4"/>
  <c r="T33" i="4"/>
  <c r="V33" i="4"/>
  <c r="X33" i="4"/>
  <c r="Y33" i="4" s="1"/>
  <c r="Z33" i="4" s="1"/>
  <c r="C34" i="4"/>
  <c r="D34" i="4"/>
  <c r="E34" i="4" s="1"/>
  <c r="F34" i="4"/>
  <c r="G34" i="4" s="1"/>
  <c r="H34" i="4"/>
  <c r="I34" i="4"/>
  <c r="J34" i="4" s="1"/>
  <c r="K34" i="4" s="1"/>
  <c r="M34" i="4"/>
  <c r="N34" i="4" s="1"/>
  <c r="O34" i="4"/>
  <c r="P34" i="4"/>
  <c r="R34" i="4"/>
  <c r="S34" i="4"/>
  <c r="T34" i="4" s="1"/>
  <c r="V34" i="4"/>
  <c r="X34" i="4"/>
  <c r="Y34" i="4" s="1"/>
  <c r="Z34" i="4" s="1"/>
  <c r="C35" i="4"/>
  <c r="D35" i="4"/>
  <c r="E35" i="4" s="1"/>
  <c r="F35" i="4"/>
  <c r="G35" i="4" s="1"/>
  <c r="H35" i="4"/>
  <c r="I35" i="4"/>
  <c r="J35" i="4" s="1"/>
  <c r="K35" i="4" s="1"/>
  <c r="M35" i="4"/>
  <c r="N35" i="4" s="1"/>
  <c r="O35" i="4"/>
  <c r="P35" i="4"/>
  <c r="R35" i="4"/>
  <c r="T35" i="4"/>
  <c r="V35" i="4"/>
  <c r="X35" i="4"/>
  <c r="Y35" i="4" s="1"/>
  <c r="Z35" i="4" s="1"/>
  <c r="C36" i="4"/>
  <c r="D36" i="4" s="1"/>
  <c r="E36" i="4" s="1"/>
  <c r="L36" i="4" s="1"/>
  <c r="F36" i="4"/>
  <c r="G36" i="4"/>
  <c r="H36" i="4" s="1"/>
  <c r="I36" i="4"/>
  <c r="J36" i="4" s="1"/>
  <c r="K36" i="4" s="1"/>
  <c r="M36" i="4"/>
  <c r="N36" i="4" s="1"/>
  <c r="W36" i="4" s="1"/>
  <c r="O36" i="4"/>
  <c r="P36" i="4"/>
  <c r="R36" i="4"/>
  <c r="S36" i="4"/>
  <c r="T36" i="4" s="1"/>
  <c r="V36" i="4"/>
  <c r="Y36" i="4"/>
  <c r="Z36" i="4" s="1"/>
  <c r="C37" i="4"/>
  <c r="D37" i="4" s="1"/>
  <c r="E37" i="4" s="1"/>
  <c r="F37" i="4"/>
  <c r="G37" i="4" s="1"/>
  <c r="H37" i="4" s="1"/>
  <c r="I37" i="4"/>
  <c r="J37" i="4"/>
  <c r="K37" i="4" s="1"/>
  <c r="M37" i="4"/>
  <c r="N37" i="4" s="1"/>
  <c r="O37" i="4"/>
  <c r="P37" i="4" s="1"/>
  <c r="R37" i="4"/>
  <c r="S37" i="4"/>
  <c r="T37" i="4" s="1"/>
  <c r="V37" i="4"/>
  <c r="X37" i="4"/>
  <c r="Y37" i="4" s="1"/>
  <c r="Z37" i="4" s="1"/>
  <c r="C38" i="4"/>
  <c r="D38" i="4" s="1"/>
  <c r="E38" i="4" s="1"/>
  <c r="F38" i="4"/>
  <c r="G38" i="4" s="1"/>
  <c r="H38" i="4" s="1"/>
  <c r="I38" i="4"/>
  <c r="J38" i="4"/>
  <c r="K38" i="4" s="1"/>
  <c r="M38" i="4"/>
  <c r="N38" i="4" s="1"/>
  <c r="O38" i="4"/>
  <c r="P38" i="4" s="1"/>
  <c r="R38" i="4"/>
  <c r="S38" i="4"/>
  <c r="T38" i="4" s="1"/>
  <c r="V38" i="4"/>
  <c r="X38" i="4"/>
  <c r="Y38" i="4" s="1"/>
  <c r="Z38" i="4" s="1"/>
  <c r="C39" i="4"/>
  <c r="D39" i="4" s="1"/>
  <c r="E39" i="4" s="1"/>
  <c r="F39" i="4"/>
  <c r="G39" i="4" s="1"/>
  <c r="H39" i="4" s="1"/>
  <c r="I39" i="4"/>
  <c r="J39" i="4"/>
  <c r="K39" i="4" s="1"/>
  <c r="M39" i="4"/>
  <c r="N39" i="4" s="1"/>
  <c r="O39" i="4"/>
  <c r="P39" i="4" s="1"/>
  <c r="R39" i="4"/>
  <c r="T39" i="4"/>
  <c r="V39" i="4"/>
  <c r="X39" i="4"/>
  <c r="Y39" i="4"/>
  <c r="Z39" i="4" s="1"/>
  <c r="C40" i="4"/>
  <c r="D40" i="4" s="1"/>
  <c r="E40" i="4" s="1"/>
  <c r="F40" i="4"/>
  <c r="G40" i="4"/>
  <c r="H40" i="4" s="1"/>
  <c r="I40" i="4"/>
  <c r="J40" i="4"/>
  <c r="K40" i="4"/>
  <c r="M40" i="4"/>
  <c r="N40" i="4" s="1"/>
  <c r="W40" i="4" s="1"/>
  <c r="O40" i="4"/>
  <c r="P40" i="4" s="1"/>
  <c r="R40" i="4"/>
  <c r="T40" i="4"/>
  <c r="V40" i="4"/>
  <c r="X40" i="4"/>
  <c r="Y40" i="4"/>
  <c r="Z40" i="4"/>
  <c r="C41" i="4"/>
  <c r="D41" i="4"/>
  <c r="E41" i="4" s="1"/>
  <c r="L41" i="4" s="1"/>
  <c r="F41" i="4"/>
  <c r="G41" i="4"/>
  <c r="H41" i="4"/>
  <c r="I41" i="4"/>
  <c r="J41" i="4" s="1"/>
  <c r="K41" i="4" s="1"/>
  <c r="M41" i="4"/>
  <c r="N41" i="4" s="1"/>
  <c r="W41" i="4" s="1"/>
  <c r="O41" i="4"/>
  <c r="P41" i="4"/>
  <c r="R41" i="4"/>
  <c r="S41" i="4"/>
  <c r="T41" i="4"/>
  <c r="V41" i="4"/>
  <c r="X41" i="4"/>
  <c r="Y41" i="4"/>
  <c r="Z41" i="4"/>
  <c r="C42" i="4"/>
  <c r="D42" i="4"/>
  <c r="E42" i="4" s="1"/>
  <c r="F42" i="4"/>
  <c r="G42" i="4"/>
  <c r="H42" i="4"/>
  <c r="I42" i="4"/>
  <c r="J42" i="4" s="1"/>
  <c r="K42" i="4" s="1"/>
  <c r="L42" i="4"/>
  <c r="M42" i="4"/>
  <c r="N42" i="4" s="1"/>
  <c r="W42" i="4" s="1"/>
  <c r="O42" i="4"/>
  <c r="P42" i="4"/>
  <c r="R42" i="4"/>
  <c r="S42" i="4"/>
  <c r="T42" i="4"/>
  <c r="V42" i="4"/>
  <c r="X42" i="4"/>
  <c r="Y42" i="4"/>
  <c r="Z42" i="4"/>
  <c r="C43" i="4"/>
  <c r="D43" i="4"/>
  <c r="E43" i="4" s="1"/>
  <c r="F43" i="4"/>
  <c r="G43" i="4"/>
  <c r="H43" i="4"/>
  <c r="I43" i="4"/>
  <c r="J43" i="4" s="1"/>
  <c r="K43" i="4" s="1"/>
  <c r="L43" i="4"/>
  <c r="M43" i="4"/>
  <c r="N43" i="4" s="1"/>
  <c r="W43" i="4" s="1"/>
  <c r="O43" i="4"/>
  <c r="P43" i="4"/>
  <c r="R43" i="4"/>
  <c r="T43" i="4"/>
  <c r="V43" i="4"/>
  <c r="X43" i="4"/>
  <c r="Y43" i="4" s="1"/>
  <c r="Z43" i="4" s="1"/>
  <c r="C44" i="4"/>
  <c r="D44" i="4"/>
  <c r="E44" i="4"/>
  <c r="L44" i="4" s="1"/>
  <c r="F44" i="4"/>
  <c r="G44" i="4" s="1"/>
  <c r="H44" i="4" s="1"/>
  <c r="I44" i="4"/>
  <c r="J44" i="4" s="1"/>
  <c r="K44" i="4" s="1"/>
  <c r="M44" i="4"/>
  <c r="N44" i="4" s="1"/>
  <c r="W44" i="4" s="1"/>
  <c r="AA44" i="4" s="1"/>
  <c r="AB44" i="4" s="1"/>
  <c r="O44" i="4"/>
  <c r="P44" i="4"/>
  <c r="R44" i="4"/>
  <c r="S44" i="4"/>
  <c r="T44" i="4" s="1"/>
  <c r="V44" i="4"/>
  <c r="X44" i="4"/>
  <c r="Y44" i="4" s="1"/>
  <c r="Z44" i="4" s="1"/>
  <c r="C45" i="4"/>
  <c r="D45" i="4"/>
  <c r="E45" i="4"/>
  <c r="F45" i="4"/>
  <c r="G45" i="4" s="1"/>
  <c r="H45" i="4" s="1"/>
  <c r="I45" i="4"/>
  <c r="J45" i="4" s="1"/>
  <c r="K45" i="4" s="1"/>
  <c r="M45" i="4"/>
  <c r="N45" i="4" s="1"/>
  <c r="O45" i="4"/>
  <c r="P45" i="4"/>
  <c r="R45" i="4"/>
  <c r="T45" i="4"/>
  <c r="V45" i="4"/>
  <c r="X45" i="4"/>
  <c r="Y45" i="4" s="1"/>
  <c r="Z45" i="4" s="1"/>
  <c r="C46" i="4"/>
  <c r="D46" i="4" s="1"/>
  <c r="E46" i="4" s="1"/>
  <c r="F46" i="4"/>
  <c r="G46" i="4" s="1"/>
  <c r="H46" i="4" s="1"/>
  <c r="I46" i="4"/>
  <c r="J46" i="4"/>
  <c r="K46" i="4" s="1"/>
  <c r="M46" i="4"/>
  <c r="N46" i="4" s="1"/>
  <c r="P46" i="4"/>
  <c r="R46" i="4"/>
  <c r="T46" i="4"/>
  <c r="V46" i="4"/>
  <c r="X46" i="4"/>
  <c r="Y46" i="4"/>
  <c r="Z46" i="4"/>
  <c r="C47" i="4"/>
  <c r="D47" i="4"/>
  <c r="E47" i="4" s="1"/>
  <c r="F47" i="4"/>
  <c r="G47" i="4"/>
  <c r="H47" i="4"/>
  <c r="I47" i="4"/>
  <c r="J47" i="4" s="1"/>
  <c r="K47" i="4" s="1"/>
  <c r="L47" i="4"/>
  <c r="M47" i="4"/>
  <c r="N47" i="4" s="1"/>
  <c r="W47" i="4" s="1"/>
  <c r="O47" i="4"/>
  <c r="P47" i="4"/>
  <c r="R47" i="4"/>
  <c r="T47" i="4"/>
  <c r="V47" i="4"/>
  <c r="X47" i="4"/>
  <c r="Y47" i="4" s="1"/>
  <c r="Z47" i="4" s="1"/>
  <c r="C48" i="4"/>
  <c r="D48" i="4"/>
  <c r="E48" i="4"/>
  <c r="L48" i="4" s="1"/>
  <c r="F48" i="4"/>
  <c r="G48" i="4" s="1"/>
  <c r="H48" i="4" s="1"/>
  <c r="I48" i="4"/>
  <c r="J48" i="4" s="1"/>
  <c r="K48" i="4" s="1"/>
  <c r="M48" i="4"/>
  <c r="N48" i="4" s="1"/>
  <c r="W48" i="4" s="1"/>
  <c r="O48" i="4"/>
  <c r="P48" i="4"/>
  <c r="R48" i="4"/>
  <c r="T48" i="4"/>
  <c r="V48" i="4"/>
  <c r="X48" i="4"/>
  <c r="Y48" i="4" s="1"/>
  <c r="Z48" i="4" s="1"/>
  <c r="C49" i="4"/>
  <c r="D49" i="4" s="1"/>
  <c r="E49" i="4" s="1"/>
  <c r="F49" i="4"/>
  <c r="G49" i="4" s="1"/>
  <c r="H49" i="4" s="1"/>
  <c r="I49" i="4"/>
  <c r="J49" i="4"/>
  <c r="K49" i="4"/>
  <c r="M49" i="4"/>
  <c r="N49" i="4" s="1"/>
  <c r="O49" i="4"/>
  <c r="P49" i="4" s="1"/>
  <c r="R49" i="4"/>
  <c r="S49" i="4"/>
  <c r="T49" i="4" s="1"/>
  <c r="V49" i="4"/>
  <c r="X49" i="4"/>
  <c r="Y49" i="4"/>
  <c r="Z49" i="4" s="1"/>
  <c r="C50" i="4"/>
  <c r="D50" i="4" s="1"/>
  <c r="E50" i="4" s="1"/>
  <c r="F50" i="4"/>
  <c r="G50" i="4"/>
  <c r="H50" i="4" s="1"/>
  <c r="I50" i="4"/>
  <c r="J50" i="4"/>
  <c r="K50" i="4"/>
  <c r="M50" i="4"/>
  <c r="N50" i="4" s="1"/>
  <c r="O50" i="4"/>
  <c r="P50" i="4" s="1"/>
  <c r="R50" i="4"/>
  <c r="T50" i="4"/>
  <c r="V50" i="4"/>
  <c r="X50" i="4"/>
  <c r="Y50" i="4"/>
  <c r="Z50" i="4"/>
  <c r="C51" i="4"/>
  <c r="D51" i="4" s="1"/>
  <c r="E51" i="4" s="1"/>
  <c r="L51" i="4" s="1"/>
  <c r="F51" i="4"/>
  <c r="G51" i="4"/>
  <c r="H51" i="4" s="1"/>
  <c r="I51" i="4"/>
  <c r="J51" i="4"/>
  <c r="K51" i="4"/>
  <c r="M51" i="4"/>
  <c r="N51" i="4" s="1"/>
  <c r="O51" i="4"/>
  <c r="P51" i="4" s="1"/>
  <c r="R51" i="4"/>
  <c r="S51" i="4"/>
  <c r="T51" i="4"/>
  <c r="V51" i="4"/>
  <c r="X51" i="4"/>
  <c r="Y51" i="4"/>
  <c r="Z51" i="4"/>
  <c r="C52" i="4"/>
  <c r="D52" i="4"/>
  <c r="E52" i="4" s="1"/>
  <c r="L52" i="4" s="1"/>
  <c r="F52" i="4"/>
  <c r="G52" i="4" s="1"/>
  <c r="H52" i="4" s="1"/>
  <c r="I52" i="4"/>
  <c r="J52" i="4"/>
  <c r="K52" i="4" s="1"/>
  <c r="M52" i="4"/>
  <c r="N52" i="4" s="1"/>
  <c r="O52" i="4"/>
  <c r="P52" i="4" s="1"/>
  <c r="R52" i="4"/>
  <c r="S52" i="4"/>
  <c r="T52" i="4" s="1"/>
  <c r="V52" i="4"/>
  <c r="X52" i="4"/>
  <c r="Y52" i="4"/>
  <c r="Z52" i="4" s="1"/>
  <c r="C53" i="4"/>
  <c r="D53" i="4"/>
  <c r="E53" i="4" s="1"/>
  <c r="F53" i="4"/>
  <c r="G53" i="4" s="1"/>
  <c r="H53" i="4" s="1"/>
  <c r="I53" i="4"/>
  <c r="J53" i="4"/>
  <c r="K53" i="4" s="1"/>
  <c r="M53" i="4"/>
  <c r="N53" i="4" s="1"/>
  <c r="W53" i="4" s="1"/>
  <c r="O53" i="4"/>
  <c r="P53" i="4"/>
  <c r="R53" i="4"/>
  <c r="T53" i="4"/>
  <c r="V53" i="4"/>
  <c r="X53" i="4"/>
  <c r="Y53" i="4"/>
  <c r="Z53" i="4" s="1"/>
  <c r="C54" i="4"/>
  <c r="D54" i="4" s="1"/>
  <c r="E54" i="4" s="1"/>
  <c r="L54" i="4" s="1"/>
  <c r="F54" i="4"/>
  <c r="G54" i="4"/>
  <c r="H54" i="4" s="1"/>
  <c r="I54" i="4"/>
  <c r="J54" i="4" s="1"/>
  <c r="K54" i="4"/>
  <c r="M54" i="4"/>
  <c r="N54" i="4" s="1"/>
  <c r="O54" i="4"/>
  <c r="P54" i="4"/>
  <c r="R54" i="4"/>
  <c r="T54" i="4"/>
  <c r="V54" i="4"/>
  <c r="X54" i="4"/>
  <c r="Y54" i="4" s="1"/>
  <c r="Z54" i="4" s="1"/>
  <c r="C55" i="4"/>
  <c r="D55" i="4"/>
  <c r="E55" i="4" s="1"/>
  <c r="L55" i="4" s="1"/>
  <c r="F55" i="4"/>
  <c r="G55" i="4" s="1"/>
  <c r="H55" i="4"/>
  <c r="I55" i="4"/>
  <c r="J55" i="4" s="1"/>
  <c r="K55" i="4" s="1"/>
  <c r="M55" i="4"/>
  <c r="N55" i="4" s="1"/>
  <c r="W55" i="4" s="1"/>
  <c r="O55" i="4"/>
  <c r="P55" i="4"/>
  <c r="R55" i="4"/>
  <c r="T55" i="4"/>
  <c r="V55" i="4"/>
  <c r="X55" i="4"/>
  <c r="Y55" i="4" s="1"/>
  <c r="Z55" i="4" s="1"/>
  <c r="C56" i="4"/>
  <c r="D56" i="4" s="1"/>
  <c r="E56" i="4" s="1"/>
  <c r="L56" i="4" s="1"/>
  <c r="F56" i="4"/>
  <c r="G56" i="4"/>
  <c r="H56" i="4" s="1"/>
  <c r="I56" i="4"/>
  <c r="J56" i="4" s="1"/>
  <c r="K56" i="4" s="1"/>
  <c r="M56" i="4"/>
  <c r="N56" i="4" s="1"/>
  <c r="W56" i="4" s="1"/>
  <c r="O56" i="4"/>
  <c r="P56" i="4" s="1"/>
  <c r="R56" i="4"/>
  <c r="S56" i="4"/>
  <c r="T56" i="4"/>
  <c r="V56" i="4"/>
  <c r="X56" i="4"/>
  <c r="Y56" i="4"/>
  <c r="Z56" i="4" s="1"/>
  <c r="C57" i="4"/>
  <c r="D57" i="4" s="1"/>
  <c r="E57" i="4"/>
  <c r="F57" i="4"/>
  <c r="G57" i="4" s="1"/>
  <c r="H57" i="4" s="1"/>
  <c r="I57" i="4"/>
  <c r="J57" i="4"/>
  <c r="K57" i="4" s="1"/>
  <c r="M57" i="4"/>
  <c r="N57" i="4" s="1"/>
  <c r="W57" i="4" s="1"/>
  <c r="O57" i="4"/>
  <c r="P57" i="4" s="1"/>
  <c r="R57" i="4"/>
  <c r="S57" i="4"/>
  <c r="T57" i="4"/>
  <c r="V57" i="4"/>
  <c r="X57" i="4"/>
  <c r="Y57" i="4"/>
  <c r="Z57" i="4" s="1"/>
  <c r="C58" i="4"/>
  <c r="D58" i="4" s="1"/>
  <c r="E58" i="4"/>
  <c r="F58" i="4"/>
  <c r="G58" i="4" s="1"/>
  <c r="H58" i="4" s="1"/>
  <c r="I58" i="4"/>
  <c r="J58" i="4"/>
  <c r="K58" i="4"/>
  <c r="M58" i="4"/>
  <c r="N58" i="4" s="1"/>
  <c r="W58" i="4" s="1"/>
  <c r="O58" i="4"/>
  <c r="P58" i="4" s="1"/>
  <c r="R58" i="4"/>
  <c r="S58" i="4"/>
  <c r="T58" i="4" s="1"/>
  <c r="V58" i="4"/>
  <c r="X58" i="4"/>
  <c r="Y58" i="4" s="1"/>
  <c r="Z58" i="4" s="1"/>
  <c r="C59" i="4"/>
  <c r="D59" i="4" s="1"/>
  <c r="E59" i="4" s="1"/>
  <c r="L59" i="4" s="1"/>
  <c r="F59" i="4"/>
  <c r="G59" i="4"/>
  <c r="H59" i="4" s="1"/>
  <c r="I59" i="4"/>
  <c r="J59" i="4" s="1"/>
  <c r="K59" i="4" s="1"/>
  <c r="M59" i="4"/>
  <c r="N59" i="4" s="1"/>
  <c r="W59" i="4" s="1"/>
  <c r="O59" i="4"/>
  <c r="P59" i="4" s="1"/>
  <c r="R59" i="4"/>
  <c r="S59" i="4"/>
  <c r="T59" i="4" s="1"/>
  <c r="V59" i="4"/>
  <c r="X59" i="4"/>
  <c r="Y59" i="4" s="1"/>
  <c r="Z59" i="4" s="1"/>
  <c r="C60" i="4"/>
  <c r="D60" i="4" s="1"/>
  <c r="E60" i="4" s="1"/>
  <c r="L60" i="4" s="1"/>
  <c r="F60" i="4"/>
  <c r="G60" i="4"/>
  <c r="H60" i="4" s="1"/>
  <c r="I60" i="4"/>
  <c r="J60" i="4" s="1"/>
  <c r="K60" i="4" s="1"/>
  <c r="M60" i="4"/>
  <c r="N60" i="4" s="1"/>
  <c r="W60" i="4" s="1"/>
  <c r="O60" i="4"/>
  <c r="P60" i="4" s="1"/>
  <c r="R60" i="4"/>
  <c r="S60" i="4"/>
  <c r="T60" i="4"/>
  <c r="V60" i="4"/>
  <c r="X60" i="4"/>
  <c r="Y60" i="4"/>
  <c r="Z60" i="4" s="1"/>
  <c r="C61" i="4"/>
  <c r="D61" i="4" s="1"/>
  <c r="E61" i="4"/>
  <c r="F61" i="4"/>
  <c r="G61" i="4" s="1"/>
  <c r="H61" i="4" s="1"/>
  <c r="I61" i="4"/>
  <c r="J61" i="4"/>
  <c r="K61" i="4" s="1"/>
  <c r="M61" i="4"/>
  <c r="N61" i="4" s="1"/>
  <c r="O61" i="4"/>
  <c r="P61" i="4" s="1"/>
  <c r="R61" i="4"/>
  <c r="T61" i="4"/>
  <c r="V61" i="4"/>
  <c r="X61" i="4"/>
  <c r="Y61" i="4" s="1"/>
  <c r="Z61" i="4" s="1"/>
  <c r="C62" i="4"/>
  <c r="D62" i="4" s="1"/>
  <c r="E62" i="4" s="1"/>
  <c r="L62" i="4" s="1"/>
  <c r="F62" i="4"/>
  <c r="G62" i="4"/>
  <c r="H62" i="4"/>
  <c r="I62" i="4"/>
  <c r="J62" i="4"/>
  <c r="K62" i="4"/>
  <c r="M62" i="4"/>
  <c r="N62" i="4" s="1"/>
  <c r="O62" i="4"/>
  <c r="P62" i="4"/>
  <c r="R62" i="4"/>
  <c r="T62" i="4"/>
  <c r="V62" i="4"/>
  <c r="X62" i="4"/>
  <c r="Y62" i="4"/>
  <c r="Z62" i="4"/>
  <c r="C63" i="4"/>
  <c r="D63" i="4" s="1"/>
  <c r="E63" i="4" s="1"/>
  <c r="F63" i="4"/>
  <c r="G63" i="4"/>
  <c r="H63" i="4" s="1"/>
  <c r="I63" i="4"/>
  <c r="J63" i="4" s="1"/>
  <c r="K63" i="4"/>
  <c r="M63" i="4"/>
  <c r="N63" i="4" s="1"/>
  <c r="W63" i="4" s="1"/>
  <c r="O63" i="4"/>
  <c r="P63" i="4"/>
  <c r="R63" i="4"/>
  <c r="T63" i="4"/>
  <c r="V63" i="4"/>
  <c r="X63" i="4"/>
  <c r="Y63" i="4" s="1"/>
  <c r="Z63" i="4" s="1"/>
  <c r="C64" i="4"/>
  <c r="D64" i="4"/>
  <c r="E64" i="4"/>
  <c r="F64" i="4"/>
  <c r="G64" i="4" s="1"/>
  <c r="H64" i="4" s="1"/>
  <c r="L64" i="4" s="1"/>
  <c r="I64" i="4"/>
  <c r="J64" i="4"/>
  <c r="K64" i="4" s="1"/>
  <c r="M64" i="4"/>
  <c r="N64" i="4" s="1"/>
  <c r="W64" i="4" s="1"/>
  <c r="O64" i="4"/>
  <c r="P64" i="4"/>
  <c r="R64" i="4"/>
  <c r="T64" i="4"/>
  <c r="V64" i="4"/>
  <c r="X64" i="4"/>
  <c r="Y64" i="4" s="1"/>
  <c r="Z64" i="4" s="1"/>
  <c r="C65" i="4"/>
  <c r="D65" i="4" s="1"/>
  <c r="E65" i="4" s="1"/>
  <c r="L65" i="4" s="1"/>
  <c r="F65" i="4"/>
  <c r="G65" i="4"/>
  <c r="H65" i="4" s="1"/>
  <c r="I65" i="4"/>
  <c r="J65" i="4" s="1"/>
  <c r="K65" i="4" s="1"/>
  <c r="M65" i="4"/>
  <c r="N65" i="4" s="1"/>
  <c r="W65" i="4" s="1"/>
  <c r="O65" i="4"/>
  <c r="P65" i="4" s="1"/>
  <c r="R65" i="4"/>
  <c r="S65" i="4"/>
  <c r="T65" i="4" s="1"/>
  <c r="V65" i="4"/>
  <c r="X65" i="4"/>
  <c r="Y65" i="4" s="1"/>
  <c r="Z65" i="4" s="1"/>
  <c r="C66" i="4"/>
  <c r="D66" i="4" s="1"/>
  <c r="E66" i="4" s="1"/>
  <c r="L66" i="4" s="1"/>
  <c r="F66" i="4"/>
  <c r="G66" i="4"/>
  <c r="H66" i="4" s="1"/>
  <c r="I66" i="4"/>
  <c r="J66" i="4" s="1"/>
  <c r="K66" i="4" s="1"/>
  <c r="M66" i="4"/>
  <c r="N66" i="4" s="1"/>
  <c r="O66" i="4"/>
  <c r="P66" i="4" s="1"/>
  <c r="R66" i="4"/>
  <c r="S66" i="4"/>
  <c r="T66" i="4" s="1"/>
  <c r="V66" i="4"/>
  <c r="X66" i="4"/>
  <c r="Y66" i="4" s="1"/>
  <c r="Z66" i="4" s="1"/>
  <c r="C67" i="4"/>
  <c r="D67" i="4" s="1"/>
  <c r="E67" i="4" s="1"/>
  <c r="F67" i="4"/>
  <c r="G67" i="4" s="1"/>
  <c r="H67" i="4" s="1"/>
  <c r="I67" i="4"/>
  <c r="J67" i="4"/>
  <c r="K67" i="4" s="1"/>
  <c r="M67" i="4"/>
  <c r="N67" i="4" s="1"/>
  <c r="O67" i="4"/>
  <c r="P67" i="4" s="1"/>
  <c r="R67" i="4"/>
  <c r="S67" i="4"/>
  <c r="T67" i="4" s="1"/>
  <c r="V67" i="4"/>
  <c r="X67" i="4"/>
  <c r="Y67" i="4" s="1"/>
  <c r="Z67" i="4" s="1"/>
  <c r="C68" i="4"/>
  <c r="D68" i="4" s="1"/>
  <c r="E68" i="4" s="1"/>
  <c r="L68" i="4" s="1"/>
  <c r="F68" i="4"/>
  <c r="G68" i="4" s="1"/>
  <c r="H68" i="4" s="1"/>
  <c r="I68" i="4"/>
  <c r="J68" i="4"/>
  <c r="K68" i="4" s="1"/>
  <c r="M68" i="4"/>
  <c r="N68" i="4" s="1"/>
  <c r="O68" i="4"/>
  <c r="P68" i="4" s="1"/>
  <c r="R68" i="4"/>
  <c r="S68" i="4"/>
  <c r="T68" i="4" s="1"/>
  <c r="V68" i="4"/>
  <c r="X68" i="4"/>
  <c r="Y68" i="4" s="1"/>
  <c r="Z68" i="4" s="1"/>
  <c r="D13" i="3"/>
  <c r="I11" i="3"/>
  <c r="B7" i="3"/>
  <c r="E6" i="3"/>
  <c r="D6" i="3"/>
  <c r="C6" i="3"/>
  <c r="D15" i="3" s="1"/>
  <c r="D5" i="3"/>
  <c r="C5" i="3"/>
  <c r="D14" i="3" s="1"/>
  <c r="D3" i="3"/>
  <c r="D12" i="3" s="1"/>
  <c r="F2" i="3"/>
  <c r="F7" i="3" s="1"/>
  <c r="E2" i="3"/>
  <c r="E7" i="3" s="1"/>
  <c r="D2" i="3"/>
  <c r="D7" i="3" s="1"/>
  <c r="C2" i="3"/>
  <c r="C7" i="3" s="1"/>
  <c r="I9" i="2"/>
  <c r="D9" i="2"/>
  <c r="D5" i="2"/>
  <c r="C5" i="2"/>
  <c r="C4" i="2"/>
  <c r="B4" i="2"/>
  <c r="D11" i="2" s="1"/>
  <c r="B3" i="2"/>
  <c r="D10" i="2" s="1"/>
  <c r="AA59" i="4" l="1"/>
  <c r="AB59" i="4" s="1"/>
  <c r="AA64" i="4"/>
  <c r="AB64" i="4" s="1"/>
  <c r="AA14" i="4"/>
  <c r="AB14" i="4" s="1"/>
  <c r="W30" i="4"/>
  <c r="W62" i="4"/>
  <c r="AA62" i="4" s="1"/>
  <c r="AB62" i="4" s="1"/>
  <c r="W54" i="4"/>
  <c r="AA47" i="4"/>
  <c r="AB47" i="4" s="1"/>
  <c r="AA43" i="4"/>
  <c r="AB43" i="4" s="1"/>
  <c r="W25" i="4"/>
  <c r="W17" i="4"/>
  <c r="AA17" i="4" s="1"/>
  <c r="AB17" i="4" s="1"/>
  <c r="AA60" i="4"/>
  <c r="AB60" i="4" s="1"/>
  <c r="AA56" i="4"/>
  <c r="AB56" i="4" s="1"/>
  <c r="W66" i="4"/>
  <c r="AA66" i="4" s="1"/>
  <c r="AB66" i="4" s="1"/>
  <c r="W67" i="4"/>
  <c r="L63" i="4"/>
  <c r="AA63" i="4" s="1"/>
  <c r="AB63" i="4" s="1"/>
  <c r="AA57" i="4"/>
  <c r="AB57" i="4" s="1"/>
  <c r="AA55" i="4"/>
  <c r="AB55" i="4" s="1"/>
  <c r="AA54" i="4"/>
  <c r="AB54" i="4" s="1"/>
  <c r="AA53" i="4"/>
  <c r="AB53" i="4" s="1"/>
  <c r="AA30" i="4"/>
  <c r="AB30" i="4" s="1"/>
  <c r="W68" i="4"/>
  <c r="AA68" i="4" s="1"/>
  <c r="AB68" i="4" s="1"/>
  <c r="L67" i="4"/>
  <c r="AA67" i="4" s="1"/>
  <c r="AB67" i="4" s="1"/>
  <c r="AA65" i="4"/>
  <c r="AB65" i="4" s="1"/>
  <c r="L53" i="4"/>
  <c r="W51" i="4"/>
  <c r="AA51" i="4" s="1"/>
  <c r="AB51" i="4" s="1"/>
  <c r="L49" i="4"/>
  <c r="AA36" i="4"/>
  <c r="AB36" i="4" s="1"/>
  <c r="AA28" i="4"/>
  <c r="AB28" i="4" s="1"/>
  <c r="L28" i="4"/>
  <c r="W27" i="4"/>
  <c r="AA16" i="4"/>
  <c r="AB16" i="4" s="1"/>
  <c r="L57" i="4"/>
  <c r="L58" i="4"/>
  <c r="AA58" i="4" s="1"/>
  <c r="AB58" i="4" s="1"/>
  <c r="L50" i="4"/>
  <c r="W46" i="4"/>
  <c r="L45" i="4"/>
  <c r="W39" i="4"/>
  <c r="AA39" i="4" s="1"/>
  <c r="AB39" i="4" s="1"/>
  <c r="W38" i="4"/>
  <c r="AA38" i="4" s="1"/>
  <c r="AB38" i="4" s="1"/>
  <c r="W37" i="4"/>
  <c r="L32" i="4"/>
  <c r="AA32" i="4" s="1"/>
  <c r="AB32" i="4" s="1"/>
  <c r="W31" i="4"/>
  <c r="AA31" i="4" s="1"/>
  <c r="AB31" i="4" s="1"/>
  <c r="L30" i="4"/>
  <c r="W29" i="4"/>
  <c r="AA29" i="4" s="1"/>
  <c r="AB29" i="4" s="1"/>
  <c r="L27" i="4"/>
  <c r="W12" i="4"/>
  <c r="AA12" i="4" s="1"/>
  <c r="AB12" i="4" s="1"/>
  <c r="L61" i="4"/>
  <c r="W52" i="4"/>
  <c r="AA52" i="4" s="1"/>
  <c r="AB52" i="4" s="1"/>
  <c r="AA41" i="4"/>
  <c r="AB41" i="4" s="1"/>
  <c r="AA15" i="4"/>
  <c r="AB15" i="4" s="1"/>
  <c r="W61" i="4"/>
  <c r="AA61" i="4" s="1"/>
  <c r="AB61" i="4" s="1"/>
  <c r="W50" i="4"/>
  <c r="AA50" i="4" s="1"/>
  <c r="AB50" i="4" s="1"/>
  <c r="W49" i="4"/>
  <c r="AA49" i="4" s="1"/>
  <c r="AB49" i="4" s="1"/>
  <c r="AA48" i="4"/>
  <c r="AB48" i="4" s="1"/>
  <c r="L46" i="4"/>
  <c r="W45" i="4"/>
  <c r="AA45" i="4" s="1"/>
  <c r="AB45" i="4" s="1"/>
  <c r="AA42" i="4"/>
  <c r="AB42" i="4" s="1"/>
  <c r="L40" i="4"/>
  <c r="AA40" i="4" s="1"/>
  <c r="AB40" i="4" s="1"/>
  <c r="L39" i="4"/>
  <c r="L38" i="4"/>
  <c r="L37" i="4"/>
  <c r="W35" i="4"/>
  <c r="AA35" i="4" s="1"/>
  <c r="AB35" i="4" s="1"/>
  <c r="L35" i="4"/>
  <c r="W34" i="4"/>
  <c r="AA34" i="4" s="1"/>
  <c r="AB34" i="4" s="1"/>
  <c r="L34" i="4"/>
  <c r="W33" i="4"/>
  <c r="AA33" i="4" s="1"/>
  <c r="AB33" i="4" s="1"/>
  <c r="W26" i="4"/>
  <c r="AA26" i="4" s="1"/>
  <c r="AB26" i="4" s="1"/>
  <c r="L26" i="4"/>
  <c r="L31" i="4"/>
  <c r="L25" i="4"/>
  <c r="W21" i="4"/>
  <c r="AA21" i="4" s="1"/>
  <c r="AB21" i="4" s="1"/>
  <c r="L19" i="4"/>
  <c r="W18" i="4"/>
  <c r="AA18" i="4" s="1"/>
  <c r="AB18" i="4" s="1"/>
  <c r="W9" i="4"/>
  <c r="AA9" i="4" s="1"/>
  <c r="AB9" i="4" s="1"/>
  <c r="L24" i="4"/>
  <c r="AA24" i="4" s="1"/>
  <c r="AB24" i="4" s="1"/>
  <c r="W22" i="4"/>
  <c r="W19" i="4"/>
  <c r="AA19" i="4" s="1"/>
  <c r="AB19" i="4" s="1"/>
  <c r="L18" i="4"/>
  <c r="L9" i="4"/>
  <c r="L8" i="4"/>
  <c r="W6" i="4"/>
  <c r="AA6" i="4" s="1"/>
  <c r="AB6" i="4" s="1"/>
  <c r="W23" i="4"/>
  <c r="AA23" i="4" s="1"/>
  <c r="AB23" i="4" s="1"/>
  <c r="L22" i="4"/>
  <c r="W20" i="4"/>
  <c r="AA20" i="4" s="1"/>
  <c r="AB20" i="4" s="1"/>
  <c r="L17" i="4"/>
  <c r="L11" i="4"/>
  <c r="AA11" i="4" s="1"/>
  <c r="AB11" i="4" s="1"/>
  <c r="W7" i="4"/>
  <c r="AA7" i="4" s="1"/>
  <c r="AB7" i="4" s="1"/>
  <c r="W8" i="4"/>
  <c r="W3" i="4"/>
  <c r="AA3" i="4" s="1"/>
  <c r="AB3" i="4" s="1"/>
  <c r="W4" i="4"/>
  <c r="AA4" i="4" s="1"/>
  <c r="AB4" i="4" s="1"/>
  <c r="L3" i="4"/>
  <c r="L7" i="4"/>
  <c r="L6" i="4"/>
  <c r="W5" i="4"/>
  <c r="AA5" i="4" s="1"/>
  <c r="AB5" i="4" s="1"/>
  <c r="L4" i="4"/>
  <c r="D12" i="2"/>
  <c r="E9" i="2" s="1"/>
  <c r="E10" i="2"/>
  <c r="D11" i="3"/>
  <c r="B5" i="2"/>
  <c r="AA25" i="4" l="1"/>
  <c r="AB25" i="4" s="1"/>
  <c r="AA37" i="4"/>
  <c r="AB37" i="4" s="1"/>
  <c r="AA46" i="4"/>
  <c r="AB46" i="4" s="1"/>
  <c r="AA8" i="4"/>
  <c r="AB8" i="4" s="1"/>
  <c r="AA27" i="4"/>
  <c r="AB27" i="4" s="1"/>
  <c r="AA22" i="4"/>
  <c r="AB22" i="4" s="1"/>
  <c r="D16" i="3"/>
  <c r="I3" i="2"/>
  <c r="F10" i="2"/>
  <c r="F9" i="2"/>
  <c r="I2" i="2"/>
  <c r="E11" i="2"/>
  <c r="E14" i="3" l="1"/>
  <c r="E12" i="3"/>
  <c r="E13" i="3"/>
  <c r="E15" i="3"/>
  <c r="I4" i="2"/>
  <c r="F11" i="2"/>
  <c r="F12" i="2" s="1"/>
  <c r="I8" i="2" s="1"/>
  <c r="I10" i="2" s="1"/>
  <c r="E11" i="3"/>
  <c r="F13" i="3" l="1"/>
  <c r="I4" i="3"/>
  <c r="F14" i="3"/>
  <c r="I5" i="3"/>
  <c r="F11" i="3"/>
  <c r="I2" i="3"/>
  <c r="F12" i="3"/>
  <c r="I3" i="3"/>
  <c r="I6" i="3"/>
  <c r="F15" i="3"/>
  <c r="F16" i="3" l="1"/>
  <c r="I10" i="3" s="1"/>
  <c r="I1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7" authorId="0" shapeId="0" xr:uid="{00000000-0006-0000-0000-00000C000000}">
      <text>
        <r>
          <rPr>
            <sz val="10"/>
            <color rgb="FF000000"/>
            <rFont val="Calibri"/>
            <scheme val="minor"/>
          </rPr>
          <t>Compra en 2018
	-MANUELA RENDON OCHOA
----
No hay dato de vida útil
	-MANUELA RENDON OCHOA
Obtenida del INVIMA
	-MANUELA RENDON OCHOA</t>
        </r>
      </text>
    </comment>
    <comment ref="S12" authorId="0" shapeId="0" xr:uid="{00000000-0006-0000-0000-000001000000}">
      <text>
        <r>
          <rPr>
            <sz val="10"/>
            <color rgb="FF000000"/>
            <rFont val="Calibri"/>
            <scheme val="minor"/>
          </rPr>
          <t>Se asume tiempo en fuera de servicio
	-MANUELA RENDON OCHOA</t>
        </r>
      </text>
    </comment>
    <comment ref="M14" authorId="0" shapeId="0" xr:uid="{00000000-0006-0000-0000-00000B000000}">
      <text>
        <r>
          <rPr>
            <sz val="10"/>
            <color rgb="FF000000"/>
            <rFont val="Calibri"/>
            <scheme val="minor"/>
          </rPr>
          <t>Compra en 2019
	-MANUELA RENDON OCHOA
----
Sin dato de vida útil
	-MANUELA RENDON OCHOA
En el INVIMA no se especifica vida útil, se asume 10 años
	-MANUELA RENDON OCHOA
----
	-MANUELA RENDON OCHOA</t>
        </r>
      </text>
    </comment>
    <comment ref="M18" authorId="0" shapeId="0" xr:uid="{00000000-0006-0000-0000-00000A000000}">
      <text>
        <r>
          <rPr>
            <sz val="10"/>
            <color rgb="FF000000"/>
            <rFont val="Calibri"/>
            <scheme val="minor"/>
          </rPr>
          <t>Los datos son reales? Vida útil de 10 años mientras que otros equipos iguales con 5 años
	-MANUELA RENDON OCHOA</t>
        </r>
      </text>
    </comment>
    <comment ref="M20" authorId="0" shapeId="0" xr:uid="{00000000-0006-0000-0000-000009000000}">
      <text>
        <r>
          <rPr>
            <sz val="10"/>
            <color rgb="FF000000"/>
            <rFont val="Calibri"/>
            <scheme val="minor"/>
          </rPr>
          <t>Sin dato de vida útil y fecha de compra
	-MANUELA RENDON OCHOA
Equipo sin documentación, no tiene INVIMA, no tiene factura
	-MANUELA RENDON OCHOA</t>
        </r>
      </text>
    </comment>
    <comment ref="M21" authorId="0" shapeId="0" xr:uid="{00000000-0006-0000-0000-000008000000}">
      <text>
        <r>
          <rPr>
            <sz val="10"/>
            <color rgb="FF000000"/>
            <rFont val="Calibri"/>
            <scheme val="minor"/>
          </rPr>
          <t>Sin dato de vida útil
	-MANUELA RENDON OCHOA
No requiere INVIMA, no se tiene dato
	-MANUELA RENDON OCHOA
Se asumen 5 años
	-MANUELA RENDON OCHOA</t>
        </r>
      </text>
    </comment>
    <comment ref="M22" authorId="0" shapeId="0" xr:uid="{00000000-0006-0000-0000-000007000000}">
      <text>
        <r>
          <rPr>
            <sz val="10"/>
            <color rgb="FF000000"/>
            <rFont val="Calibri"/>
            <scheme val="minor"/>
          </rPr>
          <t>Sin dato de vida útil
	-MANUELA RENDON OCHOA
No requiere INVIMA, se asumen 5 años
	-MANUELA RENDON OCHOA</t>
        </r>
      </text>
    </comment>
    <comment ref="M28" authorId="0" shapeId="0" xr:uid="{00000000-0006-0000-0000-000006000000}">
      <text>
        <r>
          <rPr>
            <sz val="10"/>
            <color rgb="FF000000"/>
            <rFont val="Calibri"/>
            <scheme val="minor"/>
          </rPr>
          <t>Sin dato de vida útil
	-MANUELA RENDON OCHOA
El invima que se encuentra es para comercialización de accesorios y repuestos. Se asumen temporalmente 10 años
	-MANUELA RENDON OCHOA</t>
        </r>
      </text>
    </comment>
    <comment ref="M52" authorId="0" shapeId="0" xr:uid="{00000000-0006-0000-0000-000005000000}">
      <text>
        <r>
          <rPr>
            <sz val="10"/>
            <color rgb="FF000000"/>
            <rFont val="Calibri"/>
            <scheme val="minor"/>
          </rPr>
          <t>Sin dato de vida útil
	-MANUELA RENDON OCHOA
¿No es considerado DM?
Se asumen 10 años de vida útil
	-MANUELA RENDON OCHOA
----
Sin dato de vida útil
	-MANUELA RENDON OCHOA</t>
        </r>
      </text>
    </comment>
    <comment ref="A66" authorId="0" shapeId="0" xr:uid="{00000000-0006-0000-0000-000003000000}">
      <text>
        <r>
          <rPr>
            <sz val="10"/>
            <color rgb="FF000000"/>
            <rFont val="Calibri"/>
            <scheme val="minor"/>
          </rPr>
          <t>El monitor en préstamo a UCC
	-MANUELA RENDON OCHOA</t>
        </r>
      </text>
    </comment>
    <comment ref="M66" authorId="0" shapeId="0" xr:uid="{00000000-0006-0000-0000-000004000000}">
      <text>
        <r>
          <rPr>
            <sz val="10"/>
            <color rgb="FF000000"/>
            <rFont val="Calibri"/>
            <scheme val="minor"/>
          </rPr>
          <t>Compra en 2020
	-MANUELA RENDON OCHOA</t>
        </r>
      </text>
    </comment>
    <comment ref="M69" authorId="0" shapeId="0" xr:uid="{00000000-0006-0000-0000-000002000000}">
      <text>
        <r>
          <rPr>
            <sz val="10"/>
            <color rgb="FF000000"/>
            <rFont val="Calibri"/>
            <scheme val="minor"/>
          </rPr>
          <t>Compra en 2021
	-MANUELA RENDON OCHOA
----
Compra en 2021
	-MANUELA RENDON OCHOA
----
Compra en 2021
	-MANUELA RENDON OCHOA
----
Compra en 2021
	-MANUELA RENDON OCHOA
----
Compra en 2020
	-MANUELA RENDON OCHOA
----
Compra 2018
	-MANUELA RENDON OCHOA</t>
        </r>
      </text>
    </comment>
  </commentList>
</comments>
</file>

<file path=xl/sharedStrings.xml><?xml version="1.0" encoding="utf-8"?>
<sst xmlns="http://schemas.openxmlformats.org/spreadsheetml/2006/main" count="202" uniqueCount="128">
  <si>
    <t>Utilidad</t>
  </si>
  <si>
    <t>Confiabilidad</t>
  </si>
  <si>
    <t>Facilidad en el uso</t>
  </si>
  <si>
    <t>Vida útil / Edad del equipo</t>
  </si>
  <si>
    <t>Soporte de repuestos</t>
  </si>
  <si>
    <t>Tiempo fuera de servicio</t>
  </si>
  <si>
    <t>Cantidad eventos adversos</t>
  </si>
  <si>
    <t>CRITERIO CLÍNICO</t>
  </si>
  <si>
    <t>%Criterios</t>
  </si>
  <si>
    <t>Sumatoria</t>
  </si>
  <si>
    <t>Igual</t>
  </si>
  <si>
    <t>Potencia</t>
  </si>
  <si>
    <t>Ci</t>
  </si>
  <si>
    <t>Lambdai</t>
  </si>
  <si>
    <t>Moderado</t>
  </si>
  <si>
    <t>Rci</t>
  </si>
  <si>
    <t>Fuerte</t>
  </si>
  <si>
    <t>CR</t>
  </si>
  <si>
    <t>Consistente</t>
  </si>
  <si>
    <t>Muy fuerte</t>
  </si>
  <si>
    <t>Extrema</t>
  </si>
  <si>
    <t>Valores intermedios</t>
  </si>
  <si>
    <t>2,4,6,8</t>
  </si>
  <si>
    <t>CRITERIO TÉCNICO</t>
  </si>
  <si>
    <t>Relación vida útil y edad del equipo</t>
  </si>
  <si>
    <t>Relación entre mantenimientos preventivos y  correctivos</t>
  </si>
  <si>
    <t>BMIC-CALTE030</t>
  </si>
  <si>
    <t>SISTEMA CALENTADOR TERMICO</t>
  </si>
  <si>
    <t>BMIC-CALTE024</t>
  </si>
  <si>
    <t>BMIC-CALTE022</t>
  </si>
  <si>
    <t>BMMO-MONIT139</t>
  </si>
  <si>
    <t>MONITOR DE SIGNOS VITALES</t>
  </si>
  <si>
    <t>BMMO-MONIT138</t>
  </si>
  <si>
    <t>BMMO-MONIT137</t>
  </si>
  <si>
    <t>BMMO-MONIT059</t>
  </si>
  <si>
    <t>BMMO-MONIT158</t>
  </si>
  <si>
    <t>BMMO-MONIT063</t>
  </si>
  <si>
    <t>BMMO-MONIT072</t>
  </si>
  <si>
    <t>BMMO-MONIT065</t>
  </si>
  <si>
    <t>BMMO-MONIT094</t>
  </si>
  <si>
    <t>BMMO-MONIT95</t>
  </si>
  <si>
    <t>BMBO-BOMPE22</t>
  </si>
  <si>
    <t>MAQUINA DE CIRCULACION EXTRACORPOREA</t>
  </si>
  <si>
    <t>BMBO-BOMPE21</t>
  </si>
  <si>
    <t>BMMI-MICROS001</t>
  </si>
  <si>
    <t>MICROSCOPIO QUIRURGICO</t>
  </si>
  <si>
    <t>BMMM-MICRO01</t>
  </si>
  <si>
    <t>MICROMOTOR MODULO ODONTOLOGICO</t>
  </si>
  <si>
    <t>BMME-MESA011</t>
  </si>
  <si>
    <t>MESA DE CIRUGIA</t>
  </si>
  <si>
    <t>BMME-MESA010</t>
  </si>
  <si>
    <t>BMME-MESA009</t>
  </si>
  <si>
    <t>BMME-MESA014</t>
  </si>
  <si>
    <t>BMME-MESA013</t>
  </si>
  <si>
    <t>BMME-MESA012</t>
  </si>
  <si>
    <t>BMMP-MAREX29</t>
  </si>
  <si>
    <t>MARCAPASO EXTERNO</t>
  </si>
  <si>
    <t>BMMP-MAREX02</t>
  </si>
  <si>
    <t>BMMP-MAREX33</t>
  </si>
  <si>
    <t>BMMA-MAQAN016</t>
  </si>
  <si>
    <t>MAQUINA DE ANESTESIA</t>
  </si>
  <si>
    <t>BMMA-MAQAN015</t>
  </si>
  <si>
    <t>BMMA-MAQAN017</t>
  </si>
  <si>
    <t>BMMA-MAQAN014</t>
  </si>
  <si>
    <t>BMMA-MAQAN018</t>
  </si>
  <si>
    <t>BMMA-MAQAN011</t>
  </si>
  <si>
    <t>BMMJ-MANU01</t>
  </si>
  <si>
    <t>MANUJETIII</t>
  </si>
  <si>
    <t>BMLA-LAMPIE01</t>
  </si>
  <si>
    <t>LAMPARA PIELITICA</t>
  </si>
  <si>
    <t>BMLA-LAMCIE21</t>
  </si>
  <si>
    <t>LAMPARA CIELITICA</t>
  </si>
  <si>
    <t>BMLA-LAMCIE22</t>
  </si>
  <si>
    <t>BMLA-LAMCIE19</t>
  </si>
  <si>
    <t>BMLA-LAMCIE18</t>
  </si>
  <si>
    <t>BMLA-LAMCIE20</t>
  </si>
  <si>
    <t>BMLA-LAMCIE17</t>
  </si>
  <si>
    <t>BMIC-INTCAL6</t>
  </si>
  <si>
    <t>INTERCAMBIADOR DE CALOR</t>
  </si>
  <si>
    <t>BMIC-INTCAL2</t>
  </si>
  <si>
    <t xml:space="preserve">INTERCAMBIADOR DE CALOR </t>
  </si>
  <si>
    <t>BMIC-INTCAL7</t>
  </si>
  <si>
    <t>BMIC-INTCAL3</t>
  </si>
  <si>
    <t>BMVR-VERIQ01</t>
  </si>
  <si>
    <t>FLUJOMETRO VASCULAR VERIQ</t>
  </si>
  <si>
    <t>BMEO-EQODON1</t>
  </si>
  <si>
    <t>EQUIPO DE ODONTOLOGIA PORTATIL</t>
  </si>
  <si>
    <t>BMGA-EQUGAS009</t>
  </si>
  <si>
    <t>EQUIPO DE GASES ARTERIALES</t>
  </si>
  <si>
    <t>BMGA-EQUGAS006</t>
  </si>
  <si>
    <t>BMGA-EQUGAS007</t>
  </si>
  <si>
    <t>BMEL-ELEC017</t>
  </si>
  <si>
    <t>ELECTROBISTURI</t>
  </si>
  <si>
    <t>BMEL-ELEC010</t>
  </si>
  <si>
    <t>BMEL-ELEC014</t>
  </si>
  <si>
    <t>BMEL-ELEC013</t>
  </si>
  <si>
    <t>BMEL-ELEC015</t>
  </si>
  <si>
    <t>BMEL-ELEC016</t>
  </si>
  <si>
    <t>BMEL-ELEC012</t>
  </si>
  <si>
    <t>BMDF-DESFI46</t>
  </si>
  <si>
    <t>DESFIBRILADOR</t>
  </si>
  <si>
    <t>BMDF-DESFI31</t>
  </si>
  <si>
    <t>BMDF-DESFI47</t>
  </si>
  <si>
    <t>BMCT-CRANEO01</t>
  </si>
  <si>
    <t>CRANEOTOMO</t>
  </si>
  <si>
    <t>BMEL-ELEC019</t>
  </si>
  <si>
    <t>BISTURI ARMONICO</t>
  </si>
  <si>
    <t>BMBI-BIOTR02</t>
  </si>
  <si>
    <t>BIOTREND</t>
  </si>
  <si>
    <t>BMBO-BOMPE19</t>
  </si>
  <si>
    <t>BIOCONSOLA</t>
  </si>
  <si>
    <t>BMAC-ACUTIM15</t>
  </si>
  <si>
    <t>ACT</t>
  </si>
  <si>
    <t>BMAC-ACUTIM14</t>
  </si>
  <si>
    <t>BMAC-ACUTIM13</t>
  </si>
  <si>
    <t>RECOMENDACIÓN</t>
  </si>
  <si>
    <t>PUNTAJE</t>
  </si>
  <si>
    <t>PUNTAJE CRITERIO ECONÓMICO</t>
  </si>
  <si>
    <t>Costo mantenimiento, repuestos y suministros / Precio adquisición</t>
  </si>
  <si>
    <t>PUNTAJE CRITERIO TÉCNICO</t>
  </si>
  <si>
    <t>Tiempo fuera de servicio (Meses)</t>
  </si>
  <si>
    <t>Soporte de repuestos (Años)</t>
  </si>
  <si>
    <t>Mttos preventivos /  Mttos correctivos</t>
  </si>
  <si>
    <t>PUNTAJE CRITERIO CLÍNICO</t>
  </si>
  <si>
    <t>RESULTADO</t>
  </si>
  <si>
    <t>CRITERIO ECONÓMICO</t>
  </si>
  <si>
    <t>CÓDIGO INTERNO</t>
  </si>
  <si>
    <t>NOMBRE DEL EQUIPO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</si>
</sst>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"/>
    <numFmt numFmtId="166" formatCode="[$ $]#,##0"/>
    <numFmt numFmtId="167" formatCode="#,##0.0"/>
    <numFmt numFmtId="168" formatCode="0.0%"/>
  </numFmts>
  <fonts count="21" x14ac:knownFonts="1">
    <font>
      <sz val="12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b/>
      <sz val="14"/>
      <color theme="0"/>
      <name val="Arial"/>
    </font>
    <font>
      <sz val="10"/>
      <color theme="0"/>
      <name val="Arial"/>
    </font>
    <font>
      <b/>
      <sz val="10"/>
      <color rgb="FFC00000"/>
      <name val="Arial"/>
    </font>
    <font>
      <i/>
      <sz val="12"/>
      <color theme="1"/>
      <name val="Calibri"/>
    </font>
    <font>
      <sz val="12"/>
      <color theme="1"/>
      <name val="Calibri"/>
    </font>
    <font>
      <sz val="10"/>
      <color rgb="FF000000"/>
      <name val="Calibri"/>
      <scheme val="minor"/>
    </font>
    <font>
      <sz val="10"/>
      <color theme="1"/>
      <name val="Calibri"/>
      <scheme val="minor"/>
    </font>
    <font>
      <sz val="11"/>
      <color theme="1"/>
      <name val="Calibri"/>
    </font>
    <font>
      <sz val="11"/>
      <color rgb="FF000000"/>
      <name val="Inconsolata"/>
    </font>
    <font>
      <b/>
      <sz val="11"/>
      <color theme="1"/>
      <name val="Calibri"/>
    </font>
    <font>
      <b/>
      <i/>
      <sz val="11"/>
      <color theme="1"/>
      <name val="Calibri"/>
    </font>
    <font>
      <b/>
      <i/>
      <sz val="11"/>
      <color rgb="FFFFFFFF"/>
      <name val="Calibri"/>
    </font>
    <font>
      <sz val="10"/>
      <name val="Arial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B4EBF6"/>
        <bgColor rgb="FFB4EBF6"/>
      </patternFill>
    </fill>
    <fill>
      <patternFill patternType="solid">
        <fgColor rgb="FF2E75B5"/>
        <bgColor rgb="FF2E75B5"/>
      </patternFill>
    </fill>
    <fill>
      <patternFill patternType="solid">
        <fgColor rgb="FFE7E6E6"/>
        <bgColor rgb="FFE7E6E6"/>
      </patternFill>
    </fill>
    <fill>
      <patternFill patternType="solid">
        <fgColor rgb="FFE9DEFE"/>
        <bgColor rgb="FFE9DEFE"/>
      </patternFill>
    </fill>
    <fill>
      <patternFill patternType="solid">
        <fgColor rgb="FFC5E0B3"/>
        <bgColor rgb="FFC5E0B3"/>
      </patternFill>
    </fill>
    <fill>
      <patternFill patternType="solid">
        <fgColor rgb="FFADB9CA"/>
        <bgColor rgb="FFADB9C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B7B7B7"/>
        <bgColor rgb="FFB7B7B7"/>
      </patternFill>
    </fill>
    <fill>
      <patternFill patternType="solid">
        <fgColor rgb="FFCFE2F3"/>
        <bgColor rgb="FFCFE2F3"/>
      </patternFill>
    </fill>
    <fill>
      <patternFill patternType="solid">
        <fgColor rgb="FFFCE3E3"/>
        <bgColor rgb="FFFCE3E3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B4A7D6"/>
        <bgColor rgb="FFB4A7D6"/>
      </patternFill>
    </fill>
    <fill>
      <patternFill patternType="solid">
        <fgColor rgb="FFD9D2E9"/>
        <bgColor rgb="FFD9D2E9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EFEFEF"/>
        <bgColor rgb="FFEFEFEF"/>
      </patternFill>
    </fill>
    <fill>
      <patternFill patternType="solid">
        <fgColor rgb="FFFFE599"/>
        <bgColor rgb="FFFFE5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9DAF8"/>
      </patternFill>
    </fill>
    <fill>
      <patternFill patternType="solid">
        <fgColor theme="0"/>
        <bgColor rgb="FFCFE2F3"/>
      </patternFill>
    </fill>
    <fill>
      <patternFill patternType="solid">
        <fgColor theme="0"/>
        <bgColor rgb="FFB7B7B7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33">
    <xf numFmtId="0" fontId="0" fillId="0" borderId="0" xfId="0" applyFont="1" applyAlignment="1"/>
    <xf numFmtId="0" fontId="1" fillId="0" borderId="0" xfId="0" applyFont="1"/>
    <xf numFmtId="0" fontId="4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64" fontId="1" fillId="5" borderId="2" xfId="0" applyNumberFormat="1" applyFont="1" applyFill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164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wrapText="1"/>
    </xf>
    <xf numFmtId="0" fontId="5" fillId="6" borderId="2" xfId="0" applyFont="1" applyFill="1" applyBorder="1" applyAlignment="1">
      <alignment horizontal="center" vertical="center" wrapText="1"/>
    </xf>
    <xf numFmtId="164" fontId="1" fillId="7" borderId="2" xfId="0" applyNumberFormat="1" applyFont="1" applyFill="1" applyBorder="1" applyAlignment="1">
      <alignment wrapText="1"/>
    </xf>
    <xf numFmtId="0" fontId="3" fillId="8" borderId="2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9" borderId="2" xfId="0" applyFont="1" applyFill="1" applyBorder="1" applyAlignment="1">
      <alignment horizontal="center" wrapText="1"/>
    </xf>
    <xf numFmtId="0" fontId="2" fillId="9" borderId="2" xfId="0" applyFont="1" applyFill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wrapText="1"/>
    </xf>
    <xf numFmtId="2" fontId="2" fillId="9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2" fontId="1" fillId="10" borderId="1" xfId="0" applyNumberFormat="1" applyFont="1" applyFill="1" applyBorder="1" applyAlignment="1">
      <alignment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2" fontId="1" fillId="10" borderId="2" xfId="0" applyNumberFormat="1" applyFont="1" applyFill="1" applyBorder="1" applyAlignment="1">
      <alignment wrapText="1"/>
    </xf>
    <xf numFmtId="0" fontId="9" fillId="0" borderId="0" xfId="1" applyFont="1" applyAlignment="1"/>
    <xf numFmtId="2" fontId="10" fillId="0" borderId="0" xfId="1" applyNumberFormat="1" applyFont="1"/>
    <xf numFmtId="165" fontId="10" fillId="0" borderId="0" xfId="1" applyNumberFormat="1" applyFont="1"/>
    <xf numFmtId="0" fontId="11" fillId="0" borderId="0" xfId="1" applyFont="1"/>
    <xf numFmtId="2" fontId="11" fillId="0" borderId="0" xfId="1" applyNumberFormat="1" applyFont="1"/>
    <xf numFmtId="165" fontId="11" fillId="0" borderId="0" xfId="1" applyNumberFormat="1" applyFont="1"/>
    <xf numFmtId="166" fontId="11" fillId="0" borderId="0" xfId="1" applyNumberFormat="1" applyFont="1"/>
    <xf numFmtId="0" fontId="11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165" fontId="11" fillId="0" borderId="0" xfId="1" applyNumberFormat="1" applyFont="1" applyAlignment="1">
      <alignment horizontal="center"/>
    </xf>
    <xf numFmtId="0" fontId="11" fillId="0" borderId="0" xfId="1" applyFont="1" applyAlignment="1"/>
    <xf numFmtId="0" fontId="11" fillId="0" borderId="0" xfId="1" applyFont="1" applyAlignment="1">
      <alignment horizontal="center" wrapText="1"/>
    </xf>
    <xf numFmtId="2" fontId="11" fillId="25" borderId="0" xfId="1" applyNumberFormat="1" applyFont="1" applyFill="1"/>
    <xf numFmtId="2" fontId="10" fillId="25" borderId="0" xfId="1" applyNumberFormat="1" applyFont="1" applyFill="1"/>
    <xf numFmtId="0" fontId="18" fillId="13" borderId="3" xfId="1" applyFont="1" applyFill="1" applyBorder="1" applyAlignment="1"/>
    <xf numFmtId="0" fontId="18" fillId="0" borderId="3" xfId="1" applyFont="1" applyBorder="1" applyAlignment="1">
      <alignment horizontal="center" wrapText="1"/>
    </xf>
    <xf numFmtId="165" fontId="9" fillId="0" borderId="0" xfId="1" applyNumberFormat="1" applyFont="1" applyAlignment="1"/>
    <xf numFmtId="2" fontId="9" fillId="0" borderId="0" xfId="1" applyNumberFormat="1" applyFont="1" applyAlignment="1"/>
    <xf numFmtId="0" fontId="18" fillId="13" borderId="5" xfId="1" applyFont="1" applyFill="1" applyBorder="1" applyAlignment="1"/>
    <xf numFmtId="0" fontId="18" fillId="0" borderId="5" xfId="1" applyFont="1" applyBorder="1" applyAlignment="1">
      <alignment horizontal="center" wrapText="1"/>
    </xf>
    <xf numFmtId="0" fontId="18" fillId="13" borderId="6" xfId="1" applyFont="1" applyFill="1" applyBorder="1" applyAlignment="1"/>
    <xf numFmtId="0" fontId="18" fillId="13" borderId="7" xfId="1" applyFont="1" applyFill="1" applyBorder="1" applyAlignment="1"/>
    <xf numFmtId="164" fontId="19" fillId="12" borderId="11" xfId="1" applyNumberFormat="1" applyFont="1" applyFill="1" applyBorder="1" applyAlignment="1">
      <alignment horizontal="center"/>
    </xf>
    <xf numFmtId="168" fontId="18" fillId="0" borderId="12" xfId="1" applyNumberFormat="1" applyFont="1" applyBorder="1" applyAlignment="1">
      <alignment horizontal="center" wrapText="1"/>
    </xf>
    <xf numFmtId="164" fontId="19" fillId="12" borderId="13" xfId="1" applyNumberFormat="1" applyFont="1" applyFill="1" applyBorder="1" applyAlignment="1">
      <alignment horizontal="center"/>
    </xf>
    <xf numFmtId="168" fontId="18" fillId="0" borderId="14" xfId="1" applyNumberFormat="1" applyFont="1" applyBorder="1" applyAlignment="1">
      <alignment horizontal="center" wrapText="1"/>
    </xf>
    <xf numFmtId="164" fontId="19" fillId="12" borderId="15" xfId="1" applyNumberFormat="1" applyFont="1" applyFill="1" applyBorder="1" applyAlignment="1">
      <alignment horizontal="center"/>
    </xf>
    <xf numFmtId="0" fontId="18" fillId="0" borderId="16" xfId="1" applyFont="1" applyBorder="1" applyAlignment="1">
      <alignment horizontal="center" wrapText="1"/>
    </xf>
    <xf numFmtId="168" fontId="18" fillId="0" borderId="17" xfId="1" applyNumberFormat="1" applyFont="1" applyBorder="1" applyAlignment="1">
      <alignment horizontal="center" wrapText="1"/>
    </xf>
    <xf numFmtId="167" fontId="19" fillId="12" borderId="11" xfId="1" applyNumberFormat="1" applyFont="1" applyFill="1" applyBorder="1" applyAlignment="1">
      <alignment horizontal="center"/>
    </xf>
    <xf numFmtId="10" fontId="18" fillId="0" borderId="12" xfId="1" applyNumberFormat="1" applyFont="1" applyBorder="1" applyAlignment="1">
      <alignment horizontal="center" wrapText="1"/>
    </xf>
    <xf numFmtId="167" fontId="19" fillId="12" borderId="13" xfId="1" applyNumberFormat="1" applyFont="1" applyFill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167" fontId="19" fillId="12" borderId="15" xfId="1" applyNumberFormat="1" applyFont="1" applyFill="1" applyBorder="1" applyAlignment="1">
      <alignment horizontal="center"/>
    </xf>
    <xf numFmtId="10" fontId="18" fillId="0" borderId="17" xfId="1" applyNumberFormat="1" applyFont="1" applyBorder="1" applyAlignment="1">
      <alignment horizontal="center" wrapText="1"/>
    </xf>
    <xf numFmtId="167" fontId="19" fillId="11" borderId="11" xfId="1" applyNumberFormat="1" applyFont="1" applyFill="1" applyBorder="1" applyAlignment="1">
      <alignment horizontal="center"/>
    </xf>
    <xf numFmtId="167" fontId="19" fillId="11" borderId="13" xfId="1" applyNumberFormat="1" applyFont="1" applyFill="1" applyBorder="1" applyAlignment="1">
      <alignment horizontal="center"/>
    </xf>
    <xf numFmtId="167" fontId="19" fillId="11" borderId="15" xfId="1" applyNumberFormat="1" applyFont="1" applyFill="1" applyBorder="1" applyAlignment="1">
      <alignment horizontal="center"/>
    </xf>
    <xf numFmtId="2" fontId="15" fillId="21" borderId="4" xfId="1" applyNumberFormat="1" applyFont="1" applyFill="1" applyBorder="1" applyAlignment="1">
      <alignment horizontal="center" vertical="center" wrapText="1"/>
    </xf>
    <xf numFmtId="2" fontId="18" fillId="0" borderId="18" xfId="1" applyNumberFormat="1" applyFont="1" applyBorder="1" applyAlignment="1">
      <alignment horizontal="center" wrapText="1"/>
    </xf>
    <xf numFmtId="2" fontId="18" fillId="0" borderId="19" xfId="1" applyNumberFormat="1" applyFont="1" applyBorder="1" applyAlignment="1">
      <alignment horizontal="center" wrapText="1"/>
    </xf>
    <xf numFmtId="2" fontId="18" fillId="0" borderId="20" xfId="1" applyNumberFormat="1" applyFont="1" applyBorder="1" applyAlignment="1">
      <alignment horizontal="center" wrapText="1"/>
    </xf>
    <xf numFmtId="2" fontId="18" fillId="0" borderId="11" xfId="1" applyNumberFormat="1" applyFont="1" applyBorder="1" applyAlignment="1">
      <alignment horizontal="center" wrapText="1"/>
    </xf>
    <xf numFmtId="2" fontId="18" fillId="0" borderId="13" xfId="1" applyNumberFormat="1" applyFont="1" applyBorder="1" applyAlignment="1">
      <alignment horizontal="center" wrapText="1"/>
    </xf>
    <xf numFmtId="2" fontId="18" fillId="12" borderId="13" xfId="1" applyNumberFormat="1" applyFont="1" applyFill="1" applyBorder="1" applyAlignment="1">
      <alignment horizontal="center" wrapText="1"/>
    </xf>
    <xf numFmtId="2" fontId="18" fillId="28" borderId="13" xfId="1" applyNumberFormat="1" applyFont="1" applyFill="1" applyBorder="1" applyAlignment="1">
      <alignment horizontal="center" wrapText="1"/>
    </xf>
    <xf numFmtId="2" fontId="18" fillId="25" borderId="13" xfId="1" applyNumberFormat="1" applyFont="1" applyFill="1" applyBorder="1" applyAlignment="1">
      <alignment horizontal="center"/>
    </xf>
    <xf numFmtId="2" fontId="18" fillId="12" borderId="13" xfId="1" applyNumberFormat="1" applyFont="1" applyFill="1" applyBorder="1" applyAlignment="1">
      <alignment horizontal="center"/>
    </xf>
    <xf numFmtId="2" fontId="18" fillId="0" borderId="13" xfId="1" applyNumberFormat="1" applyFont="1" applyBorder="1" applyAlignment="1">
      <alignment horizontal="center"/>
    </xf>
    <xf numFmtId="2" fontId="18" fillId="0" borderId="15" xfId="1" applyNumberFormat="1" applyFont="1" applyBorder="1" applyAlignment="1">
      <alignment horizontal="center"/>
    </xf>
    <xf numFmtId="164" fontId="18" fillId="0" borderId="11" xfId="1" applyNumberFormat="1" applyFont="1" applyBorder="1" applyAlignment="1">
      <alignment horizontal="center" wrapText="1"/>
    </xf>
    <xf numFmtId="10" fontId="12" fillId="11" borderId="12" xfId="1" applyNumberFormat="1" applyFont="1" applyFill="1" applyBorder="1"/>
    <xf numFmtId="164" fontId="18" fillId="0" borderId="13" xfId="1" applyNumberFormat="1" applyFont="1" applyBorder="1" applyAlignment="1">
      <alignment horizontal="center" wrapText="1"/>
    </xf>
    <xf numFmtId="10" fontId="12" fillId="11" borderId="14" xfId="1" applyNumberFormat="1" applyFont="1" applyFill="1" applyBorder="1"/>
    <xf numFmtId="164" fontId="18" fillId="0" borderId="13" xfId="1" applyNumberFormat="1" applyFont="1" applyBorder="1" applyAlignment="1">
      <alignment horizontal="center"/>
    </xf>
    <xf numFmtId="164" fontId="18" fillId="12" borderId="13" xfId="1" applyNumberFormat="1" applyFont="1" applyFill="1" applyBorder="1" applyAlignment="1">
      <alignment horizontal="center"/>
    </xf>
    <xf numFmtId="164" fontId="18" fillId="12" borderId="13" xfId="1" applyNumberFormat="1" applyFont="1" applyFill="1" applyBorder="1" applyAlignment="1">
      <alignment horizontal="center" wrapText="1"/>
    </xf>
    <xf numFmtId="164" fontId="18" fillId="0" borderId="15" xfId="1" applyNumberFormat="1" applyFont="1" applyBorder="1" applyAlignment="1">
      <alignment horizontal="center"/>
    </xf>
    <xf numFmtId="10" fontId="12" fillId="11" borderId="17" xfId="1" applyNumberFormat="1" applyFont="1" applyFill="1" applyBorder="1"/>
    <xf numFmtId="0" fontId="18" fillId="0" borderId="11" xfId="1" applyFont="1" applyBorder="1" applyAlignment="1">
      <alignment horizontal="center" wrapText="1"/>
    </xf>
    <xf numFmtId="0" fontId="18" fillId="0" borderId="13" xfId="1" applyFont="1" applyBorder="1" applyAlignment="1">
      <alignment horizontal="center" wrapText="1"/>
    </xf>
    <xf numFmtId="0" fontId="18" fillId="0" borderId="13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165" fontId="18" fillId="0" borderId="11" xfId="1" applyNumberFormat="1" applyFont="1" applyBorder="1" applyAlignment="1">
      <alignment horizontal="center" wrapText="1"/>
    </xf>
    <xf numFmtId="165" fontId="18" fillId="0" borderId="13" xfId="1" applyNumberFormat="1" applyFont="1" applyBorder="1" applyAlignment="1">
      <alignment horizontal="center" wrapText="1"/>
    </xf>
    <xf numFmtId="165" fontId="18" fillId="0" borderId="13" xfId="1" applyNumberFormat="1" applyFont="1" applyBorder="1" applyAlignment="1">
      <alignment horizontal="center"/>
    </xf>
    <xf numFmtId="165" fontId="18" fillId="0" borderId="15" xfId="1" applyNumberFormat="1" applyFont="1" applyBorder="1" applyAlignment="1">
      <alignment horizontal="center"/>
    </xf>
    <xf numFmtId="0" fontId="18" fillId="0" borderId="15" xfId="1" applyFont="1" applyBorder="1" applyAlignment="1">
      <alignment horizontal="center" wrapText="1"/>
    </xf>
    <xf numFmtId="2" fontId="15" fillId="19" borderId="4" xfId="1" applyNumberFormat="1" applyFont="1" applyFill="1" applyBorder="1" applyAlignment="1">
      <alignment horizontal="center" vertical="center" wrapText="1"/>
    </xf>
    <xf numFmtId="165" fontId="18" fillId="26" borderId="11" xfId="1" applyNumberFormat="1" applyFont="1" applyFill="1" applyBorder="1" applyAlignment="1">
      <alignment horizontal="center" wrapText="1"/>
    </xf>
    <xf numFmtId="165" fontId="18" fillId="26" borderId="13" xfId="1" applyNumberFormat="1" applyFont="1" applyFill="1" applyBorder="1" applyAlignment="1">
      <alignment horizontal="center" wrapText="1"/>
    </xf>
    <xf numFmtId="165" fontId="18" fillId="25" borderId="13" xfId="1" applyNumberFormat="1" applyFont="1" applyFill="1" applyBorder="1" applyAlignment="1">
      <alignment horizontal="center" wrapText="1"/>
    </xf>
    <xf numFmtId="165" fontId="18" fillId="27" borderId="13" xfId="1" applyNumberFormat="1" applyFont="1" applyFill="1" applyBorder="1" applyAlignment="1">
      <alignment horizontal="center"/>
    </xf>
    <xf numFmtId="165" fontId="18" fillId="25" borderId="13" xfId="1" applyNumberFormat="1" applyFont="1" applyFill="1" applyBorder="1" applyAlignment="1">
      <alignment horizontal="center"/>
    </xf>
    <xf numFmtId="165" fontId="18" fillId="26" borderId="13" xfId="1" applyNumberFormat="1" applyFont="1" applyFill="1" applyBorder="1" applyAlignment="1">
      <alignment horizontal="center"/>
    </xf>
    <xf numFmtId="165" fontId="18" fillId="26" borderId="15" xfId="1" applyNumberFormat="1" applyFont="1" applyFill="1" applyBorder="1" applyAlignment="1">
      <alignment horizontal="center"/>
    </xf>
    <xf numFmtId="0" fontId="15" fillId="17" borderId="4" xfId="1" applyFont="1" applyFill="1" applyBorder="1" applyAlignment="1">
      <alignment horizontal="center" vertical="center" wrapText="1"/>
    </xf>
    <xf numFmtId="0" fontId="18" fillId="0" borderId="18" xfId="1" applyFont="1" applyBorder="1" applyAlignment="1">
      <alignment horizontal="center" wrapText="1"/>
    </xf>
    <xf numFmtId="0" fontId="18" fillId="0" borderId="19" xfId="1" applyFont="1" applyBorder="1" applyAlignment="1">
      <alignment horizontal="center" wrapText="1"/>
    </xf>
    <xf numFmtId="0" fontId="18" fillId="0" borderId="20" xfId="1" applyFont="1" applyBorder="1" applyAlignment="1">
      <alignment horizontal="center" wrapText="1"/>
    </xf>
    <xf numFmtId="2" fontId="14" fillId="16" borderId="21" xfId="1" applyNumberFormat="1" applyFont="1" applyFill="1" applyBorder="1" applyAlignment="1">
      <alignment horizontal="center" vertical="center" wrapText="1"/>
    </xf>
    <xf numFmtId="0" fontId="14" fillId="16" borderId="22" xfId="1" applyFont="1" applyFill="1" applyBorder="1" applyAlignment="1">
      <alignment horizontal="center" vertical="center" wrapText="1"/>
    </xf>
    <xf numFmtId="0" fontId="20" fillId="11" borderId="12" xfId="1" applyFont="1" applyFill="1" applyBorder="1" applyAlignment="1">
      <alignment horizontal="center"/>
    </xf>
    <xf numFmtId="0" fontId="20" fillId="11" borderId="14" xfId="1" applyFont="1" applyFill="1" applyBorder="1" applyAlignment="1">
      <alignment horizontal="center"/>
    </xf>
    <xf numFmtId="2" fontId="18" fillId="0" borderId="15" xfId="1" applyNumberFormat="1" applyFont="1" applyBorder="1" applyAlignment="1">
      <alignment horizontal="center" wrapText="1"/>
    </xf>
    <xf numFmtId="0" fontId="20" fillId="11" borderId="17" xfId="1" applyFont="1" applyFill="1" applyBorder="1" applyAlignment="1">
      <alignment horizontal="center"/>
    </xf>
    <xf numFmtId="0" fontId="14" fillId="22" borderId="8" xfId="1" applyFont="1" applyFill="1" applyBorder="1" applyAlignment="1">
      <alignment horizontal="center" vertical="center" wrapText="1"/>
    </xf>
    <xf numFmtId="0" fontId="16" fillId="0" borderId="9" xfId="1" applyFont="1" applyBorder="1"/>
    <xf numFmtId="0" fontId="16" fillId="0" borderId="10" xfId="1" applyFont="1" applyBorder="1"/>
    <xf numFmtId="0" fontId="14" fillId="20" borderId="8" xfId="1" applyFont="1" applyFill="1" applyBorder="1" applyAlignment="1">
      <alignment horizontal="center" vertical="center" wrapText="1"/>
    </xf>
    <xf numFmtId="0" fontId="13" fillId="14" borderId="8" xfId="1" applyFont="1" applyFill="1" applyBorder="1" applyAlignment="1">
      <alignment horizontal="center" vertical="center" wrapText="1"/>
    </xf>
    <xf numFmtId="165" fontId="14" fillId="20" borderId="8" xfId="1" applyNumberFormat="1" applyFont="1" applyFill="1" applyBorder="1" applyAlignment="1">
      <alignment horizontal="center" vertical="center" wrapText="1"/>
    </xf>
    <xf numFmtId="0" fontId="17" fillId="18" borderId="8" xfId="1" applyFont="1" applyFill="1" applyBorder="1" applyAlignment="1">
      <alignment horizontal="center" vertical="center" wrapText="1"/>
    </xf>
    <xf numFmtId="0" fontId="13" fillId="24" borderId="23" xfId="1" applyFont="1" applyFill="1" applyBorder="1" applyAlignment="1">
      <alignment horizontal="center" vertical="center" wrapText="1"/>
    </xf>
    <xf numFmtId="0" fontId="16" fillId="0" borderId="24" xfId="1" applyFont="1" applyBorder="1"/>
    <xf numFmtId="0" fontId="13" fillId="23" borderId="25" xfId="1" applyFont="1" applyFill="1" applyBorder="1" applyAlignment="1">
      <alignment horizontal="center" vertical="center" wrapText="1"/>
    </xf>
    <xf numFmtId="0" fontId="16" fillId="0" borderId="26" xfId="1" applyFont="1" applyBorder="1"/>
    <xf numFmtId="0" fontId="13" fillId="15" borderId="8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5F1AE01-7DED-40A6-9BBC-DB716828FF65}"/>
  </cellStyles>
  <dxfs count="12">
    <dxf>
      <fill>
        <patternFill patternType="solid">
          <fgColor rgb="FFFFD4B8"/>
          <bgColor rgb="FFFFD4B8"/>
        </patternFill>
      </fill>
    </dxf>
    <dxf>
      <fill>
        <patternFill patternType="solid">
          <fgColor rgb="FFFFF3AB"/>
          <bgColor rgb="FFFFF3AB"/>
        </patternFill>
      </fill>
    </dxf>
    <dxf>
      <fill>
        <patternFill patternType="solid">
          <fgColor rgb="FFD8FFC7"/>
          <bgColor rgb="FFD8FFC7"/>
        </patternFill>
      </fill>
    </dxf>
    <dxf>
      <fill>
        <patternFill patternType="solid">
          <fgColor rgb="FFFFD4B8"/>
          <bgColor rgb="FFFFD4B8"/>
        </patternFill>
      </fill>
    </dxf>
    <dxf>
      <fill>
        <patternFill patternType="solid">
          <fgColor rgb="FFFFF3AB"/>
          <bgColor rgb="FFFFF3AB"/>
        </patternFill>
      </fill>
    </dxf>
    <dxf>
      <fill>
        <patternFill patternType="solid">
          <fgColor rgb="FFD8FFC7"/>
          <bgColor rgb="FFD8FFC7"/>
        </patternFill>
      </fill>
    </dxf>
    <dxf>
      <fill>
        <patternFill patternType="solid">
          <fgColor rgb="FFF9CB9C"/>
          <bgColor rgb="FFF9CB9C"/>
        </patternFill>
      </fill>
    </dxf>
    <dxf>
      <fill>
        <patternFill patternType="solid">
          <fgColor rgb="FFFFF3AB"/>
          <bgColor rgb="FFFFF3AB"/>
        </patternFill>
      </fill>
    </dxf>
    <dxf>
      <fill>
        <patternFill patternType="solid">
          <fgColor rgb="FFD8FFC7"/>
          <bgColor rgb="FFD8FFC7"/>
        </patternFill>
      </fill>
    </dxf>
    <dxf>
      <fill>
        <patternFill patternType="solid">
          <fgColor rgb="FFD8FFC7"/>
          <bgColor rgb="FFD8FFC7"/>
        </patternFill>
      </fill>
    </dxf>
    <dxf>
      <fill>
        <patternFill patternType="solid">
          <fgColor rgb="FFFFF3AB"/>
          <bgColor rgb="FFFFF3AB"/>
        </patternFill>
      </fill>
    </dxf>
    <dxf>
      <font>
        <color rgb="FF000000"/>
      </font>
      <fill>
        <patternFill patternType="solid">
          <fgColor rgb="FFFFD4B8"/>
          <bgColor rgb="FFFFD4B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EF105-6A0D-4302-9EC7-557063B4743A}">
  <sheetPr>
    <outlinePr summaryBelow="0" summaryRight="0"/>
  </sheetPr>
  <dimension ref="A1:AJ980"/>
  <sheetViews>
    <sheetView tabSelected="1" zoomScale="60" zoomScaleNormal="60" zoomScaleSheetLayoutView="50" workbookViewId="0">
      <selection activeCell="O22" sqref="O22"/>
    </sheetView>
  </sheetViews>
  <sheetFormatPr baseColWidth="10" defaultColWidth="11" defaultRowHeight="15.75" customHeight="1" x14ac:dyDescent="0.2"/>
  <cols>
    <col min="1" max="1" width="36.125" style="35" customWidth="1"/>
    <col min="2" max="2" width="16.875" style="35" customWidth="1"/>
    <col min="3" max="3" width="5.625" style="35" customWidth="1"/>
    <col min="4" max="4" width="10.125" style="35" customWidth="1"/>
    <col min="5" max="5" width="7" style="35" customWidth="1"/>
    <col min="6" max="6" width="5.375" style="35" customWidth="1"/>
    <col min="7" max="7" width="9.5" style="35" customWidth="1"/>
    <col min="8" max="8" width="7.125" style="35" customWidth="1"/>
    <col min="9" max="9" width="5.625" style="35" customWidth="1"/>
    <col min="10" max="10" width="9.125" style="35" customWidth="1"/>
    <col min="11" max="11" width="7.75" style="35" customWidth="1"/>
    <col min="12" max="12" width="10.5" style="35" customWidth="1"/>
    <col min="13" max="13" width="11.25" style="35" customWidth="1"/>
    <col min="14" max="14" width="6" style="35" customWidth="1"/>
    <col min="15" max="15" width="6.5" style="35" customWidth="1"/>
    <col min="16" max="16" width="8.25" style="35" customWidth="1"/>
    <col min="17" max="17" width="9" style="35" customWidth="1"/>
    <col min="18" max="18" width="8" style="35" customWidth="1"/>
    <col min="19" max="21" width="11" style="35"/>
    <col min="22" max="22" width="6.5" style="35" customWidth="1"/>
    <col min="23" max="23" width="11" style="35"/>
    <col min="24" max="24" width="15.625" style="51" customWidth="1"/>
    <col min="25" max="25" width="8.375" style="35" customWidth="1"/>
    <col min="26" max="26" width="10" style="35" customWidth="1"/>
    <col min="27" max="27" width="8.875" style="52" customWidth="1"/>
    <col min="28" max="28" width="30" style="35" customWidth="1"/>
    <col min="29" max="16384" width="11" style="35"/>
  </cols>
  <sheetData>
    <row r="1" spans="1:36" ht="25.5" customHeight="1" thickBot="1" x14ac:dyDescent="0.3">
      <c r="A1" s="128" t="s">
        <v>127</v>
      </c>
      <c r="B1" s="130" t="s">
        <v>126</v>
      </c>
      <c r="C1" s="132" t="s">
        <v>7</v>
      </c>
      <c r="D1" s="122"/>
      <c r="E1" s="122"/>
      <c r="F1" s="122"/>
      <c r="G1" s="122"/>
      <c r="H1" s="122"/>
      <c r="I1" s="122"/>
      <c r="J1" s="122"/>
      <c r="K1" s="122"/>
      <c r="L1" s="123"/>
      <c r="M1" s="132" t="s">
        <v>23</v>
      </c>
      <c r="N1" s="122"/>
      <c r="O1" s="122"/>
      <c r="P1" s="122"/>
      <c r="Q1" s="122"/>
      <c r="R1" s="122"/>
      <c r="S1" s="122"/>
      <c r="T1" s="122"/>
      <c r="U1" s="122"/>
      <c r="V1" s="122"/>
      <c r="W1" s="123"/>
      <c r="X1" s="132" t="s">
        <v>125</v>
      </c>
      <c r="Y1" s="122"/>
      <c r="Z1" s="123"/>
      <c r="AA1" s="125" t="s">
        <v>124</v>
      </c>
      <c r="AB1" s="123"/>
      <c r="AC1" s="46"/>
      <c r="AD1" s="46"/>
      <c r="AE1" s="46"/>
      <c r="AF1" s="46"/>
      <c r="AG1" s="38"/>
      <c r="AH1" s="38"/>
      <c r="AI1" s="38"/>
      <c r="AJ1" s="38"/>
    </row>
    <row r="2" spans="1:36" ht="60.75" thickBot="1" x14ac:dyDescent="0.3">
      <c r="A2" s="129"/>
      <c r="B2" s="131"/>
      <c r="C2" s="121" t="s">
        <v>0</v>
      </c>
      <c r="D2" s="122"/>
      <c r="E2" s="123"/>
      <c r="F2" s="121" t="s">
        <v>1</v>
      </c>
      <c r="G2" s="122"/>
      <c r="H2" s="123"/>
      <c r="I2" s="121" t="s">
        <v>2</v>
      </c>
      <c r="J2" s="122"/>
      <c r="K2" s="123"/>
      <c r="L2" s="73" t="s">
        <v>123</v>
      </c>
      <c r="M2" s="124" t="s">
        <v>3</v>
      </c>
      <c r="N2" s="123"/>
      <c r="O2" s="124" t="s">
        <v>122</v>
      </c>
      <c r="P2" s="123"/>
      <c r="Q2" s="124" t="s">
        <v>121</v>
      </c>
      <c r="R2" s="123"/>
      <c r="S2" s="126" t="s">
        <v>120</v>
      </c>
      <c r="T2" s="123"/>
      <c r="U2" s="124" t="s">
        <v>6</v>
      </c>
      <c r="V2" s="123"/>
      <c r="W2" s="103" t="s">
        <v>119</v>
      </c>
      <c r="X2" s="127" t="s">
        <v>118</v>
      </c>
      <c r="Y2" s="123"/>
      <c r="Z2" s="111" t="s">
        <v>117</v>
      </c>
      <c r="AA2" s="115" t="s">
        <v>116</v>
      </c>
      <c r="AB2" s="116" t="s">
        <v>115</v>
      </c>
      <c r="AC2" s="46"/>
      <c r="AD2" s="46"/>
      <c r="AE2" s="46"/>
      <c r="AF2" s="46"/>
      <c r="AG2" s="38"/>
      <c r="AH2" s="38"/>
      <c r="AI2" s="38"/>
      <c r="AJ2" s="38"/>
    </row>
    <row r="3" spans="1:36" ht="15" x14ac:dyDescent="0.25">
      <c r="A3" s="53" t="s">
        <v>112</v>
      </c>
      <c r="B3" s="55" t="s">
        <v>114</v>
      </c>
      <c r="C3" s="57">
        <f>AVERAGE(3,3,3,3,3,3,3,3,3)</f>
        <v>3</v>
      </c>
      <c r="D3" s="54" t="str">
        <f t="shared" ref="D3:D34" si="0">IF(C3&gt;=2.5,"Alta",IF(AND(C3&gt;=1.5,C3&lt;2.5),"Mediana",IF(AND(C3&gt;=0.5,C3&lt;1.5),"Baja",IF(C3&lt;0.5,"Ninguna"))))</f>
        <v>Alta</v>
      </c>
      <c r="E3" s="58">
        <f t="shared" ref="E3:E34" si="1">IF(D3="Alta",0.549,IF(D3="Mediana",0.3666,IF(D3="Baja",0.1833,IF(D3="Ninguna",0))))</f>
        <v>0.54900000000000004</v>
      </c>
      <c r="F3" s="64">
        <f>AVERAGE(3,2,3,3,2,2,3,3,3)</f>
        <v>2.6666666666666665</v>
      </c>
      <c r="G3" s="54" t="str">
        <f t="shared" ref="G3:G34" si="2">IF(F3&gt;=2.5,"Alta",IF(AND(F3&gt;=1.5,F3&lt;2.5),"Mediana",IF(AND(F3&gt;=0.5,F3&lt;1.5),"Baja",IF(F3&lt;0.5,"Ninguna"))))</f>
        <v>Alta</v>
      </c>
      <c r="H3" s="65">
        <f t="shared" ref="H3:H34" si="3">IF(G3="Alta",0.2402,IF(G3="Mediana",0.1601,IF(G3="Baja",0.0801,IF(G3="Ninguna",0))))</f>
        <v>0.2402</v>
      </c>
      <c r="I3" s="70">
        <f>AVERAGE(3,2,3,3,2,3,3,3,3)</f>
        <v>2.7777777777777777</v>
      </c>
      <c r="J3" s="54" t="str">
        <f t="shared" ref="J3:J34" si="4">IF(I3&gt;=2.5,"Alta",IF(AND(I3&gt;=1.5,I3&lt;2.5),"Mediana",IF(AND(I3&gt;=0.5,I3&lt;1.5),"Baja",IF(I3&lt;0.5,"Ninguna"))))</f>
        <v>Alta</v>
      </c>
      <c r="K3" s="65">
        <f t="shared" ref="K3:K34" si="5">IF(J3="Alta",0.2098,IF(J3="Mediana",0.1399,IF(J3="Baja",0.0699,IF(J3="Ninguna",0))))</f>
        <v>0.20979999999999999</v>
      </c>
      <c r="L3" s="74">
        <f t="shared" ref="L3:L34" si="6">(E3+H3+K3)*0.3</f>
        <v>0.29969999999999997</v>
      </c>
      <c r="M3" s="77">
        <f ca="1">10/(YEAR(TODAY())-YEAR("9/05/2013"))</f>
        <v>1.1111111111111112</v>
      </c>
      <c r="N3" s="65">
        <f t="shared" ref="N3:N34" ca="1" si="7">IF(M3&gt;1,0.0821,IF(AND(M3&gt;0.5,M3&lt;=1),0.0547,IF(AND(M3&gt;0,M3&lt;=0.5),0.0274)))</f>
        <v>8.2100000000000006E-2</v>
      </c>
      <c r="O3" s="85">
        <f>2/1</f>
        <v>2</v>
      </c>
      <c r="P3" s="86">
        <f t="shared" ref="P3:P34" si="8">IF(O3&gt;1,0.2349,IF(AND(O3&gt;0.5,O3&lt;=1),0.1566,IF(AND(O3&gt;=0,O3&lt;=0.5),0.0783)))</f>
        <v>0.2349</v>
      </c>
      <c r="Q3" s="94">
        <v>7</v>
      </c>
      <c r="R3" s="86">
        <f t="shared" ref="R3:R34" si="9">IF(Q3&lt;1,0.1135,IF(AND(Q3&lt;2,Q3&gt;=1),0.2271,IF(AND(Q3&lt;5,Q3&gt;=2),0.3406,IF(Q3&gt;=5,0.4541))))</f>
        <v>0.4541</v>
      </c>
      <c r="S3" s="98">
        <f>1/720</f>
        <v>1.3888888888888889E-3</v>
      </c>
      <c r="T3" s="65">
        <f t="shared" ref="T3:T34" si="10">IF(S3&lt;=1,0.1681,IF(AND(S3&gt;1,S3&lt;=3),0.1121,IF(S3&gt;3,0.056)))</f>
        <v>0.1681</v>
      </c>
      <c r="U3" s="94">
        <v>0</v>
      </c>
      <c r="V3" s="86">
        <f t="shared" ref="V3:V34" si="11">IF(U3=0,0.0608,IF(U3=1,0.0405,IF(U3&gt;=2,0.0203)))</f>
        <v>6.08E-2</v>
      </c>
      <c r="W3" s="74">
        <f t="shared" ref="W3:W34" ca="1" si="12">(SUM(N3,P3,R3,T3,V3))*0.4</f>
        <v>0.4</v>
      </c>
      <c r="X3" s="104">
        <f>(18519*(138.73/127.19))/(17400000*(138.73/92.56))</f>
        <v>7.7453074547717104E-4</v>
      </c>
      <c r="Y3" s="86">
        <f t="shared" ref="Y3:Y34" si="13">IF(X3&lt;0.25,1,IF(AND(X3&gt;=0.25,X3&lt;0.5),0.6666,IF(X3&gt;=0.5,0.3333)))</f>
        <v>1</v>
      </c>
      <c r="Z3" s="112">
        <f t="shared" ref="Z3:Z34" si="14">Y3*0.3</f>
        <v>0.3</v>
      </c>
      <c r="AA3" s="77">
        <f t="shared" ref="AA3:AA34" ca="1" si="15">(SUM(Z3,W3,L3))</f>
        <v>0.99969999999999992</v>
      </c>
      <c r="AB3" s="117" t="str">
        <f t="shared" ref="AB3:AB34" ca="1" si="16">IF(AA3&gt;=0.8,"Evaluar nuevamente en dos años",IF(AND(AA3&lt;0.8,AA3&gt;=0.6),"Evaluar nuevamente en un año",IF(AA3&lt;0.6,"Renovar inmediatamente")))</f>
        <v>Evaluar nuevamente en dos años</v>
      </c>
      <c r="AC3" s="46"/>
      <c r="AD3" s="46"/>
      <c r="AE3" s="46"/>
      <c r="AF3" s="46"/>
      <c r="AG3" s="38"/>
      <c r="AH3" s="38"/>
      <c r="AI3" s="38"/>
      <c r="AJ3" s="38"/>
    </row>
    <row r="4" spans="1:36" ht="15" x14ac:dyDescent="0.25">
      <c r="A4" s="49" t="s">
        <v>112</v>
      </c>
      <c r="B4" s="56" t="s">
        <v>113</v>
      </c>
      <c r="C4" s="59">
        <f>AVERAGE(3,3,3,3,3,3,3,3,3)</f>
        <v>3</v>
      </c>
      <c r="D4" s="50" t="str">
        <f t="shared" si="0"/>
        <v>Alta</v>
      </c>
      <c r="E4" s="60">
        <f t="shared" si="1"/>
        <v>0.54900000000000004</v>
      </c>
      <c r="F4" s="66">
        <f>AVERAGE(3,2,3,3,2,2,3,3,3)</f>
        <v>2.6666666666666665</v>
      </c>
      <c r="G4" s="50" t="str">
        <f t="shared" si="2"/>
        <v>Alta</v>
      </c>
      <c r="H4" s="67">
        <f t="shared" si="3"/>
        <v>0.2402</v>
      </c>
      <c r="I4" s="71">
        <f>AVERAGE(3,2,3,3,2,3,3,3,3)</f>
        <v>2.7777777777777777</v>
      </c>
      <c r="J4" s="50" t="str">
        <f t="shared" si="4"/>
        <v>Alta</v>
      </c>
      <c r="K4" s="67">
        <f t="shared" si="5"/>
        <v>0.20979999999999999</v>
      </c>
      <c r="L4" s="75">
        <f t="shared" si="6"/>
        <v>0.29969999999999997</v>
      </c>
      <c r="M4" s="78">
        <f ca="1">10/(YEAR(TODAY())-YEAR("05/9/2013"))</f>
        <v>1.1111111111111112</v>
      </c>
      <c r="N4" s="67">
        <f t="shared" ca="1" si="7"/>
        <v>8.2100000000000006E-2</v>
      </c>
      <c r="O4" s="87">
        <f>5</f>
        <v>5</v>
      </c>
      <c r="P4" s="88">
        <f t="shared" si="8"/>
        <v>0.2349</v>
      </c>
      <c r="Q4" s="95">
        <v>7</v>
      </c>
      <c r="R4" s="88">
        <f t="shared" si="9"/>
        <v>0.4541</v>
      </c>
      <c r="S4" s="99">
        <f>0/720</f>
        <v>0</v>
      </c>
      <c r="T4" s="67">
        <f t="shared" si="10"/>
        <v>0.1681</v>
      </c>
      <c r="U4" s="95">
        <v>0</v>
      </c>
      <c r="V4" s="88">
        <f t="shared" si="11"/>
        <v>6.08E-2</v>
      </c>
      <c r="W4" s="75">
        <f t="shared" ca="1" si="12"/>
        <v>0.4</v>
      </c>
      <c r="X4" s="105">
        <f>(27778*(138.73/127.19))/(17400000*(138.73/92.56))</f>
        <v>1.1617752064293351E-3</v>
      </c>
      <c r="Y4" s="88">
        <f t="shared" si="13"/>
        <v>1</v>
      </c>
      <c r="Z4" s="113">
        <f t="shared" si="14"/>
        <v>0.3</v>
      </c>
      <c r="AA4" s="78">
        <f t="shared" ca="1" si="15"/>
        <v>0.99969999999999992</v>
      </c>
      <c r="AB4" s="118" t="str">
        <f t="shared" ca="1" si="16"/>
        <v>Evaluar nuevamente en dos años</v>
      </c>
      <c r="AC4" s="46"/>
      <c r="AD4" s="46"/>
      <c r="AE4" s="46"/>
      <c r="AF4" s="46"/>
      <c r="AG4" s="38"/>
      <c r="AH4" s="38"/>
      <c r="AI4" s="38"/>
      <c r="AJ4" s="38"/>
    </row>
    <row r="5" spans="1:36" ht="15" x14ac:dyDescent="0.25">
      <c r="A5" s="49" t="s">
        <v>112</v>
      </c>
      <c r="B5" s="56" t="s">
        <v>111</v>
      </c>
      <c r="C5" s="59">
        <f>AVERAGE(3,3,3,3,3,3,3,3,3)</f>
        <v>3</v>
      </c>
      <c r="D5" s="50" t="str">
        <f t="shared" si="0"/>
        <v>Alta</v>
      </c>
      <c r="E5" s="60">
        <f t="shared" si="1"/>
        <v>0.54900000000000004</v>
      </c>
      <c r="F5" s="66">
        <f>AVERAGE(3,2,3,3,2,2,3,3,3)</f>
        <v>2.6666666666666665</v>
      </c>
      <c r="G5" s="50" t="str">
        <f t="shared" si="2"/>
        <v>Alta</v>
      </c>
      <c r="H5" s="67">
        <f t="shared" si="3"/>
        <v>0.2402</v>
      </c>
      <c r="I5" s="71">
        <f>AVERAGE(3,2,3,3,2,3,3,3,3)</f>
        <v>2.7777777777777777</v>
      </c>
      <c r="J5" s="50" t="str">
        <f t="shared" si="4"/>
        <v>Alta</v>
      </c>
      <c r="K5" s="67">
        <f t="shared" si="5"/>
        <v>0.20979999999999999</v>
      </c>
      <c r="L5" s="75">
        <f t="shared" si="6"/>
        <v>0.29969999999999997</v>
      </c>
      <c r="M5" s="78">
        <f ca="1">10/(YEAR(TODAY())-YEAR("5/9/2013"))</f>
        <v>1.1111111111111112</v>
      </c>
      <c r="N5" s="67">
        <f t="shared" ca="1" si="7"/>
        <v>8.2100000000000006E-2</v>
      </c>
      <c r="O5" s="87">
        <f>5</f>
        <v>5</v>
      </c>
      <c r="P5" s="88">
        <f t="shared" si="8"/>
        <v>0.2349</v>
      </c>
      <c r="Q5" s="95">
        <v>7</v>
      </c>
      <c r="R5" s="88">
        <f t="shared" si="9"/>
        <v>0.4541</v>
      </c>
      <c r="S5" s="99">
        <v>0</v>
      </c>
      <c r="T5" s="67">
        <f t="shared" si="10"/>
        <v>0.1681</v>
      </c>
      <c r="U5" s="95">
        <v>0</v>
      </c>
      <c r="V5" s="88">
        <f t="shared" si="11"/>
        <v>6.08E-2</v>
      </c>
      <c r="W5" s="75">
        <f t="shared" ca="1" si="12"/>
        <v>0.4</v>
      </c>
      <c r="X5" s="105">
        <f>(9259*(138.73/127.19))/(17400000*(138.73/92.56))</f>
        <v>3.8724446095216405E-4</v>
      </c>
      <c r="Y5" s="88">
        <f t="shared" si="13"/>
        <v>1</v>
      </c>
      <c r="Z5" s="113">
        <f t="shared" si="14"/>
        <v>0.3</v>
      </c>
      <c r="AA5" s="78">
        <f t="shared" ca="1" si="15"/>
        <v>0.99969999999999992</v>
      </c>
      <c r="AB5" s="118" t="str">
        <f t="shared" ca="1" si="16"/>
        <v>Evaluar nuevamente en dos años</v>
      </c>
      <c r="AC5" s="46"/>
      <c r="AD5" s="46"/>
      <c r="AE5" s="46"/>
      <c r="AF5" s="46"/>
      <c r="AG5" s="38"/>
      <c r="AH5" s="38"/>
      <c r="AI5" s="38"/>
      <c r="AJ5" s="38"/>
    </row>
    <row r="6" spans="1:36" ht="15" x14ac:dyDescent="0.25">
      <c r="A6" s="49" t="s">
        <v>110</v>
      </c>
      <c r="B6" s="56" t="s">
        <v>109</v>
      </c>
      <c r="C6" s="59">
        <f>AVERAGE(3,1,2)</f>
        <v>2</v>
      </c>
      <c r="D6" s="50" t="str">
        <f t="shared" si="0"/>
        <v>Mediana</v>
      </c>
      <c r="E6" s="60">
        <f t="shared" si="1"/>
        <v>0.36659999999999998</v>
      </c>
      <c r="F6" s="66">
        <f>AVERAGE(1,1,1)</f>
        <v>1</v>
      </c>
      <c r="G6" s="50" t="str">
        <f t="shared" si="2"/>
        <v>Baja</v>
      </c>
      <c r="H6" s="67">
        <f t="shared" si="3"/>
        <v>8.0100000000000005E-2</v>
      </c>
      <c r="I6" s="71">
        <f>AVERAGE(1,3,1)</f>
        <v>1.6666666666666667</v>
      </c>
      <c r="J6" s="50" t="str">
        <f t="shared" si="4"/>
        <v>Mediana</v>
      </c>
      <c r="K6" s="67">
        <f t="shared" si="5"/>
        <v>0.1399</v>
      </c>
      <c r="L6" s="75">
        <f t="shared" si="6"/>
        <v>0.17598</v>
      </c>
      <c r="M6" s="78">
        <f ca="1">10/(YEAR(TODAY())-YEAR("9/09/2010"))</f>
        <v>0.83333333333333337</v>
      </c>
      <c r="N6" s="67">
        <f t="shared" ca="1" si="7"/>
        <v>5.4699999999999999E-2</v>
      </c>
      <c r="O6" s="87">
        <f>2/2</f>
        <v>1</v>
      </c>
      <c r="P6" s="88">
        <f t="shared" si="8"/>
        <v>0.15659999999999999</v>
      </c>
      <c r="Q6" s="95">
        <v>4</v>
      </c>
      <c r="R6" s="88">
        <f t="shared" si="9"/>
        <v>0.34060000000000001</v>
      </c>
      <c r="S6" s="99">
        <f>1/720</f>
        <v>1.3888888888888889E-3</v>
      </c>
      <c r="T6" s="67">
        <f t="shared" si="10"/>
        <v>0.1681</v>
      </c>
      <c r="U6" s="95">
        <v>0</v>
      </c>
      <c r="V6" s="88">
        <f t="shared" si="11"/>
        <v>6.08E-2</v>
      </c>
      <c r="W6" s="75">
        <f t="shared" ca="1" si="12"/>
        <v>0.31232000000000004</v>
      </c>
      <c r="X6" s="106">
        <f>(37037*(138.73/127.19))/80000000</f>
        <v>5.0496727435332971E-4</v>
      </c>
      <c r="Y6" s="88">
        <f t="shared" si="13"/>
        <v>1</v>
      </c>
      <c r="Z6" s="113">
        <f t="shared" si="14"/>
        <v>0.3</v>
      </c>
      <c r="AA6" s="78">
        <f t="shared" ca="1" si="15"/>
        <v>0.7883</v>
      </c>
      <c r="AB6" s="118" t="str">
        <f t="shared" ca="1" si="16"/>
        <v>Evaluar nuevamente en un año</v>
      </c>
      <c r="AC6" s="46"/>
      <c r="AD6" s="46"/>
      <c r="AE6" s="46"/>
      <c r="AF6" s="46"/>
      <c r="AG6" s="38"/>
      <c r="AH6" s="38"/>
      <c r="AI6" s="38"/>
      <c r="AJ6" s="38"/>
    </row>
    <row r="7" spans="1:36" ht="15" x14ac:dyDescent="0.25">
      <c r="A7" s="49" t="s">
        <v>108</v>
      </c>
      <c r="B7" s="56" t="s">
        <v>107</v>
      </c>
      <c r="C7" s="59">
        <f>AVERAGE(3,3,1)</f>
        <v>2.3333333333333335</v>
      </c>
      <c r="D7" s="50" t="str">
        <f t="shared" si="0"/>
        <v>Mediana</v>
      </c>
      <c r="E7" s="60">
        <f t="shared" si="1"/>
        <v>0.36659999999999998</v>
      </c>
      <c r="F7" s="66">
        <f>AVERAGE(3,3,1)</f>
        <v>2.3333333333333335</v>
      </c>
      <c r="G7" s="50" t="str">
        <f t="shared" si="2"/>
        <v>Mediana</v>
      </c>
      <c r="H7" s="67">
        <f t="shared" si="3"/>
        <v>0.16009999999999999</v>
      </c>
      <c r="I7" s="71">
        <f>AVERAGE(3,3,1)</f>
        <v>2.3333333333333335</v>
      </c>
      <c r="J7" s="50" t="str">
        <f t="shared" si="4"/>
        <v>Mediana</v>
      </c>
      <c r="K7" s="67">
        <f t="shared" si="5"/>
        <v>0.1399</v>
      </c>
      <c r="L7" s="75">
        <f t="shared" si="6"/>
        <v>0.19997999999999999</v>
      </c>
      <c r="M7" s="79">
        <f ca="1">5/(YEAR(TODAY())-YEAR("26/07/2018"))</f>
        <v>1.25</v>
      </c>
      <c r="N7" s="67">
        <f t="shared" ca="1" si="7"/>
        <v>8.2100000000000006E-2</v>
      </c>
      <c r="O7" s="89">
        <f>2/1</f>
        <v>2</v>
      </c>
      <c r="P7" s="88">
        <f t="shared" si="8"/>
        <v>0.2349</v>
      </c>
      <c r="Q7" s="96">
        <v>5</v>
      </c>
      <c r="R7" s="88">
        <f t="shared" si="9"/>
        <v>0.4541</v>
      </c>
      <c r="S7" s="100">
        <f>((16*24)+5+(40/60))/720</f>
        <v>0.54120370370370374</v>
      </c>
      <c r="T7" s="67">
        <f t="shared" si="10"/>
        <v>0.1681</v>
      </c>
      <c r="U7" s="95">
        <v>0</v>
      </c>
      <c r="V7" s="88">
        <f t="shared" si="11"/>
        <v>6.08E-2</v>
      </c>
      <c r="W7" s="75">
        <f t="shared" ca="1" si="12"/>
        <v>0.4</v>
      </c>
      <c r="X7" s="107">
        <f>((4165000+4248333)*(138.73/127.19))/(29750000*(138.73/115.78))</f>
        <v>0.25743149955370148</v>
      </c>
      <c r="Y7" s="88">
        <f t="shared" si="13"/>
        <v>0.66659999999999997</v>
      </c>
      <c r="Z7" s="113">
        <f t="shared" si="14"/>
        <v>0.19997999999999999</v>
      </c>
      <c r="AA7" s="78">
        <f t="shared" ca="1" si="15"/>
        <v>0.79996</v>
      </c>
      <c r="AB7" s="118" t="str">
        <f t="shared" ca="1" si="16"/>
        <v>Evaluar nuevamente en un año</v>
      </c>
      <c r="AC7" s="38"/>
      <c r="AD7" s="38"/>
      <c r="AE7" s="38"/>
      <c r="AF7" s="38"/>
      <c r="AG7" s="38"/>
      <c r="AH7" s="38"/>
      <c r="AI7" s="38"/>
      <c r="AJ7" s="38"/>
    </row>
    <row r="8" spans="1:36" ht="15" x14ac:dyDescent="0.25">
      <c r="A8" s="49" t="s">
        <v>106</v>
      </c>
      <c r="B8" s="56" t="s">
        <v>105</v>
      </c>
      <c r="C8" s="59">
        <f>AVERAGE(2,3,3,0,3,2,3,3,3,3,3)</f>
        <v>2.5454545454545454</v>
      </c>
      <c r="D8" s="50" t="str">
        <f t="shared" si="0"/>
        <v>Alta</v>
      </c>
      <c r="E8" s="60">
        <f t="shared" si="1"/>
        <v>0.54900000000000004</v>
      </c>
      <c r="F8" s="66">
        <f>AVERAGE(3,3,2,0,3,3,3,3,3,3,3)</f>
        <v>2.6363636363636362</v>
      </c>
      <c r="G8" s="50" t="str">
        <f t="shared" si="2"/>
        <v>Alta</v>
      </c>
      <c r="H8" s="67">
        <f t="shared" si="3"/>
        <v>0.2402</v>
      </c>
      <c r="I8" s="71">
        <f>AVERAGE(3,2,3,0,3,3,3,3,3,3,3)</f>
        <v>2.6363636363636362</v>
      </c>
      <c r="J8" s="50" t="str">
        <f t="shared" si="4"/>
        <v>Alta</v>
      </c>
      <c r="K8" s="67">
        <f t="shared" si="5"/>
        <v>0.20979999999999999</v>
      </c>
      <c r="L8" s="75">
        <f t="shared" si="6"/>
        <v>0.29969999999999997</v>
      </c>
      <c r="M8" s="78">
        <f ca="1">5/(YEAR(TODAY())-YEAR("12/03/2014"))</f>
        <v>0.625</v>
      </c>
      <c r="N8" s="67">
        <f t="shared" ca="1" si="7"/>
        <v>5.4699999999999999E-2</v>
      </c>
      <c r="O8" s="90">
        <f>1</f>
        <v>1</v>
      </c>
      <c r="P8" s="88">
        <f t="shared" si="8"/>
        <v>0.15659999999999999</v>
      </c>
      <c r="Q8" s="96">
        <v>5</v>
      </c>
      <c r="R8" s="88">
        <f t="shared" si="9"/>
        <v>0.4541</v>
      </c>
      <c r="S8" s="100">
        <v>0</v>
      </c>
      <c r="T8" s="67">
        <f t="shared" si="10"/>
        <v>0.1681</v>
      </c>
      <c r="U8" s="95">
        <v>0</v>
      </c>
      <c r="V8" s="88">
        <f t="shared" si="11"/>
        <v>6.08E-2</v>
      </c>
      <c r="W8" s="75">
        <f t="shared" ca="1" si="12"/>
        <v>0.35772000000000004</v>
      </c>
      <c r="X8" s="108">
        <v>0</v>
      </c>
      <c r="Y8" s="88">
        <f t="shared" si="13"/>
        <v>1</v>
      </c>
      <c r="Z8" s="113">
        <f t="shared" si="14"/>
        <v>0.3</v>
      </c>
      <c r="AA8" s="78">
        <f t="shared" ca="1" si="15"/>
        <v>0.95742000000000005</v>
      </c>
      <c r="AB8" s="118" t="str">
        <f t="shared" ca="1" si="16"/>
        <v>Evaluar nuevamente en dos años</v>
      </c>
      <c r="AC8" s="38"/>
      <c r="AD8" s="38"/>
      <c r="AE8" s="38"/>
      <c r="AF8" s="38"/>
      <c r="AG8" s="38"/>
      <c r="AH8" s="38"/>
      <c r="AI8" s="38"/>
      <c r="AJ8" s="38"/>
    </row>
    <row r="9" spans="1:36" ht="15" x14ac:dyDescent="0.25">
      <c r="A9" s="49" t="s">
        <v>104</v>
      </c>
      <c r="B9" s="56" t="s">
        <v>103</v>
      </c>
      <c r="C9" s="59">
        <f>AVERAGE(3,0,3,3,3,3,3,3)</f>
        <v>2.625</v>
      </c>
      <c r="D9" s="50" t="str">
        <f t="shared" si="0"/>
        <v>Alta</v>
      </c>
      <c r="E9" s="60">
        <f t="shared" si="1"/>
        <v>0.54900000000000004</v>
      </c>
      <c r="F9" s="66">
        <f>AVERAGE(2,0,3,3,2,3,2,3)</f>
        <v>2.25</v>
      </c>
      <c r="G9" s="50" t="str">
        <f t="shared" si="2"/>
        <v>Mediana</v>
      </c>
      <c r="H9" s="67">
        <f t="shared" si="3"/>
        <v>0.16009999999999999</v>
      </c>
      <c r="I9" s="71">
        <f>AVERAGE(2,0,2,2,2,3,2,3)</f>
        <v>2</v>
      </c>
      <c r="J9" s="50" t="str">
        <f t="shared" si="4"/>
        <v>Mediana</v>
      </c>
      <c r="K9" s="67">
        <f t="shared" si="5"/>
        <v>0.1399</v>
      </c>
      <c r="L9" s="75">
        <f t="shared" si="6"/>
        <v>0.25470000000000004</v>
      </c>
      <c r="M9" s="78">
        <f ca="1">5/(YEAR(TODAY())-YEAR("30/12/2015"))</f>
        <v>0.7142857142857143</v>
      </c>
      <c r="N9" s="67">
        <f t="shared" ca="1" si="7"/>
        <v>5.4699999999999999E-2</v>
      </c>
      <c r="O9" s="90">
        <f>1/1</f>
        <v>1</v>
      </c>
      <c r="P9" s="88">
        <f t="shared" si="8"/>
        <v>0.15659999999999999</v>
      </c>
      <c r="Q9" s="96">
        <v>5</v>
      </c>
      <c r="R9" s="88">
        <f t="shared" si="9"/>
        <v>0.4541</v>
      </c>
      <c r="S9" s="100">
        <f>((13*24)+6)/720</f>
        <v>0.44166666666666665</v>
      </c>
      <c r="T9" s="67">
        <f t="shared" si="10"/>
        <v>0.1681</v>
      </c>
      <c r="U9" s="95">
        <v>0</v>
      </c>
      <c r="V9" s="88">
        <f t="shared" si="11"/>
        <v>6.08E-2</v>
      </c>
      <c r="W9" s="75">
        <f t="shared" ca="1" si="12"/>
        <v>0.35772000000000004</v>
      </c>
      <c r="X9" s="108">
        <f>(74074*(138.73/127.19))/142800000</f>
        <v>5.6578966314098562E-4</v>
      </c>
      <c r="Y9" s="88">
        <f t="shared" si="13"/>
        <v>1</v>
      </c>
      <c r="Z9" s="113">
        <f t="shared" si="14"/>
        <v>0.3</v>
      </c>
      <c r="AA9" s="78">
        <f t="shared" ca="1" si="15"/>
        <v>0.91242000000000012</v>
      </c>
      <c r="AB9" s="118" t="str">
        <f t="shared" ca="1" si="16"/>
        <v>Evaluar nuevamente en dos años</v>
      </c>
      <c r="AC9" s="38"/>
      <c r="AD9" s="38"/>
      <c r="AE9" s="38"/>
      <c r="AF9" s="38"/>
      <c r="AG9" s="38"/>
      <c r="AH9" s="38"/>
      <c r="AI9" s="38"/>
      <c r="AJ9" s="38"/>
    </row>
    <row r="10" spans="1:36" ht="15" x14ac:dyDescent="0.25">
      <c r="A10" s="49" t="s">
        <v>100</v>
      </c>
      <c r="B10" s="56" t="s">
        <v>102</v>
      </c>
      <c r="C10" s="59">
        <f>AVERAGE(3,3,3,3,3,3,3)</f>
        <v>3</v>
      </c>
      <c r="D10" s="50" t="str">
        <f t="shared" si="0"/>
        <v>Alta</v>
      </c>
      <c r="E10" s="60">
        <f t="shared" si="1"/>
        <v>0.54900000000000004</v>
      </c>
      <c r="F10" s="66">
        <f>AVERAGE(3,3,3,3,3,3,3)</f>
        <v>3</v>
      </c>
      <c r="G10" s="50" t="str">
        <f t="shared" si="2"/>
        <v>Alta</v>
      </c>
      <c r="H10" s="67">
        <f t="shared" si="3"/>
        <v>0.2402</v>
      </c>
      <c r="I10" s="71">
        <f>AVERAGE(3,2,2,3,3,3,3)</f>
        <v>2.7142857142857144</v>
      </c>
      <c r="J10" s="50" t="str">
        <f t="shared" si="4"/>
        <v>Alta</v>
      </c>
      <c r="K10" s="67">
        <f t="shared" si="5"/>
        <v>0.20979999999999999</v>
      </c>
      <c r="L10" s="75">
        <f t="shared" si="6"/>
        <v>0.29969999999999997</v>
      </c>
      <c r="M10" s="78">
        <f ca="1">10/(YEAR(TODAY())-YEAR("3/05/2011"))</f>
        <v>0.90909090909090906</v>
      </c>
      <c r="N10" s="67">
        <f t="shared" ca="1" si="7"/>
        <v>5.4699999999999999E-2</v>
      </c>
      <c r="O10" s="89">
        <f>2/1</f>
        <v>2</v>
      </c>
      <c r="P10" s="88">
        <f t="shared" si="8"/>
        <v>0.2349</v>
      </c>
      <c r="Q10" s="96">
        <v>0</v>
      </c>
      <c r="R10" s="88">
        <f t="shared" si="9"/>
        <v>0.1135</v>
      </c>
      <c r="S10" s="100">
        <f>1/720</f>
        <v>1.3888888888888889E-3</v>
      </c>
      <c r="T10" s="67">
        <f t="shared" si="10"/>
        <v>0.1681</v>
      </c>
      <c r="U10" s="95">
        <v>0</v>
      </c>
      <c r="V10" s="88">
        <f t="shared" si="11"/>
        <v>6.08E-2</v>
      </c>
      <c r="W10" s="75">
        <f t="shared" ca="1" si="12"/>
        <v>0.25279999999999997</v>
      </c>
      <c r="X10" s="108">
        <f>(18519*(138.73/127.19))/23320500</f>
        <v>8.6615794426941331E-4</v>
      </c>
      <c r="Y10" s="88">
        <f t="shared" si="13"/>
        <v>1</v>
      </c>
      <c r="Z10" s="113">
        <f t="shared" si="14"/>
        <v>0.3</v>
      </c>
      <c r="AA10" s="78">
        <f t="shared" ca="1" si="15"/>
        <v>0.85249999999999992</v>
      </c>
      <c r="AB10" s="118" t="str">
        <f t="shared" ca="1" si="16"/>
        <v>Evaluar nuevamente en dos años</v>
      </c>
      <c r="AC10" s="38"/>
      <c r="AD10" s="38"/>
      <c r="AE10" s="38"/>
      <c r="AF10" s="38"/>
      <c r="AG10" s="38"/>
      <c r="AH10" s="38"/>
      <c r="AI10" s="38"/>
      <c r="AJ10" s="38"/>
    </row>
    <row r="11" spans="1:36" ht="15" x14ac:dyDescent="0.25">
      <c r="A11" s="49" t="s">
        <v>100</v>
      </c>
      <c r="B11" s="56" t="s">
        <v>101</v>
      </c>
      <c r="C11" s="59">
        <f>AVERAGE(3,3,3,3,3,3,3)</f>
        <v>3</v>
      </c>
      <c r="D11" s="50" t="str">
        <f t="shared" si="0"/>
        <v>Alta</v>
      </c>
      <c r="E11" s="60">
        <f t="shared" si="1"/>
        <v>0.54900000000000004</v>
      </c>
      <c r="F11" s="66">
        <f>AVERAGE(3,3,3,3,3,3,3)</f>
        <v>3</v>
      </c>
      <c r="G11" s="50" t="str">
        <f t="shared" si="2"/>
        <v>Alta</v>
      </c>
      <c r="H11" s="67">
        <f t="shared" si="3"/>
        <v>0.2402</v>
      </c>
      <c r="I11" s="71">
        <f>AVERAGE(3,2,2,3,3,3,3)</f>
        <v>2.7142857142857144</v>
      </c>
      <c r="J11" s="50" t="str">
        <f t="shared" si="4"/>
        <v>Alta</v>
      </c>
      <c r="K11" s="67">
        <f t="shared" si="5"/>
        <v>0.20979999999999999</v>
      </c>
      <c r="L11" s="75">
        <f t="shared" si="6"/>
        <v>0.29969999999999997</v>
      </c>
      <c r="M11" s="78">
        <f ca="1">5/(YEAR(TODAY())-YEAR("28/02/2006"))</f>
        <v>0.3125</v>
      </c>
      <c r="N11" s="67">
        <f t="shared" ca="1" si="7"/>
        <v>2.7400000000000001E-2</v>
      </c>
      <c r="O11" s="89">
        <f>5</f>
        <v>5</v>
      </c>
      <c r="P11" s="88">
        <f t="shared" si="8"/>
        <v>0.2349</v>
      </c>
      <c r="Q11" s="96">
        <v>0</v>
      </c>
      <c r="R11" s="88">
        <f t="shared" si="9"/>
        <v>0.1135</v>
      </c>
      <c r="S11" s="100">
        <v>0</v>
      </c>
      <c r="T11" s="67">
        <f t="shared" si="10"/>
        <v>0.1681</v>
      </c>
      <c r="U11" s="95">
        <v>0</v>
      </c>
      <c r="V11" s="88">
        <f t="shared" si="11"/>
        <v>6.08E-2</v>
      </c>
      <c r="W11" s="75">
        <f t="shared" ca="1" si="12"/>
        <v>0.24187999999999998</v>
      </c>
      <c r="X11" s="108">
        <f>(9259*(138.73/127.19))/(3000000*(138.73/70.66))</f>
        <v>1.714602667924627E-3</v>
      </c>
      <c r="Y11" s="88">
        <f t="shared" si="13"/>
        <v>1</v>
      </c>
      <c r="Z11" s="113">
        <f t="shared" si="14"/>
        <v>0.3</v>
      </c>
      <c r="AA11" s="78">
        <f t="shared" ca="1" si="15"/>
        <v>0.84157999999999988</v>
      </c>
      <c r="AB11" s="118" t="str">
        <f t="shared" ca="1" si="16"/>
        <v>Evaluar nuevamente en dos años</v>
      </c>
      <c r="AC11" s="38"/>
      <c r="AD11" s="38"/>
      <c r="AE11" s="38"/>
      <c r="AF11" s="38"/>
      <c r="AG11" s="38"/>
      <c r="AH11" s="38"/>
      <c r="AI11" s="38"/>
      <c r="AJ11" s="38"/>
    </row>
    <row r="12" spans="1:36" ht="15" x14ac:dyDescent="0.25">
      <c r="A12" s="49" t="s">
        <v>100</v>
      </c>
      <c r="B12" s="56" t="s">
        <v>99</v>
      </c>
      <c r="C12" s="59">
        <f>AVERAGE(3,3,3,3,3,3,3)</f>
        <v>3</v>
      </c>
      <c r="D12" s="50" t="str">
        <f t="shared" si="0"/>
        <v>Alta</v>
      </c>
      <c r="E12" s="60">
        <f t="shared" si="1"/>
        <v>0.54900000000000004</v>
      </c>
      <c r="F12" s="66">
        <f>AVERAGE(3,3,3,3,3,3,3)</f>
        <v>3</v>
      </c>
      <c r="G12" s="50" t="str">
        <f t="shared" si="2"/>
        <v>Alta</v>
      </c>
      <c r="H12" s="67">
        <f t="shared" si="3"/>
        <v>0.2402</v>
      </c>
      <c r="I12" s="71">
        <f>AVERAGE(3,2,2,3,3,3,3)</f>
        <v>2.7142857142857144</v>
      </c>
      <c r="J12" s="50" t="str">
        <f t="shared" si="4"/>
        <v>Alta</v>
      </c>
      <c r="K12" s="67">
        <f t="shared" si="5"/>
        <v>0.20979999999999999</v>
      </c>
      <c r="L12" s="75">
        <f t="shared" si="6"/>
        <v>0.29969999999999997</v>
      </c>
      <c r="M12" s="78">
        <f ca="1">10/(YEAR(TODAY())-YEAR("26/04/2011"))</f>
        <v>0.90909090909090906</v>
      </c>
      <c r="N12" s="67">
        <f t="shared" ca="1" si="7"/>
        <v>5.4699999999999999E-2</v>
      </c>
      <c r="O12" s="89">
        <f>2/3</f>
        <v>0.66666666666666663</v>
      </c>
      <c r="P12" s="88">
        <f t="shared" si="8"/>
        <v>0.15659999999999999</v>
      </c>
      <c r="Q12" s="96">
        <v>0</v>
      </c>
      <c r="R12" s="88">
        <f t="shared" si="9"/>
        <v>0.1135</v>
      </c>
      <c r="S12" s="100">
        <f>24/720</f>
        <v>3.3333333333333333E-2</v>
      </c>
      <c r="T12" s="67">
        <f t="shared" si="10"/>
        <v>0.1681</v>
      </c>
      <c r="U12" s="95">
        <v>0</v>
      </c>
      <c r="V12" s="88">
        <f t="shared" si="11"/>
        <v>6.08E-2</v>
      </c>
      <c r="W12" s="75">
        <f t="shared" ca="1" si="12"/>
        <v>0.22148000000000001</v>
      </c>
      <c r="X12" s="108">
        <f>(1680000+46296*(138.73/127.19))/23320500</f>
        <v>7.4204946495689719E-2</v>
      </c>
      <c r="Y12" s="88">
        <f t="shared" si="13"/>
        <v>1</v>
      </c>
      <c r="Z12" s="113">
        <f t="shared" si="14"/>
        <v>0.3</v>
      </c>
      <c r="AA12" s="78">
        <f t="shared" ca="1" si="15"/>
        <v>0.82117999999999991</v>
      </c>
      <c r="AB12" s="118" t="str">
        <f t="shared" ca="1" si="16"/>
        <v>Evaluar nuevamente en dos años</v>
      </c>
      <c r="AC12" s="38"/>
      <c r="AD12" s="38"/>
      <c r="AE12" s="38"/>
      <c r="AF12" s="38"/>
      <c r="AG12" s="38"/>
      <c r="AH12" s="38"/>
      <c r="AI12" s="38"/>
      <c r="AJ12" s="38"/>
    </row>
    <row r="13" spans="1:36" ht="15" x14ac:dyDescent="0.25">
      <c r="A13" s="49" t="s">
        <v>92</v>
      </c>
      <c r="B13" s="56" t="s">
        <v>98</v>
      </c>
      <c r="C13" s="59">
        <f t="shared" ref="C13:C19" si="17">AVERAGE(3,3,3,3,3,3,3,3,3,3,3)</f>
        <v>3</v>
      </c>
      <c r="D13" s="50" t="str">
        <f t="shared" si="0"/>
        <v>Alta</v>
      </c>
      <c r="E13" s="60">
        <f t="shared" si="1"/>
        <v>0.54900000000000004</v>
      </c>
      <c r="F13" s="66">
        <f t="shared" ref="F13:F19" si="18">AVERAGE(3,3,3,3,3,2,3,3,3,3,3)</f>
        <v>2.9090909090909092</v>
      </c>
      <c r="G13" s="50" t="str">
        <f t="shared" si="2"/>
        <v>Alta</v>
      </c>
      <c r="H13" s="67">
        <f t="shared" si="3"/>
        <v>0.2402</v>
      </c>
      <c r="I13" s="71">
        <f t="shared" ref="I13:I19" si="19">AVERAGE(3,3,3,3,3,3,2,3,2,3,3)</f>
        <v>2.8181818181818183</v>
      </c>
      <c r="J13" s="50" t="str">
        <f t="shared" si="4"/>
        <v>Alta</v>
      </c>
      <c r="K13" s="67">
        <f t="shared" si="5"/>
        <v>0.20979999999999999</v>
      </c>
      <c r="L13" s="75">
        <f t="shared" si="6"/>
        <v>0.29969999999999997</v>
      </c>
      <c r="M13" s="78">
        <f ca="1">5/(YEAR(TODAY())-YEAR("30/11/2005"))</f>
        <v>0.29411764705882354</v>
      </c>
      <c r="N13" s="67">
        <f t="shared" ca="1" si="7"/>
        <v>2.7400000000000001E-2</v>
      </c>
      <c r="O13" s="89">
        <f>1/1</f>
        <v>1</v>
      </c>
      <c r="P13" s="88">
        <f t="shared" si="8"/>
        <v>0.15659999999999999</v>
      </c>
      <c r="Q13" s="96">
        <v>0</v>
      </c>
      <c r="R13" s="88">
        <f t="shared" si="9"/>
        <v>0.1135</v>
      </c>
      <c r="S13" s="100">
        <f>2.2/720</f>
        <v>3.0555555555555557E-3</v>
      </c>
      <c r="T13" s="67">
        <f t="shared" si="10"/>
        <v>0.1681</v>
      </c>
      <c r="U13" s="95">
        <v>0</v>
      </c>
      <c r="V13" s="88">
        <f t="shared" si="11"/>
        <v>6.08E-2</v>
      </c>
      <c r="W13" s="75">
        <f t="shared" ca="1" si="12"/>
        <v>0.21056</v>
      </c>
      <c r="X13" s="109">
        <f>(37037*(138.73/127.19))/(3000000*(138.73/67.75))</f>
        <v>6.5761374059805557E-3</v>
      </c>
      <c r="Y13" s="88">
        <f t="shared" si="13"/>
        <v>1</v>
      </c>
      <c r="Z13" s="113">
        <f t="shared" si="14"/>
        <v>0.3</v>
      </c>
      <c r="AA13" s="78">
        <f t="shared" ca="1" si="15"/>
        <v>0.81025999999999998</v>
      </c>
      <c r="AB13" s="118" t="str">
        <f t="shared" ca="1" si="16"/>
        <v>Evaluar nuevamente en dos años</v>
      </c>
      <c r="AC13" s="38"/>
      <c r="AD13" s="38"/>
      <c r="AE13" s="38"/>
      <c r="AF13" s="38"/>
      <c r="AG13" s="38"/>
      <c r="AH13" s="38"/>
      <c r="AI13" s="38"/>
      <c r="AJ13" s="38"/>
    </row>
    <row r="14" spans="1:36" ht="15" x14ac:dyDescent="0.25">
      <c r="A14" s="49" t="s">
        <v>92</v>
      </c>
      <c r="B14" s="56" t="s">
        <v>97</v>
      </c>
      <c r="C14" s="59">
        <f t="shared" si="17"/>
        <v>3</v>
      </c>
      <c r="D14" s="50" t="str">
        <f t="shared" si="0"/>
        <v>Alta</v>
      </c>
      <c r="E14" s="60">
        <f t="shared" si="1"/>
        <v>0.54900000000000004</v>
      </c>
      <c r="F14" s="66">
        <f t="shared" si="18"/>
        <v>2.9090909090909092</v>
      </c>
      <c r="G14" s="50" t="str">
        <f t="shared" si="2"/>
        <v>Alta</v>
      </c>
      <c r="H14" s="67">
        <f t="shared" si="3"/>
        <v>0.2402</v>
      </c>
      <c r="I14" s="71">
        <f t="shared" si="19"/>
        <v>2.8181818181818183</v>
      </c>
      <c r="J14" s="50" t="str">
        <f t="shared" si="4"/>
        <v>Alta</v>
      </c>
      <c r="K14" s="67">
        <f t="shared" si="5"/>
        <v>0.20979999999999999</v>
      </c>
      <c r="L14" s="75">
        <f t="shared" si="6"/>
        <v>0.29969999999999997</v>
      </c>
      <c r="M14" s="78">
        <f ca="1">5/(YEAR(TODAY())-YEAR("09/11/2006"))</f>
        <v>0.3125</v>
      </c>
      <c r="N14" s="67">
        <f t="shared" ca="1" si="7"/>
        <v>2.7400000000000001E-2</v>
      </c>
      <c r="O14" s="89">
        <f>5</f>
        <v>5</v>
      </c>
      <c r="P14" s="88">
        <f t="shared" si="8"/>
        <v>0.2349</v>
      </c>
      <c r="Q14" s="96">
        <v>7</v>
      </c>
      <c r="R14" s="88">
        <f t="shared" si="9"/>
        <v>0.4541</v>
      </c>
      <c r="S14" s="100">
        <f>0/720</f>
        <v>0</v>
      </c>
      <c r="T14" s="67">
        <f t="shared" si="10"/>
        <v>0.1681</v>
      </c>
      <c r="U14" s="95">
        <v>0</v>
      </c>
      <c r="V14" s="88">
        <f t="shared" si="11"/>
        <v>6.08E-2</v>
      </c>
      <c r="W14" s="75">
        <f t="shared" ca="1" si="12"/>
        <v>0.37812000000000001</v>
      </c>
      <c r="X14" s="109">
        <f>(423266*(138.73/127.19))/(1500000*(138.73/70.66))</f>
        <v>0.15676272012998924</v>
      </c>
      <c r="Y14" s="88">
        <f t="shared" si="13"/>
        <v>1</v>
      </c>
      <c r="Z14" s="113">
        <f t="shared" si="14"/>
        <v>0.3</v>
      </c>
      <c r="AA14" s="78">
        <f t="shared" ca="1" si="15"/>
        <v>0.97782000000000002</v>
      </c>
      <c r="AB14" s="118" t="str">
        <f t="shared" ca="1" si="16"/>
        <v>Evaluar nuevamente en dos años</v>
      </c>
      <c r="AC14" s="38"/>
      <c r="AD14" s="38"/>
      <c r="AE14" s="38"/>
      <c r="AF14" s="38"/>
      <c r="AG14" s="38"/>
      <c r="AH14" s="38"/>
      <c r="AI14" s="38"/>
      <c r="AJ14" s="38"/>
    </row>
    <row r="15" spans="1:36" ht="15" x14ac:dyDescent="0.25">
      <c r="A15" s="49" t="s">
        <v>92</v>
      </c>
      <c r="B15" s="56" t="s">
        <v>96</v>
      </c>
      <c r="C15" s="59">
        <f t="shared" si="17"/>
        <v>3</v>
      </c>
      <c r="D15" s="50" t="str">
        <f t="shared" si="0"/>
        <v>Alta</v>
      </c>
      <c r="E15" s="60">
        <f t="shared" si="1"/>
        <v>0.54900000000000004</v>
      </c>
      <c r="F15" s="66">
        <f t="shared" si="18"/>
        <v>2.9090909090909092</v>
      </c>
      <c r="G15" s="50" t="str">
        <f t="shared" si="2"/>
        <v>Alta</v>
      </c>
      <c r="H15" s="67">
        <f t="shared" si="3"/>
        <v>0.2402</v>
      </c>
      <c r="I15" s="71">
        <f t="shared" si="19"/>
        <v>2.8181818181818183</v>
      </c>
      <c r="J15" s="50" t="str">
        <f t="shared" si="4"/>
        <v>Alta</v>
      </c>
      <c r="K15" s="67">
        <f t="shared" si="5"/>
        <v>0.20979999999999999</v>
      </c>
      <c r="L15" s="75">
        <f t="shared" si="6"/>
        <v>0.29969999999999997</v>
      </c>
      <c r="M15" s="79">
        <f ca="1">5/(YEAR(TODAY())-YEAR("09/11/2006"))</f>
        <v>0.3125</v>
      </c>
      <c r="N15" s="67">
        <f t="shared" ca="1" si="7"/>
        <v>2.7400000000000001E-2</v>
      </c>
      <c r="O15" s="90">
        <f>1/1</f>
        <v>1</v>
      </c>
      <c r="P15" s="88">
        <f t="shared" si="8"/>
        <v>0.15659999999999999</v>
      </c>
      <c r="Q15" s="96">
        <v>7</v>
      </c>
      <c r="R15" s="88">
        <f t="shared" si="9"/>
        <v>0.4541</v>
      </c>
      <c r="S15" s="100">
        <f>((255*24)+6)/720</f>
        <v>8.5083333333333329</v>
      </c>
      <c r="T15" s="67">
        <f t="shared" si="10"/>
        <v>5.6000000000000001E-2</v>
      </c>
      <c r="U15" s="95">
        <v>0</v>
      </c>
      <c r="V15" s="88">
        <f t="shared" si="11"/>
        <v>6.08E-2</v>
      </c>
      <c r="W15" s="75">
        <f t="shared" ca="1" si="12"/>
        <v>0.30196000000000001</v>
      </c>
      <c r="X15" s="109">
        <f>(478821*(138.73/127.19))/(1500000*(138.73/70.66))</f>
        <v>0.17733832250963125</v>
      </c>
      <c r="Y15" s="88">
        <f t="shared" si="13"/>
        <v>1</v>
      </c>
      <c r="Z15" s="113">
        <f t="shared" si="14"/>
        <v>0.3</v>
      </c>
      <c r="AA15" s="78">
        <f t="shared" ca="1" si="15"/>
        <v>0.90166000000000002</v>
      </c>
      <c r="AB15" s="118" t="str">
        <f t="shared" ca="1" si="16"/>
        <v>Evaluar nuevamente en dos años</v>
      </c>
      <c r="AC15" s="38"/>
      <c r="AD15" s="38"/>
      <c r="AE15" s="38"/>
      <c r="AF15" s="38"/>
      <c r="AG15" s="38"/>
      <c r="AH15" s="38"/>
      <c r="AI15" s="38"/>
      <c r="AJ15" s="38"/>
    </row>
    <row r="16" spans="1:36" ht="15" x14ac:dyDescent="0.25">
      <c r="A16" s="49" t="s">
        <v>92</v>
      </c>
      <c r="B16" s="56" t="s">
        <v>95</v>
      </c>
      <c r="C16" s="59">
        <f t="shared" si="17"/>
        <v>3</v>
      </c>
      <c r="D16" s="50" t="str">
        <f t="shared" si="0"/>
        <v>Alta</v>
      </c>
      <c r="E16" s="60">
        <f t="shared" si="1"/>
        <v>0.54900000000000004</v>
      </c>
      <c r="F16" s="66">
        <f t="shared" si="18"/>
        <v>2.9090909090909092</v>
      </c>
      <c r="G16" s="50" t="str">
        <f t="shared" si="2"/>
        <v>Alta</v>
      </c>
      <c r="H16" s="67">
        <f t="shared" si="3"/>
        <v>0.2402</v>
      </c>
      <c r="I16" s="71">
        <f t="shared" si="19"/>
        <v>2.8181818181818183</v>
      </c>
      <c r="J16" s="50" t="str">
        <f t="shared" si="4"/>
        <v>Alta</v>
      </c>
      <c r="K16" s="67">
        <f t="shared" si="5"/>
        <v>0.20979999999999999</v>
      </c>
      <c r="L16" s="75">
        <f t="shared" si="6"/>
        <v>0.29969999999999997</v>
      </c>
      <c r="M16" s="78">
        <f ca="1">5/(YEAR(TODAY())-YEAR("10/11/2006"))</f>
        <v>0.3125</v>
      </c>
      <c r="N16" s="67">
        <f t="shared" ca="1" si="7"/>
        <v>2.7400000000000001E-2</v>
      </c>
      <c r="O16" s="89">
        <f>1/1</f>
        <v>1</v>
      </c>
      <c r="P16" s="88">
        <f t="shared" si="8"/>
        <v>0.15659999999999999</v>
      </c>
      <c r="Q16" s="96">
        <v>7</v>
      </c>
      <c r="R16" s="88">
        <f t="shared" si="9"/>
        <v>0.4541</v>
      </c>
      <c r="S16" s="100">
        <v>0</v>
      </c>
      <c r="T16" s="67">
        <f t="shared" si="10"/>
        <v>0.1681</v>
      </c>
      <c r="U16" s="95">
        <v>0</v>
      </c>
      <c r="V16" s="88">
        <f t="shared" si="11"/>
        <v>6.08E-2</v>
      </c>
      <c r="W16" s="75">
        <f t="shared" ca="1" si="12"/>
        <v>0.3468</v>
      </c>
      <c r="X16" s="109">
        <f>(404756*(138.73/127.19))/(1500000*(138.73/70.66))</f>
        <v>0.14990727237466256</v>
      </c>
      <c r="Y16" s="88">
        <f t="shared" si="13"/>
        <v>1</v>
      </c>
      <c r="Z16" s="113">
        <f t="shared" si="14"/>
        <v>0.3</v>
      </c>
      <c r="AA16" s="78">
        <f t="shared" ca="1" si="15"/>
        <v>0.94650000000000001</v>
      </c>
      <c r="AB16" s="118" t="str">
        <f t="shared" ca="1" si="16"/>
        <v>Evaluar nuevamente en dos años</v>
      </c>
      <c r="AC16" s="38"/>
      <c r="AD16" s="38"/>
      <c r="AE16" s="38"/>
      <c r="AF16" s="38"/>
      <c r="AG16" s="38"/>
      <c r="AH16" s="38"/>
      <c r="AI16" s="38"/>
      <c r="AJ16" s="38"/>
    </row>
    <row r="17" spans="1:36" ht="15" x14ac:dyDescent="0.25">
      <c r="A17" s="49" t="s">
        <v>92</v>
      </c>
      <c r="B17" s="56" t="s">
        <v>94</v>
      </c>
      <c r="C17" s="59">
        <f t="shared" si="17"/>
        <v>3</v>
      </c>
      <c r="D17" s="50" t="str">
        <f t="shared" si="0"/>
        <v>Alta</v>
      </c>
      <c r="E17" s="60">
        <f t="shared" si="1"/>
        <v>0.54900000000000004</v>
      </c>
      <c r="F17" s="66">
        <f t="shared" si="18"/>
        <v>2.9090909090909092</v>
      </c>
      <c r="G17" s="50" t="str">
        <f t="shared" si="2"/>
        <v>Alta</v>
      </c>
      <c r="H17" s="67">
        <f t="shared" si="3"/>
        <v>0.2402</v>
      </c>
      <c r="I17" s="71">
        <f t="shared" si="19"/>
        <v>2.8181818181818183</v>
      </c>
      <c r="J17" s="50" t="str">
        <f t="shared" si="4"/>
        <v>Alta</v>
      </c>
      <c r="K17" s="67">
        <f t="shared" si="5"/>
        <v>0.20979999999999999</v>
      </c>
      <c r="L17" s="75">
        <f t="shared" si="6"/>
        <v>0.29969999999999997</v>
      </c>
      <c r="M17" s="78">
        <f ca="1">5/(YEAR(TODAY())-YEAR("10/11/2016"))</f>
        <v>0.83333333333333337</v>
      </c>
      <c r="N17" s="67">
        <f t="shared" ca="1" si="7"/>
        <v>5.4699999999999999E-2</v>
      </c>
      <c r="O17" s="89">
        <f>1/1</f>
        <v>1</v>
      </c>
      <c r="P17" s="88">
        <f t="shared" si="8"/>
        <v>0.15659999999999999</v>
      </c>
      <c r="Q17" s="96">
        <v>7</v>
      </c>
      <c r="R17" s="88">
        <f t="shared" si="9"/>
        <v>0.4541</v>
      </c>
      <c r="S17" s="100">
        <f>4/720</f>
        <v>5.5555555555555558E-3</v>
      </c>
      <c r="T17" s="67">
        <f t="shared" si="10"/>
        <v>0.1681</v>
      </c>
      <c r="U17" s="95">
        <v>0</v>
      </c>
      <c r="V17" s="88">
        <f t="shared" si="11"/>
        <v>6.08E-2</v>
      </c>
      <c r="W17" s="75">
        <f t="shared" ca="1" si="12"/>
        <v>0.35772000000000004</v>
      </c>
      <c r="X17" s="109">
        <f>(441784*(138.73/127.19))/(1500000*(138.73/70.66))</f>
        <v>0.16362113080168775</v>
      </c>
      <c r="Y17" s="88">
        <f t="shared" si="13"/>
        <v>1</v>
      </c>
      <c r="Z17" s="113">
        <f t="shared" si="14"/>
        <v>0.3</v>
      </c>
      <c r="AA17" s="78">
        <f t="shared" ca="1" si="15"/>
        <v>0.95742000000000005</v>
      </c>
      <c r="AB17" s="118" t="str">
        <f t="shared" ca="1" si="16"/>
        <v>Evaluar nuevamente en dos años</v>
      </c>
      <c r="AC17" s="38"/>
      <c r="AD17" s="38"/>
      <c r="AE17" s="38"/>
      <c r="AF17" s="38"/>
      <c r="AG17" s="38"/>
      <c r="AH17" s="38"/>
      <c r="AI17" s="38"/>
      <c r="AJ17" s="38"/>
    </row>
    <row r="18" spans="1:36" ht="15" x14ac:dyDescent="0.25">
      <c r="A18" s="49" t="s">
        <v>92</v>
      </c>
      <c r="B18" s="56" t="s">
        <v>93</v>
      </c>
      <c r="C18" s="59">
        <f t="shared" si="17"/>
        <v>3</v>
      </c>
      <c r="D18" s="50" t="str">
        <f t="shared" si="0"/>
        <v>Alta</v>
      </c>
      <c r="E18" s="60">
        <f t="shared" si="1"/>
        <v>0.54900000000000004</v>
      </c>
      <c r="F18" s="66">
        <f t="shared" si="18"/>
        <v>2.9090909090909092</v>
      </c>
      <c r="G18" s="50" t="str">
        <f t="shared" si="2"/>
        <v>Alta</v>
      </c>
      <c r="H18" s="67">
        <f t="shared" si="3"/>
        <v>0.2402</v>
      </c>
      <c r="I18" s="71">
        <f t="shared" si="19"/>
        <v>2.8181818181818183</v>
      </c>
      <c r="J18" s="50" t="str">
        <f t="shared" si="4"/>
        <v>Alta</v>
      </c>
      <c r="K18" s="67">
        <f t="shared" si="5"/>
        <v>0.20979999999999999</v>
      </c>
      <c r="L18" s="75">
        <f t="shared" si="6"/>
        <v>0.29969999999999997</v>
      </c>
      <c r="M18" s="78">
        <f ca="1">10/(YEAR(TODAY())-YEAR("31/10/2000"))</f>
        <v>0.45454545454545453</v>
      </c>
      <c r="N18" s="67">
        <f t="shared" ca="1" si="7"/>
        <v>2.7400000000000001E-2</v>
      </c>
      <c r="O18" s="89">
        <f>5</f>
        <v>5</v>
      </c>
      <c r="P18" s="88">
        <f t="shared" si="8"/>
        <v>0.2349</v>
      </c>
      <c r="Q18" s="96">
        <v>0</v>
      </c>
      <c r="R18" s="88">
        <f t="shared" si="9"/>
        <v>0.1135</v>
      </c>
      <c r="S18" s="100">
        <v>0</v>
      </c>
      <c r="T18" s="67">
        <f t="shared" si="10"/>
        <v>0.1681</v>
      </c>
      <c r="U18" s="95">
        <v>0</v>
      </c>
      <c r="V18" s="88">
        <f t="shared" si="11"/>
        <v>6.08E-2</v>
      </c>
      <c r="W18" s="75">
        <f t="shared" ca="1" si="12"/>
        <v>0.24187999999999998</v>
      </c>
      <c r="X18" s="109">
        <f>(37037*(138.73/127.19))/(16524511*(138.73/49.51))</f>
        <v>8.7246325283707894E-4</v>
      </c>
      <c r="Y18" s="88">
        <f t="shared" si="13"/>
        <v>1</v>
      </c>
      <c r="Z18" s="113">
        <f t="shared" si="14"/>
        <v>0.3</v>
      </c>
      <c r="AA18" s="78">
        <f t="shared" ca="1" si="15"/>
        <v>0.84157999999999988</v>
      </c>
      <c r="AB18" s="118" t="str">
        <f t="shared" ca="1" si="16"/>
        <v>Evaluar nuevamente en dos años</v>
      </c>
      <c r="AC18" s="38"/>
      <c r="AD18" s="38"/>
      <c r="AE18" s="38"/>
      <c r="AF18" s="38"/>
      <c r="AG18" s="38"/>
      <c r="AH18" s="38"/>
      <c r="AI18" s="38"/>
      <c r="AJ18" s="38"/>
    </row>
    <row r="19" spans="1:36" ht="15" x14ac:dyDescent="0.25">
      <c r="A19" s="49" t="s">
        <v>92</v>
      </c>
      <c r="B19" s="56" t="s">
        <v>91</v>
      </c>
      <c r="C19" s="59">
        <f t="shared" si="17"/>
        <v>3</v>
      </c>
      <c r="D19" s="50" t="str">
        <f t="shared" si="0"/>
        <v>Alta</v>
      </c>
      <c r="E19" s="60">
        <f t="shared" si="1"/>
        <v>0.54900000000000004</v>
      </c>
      <c r="F19" s="66">
        <f t="shared" si="18"/>
        <v>2.9090909090909092</v>
      </c>
      <c r="G19" s="50" t="str">
        <f t="shared" si="2"/>
        <v>Alta</v>
      </c>
      <c r="H19" s="67">
        <f t="shared" si="3"/>
        <v>0.2402</v>
      </c>
      <c r="I19" s="71">
        <f t="shared" si="19"/>
        <v>2.8181818181818183</v>
      </c>
      <c r="J19" s="50" t="str">
        <f t="shared" si="4"/>
        <v>Alta</v>
      </c>
      <c r="K19" s="67">
        <f t="shared" si="5"/>
        <v>0.20979999999999999</v>
      </c>
      <c r="L19" s="75">
        <f t="shared" si="6"/>
        <v>0.29969999999999997</v>
      </c>
      <c r="M19" s="78">
        <f ca="1">10/(YEAR(TODAY())-YEAR("28/9/2012"))</f>
        <v>1</v>
      </c>
      <c r="N19" s="67">
        <f t="shared" ca="1" si="7"/>
        <v>5.4699999999999999E-2</v>
      </c>
      <c r="O19" s="89">
        <f>1/1</f>
        <v>1</v>
      </c>
      <c r="P19" s="88">
        <f t="shared" si="8"/>
        <v>0.15659999999999999</v>
      </c>
      <c r="Q19" s="96">
        <v>5</v>
      </c>
      <c r="R19" s="88">
        <f t="shared" si="9"/>
        <v>0.4541</v>
      </c>
      <c r="S19" s="100">
        <f>1/720</f>
        <v>1.3888888888888889E-3</v>
      </c>
      <c r="T19" s="67">
        <f t="shared" si="10"/>
        <v>0.1681</v>
      </c>
      <c r="U19" s="95">
        <v>0</v>
      </c>
      <c r="V19" s="88">
        <f t="shared" si="11"/>
        <v>6.08E-2</v>
      </c>
      <c r="W19" s="75">
        <f t="shared" ca="1" si="12"/>
        <v>0.35772000000000004</v>
      </c>
      <c r="X19" s="109">
        <f>(4336251*(138.73/127.19))/(59691672*(138.73/90.73))</f>
        <v>5.1820143660872384E-2</v>
      </c>
      <c r="Y19" s="88">
        <f t="shared" si="13"/>
        <v>1</v>
      </c>
      <c r="Z19" s="113">
        <f t="shared" si="14"/>
        <v>0.3</v>
      </c>
      <c r="AA19" s="78">
        <f t="shared" ca="1" si="15"/>
        <v>0.95742000000000005</v>
      </c>
      <c r="AB19" s="118" t="str">
        <f t="shared" ca="1" si="16"/>
        <v>Evaluar nuevamente en dos años</v>
      </c>
      <c r="AC19" s="38"/>
      <c r="AD19" s="38"/>
      <c r="AE19" s="38"/>
      <c r="AF19" s="38"/>
      <c r="AG19" s="38"/>
      <c r="AH19" s="38"/>
      <c r="AI19" s="38"/>
      <c r="AJ19" s="38"/>
    </row>
    <row r="20" spans="1:36" ht="15" x14ac:dyDescent="0.25">
      <c r="A20" s="49" t="s">
        <v>88</v>
      </c>
      <c r="B20" s="56" t="s">
        <v>90</v>
      </c>
      <c r="C20" s="59">
        <f>AVERAGE(1,1,2)</f>
        <v>1.3333333333333333</v>
      </c>
      <c r="D20" s="50" t="str">
        <f t="shared" si="0"/>
        <v>Baja</v>
      </c>
      <c r="E20" s="60">
        <f t="shared" si="1"/>
        <v>0.18329999999999999</v>
      </c>
      <c r="F20" s="66">
        <f>AVERAGE(1,1,1)</f>
        <v>1</v>
      </c>
      <c r="G20" s="50" t="str">
        <f t="shared" si="2"/>
        <v>Baja</v>
      </c>
      <c r="H20" s="67">
        <f t="shared" si="3"/>
        <v>8.0100000000000005E-2</v>
      </c>
      <c r="I20" s="71">
        <f>AVERAGE(1,1,2)</f>
        <v>1.3333333333333333</v>
      </c>
      <c r="J20" s="50" t="str">
        <f t="shared" si="4"/>
        <v>Baja</v>
      </c>
      <c r="K20" s="67">
        <f t="shared" si="5"/>
        <v>6.9900000000000004E-2</v>
      </c>
      <c r="L20" s="75">
        <f t="shared" si="6"/>
        <v>9.9989999999999996E-2</v>
      </c>
      <c r="M20" s="80">
        <v>0</v>
      </c>
      <c r="N20" s="67" t="b">
        <f t="shared" si="7"/>
        <v>0</v>
      </c>
      <c r="O20" s="89">
        <f>5</f>
        <v>5</v>
      </c>
      <c r="P20" s="88">
        <f t="shared" si="8"/>
        <v>0.2349</v>
      </c>
      <c r="Q20" s="96">
        <v>0</v>
      </c>
      <c r="R20" s="88">
        <f t="shared" si="9"/>
        <v>0.1135</v>
      </c>
      <c r="S20" s="100">
        <v>0</v>
      </c>
      <c r="T20" s="67">
        <f t="shared" si="10"/>
        <v>0.1681</v>
      </c>
      <c r="U20" s="95">
        <v>0</v>
      </c>
      <c r="V20" s="88">
        <f t="shared" si="11"/>
        <v>6.08E-2</v>
      </c>
      <c r="W20" s="75">
        <f t="shared" si="12"/>
        <v>0.23091999999999999</v>
      </c>
      <c r="X20" s="108">
        <f>(37037*(138.73/127.19))/30000000</f>
        <v>1.3465793982755459E-3</v>
      </c>
      <c r="Y20" s="88">
        <f t="shared" si="13"/>
        <v>1</v>
      </c>
      <c r="Z20" s="113">
        <f t="shared" si="14"/>
        <v>0.3</v>
      </c>
      <c r="AA20" s="78">
        <f t="shared" si="15"/>
        <v>0.63090999999999997</v>
      </c>
      <c r="AB20" s="118" t="str">
        <f t="shared" si="16"/>
        <v>Evaluar nuevamente en un año</v>
      </c>
      <c r="AC20" s="38"/>
      <c r="AD20" s="38"/>
      <c r="AE20" s="38"/>
      <c r="AF20" s="38"/>
      <c r="AG20" s="38"/>
      <c r="AH20" s="38"/>
      <c r="AI20" s="38"/>
      <c r="AJ20" s="38"/>
    </row>
    <row r="21" spans="1:36" ht="15" x14ac:dyDescent="0.25">
      <c r="A21" s="49" t="s">
        <v>88</v>
      </c>
      <c r="B21" s="56" t="s">
        <v>89</v>
      </c>
      <c r="C21" s="59">
        <f>AVERAGE(1,1,2)</f>
        <v>1.3333333333333333</v>
      </c>
      <c r="D21" s="50" t="str">
        <f t="shared" si="0"/>
        <v>Baja</v>
      </c>
      <c r="E21" s="60">
        <f t="shared" si="1"/>
        <v>0.18329999999999999</v>
      </c>
      <c r="F21" s="66">
        <f>AVERAGE(1,1,1)</f>
        <v>1</v>
      </c>
      <c r="G21" s="50" t="str">
        <f t="shared" si="2"/>
        <v>Baja</v>
      </c>
      <c r="H21" s="67">
        <f t="shared" si="3"/>
        <v>8.0100000000000005E-2</v>
      </c>
      <c r="I21" s="71">
        <f>AVERAGE(1,1,2)</f>
        <v>1.3333333333333333</v>
      </c>
      <c r="J21" s="50" t="str">
        <f t="shared" si="4"/>
        <v>Baja</v>
      </c>
      <c r="K21" s="67">
        <f t="shared" si="5"/>
        <v>6.9900000000000004E-2</v>
      </c>
      <c r="L21" s="75">
        <f t="shared" si="6"/>
        <v>9.9989999999999996E-2</v>
      </c>
      <c r="M21" s="80">
        <f ca="1">5/(YEAR(TODAY())-YEAR("30/11/2005"))</f>
        <v>0.29411764705882354</v>
      </c>
      <c r="N21" s="67">
        <f t="shared" ca="1" si="7"/>
        <v>2.7400000000000001E-2</v>
      </c>
      <c r="O21" s="89">
        <f>5</f>
        <v>5</v>
      </c>
      <c r="P21" s="88">
        <f t="shared" si="8"/>
        <v>0.2349</v>
      </c>
      <c r="Q21" s="96">
        <v>0</v>
      </c>
      <c r="R21" s="88">
        <f t="shared" si="9"/>
        <v>0.1135</v>
      </c>
      <c r="S21" s="100">
        <v>0</v>
      </c>
      <c r="T21" s="67">
        <f t="shared" si="10"/>
        <v>0.1681</v>
      </c>
      <c r="U21" s="95">
        <v>0</v>
      </c>
      <c r="V21" s="88">
        <f t="shared" si="11"/>
        <v>6.08E-2</v>
      </c>
      <c r="W21" s="75">
        <f t="shared" ca="1" si="12"/>
        <v>0.24187999999999998</v>
      </c>
      <c r="X21" s="108">
        <f>(37037*(138.73/127.19))/30000000</f>
        <v>1.3465793982755459E-3</v>
      </c>
      <c r="Y21" s="88">
        <f t="shared" si="13"/>
        <v>1</v>
      </c>
      <c r="Z21" s="113">
        <f t="shared" si="14"/>
        <v>0.3</v>
      </c>
      <c r="AA21" s="78">
        <f t="shared" ca="1" si="15"/>
        <v>0.64186999999999994</v>
      </c>
      <c r="AB21" s="118" t="str">
        <f t="shared" ca="1" si="16"/>
        <v>Evaluar nuevamente en un año</v>
      </c>
      <c r="AC21" s="38"/>
      <c r="AD21" s="38"/>
      <c r="AE21" s="38"/>
      <c r="AF21" s="38"/>
      <c r="AG21" s="38"/>
      <c r="AH21" s="38"/>
      <c r="AI21" s="38"/>
      <c r="AJ21" s="38"/>
    </row>
    <row r="22" spans="1:36" ht="15" x14ac:dyDescent="0.25">
      <c r="A22" s="49" t="s">
        <v>88</v>
      </c>
      <c r="B22" s="56" t="s">
        <v>87</v>
      </c>
      <c r="C22" s="59">
        <f>AVERAGE(2,1,1)</f>
        <v>1.3333333333333333</v>
      </c>
      <c r="D22" s="50" t="str">
        <f t="shared" si="0"/>
        <v>Baja</v>
      </c>
      <c r="E22" s="60">
        <f t="shared" si="1"/>
        <v>0.18329999999999999</v>
      </c>
      <c r="F22" s="66">
        <f>AVERAGE(2,1,1)</f>
        <v>1.3333333333333333</v>
      </c>
      <c r="G22" s="50" t="str">
        <f t="shared" si="2"/>
        <v>Baja</v>
      </c>
      <c r="H22" s="67">
        <f t="shared" si="3"/>
        <v>8.0100000000000005E-2</v>
      </c>
      <c r="I22" s="71">
        <f>AVERAGE(1,1,1)</f>
        <v>1</v>
      </c>
      <c r="J22" s="50" t="str">
        <f t="shared" si="4"/>
        <v>Baja</v>
      </c>
      <c r="K22" s="67">
        <f t="shared" si="5"/>
        <v>6.9900000000000004E-2</v>
      </c>
      <c r="L22" s="75">
        <f t="shared" si="6"/>
        <v>9.9989999999999996E-2</v>
      </c>
      <c r="M22" s="80">
        <f ca="1">5/(YEAR(TODAY())-YEAR("9/4/2008"))</f>
        <v>0.35714285714285715</v>
      </c>
      <c r="N22" s="67">
        <f t="shared" ca="1" si="7"/>
        <v>2.7400000000000001E-2</v>
      </c>
      <c r="O22" s="89">
        <f>5</f>
        <v>5</v>
      </c>
      <c r="P22" s="88">
        <f t="shared" si="8"/>
        <v>0.2349</v>
      </c>
      <c r="Q22" s="96">
        <v>5</v>
      </c>
      <c r="R22" s="88">
        <f t="shared" si="9"/>
        <v>0.4541</v>
      </c>
      <c r="S22" s="100">
        <v>0</v>
      </c>
      <c r="T22" s="67">
        <f t="shared" si="10"/>
        <v>0.1681</v>
      </c>
      <c r="U22" s="95">
        <v>0</v>
      </c>
      <c r="V22" s="88">
        <f t="shared" si="11"/>
        <v>6.08E-2</v>
      </c>
      <c r="W22" s="75">
        <f t="shared" ca="1" si="12"/>
        <v>0.37812000000000001</v>
      </c>
      <c r="X22" s="108">
        <f>(27778*(138.73/127.19))/30000000</f>
        <v>1.009943638126687E-3</v>
      </c>
      <c r="Y22" s="88">
        <f t="shared" si="13"/>
        <v>1</v>
      </c>
      <c r="Z22" s="113">
        <f t="shared" si="14"/>
        <v>0.3</v>
      </c>
      <c r="AA22" s="78">
        <f t="shared" ca="1" si="15"/>
        <v>0.77811000000000008</v>
      </c>
      <c r="AB22" s="118" t="str">
        <f t="shared" ca="1" si="16"/>
        <v>Evaluar nuevamente en un año</v>
      </c>
      <c r="AC22" s="38"/>
      <c r="AD22" s="38"/>
      <c r="AE22" s="38"/>
      <c r="AF22" s="38"/>
      <c r="AG22" s="38"/>
      <c r="AH22" s="38"/>
      <c r="AI22" s="38"/>
      <c r="AJ22" s="38"/>
    </row>
    <row r="23" spans="1:36" ht="15" x14ac:dyDescent="0.25">
      <c r="A23" s="49" t="s">
        <v>86</v>
      </c>
      <c r="B23" s="56" t="s">
        <v>85</v>
      </c>
      <c r="C23" s="59">
        <f>AVERAGE(3,0)</f>
        <v>1.5</v>
      </c>
      <c r="D23" s="50" t="str">
        <f t="shared" si="0"/>
        <v>Mediana</v>
      </c>
      <c r="E23" s="60">
        <f t="shared" si="1"/>
        <v>0.36659999999999998</v>
      </c>
      <c r="F23" s="66">
        <f>AVERAGE(3,0)</f>
        <v>1.5</v>
      </c>
      <c r="G23" s="50" t="str">
        <f t="shared" si="2"/>
        <v>Mediana</v>
      </c>
      <c r="H23" s="67">
        <f t="shared" si="3"/>
        <v>0.16009999999999999</v>
      </c>
      <c r="I23" s="71">
        <f>AVERAGE(3,0)</f>
        <v>1.5</v>
      </c>
      <c r="J23" s="50" t="str">
        <f t="shared" si="4"/>
        <v>Mediana</v>
      </c>
      <c r="K23" s="67">
        <f t="shared" si="5"/>
        <v>0.1399</v>
      </c>
      <c r="L23" s="75">
        <f t="shared" si="6"/>
        <v>0.19997999999999999</v>
      </c>
      <c r="M23" s="81">
        <f ca="1">10/(YEAR(TODAY()) - YEAR("1/8/1995"))</f>
        <v>0.37037037037037035</v>
      </c>
      <c r="N23" s="67">
        <f t="shared" ca="1" si="7"/>
        <v>2.7400000000000001E-2</v>
      </c>
      <c r="O23" s="91">
        <v>1</v>
      </c>
      <c r="P23" s="88">
        <f t="shared" si="8"/>
        <v>0.15659999999999999</v>
      </c>
      <c r="Q23" s="96">
        <v>0</v>
      </c>
      <c r="R23" s="88">
        <f t="shared" si="9"/>
        <v>0.1135</v>
      </c>
      <c r="S23" s="100">
        <v>0</v>
      </c>
      <c r="T23" s="67">
        <f t="shared" si="10"/>
        <v>0.1681</v>
      </c>
      <c r="U23" s="95">
        <v>0</v>
      </c>
      <c r="V23" s="88">
        <f t="shared" si="11"/>
        <v>6.08E-2</v>
      </c>
      <c r="W23" s="75">
        <f t="shared" ca="1" si="12"/>
        <v>0.21056</v>
      </c>
      <c r="X23" s="108">
        <v>0</v>
      </c>
      <c r="Y23" s="88">
        <f t="shared" si="13"/>
        <v>1</v>
      </c>
      <c r="Z23" s="113">
        <f t="shared" si="14"/>
        <v>0.3</v>
      </c>
      <c r="AA23" s="78">
        <f t="shared" ca="1" si="15"/>
        <v>0.71053999999999995</v>
      </c>
      <c r="AB23" s="118" t="str">
        <f t="shared" ca="1" si="16"/>
        <v>Evaluar nuevamente en un año</v>
      </c>
      <c r="AC23" s="38"/>
      <c r="AD23" s="38"/>
      <c r="AE23" s="38"/>
      <c r="AF23" s="38"/>
      <c r="AG23" s="38"/>
      <c r="AH23" s="38"/>
      <c r="AI23" s="38"/>
      <c r="AJ23" s="38"/>
    </row>
    <row r="24" spans="1:36" ht="15" x14ac:dyDescent="0.25">
      <c r="A24" s="49" t="s">
        <v>84</v>
      </c>
      <c r="B24" s="56" t="s">
        <v>83</v>
      </c>
      <c r="C24" s="59">
        <f>AVERAGE(3,3,3,3,2,3)</f>
        <v>2.8333333333333335</v>
      </c>
      <c r="D24" s="50" t="str">
        <f t="shared" si="0"/>
        <v>Alta</v>
      </c>
      <c r="E24" s="60">
        <f t="shared" si="1"/>
        <v>0.54900000000000004</v>
      </c>
      <c r="F24" s="66">
        <f>AVERAGE(3,3,1,3,1,3)</f>
        <v>2.3333333333333335</v>
      </c>
      <c r="G24" s="50" t="str">
        <f t="shared" si="2"/>
        <v>Mediana</v>
      </c>
      <c r="H24" s="67">
        <f t="shared" si="3"/>
        <v>0.16009999999999999</v>
      </c>
      <c r="I24" s="71">
        <f>AVERAGE(3,2,3,3,3,3)</f>
        <v>2.8333333333333335</v>
      </c>
      <c r="J24" s="50" t="str">
        <f t="shared" si="4"/>
        <v>Alta</v>
      </c>
      <c r="K24" s="67">
        <f t="shared" si="5"/>
        <v>0.20979999999999999</v>
      </c>
      <c r="L24" s="75">
        <f t="shared" si="6"/>
        <v>0.27567000000000003</v>
      </c>
      <c r="M24" s="81">
        <f ca="1">5/(YEAR(TODAY()) - YEAR("15/5/2013"))</f>
        <v>0.55555555555555558</v>
      </c>
      <c r="N24" s="67">
        <f t="shared" ca="1" si="7"/>
        <v>5.4699999999999999E-2</v>
      </c>
      <c r="O24" s="89">
        <f>1</f>
        <v>1</v>
      </c>
      <c r="P24" s="88">
        <f t="shared" si="8"/>
        <v>0.15659999999999999</v>
      </c>
      <c r="Q24" s="96">
        <v>1</v>
      </c>
      <c r="R24" s="88">
        <f t="shared" si="9"/>
        <v>0.2271</v>
      </c>
      <c r="S24" s="100">
        <v>0</v>
      </c>
      <c r="T24" s="67">
        <f t="shared" si="10"/>
        <v>0.1681</v>
      </c>
      <c r="U24" s="95">
        <v>0</v>
      </c>
      <c r="V24" s="88">
        <f t="shared" si="11"/>
        <v>6.08E-2</v>
      </c>
      <c r="W24" s="75">
        <f t="shared" ca="1" si="12"/>
        <v>0.26691999999999999</v>
      </c>
      <c r="X24" s="108">
        <v>0</v>
      </c>
      <c r="Y24" s="88">
        <f t="shared" si="13"/>
        <v>1</v>
      </c>
      <c r="Z24" s="113">
        <f t="shared" si="14"/>
        <v>0.3</v>
      </c>
      <c r="AA24" s="78">
        <f t="shared" ca="1" si="15"/>
        <v>0.84258999999999995</v>
      </c>
      <c r="AB24" s="118" t="str">
        <f t="shared" ca="1" si="16"/>
        <v>Evaluar nuevamente en dos años</v>
      </c>
      <c r="AC24" s="38"/>
      <c r="AD24" s="38"/>
      <c r="AE24" s="38"/>
      <c r="AF24" s="38"/>
      <c r="AG24" s="38"/>
      <c r="AH24" s="38"/>
      <c r="AI24" s="38"/>
      <c r="AJ24" s="38"/>
    </row>
    <row r="25" spans="1:36" ht="15" x14ac:dyDescent="0.25">
      <c r="A25" s="49" t="s">
        <v>80</v>
      </c>
      <c r="B25" s="56" t="s">
        <v>82</v>
      </c>
      <c r="C25" s="59">
        <f>AVERAGE(3,3,3)</f>
        <v>3</v>
      </c>
      <c r="D25" s="50" t="str">
        <f t="shared" si="0"/>
        <v>Alta</v>
      </c>
      <c r="E25" s="60">
        <f t="shared" si="1"/>
        <v>0.54900000000000004</v>
      </c>
      <c r="F25" s="66">
        <f>AVERAGE(3,3,3)</f>
        <v>3</v>
      </c>
      <c r="G25" s="50" t="str">
        <f t="shared" si="2"/>
        <v>Alta</v>
      </c>
      <c r="H25" s="67">
        <f t="shared" si="3"/>
        <v>0.2402</v>
      </c>
      <c r="I25" s="71">
        <f>AVERAGE(3,3,3)</f>
        <v>3</v>
      </c>
      <c r="J25" s="50" t="str">
        <f t="shared" si="4"/>
        <v>Alta</v>
      </c>
      <c r="K25" s="67">
        <f t="shared" si="5"/>
        <v>0.20979999999999999</v>
      </c>
      <c r="L25" s="75">
        <f t="shared" si="6"/>
        <v>0.29969999999999997</v>
      </c>
      <c r="M25" s="81">
        <f ca="1">5/(YEAR(TODAY()) - YEAR("26/08/2003"))</f>
        <v>0.26315789473684209</v>
      </c>
      <c r="N25" s="67">
        <f t="shared" ca="1" si="7"/>
        <v>2.7400000000000001E-2</v>
      </c>
      <c r="O25" s="89">
        <f>2/1</f>
        <v>2</v>
      </c>
      <c r="P25" s="88">
        <f t="shared" si="8"/>
        <v>0.2349</v>
      </c>
      <c r="Q25" s="96">
        <v>7</v>
      </c>
      <c r="R25" s="88">
        <f t="shared" si="9"/>
        <v>0.4541</v>
      </c>
      <c r="S25" s="100">
        <f>24/720</f>
        <v>3.3333333333333333E-2</v>
      </c>
      <c r="T25" s="67">
        <f t="shared" si="10"/>
        <v>0.1681</v>
      </c>
      <c r="U25" s="95">
        <v>0</v>
      </c>
      <c r="V25" s="88">
        <f t="shared" si="11"/>
        <v>6.08E-2</v>
      </c>
      <c r="W25" s="75">
        <f t="shared" ca="1" si="12"/>
        <v>0.37812000000000001</v>
      </c>
      <c r="X25" s="109">
        <f>(129630*(138.73/127.19))/(39110047*(138.73/60.9))</f>
        <v>1.5870167426443264E-3</v>
      </c>
      <c r="Y25" s="88">
        <f t="shared" si="13"/>
        <v>1</v>
      </c>
      <c r="Z25" s="113">
        <f t="shared" si="14"/>
        <v>0.3</v>
      </c>
      <c r="AA25" s="78">
        <f t="shared" ca="1" si="15"/>
        <v>0.97782000000000002</v>
      </c>
      <c r="AB25" s="118" t="str">
        <f t="shared" ca="1" si="16"/>
        <v>Evaluar nuevamente en dos años</v>
      </c>
      <c r="AC25" s="38"/>
      <c r="AD25" s="38"/>
      <c r="AE25" s="38"/>
      <c r="AF25" s="38"/>
      <c r="AG25" s="38"/>
      <c r="AH25" s="38"/>
      <c r="AI25" s="38"/>
      <c r="AJ25" s="38"/>
    </row>
    <row r="26" spans="1:36" ht="15" x14ac:dyDescent="0.25">
      <c r="A26" s="49" t="s">
        <v>78</v>
      </c>
      <c r="B26" s="56" t="s">
        <v>81</v>
      </c>
      <c r="C26" s="59">
        <f>AVERAGE(3,3,3)</f>
        <v>3</v>
      </c>
      <c r="D26" s="50" t="str">
        <f t="shared" si="0"/>
        <v>Alta</v>
      </c>
      <c r="E26" s="60">
        <f t="shared" si="1"/>
        <v>0.54900000000000004</v>
      </c>
      <c r="F26" s="66">
        <f>AVERAGE(3,1,2)</f>
        <v>2</v>
      </c>
      <c r="G26" s="50" t="str">
        <f t="shared" si="2"/>
        <v>Mediana</v>
      </c>
      <c r="H26" s="67">
        <f t="shared" si="3"/>
        <v>0.16009999999999999</v>
      </c>
      <c r="I26" s="71">
        <f>AVERAGE(2,1,1)</f>
        <v>1.3333333333333333</v>
      </c>
      <c r="J26" s="50" t="str">
        <f t="shared" si="4"/>
        <v>Baja</v>
      </c>
      <c r="K26" s="67">
        <f t="shared" si="5"/>
        <v>6.9900000000000004E-2</v>
      </c>
      <c r="L26" s="75">
        <f t="shared" si="6"/>
        <v>0.23369999999999999</v>
      </c>
      <c r="M26" s="81">
        <f ca="1">10/(YEAR(TODAY()) - YEAR("20/6/2014"))</f>
        <v>1.25</v>
      </c>
      <c r="N26" s="67">
        <f t="shared" ca="1" si="7"/>
        <v>8.2100000000000006E-2</v>
      </c>
      <c r="O26" s="89">
        <f>1</f>
        <v>1</v>
      </c>
      <c r="P26" s="88">
        <f t="shared" si="8"/>
        <v>0.15659999999999999</v>
      </c>
      <c r="Q26" s="96">
        <v>5</v>
      </c>
      <c r="R26" s="88">
        <f t="shared" si="9"/>
        <v>0.4541</v>
      </c>
      <c r="S26" s="100">
        <v>0</v>
      </c>
      <c r="T26" s="67">
        <f t="shared" si="10"/>
        <v>0.1681</v>
      </c>
      <c r="U26" s="95">
        <v>0</v>
      </c>
      <c r="V26" s="88">
        <f t="shared" si="11"/>
        <v>6.08E-2</v>
      </c>
      <c r="W26" s="75">
        <f t="shared" ca="1" si="12"/>
        <v>0.36868000000000001</v>
      </c>
      <c r="X26" s="108">
        <f>(101852*(138.73/127.19))/312603847</f>
        <v>3.5537973734639728E-4</v>
      </c>
      <c r="Y26" s="88">
        <f t="shared" si="13"/>
        <v>1</v>
      </c>
      <c r="Z26" s="113">
        <f t="shared" si="14"/>
        <v>0.3</v>
      </c>
      <c r="AA26" s="78">
        <f t="shared" ca="1" si="15"/>
        <v>0.90237999999999996</v>
      </c>
      <c r="AB26" s="118" t="str">
        <f t="shared" ca="1" si="16"/>
        <v>Evaluar nuevamente en dos años</v>
      </c>
      <c r="AC26" s="38"/>
      <c r="AD26" s="38"/>
      <c r="AE26" s="38"/>
      <c r="AF26" s="38"/>
      <c r="AG26" s="38"/>
      <c r="AH26" s="38"/>
      <c r="AI26" s="38"/>
      <c r="AJ26" s="38"/>
    </row>
    <row r="27" spans="1:36" ht="15" x14ac:dyDescent="0.25">
      <c r="A27" s="49" t="s">
        <v>80</v>
      </c>
      <c r="B27" s="56" t="s">
        <v>79</v>
      </c>
      <c r="C27" s="59">
        <f>AVERAGE(3,3,3)</f>
        <v>3</v>
      </c>
      <c r="D27" s="50" t="str">
        <f t="shared" si="0"/>
        <v>Alta</v>
      </c>
      <c r="E27" s="60">
        <f t="shared" si="1"/>
        <v>0.54900000000000004</v>
      </c>
      <c r="F27" s="66">
        <f>AVERAGE(3,3,3)</f>
        <v>3</v>
      </c>
      <c r="G27" s="50" t="str">
        <f t="shared" si="2"/>
        <v>Alta</v>
      </c>
      <c r="H27" s="67">
        <f t="shared" si="3"/>
        <v>0.2402</v>
      </c>
      <c r="I27" s="71">
        <f>AVERAGE(3,3,3)</f>
        <v>3</v>
      </c>
      <c r="J27" s="50" t="str">
        <f t="shared" si="4"/>
        <v>Alta</v>
      </c>
      <c r="K27" s="67">
        <f t="shared" si="5"/>
        <v>0.20979999999999999</v>
      </c>
      <c r="L27" s="75">
        <f t="shared" si="6"/>
        <v>0.29969999999999997</v>
      </c>
      <c r="M27" s="81">
        <f ca="1">5/(YEAR(TODAY()) - YEAR("26/8/2003"))</f>
        <v>0.26315789473684209</v>
      </c>
      <c r="N27" s="67">
        <f t="shared" ca="1" si="7"/>
        <v>2.7400000000000001E-2</v>
      </c>
      <c r="O27" s="89">
        <f>1/1</f>
        <v>1</v>
      </c>
      <c r="P27" s="88">
        <f t="shared" si="8"/>
        <v>0.15659999999999999</v>
      </c>
      <c r="Q27" s="96">
        <v>7</v>
      </c>
      <c r="R27" s="88">
        <f t="shared" si="9"/>
        <v>0.4541</v>
      </c>
      <c r="S27" s="100">
        <f>(6*24)/720</f>
        <v>0.2</v>
      </c>
      <c r="T27" s="67">
        <f t="shared" si="10"/>
        <v>0.1681</v>
      </c>
      <c r="U27" s="95">
        <v>0</v>
      </c>
      <c r="V27" s="88">
        <f t="shared" si="11"/>
        <v>6.08E-2</v>
      </c>
      <c r="W27" s="75">
        <f t="shared" ca="1" si="12"/>
        <v>0.3468</v>
      </c>
      <c r="X27" s="109">
        <f>(101852*(138.73/127.19))/(50508964*(138.73/60.9))</f>
        <v>9.6552923007349304E-4</v>
      </c>
      <c r="Y27" s="88">
        <f t="shared" si="13"/>
        <v>1</v>
      </c>
      <c r="Z27" s="113">
        <f t="shared" si="14"/>
        <v>0.3</v>
      </c>
      <c r="AA27" s="78">
        <f t="shared" ca="1" si="15"/>
        <v>0.94650000000000001</v>
      </c>
      <c r="AB27" s="118" t="str">
        <f t="shared" ca="1" si="16"/>
        <v>Evaluar nuevamente en dos años</v>
      </c>
      <c r="AC27" s="38"/>
      <c r="AD27" s="38"/>
      <c r="AE27" s="38"/>
      <c r="AF27" s="38"/>
      <c r="AG27" s="38"/>
      <c r="AH27" s="38"/>
      <c r="AI27" s="38"/>
      <c r="AJ27" s="38"/>
    </row>
    <row r="28" spans="1:36" ht="15" x14ac:dyDescent="0.25">
      <c r="A28" s="49" t="s">
        <v>78</v>
      </c>
      <c r="B28" s="56" t="s">
        <v>77</v>
      </c>
      <c r="C28" s="59">
        <f>AVERAGE(1,1,1)</f>
        <v>1</v>
      </c>
      <c r="D28" s="50" t="str">
        <f t="shared" si="0"/>
        <v>Baja</v>
      </c>
      <c r="E28" s="60">
        <f t="shared" si="1"/>
        <v>0.18329999999999999</v>
      </c>
      <c r="F28" s="66">
        <f>AVERAGE(1,1,1)</f>
        <v>1</v>
      </c>
      <c r="G28" s="50" t="str">
        <f t="shared" si="2"/>
        <v>Baja</v>
      </c>
      <c r="H28" s="67">
        <f t="shared" si="3"/>
        <v>8.0100000000000005E-2</v>
      </c>
      <c r="I28" s="71">
        <f>AVERAGE(1,1.1)</f>
        <v>1.05</v>
      </c>
      <c r="J28" s="50" t="str">
        <f t="shared" si="4"/>
        <v>Baja</v>
      </c>
      <c r="K28" s="67">
        <f t="shared" si="5"/>
        <v>6.9900000000000004E-2</v>
      </c>
      <c r="L28" s="75">
        <f t="shared" si="6"/>
        <v>9.9989999999999996E-2</v>
      </c>
      <c r="M28" s="80">
        <f ca="1">10/(YEAR(TODAY())-YEAR("13/4/2007"))</f>
        <v>0.66666666666666663</v>
      </c>
      <c r="N28" s="67">
        <f t="shared" ca="1" si="7"/>
        <v>5.4699999999999999E-2</v>
      </c>
      <c r="O28" s="89">
        <f>5</f>
        <v>5</v>
      </c>
      <c r="P28" s="88">
        <f t="shared" si="8"/>
        <v>0.2349</v>
      </c>
      <c r="Q28" s="96">
        <v>0</v>
      </c>
      <c r="R28" s="88">
        <f t="shared" si="9"/>
        <v>0.1135</v>
      </c>
      <c r="S28" s="100">
        <v>0</v>
      </c>
      <c r="T28" s="67">
        <f t="shared" si="10"/>
        <v>0.1681</v>
      </c>
      <c r="U28" s="95">
        <v>0</v>
      </c>
      <c r="V28" s="88">
        <f t="shared" si="11"/>
        <v>6.08E-2</v>
      </c>
      <c r="W28" s="75">
        <f t="shared" ca="1" si="12"/>
        <v>0.25279999999999997</v>
      </c>
      <c r="X28" s="108">
        <f>(101852*(138.73/127.19))/(50508964*(138.73/60.9))</f>
        <v>9.6552923007349304E-4</v>
      </c>
      <c r="Y28" s="88">
        <f t="shared" si="13"/>
        <v>1</v>
      </c>
      <c r="Z28" s="113">
        <f t="shared" si="14"/>
        <v>0.3</v>
      </c>
      <c r="AA28" s="78">
        <f t="shared" ca="1" si="15"/>
        <v>0.65278999999999998</v>
      </c>
      <c r="AB28" s="118" t="str">
        <f t="shared" ca="1" si="16"/>
        <v>Evaluar nuevamente en un año</v>
      </c>
      <c r="AC28" s="38"/>
      <c r="AD28" s="38"/>
      <c r="AE28" s="38"/>
      <c r="AF28" s="38"/>
      <c r="AG28" s="38"/>
      <c r="AH28" s="38"/>
      <c r="AI28" s="38"/>
      <c r="AJ28" s="38"/>
    </row>
    <row r="29" spans="1:36" ht="15" x14ac:dyDescent="0.25">
      <c r="A29" s="49" t="s">
        <v>71</v>
      </c>
      <c r="B29" s="56" t="s">
        <v>76</v>
      </c>
      <c r="C29" s="59">
        <f>AVERAGE(3,3,3,3,3,3,3,2,3,3,3,3,3,3,3,3,3,3,2,3)</f>
        <v>2.9</v>
      </c>
      <c r="D29" s="50" t="str">
        <f t="shared" si="0"/>
        <v>Alta</v>
      </c>
      <c r="E29" s="60">
        <f t="shared" si="1"/>
        <v>0.54900000000000004</v>
      </c>
      <c r="F29" s="66">
        <f>AVERAGE(3,3,3,3,3,3,3,2,3,3,3,3,3,3,3,2,2,2,3,3)</f>
        <v>2.8</v>
      </c>
      <c r="G29" s="50" t="str">
        <f t="shared" si="2"/>
        <v>Alta</v>
      </c>
      <c r="H29" s="67">
        <f t="shared" si="3"/>
        <v>0.2402</v>
      </c>
      <c r="I29" s="71">
        <f>AVERAGE(3,3,3,3,3,3,3,2,3,3,3,3,3,3,3,3,3,3,3,3)</f>
        <v>2.95</v>
      </c>
      <c r="J29" s="50" t="str">
        <f t="shared" si="4"/>
        <v>Alta</v>
      </c>
      <c r="K29" s="67">
        <f t="shared" si="5"/>
        <v>0.20979999999999999</v>
      </c>
      <c r="L29" s="75">
        <f t="shared" si="6"/>
        <v>0.29969999999999997</v>
      </c>
      <c r="M29" s="82">
        <f t="shared" ref="M29:M34" ca="1" si="20">10/(YEAR(TODAY()) - YEAR("31/10/2015"))</f>
        <v>1.4285714285714286</v>
      </c>
      <c r="N29" s="67">
        <f t="shared" ca="1" si="7"/>
        <v>8.2100000000000006E-2</v>
      </c>
      <c r="O29" s="90">
        <v>1</v>
      </c>
      <c r="P29" s="88">
        <f t="shared" si="8"/>
        <v>0.15659999999999999</v>
      </c>
      <c r="Q29" s="96">
        <v>1</v>
      </c>
      <c r="R29" s="88">
        <f t="shared" si="9"/>
        <v>0.2271</v>
      </c>
      <c r="S29" s="100">
        <v>0</v>
      </c>
      <c r="T29" s="67">
        <f t="shared" si="10"/>
        <v>0.1681</v>
      </c>
      <c r="U29" s="95">
        <v>0</v>
      </c>
      <c r="V29" s="88">
        <f t="shared" si="11"/>
        <v>6.08E-2</v>
      </c>
      <c r="W29" s="75">
        <f t="shared" ca="1" si="12"/>
        <v>0.27788000000000002</v>
      </c>
      <c r="X29" s="108">
        <f>0/91630000</f>
        <v>0</v>
      </c>
      <c r="Y29" s="88">
        <f t="shared" si="13"/>
        <v>1</v>
      </c>
      <c r="Z29" s="113">
        <f t="shared" si="14"/>
        <v>0.3</v>
      </c>
      <c r="AA29" s="78">
        <f t="shared" ca="1" si="15"/>
        <v>0.87757999999999992</v>
      </c>
      <c r="AB29" s="118" t="str">
        <f t="shared" ca="1" si="16"/>
        <v>Evaluar nuevamente en dos años</v>
      </c>
      <c r="AC29" s="38"/>
      <c r="AD29" s="38"/>
      <c r="AE29" s="38"/>
      <c r="AF29" s="38"/>
      <c r="AG29" s="38"/>
      <c r="AH29" s="38"/>
      <c r="AI29" s="38"/>
      <c r="AJ29" s="38"/>
    </row>
    <row r="30" spans="1:36" ht="15" x14ac:dyDescent="0.25">
      <c r="A30" s="49" t="s">
        <v>71</v>
      </c>
      <c r="B30" s="56" t="s">
        <v>75</v>
      </c>
      <c r="C30" s="59">
        <f>AVERAGE(3,3,3,3,3,3,3,2,3,3,3,3,3,3,3,3,3,3,2,3)</f>
        <v>2.9</v>
      </c>
      <c r="D30" s="50" t="str">
        <f t="shared" si="0"/>
        <v>Alta</v>
      </c>
      <c r="E30" s="60">
        <f t="shared" si="1"/>
        <v>0.54900000000000004</v>
      </c>
      <c r="F30" s="66">
        <f>AVERAGE(3,3,3,3,3,3,3,2,3,3,3,3,3,3,3,2,2,2,3,3)</f>
        <v>2.8</v>
      </c>
      <c r="G30" s="50" t="str">
        <f t="shared" si="2"/>
        <v>Alta</v>
      </c>
      <c r="H30" s="67">
        <f t="shared" si="3"/>
        <v>0.2402</v>
      </c>
      <c r="I30" s="71">
        <f>AVERAGE(3,3,3,3,3,3,3,2,3,3,3,3,3,3,3,3,3,3,3,3)</f>
        <v>2.95</v>
      </c>
      <c r="J30" s="50" t="str">
        <f t="shared" si="4"/>
        <v>Alta</v>
      </c>
      <c r="K30" s="67">
        <f t="shared" si="5"/>
        <v>0.20979999999999999</v>
      </c>
      <c r="L30" s="75">
        <f t="shared" si="6"/>
        <v>0.29969999999999997</v>
      </c>
      <c r="M30" s="83">
        <f t="shared" ca="1" si="20"/>
        <v>1.4285714285714286</v>
      </c>
      <c r="N30" s="67">
        <f t="shared" ca="1" si="7"/>
        <v>8.2100000000000006E-2</v>
      </c>
      <c r="O30" s="89">
        <f>0/1</f>
        <v>0</v>
      </c>
      <c r="P30" s="88">
        <f t="shared" si="8"/>
        <v>7.8299999999999995E-2</v>
      </c>
      <c r="Q30" s="96">
        <v>1</v>
      </c>
      <c r="R30" s="88">
        <f t="shared" si="9"/>
        <v>0.2271</v>
      </c>
      <c r="S30" s="100">
        <f>1.5/720</f>
        <v>2.0833333333333333E-3</v>
      </c>
      <c r="T30" s="67">
        <f t="shared" si="10"/>
        <v>0.1681</v>
      </c>
      <c r="U30" s="95">
        <v>0</v>
      </c>
      <c r="V30" s="88">
        <f t="shared" si="11"/>
        <v>6.08E-2</v>
      </c>
      <c r="W30" s="75">
        <f t="shared" ca="1" si="12"/>
        <v>0.24656</v>
      </c>
      <c r="X30" s="108">
        <f>9259/91630000</f>
        <v>1.0104769180399432E-4</v>
      </c>
      <c r="Y30" s="88">
        <f t="shared" si="13"/>
        <v>1</v>
      </c>
      <c r="Z30" s="113">
        <f t="shared" si="14"/>
        <v>0.3</v>
      </c>
      <c r="AA30" s="78">
        <f t="shared" ca="1" si="15"/>
        <v>0.8462599999999999</v>
      </c>
      <c r="AB30" s="118" t="str">
        <f t="shared" ca="1" si="16"/>
        <v>Evaluar nuevamente en dos años</v>
      </c>
      <c r="AC30" s="38"/>
      <c r="AD30" s="38"/>
      <c r="AE30" s="38"/>
      <c r="AF30" s="38"/>
      <c r="AG30" s="38"/>
      <c r="AH30" s="38"/>
      <c r="AI30" s="38"/>
      <c r="AJ30" s="38"/>
    </row>
    <row r="31" spans="1:36" ht="15" x14ac:dyDescent="0.25">
      <c r="A31" s="49" t="s">
        <v>71</v>
      </c>
      <c r="B31" s="56" t="s">
        <v>74</v>
      </c>
      <c r="C31" s="59">
        <f>AVERAGE(3,3,3,3,3,3,3,2,3,3,3,3,3,3,3,3,3,3,2,3)</f>
        <v>2.9</v>
      </c>
      <c r="D31" s="50" t="str">
        <f t="shared" si="0"/>
        <v>Alta</v>
      </c>
      <c r="E31" s="60">
        <f t="shared" si="1"/>
        <v>0.54900000000000004</v>
      </c>
      <c r="F31" s="66">
        <f>AVERAGE(3,3,3,3,3,3,3,2,3,3,3,3,3,3,3,2,2,2,3,3)</f>
        <v>2.8</v>
      </c>
      <c r="G31" s="50" t="str">
        <f t="shared" si="2"/>
        <v>Alta</v>
      </c>
      <c r="H31" s="67">
        <f t="shared" si="3"/>
        <v>0.2402</v>
      </c>
      <c r="I31" s="71">
        <f>AVERAGE(3,3,3,3,3,3,3,2,3,3,3,3,3,3,3,3,3,3,3,3)</f>
        <v>2.95</v>
      </c>
      <c r="J31" s="50" t="str">
        <f t="shared" si="4"/>
        <v>Alta</v>
      </c>
      <c r="K31" s="67">
        <f t="shared" si="5"/>
        <v>0.20979999999999999</v>
      </c>
      <c r="L31" s="75">
        <f t="shared" si="6"/>
        <v>0.29969999999999997</v>
      </c>
      <c r="M31" s="82">
        <f t="shared" ca="1" si="20"/>
        <v>1.4285714285714286</v>
      </c>
      <c r="N31" s="67">
        <f t="shared" ca="1" si="7"/>
        <v>8.2100000000000006E-2</v>
      </c>
      <c r="O31" s="90">
        <f>1</f>
        <v>1</v>
      </c>
      <c r="P31" s="88">
        <f t="shared" si="8"/>
        <v>0.15659999999999999</v>
      </c>
      <c r="Q31" s="96">
        <v>1</v>
      </c>
      <c r="R31" s="88">
        <f t="shared" si="9"/>
        <v>0.2271</v>
      </c>
      <c r="S31" s="100">
        <v>0</v>
      </c>
      <c r="T31" s="67">
        <f t="shared" si="10"/>
        <v>0.1681</v>
      </c>
      <c r="U31" s="95">
        <v>0</v>
      </c>
      <c r="V31" s="88">
        <f t="shared" si="11"/>
        <v>6.08E-2</v>
      </c>
      <c r="W31" s="75">
        <f t="shared" ca="1" si="12"/>
        <v>0.27788000000000002</v>
      </c>
      <c r="X31" s="108">
        <f>0/91630000</f>
        <v>0</v>
      </c>
      <c r="Y31" s="88">
        <f t="shared" si="13"/>
        <v>1</v>
      </c>
      <c r="Z31" s="113">
        <f t="shared" si="14"/>
        <v>0.3</v>
      </c>
      <c r="AA31" s="78">
        <f t="shared" ca="1" si="15"/>
        <v>0.87757999999999992</v>
      </c>
      <c r="AB31" s="118" t="str">
        <f t="shared" ca="1" si="16"/>
        <v>Evaluar nuevamente en dos años</v>
      </c>
      <c r="AC31" s="38"/>
      <c r="AD31" s="38"/>
      <c r="AE31" s="38"/>
      <c r="AF31" s="38"/>
      <c r="AG31" s="38"/>
      <c r="AH31" s="38"/>
      <c r="AI31" s="38"/>
      <c r="AJ31" s="38"/>
    </row>
    <row r="32" spans="1:36" ht="15" x14ac:dyDescent="0.25">
      <c r="A32" s="49" t="s">
        <v>71</v>
      </c>
      <c r="B32" s="56" t="s">
        <v>73</v>
      </c>
      <c r="C32" s="59">
        <f>AVERAGE(3,3,3,3,3,3,3,2,3,3,3,3,3,3,3,3,3,3,2,3)</f>
        <v>2.9</v>
      </c>
      <c r="D32" s="50" t="str">
        <f t="shared" si="0"/>
        <v>Alta</v>
      </c>
      <c r="E32" s="60">
        <f t="shared" si="1"/>
        <v>0.54900000000000004</v>
      </c>
      <c r="F32" s="66">
        <f>AVERAGE(3,3,3,3,3,3,3,2,3,3,3,3,3,3,3,2,2,2,3,3)</f>
        <v>2.8</v>
      </c>
      <c r="G32" s="50" t="str">
        <f t="shared" si="2"/>
        <v>Alta</v>
      </c>
      <c r="H32" s="67">
        <f t="shared" si="3"/>
        <v>0.2402</v>
      </c>
      <c r="I32" s="71">
        <f>AVERAGE(3,3,3,3,3,3,3,2,3,3,3,3,3,3,3,3,3,3,3,3)</f>
        <v>2.95</v>
      </c>
      <c r="J32" s="50" t="str">
        <f t="shared" si="4"/>
        <v>Alta</v>
      </c>
      <c r="K32" s="67">
        <f t="shared" si="5"/>
        <v>0.20979999999999999</v>
      </c>
      <c r="L32" s="75">
        <f t="shared" si="6"/>
        <v>0.29969999999999997</v>
      </c>
      <c r="M32" s="82">
        <f t="shared" ca="1" si="20"/>
        <v>1.4285714285714286</v>
      </c>
      <c r="N32" s="67">
        <f t="shared" ca="1" si="7"/>
        <v>8.2100000000000006E-2</v>
      </c>
      <c r="O32" s="90">
        <f>1</f>
        <v>1</v>
      </c>
      <c r="P32" s="88">
        <f t="shared" si="8"/>
        <v>0.15659999999999999</v>
      </c>
      <c r="Q32" s="96">
        <v>1</v>
      </c>
      <c r="R32" s="88">
        <f t="shared" si="9"/>
        <v>0.2271</v>
      </c>
      <c r="S32" s="100">
        <v>0</v>
      </c>
      <c r="T32" s="67">
        <f t="shared" si="10"/>
        <v>0.1681</v>
      </c>
      <c r="U32" s="95">
        <v>0</v>
      </c>
      <c r="V32" s="88">
        <f t="shared" si="11"/>
        <v>6.08E-2</v>
      </c>
      <c r="W32" s="75">
        <f t="shared" ca="1" si="12"/>
        <v>0.27788000000000002</v>
      </c>
      <c r="X32" s="108">
        <f>0/91630000</f>
        <v>0</v>
      </c>
      <c r="Y32" s="88">
        <f t="shared" si="13"/>
        <v>1</v>
      </c>
      <c r="Z32" s="113">
        <f t="shared" si="14"/>
        <v>0.3</v>
      </c>
      <c r="AA32" s="78">
        <f t="shared" ca="1" si="15"/>
        <v>0.87757999999999992</v>
      </c>
      <c r="AB32" s="118" t="str">
        <f t="shared" ca="1" si="16"/>
        <v>Evaluar nuevamente en dos años</v>
      </c>
      <c r="AC32" s="38"/>
      <c r="AD32" s="38"/>
      <c r="AE32" s="38"/>
      <c r="AF32" s="38"/>
      <c r="AG32" s="38"/>
      <c r="AH32" s="38"/>
      <c r="AI32" s="38"/>
      <c r="AJ32" s="38"/>
    </row>
    <row r="33" spans="1:36" ht="15" x14ac:dyDescent="0.25">
      <c r="A33" s="49" t="s">
        <v>71</v>
      </c>
      <c r="B33" s="56" t="s">
        <v>72</v>
      </c>
      <c r="C33" s="59">
        <f>AVERAGE(3,3,3,3,3,3,3,3,3,3,3,3,3,3,3,3,3,3,3,3)</f>
        <v>3</v>
      </c>
      <c r="D33" s="50" t="str">
        <f t="shared" si="0"/>
        <v>Alta</v>
      </c>
      <c r="E33" s="60">
        <f t="shared" si="1"/>
        <v>0.54900000000000004</v>
      </c>
      <c r="F33" s="66">
        <f>AVERAGE(3,3,3,3,3,3,3,3,3,3,3,2,3,3,3,3,3,2,2,2)</f>
        <v>2.8</v>
      </c>
      <c r="G33" s="50" t="str">
        <f t="shared" si="2"/>
        <v>Alta</v>
      </c>
      <c r="H33" s="67">
        <f t="shared" si="3"/>
        <v>0.2402</v>
      </c>
      <c r="I33" s="71">
        <f>AVERAGE(3,3,3,3,3,3,3,2,3,3,3,3,3,3,3,2,3,3,3,3)</f>
        <v>2.9</v>
      </c>
      <c r="J33" s="50" t="str">
        <f t="shared" si="4"/>
        <v>Alta</v>
      </c>
      <c r="K33" s="67">
        <f t="shared" si="5"/>
        <v>0.20979999999999999</v>
      </c>
      <c r="L33" s="75">
        <f t="shared" si="6"/>
        <v>0.29969999999999997</v>
      </c>
      <c r="M33" s="82">
        <f t="shared" ca="1" si="20"/>
        <v>1.4285714285714286</v>
      </c>
      <c r="N33" s="67">
        <f t="shared" ca="1" si="7"/>
        <v>8.2100000000000006E-2</v>
      </c>
      <c r="O33" s="90">
        <f>5</f>
        <v>5</v>
      </c>
      <c r="P33" s="88">
        <f t="shared" si="8"/>
        <v>0.2349</v>
      </c>
      <c r="Q33" s="96">
        <v>1</v>
      </c>
      <c r="R33" s="88">
        <f t="shared" si="9"/>
        <v>0.2271</v>
      </c>
      <c r="S33" s="100">
        <v>0</v>
      </c>
      <c r="T33" s="67">
        <f t="shared" si="10"/>
        <v>0.1681</v>
      </c>
      <c r="U33" s="95">
        <v>0</v>
      </c>
      <c r="V33" s="88">
        <f t="shared" si="11"/>
        <v>6.08E-2</v>
      </c>
      <c r="W33" s="75">
        <f t="shared" ca="1" si="12"/>
        <v>0.30920000000000003</v>
      </c>
      <c r="X33" s="108">
        <f>27777/91630000</f>
        <v>3.0314307541198299E-4</v>
      </c>
      <c r="Y33" s="88">
        <f t="shared" si="13"/>
        <v>1</v>
      </c>
      <c r="Z33" s="113">
        <f t="shared" si="14"/>
        <v>0.3</v>
      </c>
      <c r="AA33" s="78">
        <f t="shared" ca="1" si="15"/>
        <v>0.90889999999999993</v>
      </c>
      <c r="AB33" s="118" t="str">
        <f t="shared" ca="1" si="16"/>
        <v>Evaluar nuevamente en dos años</v>
      </c>
      <c r="AC33" s="38"/>
      <c r="AD33" s="38"/>
      <c r="AE33" s="38"/>
      <c r="AF33" s="38"/>
      <c r="AG33" s="38"/>
      <c r="AH33" s="38"/>
      <c r="AI33" s="38"/>
      <c r="AJ33" s="38"/>
    </row>
    <row r="34" spans="1:36" ht="15" x14ac:dyDescent="0.25">
      <c r="A34" s="49" t="s">
        <v>71</v>
      </c>
      <c r="B34" s="56" t="s">
        <v>70</v>
      </c>
      <c r="C34" s="59">
        <f>AVERAGE(3,3,3,3,3,3,3,3,3,3,3,3,3,3,3,3,3,3,3,3)</f>
        <v>3</v>
      </c>
      <c r="D34" s="50" t="str">
        <f t="shared" si="0"/>
        <v>Alta</v>
      </c>
      <c r="E34" s="60">
        <f t="shared" si="1"/>
        <v>0.54900000000000004</v>
      </c>
      <c r="F34" s="66">
        <f>AVERAGE(3,3,3,3,3,3,3,3,3,3,3,2,3,3,3,3,3,2,2,2)</f>
        <v>2.8</v>
      </c>
      <c r="G34" s="50" t="str">
        <f t="shared" si="2"/>
        <v>Alta</v>
      </c>
      <c r="H34" s="67">
        <f t="shared" si="3"/>
        <v>0.2402</v>
      </c>
      <c r="I34" s="71">
        <f>AVERAGE(3,3,3,3,3,3,3,2,3,3,3,3,3,3,3,2,3,3,3,3)</f>
        <v>2.9</v>
      </c>
      <c r="J34" s="50" t="str">
        <f t="shared" si="4"/>
        <v>Alta</v>
      </c>
      <c r="K34" s="67">
        <f t="shared" si="5"/>
        <v>0.20979999999999999</v>
      </c>
      <c r="L34" s="75">
        <f t="shared" si="6"/>
        <v>0.29969999999999997</v>
      </c>
      <c r="M34" s="83">
        <f t="shared" ca="1" si="20"/>
        <v>1.4285714285714286</v>
      </c>
      <c r="N34" s="67">
        <f t="shared" ca="1" si="7"/>
        <v>8.2100000000000006E-2</v>
      </c>
      <c r="O34" s="89">
        <f>2/1</f>
        <v>2</v>
      </c>
      <c r="P34" s="88">
        <f t="shared" si="8"/>
        <v>0.2349</v>
      </c>
      <c r="Q34" s="96">
        <v>1</v>
      </c>
      <c r="R34" s="88">
        <f t="shared" si="9"/>
        <v>0.2271</v>
      </c>
      <c r="S34" s="100">
        <f>((148*24)+2)/720</f>
        <v>4.9361111111111109</v>
      </c>
      <c r="T34" s="67">
        <f t="shared" si="10"/>
        <v>5.6000000000000001E-2</v>
      </c>
      <c r="U34" s="95">
        <v>0</v>
      </c>
      <c r="V34" s="88">
        <f t="shared" si="11"/>
        <v>6.08E-2</v>
      </c>
      <c r="W34" s="75">
        <f t="shared" ca="1" si="12"/>
        <v>0.26436000000000004</v>
      </c>
      <c r="X34" s="108">
        <f>46260/91630000</f>
        <v>5.0485648804976535E-4</v>
      </c>
      <c r="Y34" s="88">
        <f t="shared" si="13"/>
        <v>1</v>
      </c>
      <c r="Z34" s="113">
        <f t="shared" si="14"/>
        <v>0.3</v>
      </c>
      <c r="AA34" s="78">
        <f t="shared" ca="1" si="15"/>
        <v>0.86405999999999994</v>
      </c>
      <c r="AB34" s="118" t="str">
        <f t="shared" ca="1" si="16"/>
        <v>Evaluar nuevamente en dos años</v>
      </c>
      <c r="AC34" s="38"/>
      <c r="AD34" s="38"/>
      <c r="AE34" s="38"/>
      <c r="AF34" s="38"/>
      <c r="AG34" s="38"/>
      <c r="AH34" s="38"/>
      <c r="AI34" s="38"/>
      <c r="AJ34" s="38"/>
    </row>
    <row r="35" spans="1:36" ht="15" x14ac:dyDescent="0.25">
      <c r="A35" s="49" t="s">
        <v>69</v>
      </c>
      <c r="B35" s="56" t="s">
        <v>68</v>
      </c>
      <c r="C35" s="59">
        <f>AVERAGE(3,1,1,2,1,1,3,3,0,1,1.3,2,1)</f>
        <v>1.5615384615384615</v>
      </c>
      <c r="D35" s="50" t="str">
        <f t="shared" ref="D35:D66" si="21">IF(C35&gt;=2.5,"Alta",IF(AND(C35&gt;=1.5,C35&lt;2.5),"Mediana",IF(AND(C35&gt;=0.5,C35&lt;1.5),"Baja",IF(C35&lt;0.5,"Ninguna"))))</f>
        <v>Mediana</v>
      </c>
      <c r="E35" s="60">
        <f t="shared" ref="E35:E66" si="22">IF(D35="Alta",0.549,IF(D35="Mediana",0.3666,IF(D35="Baja",0.1833,IF(D35="Ninguna",0))))</f>
        <v>0.36659999999999998</v>
      </c>
      <c r="F35" s="66">
        <f>AVERAGE(2,2,2,2,2,1,2,3,0,1,1.3,2,2)</f>
        <v>1.7153846153846155</v>
      </c>
      <c r="G35" s="50" t="str">
        <f t="shared" ref="G35:G66" si="23">IF(F35&gt;=2.5,"Alta",IF(AND(F35&gt;=1.5,F35&lt;2.5),"Mediana",IF(AND(F35&gt;=0.5,F35&lt;1.5),"Baja",IF(F35&lt;0.5,"Ninguna"))))</f>
        <v>Mediana</v>
      </c>
      <c r="H35" s="67">
        <f t="shared" ref="H35:H66" si="24">IF(G35="Alta",0.2402,IF(G35="Mediana",0.1601,IF(G35="Baja",0.0801,IF(G35="Ninguna",0))))</f>
        <v>0.16009999999999999</v>
      </c>
      <c r="I35" s="71">
        <f>AVERAGE(1,3,3,3,2,2,2,3,0,0,2,2,3,2)</f>
        <v>2</v>
      </c>
      <c r="J35" s="50" t="str">
        <f t="shared" ref="J35:J66" si="25">IF(I35&gt;=2.5,"Alta",IF(AND(I35&gt;=1.5,I35&lt;2.5),"Mediana",IF(AND(I35&gt;=0.5,I35&lt;1.5),"Baja",IF(I35&lt;0.5,"Ninguna"))))</f>
        <v>Mediana</v>
      </c>
      <c r="K35" s="67">
        <f t="shared" ref="K35:K66" si="26">IF(J35="Alta",0.2098,IF(J35="Mediana",0.1399,IF(J35="Baja",0.0699,IF(J35="Ninguna",0))))</f>
        <v>0.1399</v>
      </c>
      <c r="L35" s="75">
        <f t="shared" ref="L35:L66" si="27">(E35+H35+K35)*0.3</f>
        <v>0.19997999999999999</v>
      </c>
      <c r="M35" s="82">
        <f ca="1">10/(YEAR(TODAY()) - YEAR("11/1/2012"))</f>
        <v>1</v>
      </c>
      <c r="N35" s="67">
        <f t="shared" ref="N35:N66" ca="1" si="28">IF(M35&gt;1,0.0821,IF(AND(M35&gt;0.5,M35&lt;=1),0.0547,IF(AND(M35&gt;0,M35&lt;=0.5),0.0274)))</f>
        <v>5.4699999999999999E-2</v>
      </c>
      <c r="O35" s="90">
        <f>5</f>
        <v>5</v>
      </c>
      <c r="P35" s="88">
        <f t="shared" ref="P35:P66" si="29">IF(O35&gt;1,0.2349,IF(AND(O35&gt;0.5,O35&lt;=1),0.1566,IF(AND(O35&gt;=0,O35&lt;=0.5),0.0783)))</f>
        <v>0.2349</v>
      </c>
      <c r="Q35" s="96">
        <v>5</v>
      </c>
      <c r="R35" s="88">
        <f t="shared" ref="R35:R66" si="30">IF(Q35&lt;1,0.1135,IF(AND(Q35&lt;2,Q35&gt;=1),0.2271,IF(AND(Q35&lt;5,Q35&gt;=2),0.3406,IF(Q35&gt;=5,0.4541))))</f>
        <v>0.4541</v>
      </c>
      <c r="S35" s="100">
        <v>0</v>
      </c>
      <c r="T35" s="67">
        <f t="shared" ref="T35:T66" si="31">IF(S35&lt;=1,0.1681,IF(AND(S35&gt;1,S35&lt;=3),0.1121,IF(S35&gt;3,0.056)))</f>
        <v>0.1681</v>
      </c>
      <c r="U35" s="95">
        <v>0</v>
      </c>
      <c r="V35" s="88">
        <f t="shared" ref="V35:V66" si="32">IF(U35=0,0.0608,IF(U35=1,0.0405,IF(U35&gt;=2,0.0203)))</f>
        <v>6.08E-2</v>
      </c>
      <c r="W35" s="75">
        <f t="shared" ref="W35:W66" ca="1" si="33">(SUM(N35,P35,R35,T35,V35))*0.4</f>
        <v>0.38904000000000005</v>
      </c>
      <c r="X35" s="108">
        <f>0/15200000</f>
        <v>0</v>
      </c>
      <c r="Y35" s="88">
        <f t="shared" ref="Y35:Y66" si="34">IF(X35&lt;0.25,1,IF(AND(X35&gt;=0.25,X35&lt;0.5),0.6666,IF(X35&gt;=0.5,0.3333)))</f>
        <v>1</v>
      </c>
      <c r="Z35" s="113">
        <f t="shared" ref="Z35:Z66" si="35">Y35*0.3</f>
        <v>0.3</v>
      </c>
      <c r="AA35" s="78">
        <f t="shared" ref="AA35:AA66" ca="1" si="36">(SUM(Z35,W35,L35))</f>
        <v>0.88902000000000014</v>
      </c>
      <c r="AB35" s="118" t="str">
        <f t="shared" ref="AB35:AB66" ca="1" si="37">IF(AA35&gt;=0.8,"Evaluar nuevamente en dos años",IF(AND(AA35&lt;0.8,AA35&gt;=0.6),"Evaluar nuevamente en un año",IF(AA35&lt;0.6,"Renovar inmediatamente")))</f>
        <v>Evaluar nuevamente en dos años</v>
      </c>
      <c r="AC35" s="38"/>
      <c r="AD35" s="38"/>
      <c r="AE35" s="38"/>
      <c r="AF35" s="38"/>
      <c r="AG35" s="38"/>
      <c r="AH35" s="38"/>
      <c r="AI35" s="38"/>
      <c r="AJ35" s="38"/>
    </row>
    <row r="36" spans="1:36" ht="15" x14ac:dyDescent="0.25">
      <c r="A36" s="49" t="s">
        <v>67</v>
      </c>
      <c r="B36" s="56" t="s">
        <v>66</v>
      </c>
      <c r="C36" s="59">
        <f t="shared" ref="C36:C42" si="38">AVERAGE(3,3)</f>
        <v>3</v>
      </c>
      <c r="D36" s="50" t="str">
        <f t="shared" si="21"/>
        <v>Alta</v>
      </c>
      <c r="E36" s="60">
        <f t="shared" si="22"/>
        <v>0.54900000000000004</v>
      </c>
      <c r="F36" s="66">
        <f>AVERAGE(2,3)</f>
        <v>2.5</v>
      </c>
      <c r="G36" s="50" t="str">
        <f t="shared" si="23"/>
        <v>Alta</v>
      </c>
      <c r="H36" s="67">
        <f t="shared" si="24"/>
        <v>0.2402</v>
      </c>
      <c r="I36" s="71">
        <f>AVERAGE(2,3)</f>
        <v>2.5</v>
      </c>
      <c r="J36" s="50" t="str">
        <f t="shared" si="25"/>
        <v>Alta</v>
      </c>
      <c r="K36" s="67">
        <f t="shared" si="26"/>
        <v>0.20979999999999999</v>
      </c>
      <c r="L36" s="75">
        <f t="shared" si="27"/>
        <v>0.29969999999999997</v>
      </c>
      <c r="M36" s="83">
        <f ca="1">5/(YEAR(TODAY()) - YEAR("16/8/2016"))</f>
        <v>0.83333333333333337</v>
      </c>
      <c r="N36" s="67">
        <f t="shared" ca="1" si="28"/>
        <v>5.4699999999999999E-2</v>
      </c>
      <c r="O36" s="89">
        <f>0/1</f>
        <v>0</v>
      </c>
      <c r="P36" s="88">
        <f t="shared" si="29"/>
        <v>7.8299999999999995E-2</v>
      </c>
      <c r="Q36" s="96">
        <v>0</v>
      </c>
      <c r="R36" s="88">
        <f t="shared" si="30"/>
        <v>0.1135</v>
      </c>
      <c r="S36" s="100">
        <f>((9*24)+22)/720</f>
        <v>0.33055555555555555</v>
      </c>
      <c r="T36" s="67">
        <f t="shared" si="31"/>
        <v>0.1681</v>
      </c>
      <c r="U36" s="95">
        <v>0</v>
      </c>
      <c r="V36" s="88">
        <f t="shared" si="32"/>
        <v>6.08E-2</v>
      </c>
      <c r="W36" s="75">
        <f t="shared" ca="1" si="33"/>
        <v>0.19016</v>
      </c>
      <c r="X36" s="108">
        <v>0</v>
      </c>
      <c r="Y36" s="88">
        <f t="shared" si="34"/>
        <v>1</v>
      </c>
      <c r="Z36" s="113">
        <f t="shared" si="35"/>
        <v>0.3</v>
      </c>
      <c r="AA36" s="78">
        <f t="shared" ca="1" si="36"/>
        <v>0.78986000000000001</v>
      </c>
      <c r="AB36" s="118" t="str">
        <f t="shared" ca="1" si="37"/>
        <v>Evaluar nuevamente en un año</v>
      </c>
      <c r="AC36" s="38"/>
      <c r="AD36" s="38"/>
      <c r="AE36" s="38"/>
      <c r="AF36" s="38"/>
      <c r="AG36" s="38"/>
      <c r="AH36" s="38"/>
      <c r="AI36" s="38"/>
      <c r="AJ36" s="38"/>
    </row>
    <row r="37" spans="1:36" ht="15" x14ac:dyDescent="0.25">
      <c r="A37" s="49" t="s">
        <v>60</v>
      </c>
      <c r="B37" s="56" t="s">
        <v>65</v>
      </c>
      <c r="C37" s="59">
        <f t="shared" si="38"/>
        <v>3</v>
      </c>
      <c r="D37" s="50" t="str">
        <f t="shared" si="21"/>
        <v>Alta</v>
      </c>
      <c r="E37" s="60">
        <f t="shared" si="22"/>
        <v>0.54900000000000004</v>
      </c>
      <c r="F37" s="66">
        <f>AVERAGE(1,2)</f>
        <v>1.5</v>
      </c>
      <c r="G37" s="50" t="str">
        <f t="shared" si="23"/>
        <v>Mediana</v>
      </c>
      <c r="H37" s="67">
        <f t="shared" si="24"/>
        <v>0.16009999999999999</v>
      </c>
      <c r="I37" s="71">
        <f>AVERAGE(2,2)</f>
        <v>2</v>
      </c>
      <c r="J37" s="50" t="str">
        <f t="shared" si="25"/>
        <v>Mediana</v>
      </c>
      <c r="K37" s="67">
        <f t="shared" si="26"/>
        <v>0.1399</v>
      </c>
      <c r="L37" s="75">
        <f t="shared" si="27"/>
        <v>0.25470000000000004</v>
      </c>
      <c r="M37" s="83">
        <f ca="1">10/(YEAR(TODAY()) - YEAR("22/12/2005"))</f>
        <v>0.58823529411764708</v>
      </c>
      <c r="N37" s="67">
        <f t="shared" ca="1" si="28"/>
        <v>5.4699999999999999E-2</v>
      </c>
      <c r="O37" s="89">
        <f>3/2</f>
        <v>1.5</v>
      </c>
      <c r="P37" s="88">
        <f t="shared" si="29"/>
        <v>0.2349</v>
      </c>
      <c r="Q37" s="96">
        <v>5</v>
      </c>
      <c r="R37" s="88">
        <f t="shared" si="30"/>
        <v>0.4541</v>
      </c>
      <c r="S37" s="100">
        <f>(6*24)/720</f>
        <v>0.2</v>
      </c>
      <c r="T37" s="67">
        <f t="shared" si="31"/>
        <v>0.1681</v>
      </c>
      <c r="U37" s="95">
        <v>0</v>
      </c>
      <c r="V37" s="88">
        <f t="shared" si="32"/>
        <v>6.08E-2</v>
      </c>
      <c r="W37" s="75">
        <f t="shared" ca="1" si="33"/>
        <v>0.38904000000000005</v>
      </c>
      <c r="X37" s="108">
        <f>((3013000+4780093)*(138.73/127.19))/90000000</f>
        <v>9.4446260790069098E-2</v>
      </c>
      <c r="Y37" s="88">
        <f t="shared" si="34"/>
        <v>1</v>
      </c>
      <c r="Z37" s="113">
        <f t="shared" si="35"/>
        <v>0.3</v>
      </c>
      <c r="AA37" s="78">
        <f t="shared" ca="1" si="36"/>
        <v>0.94374000000000013</v>
      </c>
      <c r="AB37" s="118" t="str">
        <f t="shared" ca="1" si="37"/>
        <v>Evaluar nuevamente en dos años</v>
      </c>
      <c r="AC37" s="38"/>
      <c r="AD37" s="38"/>
      <c r="AE37" s="38"/>
      <c r="AF37" s="38"/>
      <c r="AG37" s="38"/>
      <c r="AH37" s="38"/>
      <c r="AI37" s="38"/>
      <c r="AJ37" s="38"/>
    </row>
    <row r="38" spans="1:36" ht="15" x14ac:dyDescent="0.25">
      <c r="A38" s="49" t="s">
        <v>60</v>
      </c>
      <c r="B38" s="56" t="s">
        <v>64</v>
      </c>
      <c r="C38" s="59">
        <f t="shared" si="38"/>
        <v>3</v>
      </c>
      <c r="D38" s="50" t="str">
        <f t="shared" si="21"/>
        <v>Alta</v>
      </c>
      <c r="E38" s="60">
        <f t="shared" si="22"/>
        <v>0.54900000000000004</v>
      </c>
      <c r="F38" s="66">
        <f>AVERAGE(3,3)</f>
        <v>3</v>
      </c>
      <c r="G38" s="50" t="str">
        <f t="shared" si="23"/>
        <v>Alta</v>
      </c>
      <c r="H38" s="67">
        <f t="shared" si="24"/>
        <v>0.2402</v>
      </c>
      <c r="I38" s="71">
        <f>AVERAGE(2,2)</f>
        <v>2</v>
      </c>
      <c r="J38" s="50" t="str">
        <f t="shared" si="25"/>
        <v>Mediana</v>
      </c>
      <c r="K38" s="67">
        <f t="shared" si="26"/>
        <v>0.1399</v>
      </c>
      <c r="L38" s="75">
        <f t="shared" si="27"/>
        <v>0.27872999999999998</v>
      </c>
      <c r="M38" s="83">
        <f ca="1">10/(YEAR(TODAY()) - YEAR("22/07/2015"))</f>
        <v>1.4285714285714286</v>
      </c>
      <c r="N38" s="67">
        <f t="shared" ca="1" si="28"/>
        <v>8.2100000000000006E-2</v>
      </c>
      <c r="O38" s="89">
        <f>3/3</f>
        <v>1</v>
      </c>
      <c r="P38" s="88">
        <f t="shared" si="29"/>
        <v>0.15659999999999999</v>
      </c>
      <c r="Q38" s="96">
        <v>1</v>
      </c>
      <c r="R38" s="88">
        <f t="shared" si="30"/>
        <v>0.2271</v>
      </c>
      <c r="S38" s="100">
        <f>((88*24)+2+23.5)/720</f>
        <v>2.96875</v>
      </c>
      <c r="T38" s="67">
        <f t="shared" si="31"/>
        <v>0.11210000000000001</v>
      </c>
      <c r="U38" s="95">
        <v>0</v>
      </c>
      <c r="V38" s="88">
        <f t="shared" si="32"/>
        <v>6.08E-2</v>
      </c>
      <c r="W38" s="75">
        <f t="shared" ca="1" si="33"/>
        <v>0.25547999999999998</v>
      </c>
      <c r="X38" s="108">
        <f>((1395000+3056170)*(138.73/127.19))/202300000</f>
        <v>2.3999142112735537E-2</v>
      </c>
      <c r="Y38" s="88">
        <f t="shared" si="34"/>
        <v>1</v>
      </c>
      <c r="Z38" s="113">
        <f t="shared" si="35"/>
        <v>0.3</v>
      </c>
      <c r="AA38" s="78">
        <f t="shared" ca="1" si="36"/>
        <v>0.8342099999999999</v>
      </c>
      <c r="AB38" s="118" t="str">
        <f t="shared" ca="1" si="37"/>
        <v>Evaluar nuevamente en dos años</v>
      </c>
      <c r="AC38" s="38"/>
      <c r="AD38" s="38"/>
      <c r="AE38" s="38"/>
      <c r="AF38" s="38"/>
      <c r="AG38" s="38"/>
      <c r="AH38" s="38"/>
      <c r="AI38" s="38"/>
      <c r="AJ38" s="38"/>
    </row>
    <row r="39" spans="1:36" ht="15" x14ac:dyDescent="0.25">
      <c r="A39" s="49" t="s">
        <v>60</v>
      </c>
      <c r="B39" s="56" t="s">
        <v>63</v>
      </c>
      <c r="C39" s="59">
        <f t="shared" si="38"/>
        <v>3</v>
      </c>
      <c r="D39" s="50" t="str">
        <f t="shared" si="21"/>
        <v>Alta</v>
      </c>
      <c r="E39" s="60">
        <f t="shared" si="22"/>
        <v>0.54900000000000004</v>
      </c>
      <c r="F39" s="66">
        <f>AVERAGE(3,3)</f>
        <v>3</v>
      </c>
      <c r="G39" s="50" t="str">
        <f t="shared" si="23"/>
        <v>Alta</v>
      </c>
      <c r="H39" s="67">
        <f t="shared" si="24"/>
        <v>0.2402</v>
      </c>
      <c r="I39" s="71">
        <f>AVERAGE(3,3)</f>
        <v>3</v>
      </c>
      <c r="J39" s="50" t="str">
        <f t="shared" si="25"/>
        <v>Alta</v>
      </c>
      <c r="K39" s="67">
        <f t="shared" si="26"/>
        <v>0.20979999999999999</v>
      </c>
      <c r="L39" s="75">
        <f t="shared" si="27"/>
        <v>0.29969999999999997</v>
      </c>
      <c r="M39" s="83">
        <f ca="1">10/(YEAR(TODAY()) - YEAR("13/8/2010"))</f>
        <v>0.83333333333333337</v>
      </c>
      <c r="N39" s="67">
        <f t="shared" ca="1" si="28"/>
        <v>5.4699999999999999E-2</v>
      </c>
      <c r="O39" s="89">
        <f>2/2</f>
        <v>1</v>
      </c>
      <c r="P39" s="88">
        <f t="shared" si="29"/>
        <v>0.15659999999999999</v>
      </c>
      <c r="Q39" s="96">
        <v>5</v>
      </c>
      <c r="R39" s="88">
        <f t="shared" si="30"/>
        <v>0.4541</v>
      </c>
      <c r="S39" s="100">
        <v>0</v>
      </c>
      <c r="T39" s="67">
        <f t="shared" si="31"/>
        <v>0.1681</v>
      </c>
      <c r="U39" s="95">
        <v>0</v>
      </c>
      <c r="V39" s="88">
        <f t="shared" si="32"/>
        <v>6.08E-2</v>
      </c>
      <c r="W39" s="75">
        <f t="shared" ca="1" si="33"/>
        <v>0.35772000000000004</v>
      </c>
      <c r="X39" s="108">
        <f>(37037*(138.73/127.19))/166600000</f>
        <v>2.4248128420327957E-4</v>
      </c>
      <c r="Y39" s="88">
        <f t="shared" si="34"/>
        <v>1</v>
      </c>
      <c r="Z39" s="113">
        <f t="shared" si="35"/>
        <v>0.3</v>
      </c>
      <c r="AA39" s="78">
        <f t="shared" ca="1" si="36"/>
        <v>0.95742000000000005</v>
      </c>
      <c r="AB39" s="118" t="str">
        <f t="shared" ca="1" si="37"/>
        <v>Evaluar nuevamente en dos años</v>
      </c>
      <c r="AC39" s="38"/>
      <c r="AD39" s="38"/>
      <c r="AE39" s="38"/>
      <c r="AF39" s="38"/>
      <c r="AG39" s="38"/>
      <c r="AH39" s="38"/>
      <c r="AI39" s="38"/>
      <c r="AJ39" s="38"/>
    </row>
    <row r="40" spans="1:36" ht="15" x14ac:dyDescent="0.25">
      <c r="A40" s="49" t="s">
        <v>60</v>
      </c>
      <c r="B40" s="56" t="s">
        <v>62</v>
      </c>
      <c r="C40" s="59">
        <f t="shared" si="38"/>
        <v>3</v>
      </c>
      <c r="D40" s="50" t="str">
        <f t="shared" si="21"/>
        <v>Alta</v>
      </c>
      <c r="E40" s="60">
        <f t="shared" si="22"/>
        <v>0.54900000000000004</v>
      </c>
      <c r="F40" s="66">
        <f>AVERAGE(3,3)</f>
        <v>3</v>
      </c>
      <c r="G40" s="50" t="str">
        <f t="shared" si="23"/>
        <v>Alta</v>
      </c>
      <c r="H40" s="67">
        <f t="shared" si="24"/>
        <v>0.2402</v>
      </c>
      <c r="I40" s="71">
        <f>AVERAGE(3,3)</f>
        <v>3</v>
      </c>
      <c r="J40" s="50" t="str">
        <f t="shared" si="25"/>
        <v>Alta</v>
      </c>
      <c r="K40" s="67">
        <f t="shared" si="26"/>
        <v>0.20979999999999999</v>
      </c>
      <c r="L40" s="75">
        <f t="shared" si="27"/>
        <v>0.29969999999999997</v>
      </c>
      <c r="M40" s="83">
        <f ca="1">10/(YEAR(TODAY()) - YEAR("6/7/2012"))</f>
        <v>1</v>
      </c>
      <c r="N40" s="67">
        <f t="shared" ca="1" si="28"/>
        <v>5.4699999999999999E-2</v>
      </c>
      <c r="O40" s="89">
        <f>2/1</f>
        <v>2</v>
      </c>
      <c r="P40" s="88">
        <f t="shared" si="29"/>
        <v>0.2349</v>
      </c>
      <c r="Q40" s="96">
        <v>5</v>
      </c>
      <c r="R40" s="88">
        <f t="shared" si="30"/>
        <v>0.4541</v>
      </c>
      <c r="S40" s="100">
        <v>0</v>
      </c>
      <c r="T40" s="67">
        <f t="shared" si="31"/>
        <v>0.1681</v>
      </c>
      <c r="U40" s="95">
        <v>0</v>
      </c>
      <c r="V40" s="88">
        <f t="shared" si="32"/>
        <v>6.08E-2</v>
      </c>
      <c r="W40" s="75">
        <f t="shared" ca="1" si="33"/>
        <v>0.38904000000000005</v>
      </c>
      <c r="X40" s="109">
        <f>(2501781*(138.73/127.19))/(84123070*(138.73/90.73))</f>
        <v>2.121446675988059E-2</v>
      </c>
      <c r="Y40" s="88">
        <f t="shared" si="34"/>
        <v>1</v>
      </c>
      <c r="Z40" s="113">
        <f t="shared" si="35"/>
        <v>0.3</v>
      </c>
      <c r="AA40" s="78">
        <f t="shared" ca="1" si="36"/>
        <v>0.98874000000000006</v>
      </c>
      <c r="AB40" s="118" t="str">
        <f t="shared" ca="1" si="37"/>
        <v>Evaluar nuevamente en dos años</v>
      </c>
      <c r="AC40" s="38"/>
      <c r="AD40" s="38"/>
      <c r="AE40" s="38"/>
      <c r="AF40" s="38"/>
      <c r="AG40" s="38"/>
      <c r="AH40" s="38"/>
      <c r="AI40" s="38"/>
      <c r="AJ40" s="38"/>
    </row>
    <row r="41" spans="1:36" ht="15" x14ac:dyDescent="0.25">
      <c r="A41" s="49" t="s">
        <v>60</v>
      </c>
      <c r="B41" s="56" t="s">
        <v>61</v>
      </c>
      <c r="C41" s="59">
        <f t="shared" si="38"/>
        <v>3</v>
      </c>
      <c r="D41" s="50" t="str">
        <f t="shared" si="21"/>
        <v>Alta</v>
      </c>
      <c r="E41" s="60">
        <f t="shared" si="22"/>
        <v>0.54900000000000004</v>
      </c>
      <c r="F41" s="66">
        <f>AVERAGE(3,3)</f>
        <v>3</v>
      </c>
      <c r="G41" s="50" t="str">
        <f t="shared" si="23"/>
        <v>Alta</v>
      </c>
      <c r="H41" s="67">
        <f t="shared" si="24"/>
        <v>0.2402</v>
      </c>
      <c r="I41" s="71">
        <f>AVERAGE(3,3)</f>
        <v>3</v>
      </c>
      <c r="J41" s="50" t="str">
        <f t="shared" si="25"/>
        <v>Alta</v>
      </c>
      <c r="K41" s="67">
        <f t="shared" si="26"/>
        <v>0.20979999999999999</v>
      </c>
      <c r="L41" s="75">
        <f t="shared" si="27"/>
        <v>0.29969999999999997</v>
      </c>
      <c r="M41" s="83">
        <f ca="1">10/(YEAR(TODAY()) - YEAR("13/8/2010"))</f>
        <v>0.83333333333333337</v>
      </c>
      <c r="N41" s="67">
        <f t="shared" ca="1" si="28"/>
        <v>5.4699999999999999E-2</v>
      </c>
      <c r="O41" s="89">
        <f>2/3</f>
        <v>0.66666666666666663</v>
      </c>
      <c r="P41" s="88">
        <f t="shared" si="29"/>
        <v>0.15659999999999999</v>
      </c>
      <c r="Q41" s="96">
        <v>5</v>
      </c>
      <c r="R41" s="88">
        <f t="shared" si="30"/>
        <v>0.4541</v>
      </c>
      <c r="S41" s="100">
        <f>(8.33+1)/720</f>
        <v>1.2958333333333334E-2</v>
      </c>
      <c r="T41" s="67">
        <f t="shared" si="31"/>
        <v>0.1681</v>
      </c>
      <c r="U41" s="95">
        <v>0</v>
      </c>
      <c r="V41" s="88">
        <f t="shared" si="32"/>
        <v>6.08E-2</v>
      </c>
      <c r="W41" s="75">
        <f t="shared" ca="1" si="33"/>
        <v>0.35772000000000004</v>
      </c>
      <c r="X41" s="109">
        <f>((37037+3661074)*(138.73/127.19))/(71523582*(138.73/85.04))</f>
        <v>3.4570126625116299E-2</v>
      </c>
      <c r="Y41" s="88">
        <f t="shared" si="34"/>
        <v>1</v>
      </c>
      <c r="Z41" s="113">
        <f t="shared" si="35"/>
        <v>0.3</v>
      </c>
      <c r="AA41" s="78">
        <f t="shared" ca="1" si="36"/>
        <v>0.95742000000000005</v>
      </c>
      <c r="AB41" s="118" t="str">
        <f t="shared" ca="1" si="37"/>
        <v>Evaluar nuevamente en dos años</v>
      </c>
      <c r="AC41" s="38"/>
      <c r="AD41" s="38"/>
      <c r="AE41" s="38"/>
      <c r="AF41" s="38"/>
      <c r="AG41" s="38"/>
      <c r="AH41" s="38"/>
      <c r="AI41" s="38"/>
      <c r="AJ41" s="38"/>
    </row>
    <row r="42" spans="1:36" ht="15" x14ac:dyDescent="0.25">
      <c r="A42" s="49" t="s">
        <v>60</v>
      </c>
      <c r="B42" s="56" t="s">
        <v>59</v>
      </c>
      <c r="C42" s="59">
        <f t="shared" si="38"/>
        <v>3</v>
      </c>
      <c r="D42" s="50" t="str">
        <f t="shared" si="21"/>
        <v>Alta</v>
      </c>
      <c r="E42" s="60">
        <f t="shared" si="22"/>
        <v>0.54900000000000004</v>
      </c>
      <c r="F42" s="66">
        <f>AVERAGE(3,3)</f>
        <v>3</v>
      </c>
      <c r="G42" s="50" t="str">
        <f t="shared" si="23"/>
        <v>Alta</v>
      </c>
      <c r="H42" s="67">
        <f t="shared" si="24"/>
        <v>0.2402</v>
      </c>
      <c r="I42" s="71">
        <f>AVERAGE(3,3)</f>
        <v>3</v>
      </c>
      <c r="J42" s="50" t="str">
        <f t="shared" si="25"/>
        <v>Alta</v>
      </c>
      <c r="K42" s="67">
        <f t="shared" si="26"/>
        <v>0.20979999999999999</v>
      </c>
      <c r="L42" s="75">
        <f t="shared" si="27"/>
        <v>0.29969999999999997</v>
      </c>
      <c r="M42" s="83">
        <f ca="1">10/(YEAR(TODAY()) - YEAR("6/7/2012"))</f>
        <v>1</v>
      </c>
      <c r="N42" s="67">
        <f t="shared" ca="1" si="28"/>
        <v>5.4699999999999999E-2</v>
      </c>
      <c r="O42" s="89">
        <f>2/2</f>
        <v>1</v>
      </c>
      <c r="P42" s="88">
        <f t="shared" si="29"/>
        <v>0.15659999999999999</v>
      </c>
      <c r="Q42" s="96">
        <v>5</v>
      </c>
      <c r="R42" s="88">
        <f t="shared" si="30"/>
        <v>0.4541</v>
      </c>
      <c r="S42" s="100">
        <f>((27*24)+24)/720</f>
        <v>0.93333333333333335</v>
      </c>
      <c r="T42" s="67">
        <f t="shared" si="31"/>
        <v>0.1681</v>
      </c>
      <c r="U42" s="95">
        <v>0</v>
      </c>
      <c r="V42" s="88">
        <f t="shared" si="32"/>
        <v>6.08E-2</v>
      </c>
      <c r="W42" s="75">
        <f t="shared" ca="1" si="33"/>
        <v>0.35772000000000004</v>
      </c>
      <c r="X42" s="109">
        <f>((7531553+10088890)*(138.73/127.19))/(82352058*(138.73/90.73))</f>
        <v>0.15263014250238544</v>
      </c>
      <c r="Y42" s="88">
        <f t="shared" si="34"/>
        <v>1</v>
      </c>
      <c r="Z42" s="113">
        <f t="shared" si="35"/>
        <v>0.3</v>
      </c>
      <c r="AA42" s="78">
        <f t="shared" ca="1" si="36"/>
        <v>0.95742000000000005</v>
      </c>
      <c r="AB42" s="118" t="str">
        <f t="shared" ca="1" si="37"/>
        <v>Evaluar nuevamente en dos años</v>
      </c>
      <c r="AC42" s="38"/>
      <c r="AD42" s="38"/>
      <c r="AE42" s="38"/>
      <c r="AF42" s="38"/>
      <c r="AG42" s="38"/>
      <c r="AH42" s="38"/>
      <c r="AI42" s="38"/>
      <c r="AJ42" s="38"/>
    </row>
    <row r="43" spans="1:36" ht="15" x14ac:dyDescent="0.25">
      <c r="A43" s="49" t="s">
        <v>56</v>
      </c>
      <c r="B43" s="56" t="s">
        <v>58</v>
      </c>
      <c r="C43" s="59">
        <f>AVERAGE(3,3,3,3,3,3,3,3)</f>
        <v>3</v>
      </c>
      <c r="D43" s="50" t="str">
        <f t="shared" si="21"/>
        <v>Alta</v>
      </c>
      <c r="E43" s="60">
        <f t="shared" si="22"/>
        <v>0.54900000000000004</v>
      </c>
      <c r="F43" s="66">
        <f>AVERAGE(3,3,3,3,3,2,3,3)</f>
        <v>2.875</v>
      </c>
      <c r="G43" s="50" t="str">
        <f t="shared" si="23"/>
        <v>Alta</v>
      </c>
      <c r="H43" s="67">
        <f t="shared" si="24"/>
        <v>0.2402</v>
      </c>
      <c r="I43" s="71">
        <f>AVERAGE(2,3,3,2,3,3,3,2)</f>
        <v>2.625</v>
      </c>
      <c r="J43" s="50" t="str">
        <f t="shared" si="25"/>
        <v>Alta</v>
      </c>
      <c r="K43" s="67">
        <f t="shared" si="26"/>
        <v>0.20979999999999999</v>
      </c>
      <c r="L43" s="75">
        <f t="shared" si="27"/>
        <v>0.29969999999999997</v>
      </c>
      <c r="M43" s="83">
        <f ca="1">5/(YEAR(TODAY()) - YEAR("8/9/2011"))</f>
        <v>0.45454545454545453</v>
      </c>
      <c r="N43" s="67">
        <f t="shared" ca="1" si="28"/>
        <v>2.7400000000000001E-2</v>
      </c>
      <c r="O43" s="89">
        <f>5</f>
        <v>5</v>
      </c>
      <c r="P43" s="88">
        <f t="shared" si="29"/>
        <v>0.2349</v>
      </c>
      <c r="Q43" s="96">
        <v>0</v>
      </c>
      <c r="R43" s="88">
        <f t="shared" si="30"/>
        <v>0.1135</v>
      </c>
      <c r="S43" s="100">
        <v>0</v>
      </c>
      <c r="T43" s="67">
        <f t="shared" si="31"/>
        <v>0.1681</v>
      </c>
      <c r="U43" s="95">
        <v>0</v>
      </c>
      <c r="V43" s="88">
        <f t="shared" si="32"/>
        <v>6.08E-2</v>
      </c>
      <c r="W43" s="75">
        <f t="shared" ca="1" si="33"/>
        <v>0.24187999999999998</v>
      </c>
      <c r="X43" s="109">
        <f>(18519*(138.73/127.19))/(4958345*(138.73/87.95))</f>
        <v>2.5826387720064726E-3</v>
      </c>
      <c r="Y43" s="88">
        <f t="shared" si="34"/>
        <v>1</v>
      </c>
      <c r="Z43" s="113">
        <f t="shared" si="35"/>
        <v>0.3</v>
      </c>
      <c r="AA43" s="78">
        <f t="shared" ca="1" si="36"/>
        <v>0.84157999999999988</v>
      </c>
      <c r="AB43" s="118" t="str">
        <f t="shared" ca="1" si="37"/>
        <v>Evaluar nuevamente en dos años</v>
      </c>
      <c r="AC43" s="38"/>
      <c r="AD43" s="38"/>
      <c r="AE43" s="38"/>
      <c r="AF43" s="38"/>
      <c r="AG43" s="38"/>
      <c r="AH43" s="38"/>
      <c r="AI43" s="38"/>
      <c r="AJ43" s="38"/>
    </row>
    <row r="44" spans="1:36" ht="15" x14ac:dyDescent="0.25">
      <c r="A44" s="49" t="s">
        <v>56</v>
      </c>
      <c r="B44" s="56" t="s">
        <v>57</v>
      </c>
      <c r="C44" s="59">
        <f>AVERAGE(3,3,3,3,3,3,3,3)</f>
        <v>3</v>
      </c>
      <c r="D44" s="50" t="str">
        <f t="shared" si="21"/>
        <v>Alta</v>
      </c>
      <c r="E44" s="60">
        <f t="shared" si="22"/>
        <v>0.54900000000000004</v>
      </c>
      <c r="F44" s="66">
        <f>AVERAGE(3,3,3,3,3,2,3,3)</f>
        <v>2.875</v>
      </c>
      <c r="G44" s="50" t="str">
        <f t="shared" si="23"/>
        <v>Alta</v>
      </c>
      <c r="H44" s="67">
        <f t="shared" si="24"/>
        <v>0.2402</v>
      </c>
      <c r="I44" s="71">
        <f>AVERAGE(2,3,3,2,3,3,3,2)</f>
        <v>2.625</v>
      </c>
      <c r="J44" s="50" t="str">
        <f t="shared" si="25"/>
        <v>Alta</v>
      </c>
      <c r="K44" s="67">
        <f t="shared" si="26"/>
        <v>0.20979999999999999</v>
      </c>
      <c r="L44" s="75">
        <f t="shared" si="27"/>
        <v>0.29969999999999997</v>
      </c>
      <c r="M44" s="83">
        <f ca="1">5/(YEAR(TODAY()) - YEAR("4/1/2003"))</f>
        <v>0.26315789473684209</v>
      </c>
      <c r="N44" s="67">
        <f t="shared" ca="1" si="28"/>
        <v>2.7400000000000001E-2</v>
      </c>
      <c r="O44" s="89">
        <f>2/1</f>
        <v>2</v>
      </c>
      <c r="P44" s="88">
        <f t="shared" si="29"/>
        <v>0.2349</v>
      </c>
      <c r="Q44" s="96">
        <v>0</v>
      </c>
      <c r="R44" s="88">
        <f t="shared" si="30"/>
        <v>0.1135</v>
      </c>
      <c r="S44" s="100">
        <f>1/720</f>
        <v>1.3888888888888889E-3</v>
      </c>
      <c r="T44" s="67">
        <f t="shared" si="31"/>
        <v>0.1681</v>
      </c>
      <c r="U44" s="95">
        <v>0</v>
      </c>
      <c r="V44" s="88">
        <f t="shared" si="32"/>
        <v>6.08E-2</v>
      </c>
      <c r="W44" s="75">
        <f t="shared" ca="1" si="33"/>
        <v>0.24187999999999998</v>
      </c>
      <c r="X44" s="109">
        <f>(18519*(138.73/127.19))/(300000*(138.73/56.85))</f>
        <v>2.7591402625992609E-2</v>
      </c>
      <c r="Y44" s="88">
        <f t="shared" si="34"/>
        <v>1</v>
      </c>
      <c r="Z44" s="113">
        <f t="shared" si="35"/>
        <v>0.3</v>
      </c>
      <c r="AA44" s="78">
        <f t="shared" ca="1" si="36"/>
        <v>0.84157999999999988</v>
      </c>
      <c r="AB44" s="118" t="str">
        <f t="shared" ca="1" si="37"/>
        <v>Evaluar nuevamente en dos años</v>
      </c>
      <c r="AC44" s="38"/>
      <c r="AD44" s="38"/>
      <c r="AE44" s="38"/>
      <c r="AF44" s="38"/>
      <c r="AG44" s="38"/>
      <c r="AH44" s="38"/>
      <c r="AI44" s="38"/>
      <c r="AJ44" s="38"/>
    </row>
    <row r="45" spans="1:36" ht="15" x14ac:dyDescent="0.25">
      <c r="A45" s="49" t="s">
        <v>56</v>
      </c>
      <c r="B45" s="56" t="s">
        <v>55</v>
      </c>
      <c r="C45" s="59">
        <f>AVERAGE(3,3,3,3,3,3,3,3)</f>
        <v>3</v>
      </c>
      <c r="D45" s="50" t="str">
        <f t="shared" si="21"/>
        <v>Alta</v>
      </c>
      <c r="E45" s="60">
        <f t="shared" si="22"/>
        <v>0.54900000000000004</v>
      </c>
      <c r="F45" s="66">
        <f>AVERAGE(3,3,3,3,3,2,3,3)</f>
        <v>2.875</v>
      </c>
      <c r="G45" s="50" t="str">
        <f t="shared" si="23"/>
        <v>Alta</v>
      </c>
      <c r="H45" s="67">
        <f t="shared" si="24"/>
        <v>0.2402</v>
      </c>
      <c r="I45" s="71">
        <f>AVERAGE(2,3,3,2,3,3,3,2)</f>
        <v>2.625</v>
      </c>
      <c r="J45" s="50" t="str">
        <f t="shared" si="25"/>
        <v>Alta</v>
      </c>
      <c r="K45" s="67">
        <f t="shared" si="26"/>
        <v>0.20979999999999999</v>
      </c>
      <c r="L45" s="75">
        <f t="shared" si="27"/>
        <v>0.29969999999999997</v>
      </c>
      <c r="M45" s="82">
        <f ca="1">5/(YEAR(TODAY()) - YEAR("9/1/2008"))</f>
        <v>0.35714285714285715</v>
      </c>
      <c r="N45" s="67">
        <f t="shared" ca="1" si="28"/>
        <v>2.7400000000000001E-2</v>
      </c>
      <c r="O45" s="90">
        <f>5</f>
        <v>5</v>
      </c>
      <c r="P45" s="88">
        <f t="shared" si="29"/>
        <v>0.2349</v>
      </c>
      <c r="Q45" s="96">
        <v>0</v>
      </c>
      <c r="R45" s="88">
        <f t="shared" si="30"/>
        <v>0.1135</v>
      </c>
      <c r="S45" s="100">
        <v>0</v>
      </c>
      <c r="T45" s="67">
        <f t="shared" si="31"/>
        <v>0.1681</v>
      </c>
      <c r="U45" s="95">
        <v>0</v>
      </c>
      <c r="V45" s="88">
        <f t="shared" si="32"/>
        <v>6.08E-2</v>
      </c>
      <c r="W45" s="75">
        <f t="shared" ca="1" si="33"/>
        <v>0.24187999999999998</v>
      </c>
      <c r="X45" s="109">
        <f>(18519*(138.73/127.19))/(1300000*(138.73/79.8))</f>
        <v>8.9376656365098856E-3</v>
      </c>
      <c r="Y45" s="88">
        <f t="shared" si="34"/>
        <v>1</v>
      </c>
      <c r="Z45" s="113">
        <f t="shared" si="35"/>
        <v>0.3</v>
      </c>
      <c r="AA45" s="78">
        <f t="shared" ca="1" si="36"/>
        <v>0.84157999999999988</v>
      </c>
      <c r="AB45" s="118" t="str">
        <f t="shared" ca="1" si="37"/>
        <v>Evaluar nuevamente en dos años</v>
      </c>
      <c r="AC45" s="38"/>
      <c r="AD45" s="38"/>
      <c r="AE45" s="38"/>
      <c r="AF45" s="38"/>
      <c r="AG45" s="38"/>
      <c r="AH45" s="38"/>
      <c r="AI45" s="38"/>
      <c r="AJ45" s="38"/>
    </row>
    <row r="46" spans="1:36" ht="15" x14ac:dyDescent="0.25">
      <c r="A46" s="49" t="s">
        <v>49</v>
      </c>
      <c r="B46" s="56" t="s">
        <v>54</v>
      </c>
      <c r="C46" s="59">
        <f>AVERAGE(3,3,3,3,1,3,3.3,3,3,3,3,3,3,3,3,3,3,3,3,3,3,3)</f>
        <v>2.9227272727272724</v>
      </c>
      <c r="D46" s="50" t="str">
        <f t="shared" si="21"/>
        <v>Alta</v>
      </c>
      <c r="E46" s="60">
        <f t="shared" si="22"/>
        <v>0.54900000000000004</v>
      </c>
      <c r="F46" s="66">
        <f>AVERAGE(3,3,3,3,1,3,3,2,3,3,3,3,3,3,3,3,2,3,3,3,3,3,3)</f>
        <v>2.8260869565217392</v>
      </c>
      <c r="G46" s="50" t="str">
        <f t="shared" si="23"/>
        <v>Alta</v>
      </c>
      <c r="H46" s="67">
        <f t="shared" si="24"/>
        <v>0.2402</v>
      </c>
      <c r="I46" s="71">
        <f>AVERAGE(3,3,3,3,1,2,3,2,3,3,3,3,3,3,3,3,2,3,3,3,3,3,3)</f>
        <v>2.7826086956521738</v>
      </c>
      <c r="J46" s="50" t="str">
        <f t="shared" si="25"/>
        <v>Alta</v>
      </c>
      <c r="K46" s="67">
        <f t="shared" si="26"/>
        <v>0.20979999999999999</v>
      </c>
      <c r="L46" s="75">
        <f t="shared" si="27"/>
        <v>0.29969999999999997</v>
      </c>
      <c r="M46" s="82">
        <f ca="1">9/(YEAR(TODAY()) - YEAR("22/10/2015"))</f>
        <v>1.2857142857142858</v>
      </c>
      <c r="N46" s="67">
        <f t="shared" ca="1" si="28"/>
        <v>8.2100000000000006E-2</v>
      </c>
      <c r="O46" s="90"/>
      <c r="P46" s="88">
        <f t="shared" si="29"/>
        <v>7.8299999999999995E-2</v>
      </c>
      <c r="Q46" s="96">
        <v>2</v>
      </c>
      <c r="R46" s="88">
        <f t="shared" si="30"/>
        <v>0.34060000000000001</v>
      </c>
      <c r="S46" s="100">
        <v>0</v>
      </c>
      <c r="T46" s="67">
        <f t="shared" si="31"/>
        <v>0.1681</v>
      </c>
      <c r="U46" s="95">
        <v>0</v>
      </c>
      <c r="V46" s="88">
        <f t="shared" si="32"/>
        <v>6.08E-2</v>
      </c>
      <c r="W46" s="75">
        <f t="shared" ca="1" si="33"/>
        <v>0.29196</v>
      </c>
      <c r="X46" s="108">
        <f>55554/(73415440*(138.73/100))</f>
        <v>5.4545326060361258E-4</v>
      </c>
      <c r="Y46" s="88">
        <f t="shared" si="34"/>
        <v>1</v>
      </c>
      <c r="Z46" s="113">
        <f t="shared" si="35"/>
        <v>0.3</v>
      </c>
      <c r="AA46" s="78">
        <f t="shared" ca="1" si="36"/>
        <v>0.89166000000000001</v>
      </c>
      <c r="AB46" s="118" t="str">
        <f t="shared" ca="1" si="37"/>
        <v>Evaluar nuevamente en dos años</v>
      </c>
      <c r="AC46" s="38"/>
      <c r="AD46" s="38"/>
      <c r="AE46" s="38"/>
      <c r="AF46" s="38"/>
      <c r="AG46" s="38"/>
      <c r="AH46" s="38"/>
      <c r="AI46" s="38"/>
      <c r="AJ46" s="38"/>
    </row>
    <row r="47" spans="1:36" ht="15" x14ac:dyDescent="0.25">
      <c r="A47" s="49" t="s">
        <v>49</v>
      </c>
      <c r="B47" s="56" t="s">
        <v>53</v>
      </c>
      <c r="C47" s="59">
        <f>AVERAGE(3,3,3,3,1,3,3.3,3,3,3,3,3,3,3,3,3,3,3,3,3,3,3)</f>
        <v>2.9227272727272724</v>
      </c>
      <c r="D47" s="50" t="str">
        <f t="shared" si="21"/>
        <v>Alta</v>
      </c>
      <c r="E47" s="60">
        <f t="shared" si="22"/>
        <v>0.54900000000000004</v>
      </c>
      <c r="F47" s="66">
        <f>AVERAGE(3,3,3,3,1,3,3,2,3,3,3,3,3,3,3,3,2,3,3,3,3,3,3)</f>
        <v>2.8260869565217392</v>
      </c>
      <c r="G47" s="50" t="str">
        <f t="shared" si="23"/>
        <v>Alta</v>
      </c>
      <c r="H47" s="67">
        <f t="shared" si="24"/>
        <v>0.2402</v>
      </c>
      <c r="I47" s="71">
        <f>AVERAGE(3,3,3,3,1,2,3,2,3,3,3,3,3,3,3,3,2,3,3,3,3,3,3)</f>
        <v>2.7826086956521738</v>
      </c>
      <c r="J47" s="50" t="str">
        <f t="shared" si="25"/>
        <v>Alta</v>
      </c>
      <c r="K47" s="67">
        <f t="shared" si="26"/>
        <v>0.20979999999999999</v>
      </c>
      <c r="L47" s="75">
        <f t="shared" si="27"/>
        <v>0.29969999999999997</v>
      </c>
      <c r="M47" s="82">
        <f ca="1">9/(YEAR(TODAY()) - YEAR("22/10/2015"))</f>
        <v>1.2857142857142858</v>
      </c>
      <c r="N47" s="67">
        <f t="shared" ca="1" si="28"/>
        <v>8.2100000000000006E-2</v>
      </c>
      <c r="O47" s="90">
        <f>1</f>
        <v>1</v>
      </c>
      <c r="P47" s="88">
        <f t="shared" si="29"/>
        <v>0.15659999999999999</v>
      </c>
      <c r="Q47" s="96">
        <v>2</v>
      </c>
      <c r="R47" s="88">
        <f t="shared" si="30"/>
        <v>0.34060000000000001</v>
      </c>
      <c r="S47" s="100">
        <v>0</v>
      </c>
      <c r="T47" s="67">
        <f t="shared" si="31"/>
        <v>0.1681</v>
      </c>
      <c r="U47" s="95">
        <v>0</v>
      </c>
      <c r="V47" s="88">
        <f t="shared" si="32"/>
        <v>6.08E-2</v>
      </c>
      <c r="W47" s="75">
        <f t="shared" ca="1" si="33"/>
        <v>0.32328000000000001</v>
      </c>
      <c r="X47" s="108">
        <f>0/(73415440*(138.73/100))</f>
        <v>0</v>
      </c>
      <c r="Y47" s="88">
        <f t="shared" si="34"/>
        <v>1</v>
      </c>
      <c r="Z47" s="113">
        <f t="shared" si="35"/>
        <v>0.3</v>
      </c>
      <c r="AA47" s="78">
        <f t="shared" ca="1" si="36"/>
        <v>0.92298000000000002</v>
      </c>
      <c r="AB47" s="118" t="str">
        <f t="shared" ca="1" si="37"/>
        <v>Evaluar nuevamente en dos años</v>
      </c>
      <c r="AC47" s="38"/>
      <c r="AD47" s="38"/>
      <c r="AE47" s="38"/>
      <c r="AF47" s="38"/>
      <c r="AG47" s="38"/>
      <c r="AH47" s="38"/>
      <c r="AI47" s="38"/>
      <c r="AJ47" s="38"/>
    </row>
    <row r="48" spans="1:36" ht="15" x14ac:dyDescent="0.25">
      <c r="A48" s="49" t="s">
        <v>49</v>
      </c>
      <c r="B48" s="56" t="s">
        <v>52</v>
      </c>
      <c r="C48" s="59">
        <f>AVERAGE(3,3,3,3,1,3,3.3,3,3,3,3,3,3,3,3,3,3,3,3,3,3,3)</f>
        <v>2.9227272727272724</v>
      </c>
      <c r="D48" s="50" t="str">
        <f t="shared" si="21"/>
        <v>Alta</v>
      </c>
      <c r="E48" s="60">
        <f t="shared" si="22"/>
        <v>0.54900000000000004</v>
      </c>
      <c r="F48" s="66">
        <f>AVERAGE(3,3,3,3,1,3,3,2,3,3,3,3,3,3,3,3,2,3,3,3,3,3,3)</f>
        <v>2.8260869565217392</v>
      </c>
      <c r="G48" s="50" t="str">
        <f t="shared" si="23"/>
        <v>Alta</v>
      </c>
      <c r="H48" s="67">
        <f t="shared" si="24"/>
        <v>0.2402</v>
      </c>
      <c r="I48" s="71">
        <f>AVERAGE(3,3,3,3,1,2,3,2,3,3,3,3,3,3,3,3,2,3,3,3,3,3,3)</f>
        <v>2.7826086956521738</v>
      </c>
      <c r="J48" s="50" t="str">
        <f t="shared" si="25"/>
        <v>Alta</v>
      </c>
      <c r="K48" s="67">
        <f t="shared" si="26"/>
        <v>0.20979999999999999</v>
      </c>
      <c r="L48" s="75">
        <f t="shared" si="27"/>
        <v>0.29969999999999997</v>
      </c>
      <c r="M48" s="83">
        <f ca="1">9/(YEAR(TODAY()) - YEAR("22/10/2015"))</f>
        <v>1.2857142857142858</v>
      </c>
      <c r="N48" s="67">
        <f t="shared" ca="1" si="28"/>
        <v>8.2100000000000006E-2</v>
      </c>
      <c r="O48" s="89">
        <f>5</f>
        <v>5</v>
      </c>
      <c r="P48" s="88">
        <f t="shared" si="29"/>
        <v>0.2349</v>
      </c>
      <c r="Q48" s="96">
        <v>2</v>
      </c>
      <c r="R48" s="88">
        <f t="shared" si="30"/>
        <v>0.34060000000000001</v>
      </c>
      <c r="S48" s="100">
        <v>0</v>
      </c>
      <c r="T48" s="67">
        <f t="shared" si="31"/>
        <v>0.1681</v>
      </c>
      <c r="U48" s="95">
        <v>0</v>
      </c>
      <c r="V48" s="88">
        <f t="shared" si="32"/>
        <v>6.08E-2</v>
      </c>
      <c r="W48" s="75">
        <f t="shared" ca="1" si="33"/>
        <v>0.35460000000000003</v>
      </c>
      <c r="X48" s="108">
        <f>18518/(73415440*(138.73/100))</f>
        <v>1.8181775353453755E-4</v>
      </c>
      <c r="Y48" s="88">
        <f t="shared" si="34"/>
        <v>1</v>
      </c>
      <c r="Z48" s="113">
        <f t="shared" si="35"/>
        <v>0.3</v>
      </c>
      <c r="AA48" s="78">
        <f t="shared" ca="1" si="36"/>
        <v>0.95430000000000004</v>
      </c>
      <c r="AB48" s="118" t="str">
        <f t="shared" ca="1" si="37"/>
        <v>Evaluar nuevamente en dos años</v>
      </c>
      <c r="AC48" s="38"/>
      <c r="AD48" s="38"/>
      <c r="AE48" s="38"/>
      <c r="AF48" s="38"/>
      <c r="AG48" s="38"/>
      <c r="AH48" s="38"/>
      <c r="AI48" s="38"/>
      <c r="AJ48" s="38"/>
    </row>
    <row r="49" spans="1:36" ht="15" x14ac:dyDescent="0.25">
      <c r="A49" s="49" t="s">
        <v>49</v>
      </c>
      <c r="B49" s="56" t="s">
        <v>51</v>
      </c>
      <c r="C49" s="59">
        <f>AVERAGE(3,2,3,3,3,3,3,3,3,3,3,3,3,3,3,3,3,3,3,3,2,3,2,3)</f>
        <v>2.875</v>
      </c>
      <c r="D49" s="50" t="str">
        <f t="shared" si="21"/>
        <v>Alta</v>
      </c>
      <c r="E49" s="60">
        <f t="shared" si="22"/>
        <v>0.54900000000000004</v>
      </c>
      <c r="F49" s="66">
        <f>AVERAGE(3,2,3,3,3,3,3,2,3,3,3,3,2,3,3,3,3,2,3,3,2,3,3,2)</f>
        <v>2.75</v>
      </c>
      <c r="G49" s="50" t="str">
        <f t="shared" si="23"/>
        <v>Alta</v>
      </c>
      <c r="H49" s="67">
        <f t="shared" si="24"/>
        <v>0.2402</v>
      </c>
      <c r="I49" s="71">
        <f>AVERAGE(3,2,2,3,3,2,3,2,3,3,3,3,2,3,3,3,3,2,3,3,2,3,3,2)</f>
        <v>2.6666666666666665</v>
      </c>
      <c r="J49" s="50" t="str">
        <f t="shared" si="25"/>
        <v>Alta</v>
      </c>
      <c r="K49" s="67">
        <f t="shared" si="26"/>
        <v>0.20979999999999999</v>
      </c>
      <c r="L49" s="75">
        <f t="shared" si="27"/>
        <v>0.29969999999999997</v>
      </c>
      <c r="M49" s="83">
        <f ca="1">9/(YEAR(TODAY()) - YEAR("10/8/2015"))</f>
        <v>1.2857142857142858</v>
      </c>
      <c r="N49" s="67">
        <f t="shared" ca="1" si="28"/>
        <v>8.2100000000000006E-2</v>
      </c>
      <c r="O49" s="89">
        <f>0/2</f>
        <v>0</v>
      </c>
      <c r="P49" s="88">
        <f t="shared" si="29"/>
        <v>7.8299999999999995E-2</v>
      </c>
      <c r="Q49" s="96">
        <v>5</v>
      </c>
      <c r="R49" s="88">
        <f t="shared" si="30"/>
        <v>0.4541</v>
      </c>
      <c r="S49" s="100">
        <f>2/720</f>
        <v>2.7777777777777779E-3</v>
      </c>
      <c r="T49" s="67">
        <f t="shared" si="31"/>
        <v>0.1681</v>
      </c>
      <c r="U49" s="95">
        <v>0</v>
      </c>
      <c r="V49" s="88">
        <f t="shared" si="32"/>
        <v>6.08E-2</v>
      </c>
      <c r="W49" s="75">
        <f t="shared" ca="1" si="33"/>
        <v>0.33736000000000005</v>
      </c>
      <c r="X49" s="108">
        <f>64778/178500000</f>
        <v>3.6290196078431371E-4</v>
      </c>
      <c r="Y49" s="88">
        <f t="shared" si="34"/>
        <v>1</v>
      </c>
      <c r="Z49" s="113">
        <f t="shared" si="35"/>
        <v>0.3</v>
      </c>
      <c r="AA49" s="78">
        <f t="shared" ca="1" si="36"/>
        <v>0.93706</v>
      </c>
      <c r="AB49" s="118" t="str">
        <f t="shared" ca="1" si="37"/>
        <v>Evaluar nuevamente en dos años</v>
      </c>
      <c r="AC49" s="38"/>
      <c r="AD49" s="38"/>
      <c r="AE49" s="38"/>
      <c r="AF49" s="38"/>
      <c r="AG49" s="38"/>
      <c r="AH49" s="38"/>
      <c r="AI49" s="38"/>
      <c r="AJ49" s="38"/>
    </row>
    <row r="50" spans="1:36" ht="15" x14ac:dyDescent="0.25">
      <c r="A50" s="49" t="s">
        <v>49</v>
      </c>
      <c r="B50" s="56" t="s">
        <v>50</v>
      </c>
      <c r="C50" s="59">
        <f>AVERAGE(3,2,3,3,3,3,3,3,3,3,3,3,3,3,3,3,3,3,3,3,2,3,2,3)</f>
        <v>2.875</v>
      </c>
      <c r="D50" s="50" t="str">
        <f t="shared" si="21"/>
        <v>Alta</v>
      </c>
      <c r="E50" s="60">
        <f t="shared" si="22"/>
        <v>0.54900000000000004</v>
      </c>
      <c r="F50" s="66">
        <f>AVERAGE(3,2,3,3,3,3,3,2,3,3,3,3,2,3,3,3,3,2,3,3,2,3,3,2)</f>
        <v>2.75</v>
      </c>
      <c r="G50" s="50" t="str">
        <f t="shared" si="23"/>
        <v>Alta</v>
      </c>
      <c r="H50" s="67">
        <f t="shared" si="24"/>
        <v>0.2402</v>
      </c>
      <c r="I50" s="71">
        <f>AVERAGE(3,2,2,3,3,2,3,2,3,3,3,3,2,3,3,3,3,2,3,3,2,3,3,2)</f>
        <v>2.6666666666666665</v>
      </c>
      <c r="J50" s="50" t="str">
        <f t="shared" si="25"/>
        <v>Alta</v>
      </c>
      <c r="K50" s="67">
        <f t="shared" si="26"/>
        <v>0.20979999999999999</v>
      </c>
      <c r="L50" s="75">
        <f t="shared" si="27"/>
        <v>0.29969999999999997</v>
      </c>
      <c r="M50" s="83">
        <f ca="1">9/(YEAR(TODAY()) - YEAR("10/8/2015"))</f>
        <v>1.2857142857142858</v>
      </c>
      <c r="N50" s="67">
        <f t="shared" ca="1" si="28"/>
        <v>8.2100000000000006E-2</v>
      </c>
      <c r="O50" s="89">
        <f>1</f>
        <v>1</v>
      </c>
      <c r="P50" s="88">
        <f t="shared" si="29"/>
        <v>0.15659999999999999</v>
      </c>
      <c r="Q50" s="96">
        <v>5</v>
      </c>
      <c r="R50" s="88">
        <f t="shared" si="30"/>
        <v>0.4541</v>
      </c>
      <c r="S50" s="100">
        <v>0</v>
      </c>
      <c r="T50" s="67">
        <f t="shared" si="31"/>
        <v>0.1681</v>
      </c>
      <c r="U50" s="95">
        <v>0</v>
      </c>
      <c r="V50" s="88">
        <f t="shared" si="32"/>
        <v>6.08E-2</v>
      </c>
      <c r="W50" s="75">
        <f t="shared" ca="1" si="33"/>
        <v>0.36868000000000001</v>
      </c>
      <c r="X50" s="108">
        <f>0/178500000</f>
        <v>0</v>
      </c>
      <c r="Y50" s="88">
        <f t="shared" si="34"/>
        <v>1</v>
      </c>
      <c r="Z50" s="113">
        <f t="shared" si="35"/>
        <v>0.3</v>
      </c>
      <c r="AA50" s="78">
        <f t="shared" ca="1" si="36"/>
        <v>0.96837999999999991</v>
      </c>
      <c r="AB50" s="118" t="str">
        <f t="shared" ca="1" si="37"/>
        <v>Evaluar nuevamente en dos años</v>
      </c>
      <c r="AC50" s="38"/>
      <c r="AD50" s="38"/>
      <c r="AE50" s="38"/>
      <c r="AF50" s="38"/>
      <c r="AG50" s="38"/>
      <c r="AH50" s="38"/>
      <c r="AI50" s="38"/>
      <c r="AJ50" s="38"/>
    </row>
    <row r="51" spans="1:36" ht="15" x14ac:dyDescent="0.25">
      <c r="A51" s="49" t="s">
        <v>49</v>
      </c>
      <c r="B51" s="56" t="s">
        <v>48</v>
      </c>
      <c r="C51" s="59">
        <f>AVERAGE(3,2,3,3,3,3,3,3,3,3,3,3,3,3,3,3,3,3,3,3,2,3,2,3)</f>
        <v>2.875</v>
      </c>
      <c r="D51" s="50" t="str">
        <f t="shared" si="21"/>
        <v>Alta</v>
      </c>
      <c r="E51" s="60">
        <f t="shared" si="22"/>
        <v>0.54900000000000004</v>
      </c>
      <c r="F51" s="66">
        <f>AVERAGE(3,2,3,3,3,3,3,2,3,3,3,3,2,3,3,3,3,2,3,3,2,3,3,2)</f>
        <v>2.75</v>
      </c>
      <c r="G51" s="50" t="str">
        <f t="shared" si="23"/>
        <v>Alta</v>
      </c>
      <c r="H51" s="67">
        <f t="shared" si="24"/>
        <v>0.2402</v>
      </c>
      <c r="I51" s="71">
        <f>AVERAGE(3,2,2,3,3,2,3,2,3,3,3,3,2,3,3,3,3,2,3,3,2,3,3,2)</f>
        <v>2.6666666666666665</v>
      </c>
      <c r="J51" s="50" t="str">
        <f t="shared" si="25"/>
        <v>Alta</v>
      </c>
      <c r="K51" s="67">
        <f t="shared" si="26"/>
        <v>0.20979999999999999</v>
      </c>
      <c r="L51" s="75">
        <f t="shared" si="27"/>
        <v>0.29969999999999997</v>
      </c>
      <c r="M51" s="83">
        <f ca="1">9/(YEAR(TODAY()) - YEAR("10/8/2015"))</f>
        <v>1.2857142857142858</v>
      </c>
      <c r="N51" s="67">
        <f t="shared" ca="1" si="28"/>
        <v>8.2100000000000006E-2</v>
      </c>
      <c r="O51" s="89">
        <f>0/1</f>
        <v>0</v>
      </c>
      <c r="P51" s="88">
        <f t="shared" si="29"/>
        <v>7.8299999999999995E-2</v>
      </c>
      <c r="Q51" s="96">
        <v>5</v>
      </c>
      <c r="R51" s="88">
        <f t="shared" si="30"/>
        <v>0.4541</v>
      </c>
      <c r="S51" s="100">
        <f>((16*24)+22)/720</f>
        <v>0.56388888888888888</v>
      </c>
      <c r="T51" s="67">
        <f t="shared" si="31"/>
        <v>0.1681</v>
      </c>
      <c r="U51" s="95">
        <v>0</v>
      </c>
      <c r="V51" s="88">
        <f t="shared" si="32"/>
        <v>6.08E-2</v>
      </c>
      <c r="W51" s="75">
        <f t="shared" ca="1" si="33"/>
        <v>0.33736000000000005</v>
      </c>
      <c r="X51" s="108">
        <f>46260/178500000</f>
        <v>2.5915966386554621E-4</v>
      </c>
      <c r="Y51" s="88">
        <f t="shared" si="34"/>
        <v>1</v>
      </c>
      <c r="Z51" s="113">
        <f t="shared" si="35"/>
        <v>0.3</v>
      </c>
      <c r="AA51" s="78">
        <f t="shared" ca="1" si="36"/>
        <v>0.93706</v>
      </c>
      <c r="AB51" s="118" t="str">
        <f t="shared" ca="1" si="37"/>
        <v>Evaluar nuevamente en dos años</v>
      </c>
      <c r="AC51" s="38"/>
      <c r="AD51" s="38"/>
      <c r="AE51" s="38"/>
      <c r="AF51" s="38"/>
      <c r="AG51" s="38"/>
      <c r="AH51" s="38"/>
      <c r="AI51" s="38"/>
      <c r="AJ51" s="38"/>
    </row>
    <row r="52" spans="1:36" ht="15" x14ac:dyDescent="0.25">
      <c r="A52" s="49" t="s">
        <v>47</v>
      </c>
      <c r="B52" s="56" t="s">
        <v>46</v>
      </c>
      <c r="C52" s="59">
        <f>AVERAGE(0,3)</f>
        <v>1.5</v>
      </c>
      <c r="D52" s="50" t="str">
        <f t="shared" si="21"/>
        <v>Mediana</v>
      </c>
      <c r="E52" s="60">
        <f t="shared" si="22"/>
        <v>0.36659999999999998</v>
      </c>
      <c r="F52" s="66">
        <f>AVERAGE(0,2)</f>
        <v>1</v>
      </c>
      <c r="G52" s="50" t="str">
        <f t="shared" si="23"/>
        <v>Baja</v>
      </c>
      <c r="H52" s="67">
        <f t="shared" si="24"/>
        <v>8.0100000000000005E-2</v>
      </c>
      <c r="I52" s="71">
        <f>AVERAGE(0,3)</f>
        <v>1.5</v>
      </c>
      <c r="J52" s="50" t="str">
        <f t="shared" si="25"/>
        <v>Mediana</v>
      </c>
      <c r="K52" s="67">
        <f t="shared" si="26"/>
        <v>0.1399</v>
      </c>
      <c r="L52" s="75">
        <f t="shared" si="27"/>
        <v>0.17598</v>
      </c>
      <c r="M52" s="80">
        <f ca="1">10/(YEAR(TODAY())-YEAR("8/9/2011"))</f>
        <v>0.90909090909090906</v>
      </c>
      <c r="N52" s="67">
        <f t="shared" ca="1" si="28"/>
        <v>5.4699999999999999E-2</v>
      </c>
      <c r="O52" s="89">
        <f>1/1</f>
        <v>1</v>
      </c>
      <c r="P52" s="88">
        <f t="shared" si="29"/>
        <v>0.15659999999999999</v>
      </c>
      <c r="Q52" s="96">
        <v>0</v>
      </c>
      <c r="R52" s="88">
        <f t="shared" si="30"/>
        <v>0.1135</v>
      </c>
      <c r="S52" s="100">
        <f>((13*24)+22)/720</f>
        <v>0.46388888888888891</v>
      </c>
      <c r="T52" s="67">
        <f t="shared" si="31"/>
        <v>0.1681</v>
      </c>
      <c r="U52" s="95">
        <v>0</v>
      </c>
      <c r="V52" s="88">
        <f t="shared" si="32"/>
        <v>6.08E-2</v>
      </c>
      <c r="W52" s="75">
        <f t="shared" ca="1" si="33"/>
        <v>0.22148000000000001</v>
      </c>
      <c r="X52" s="109">
        <f>(9259*(138.73/127.19))/(2316141*(138.73/87.95))</f>
        <v>2.7642795833251908E-3</v>
      </c>
      <c r="Y52" s="88">
        <f t="shared" si="34"/>
        <v>1</v>
      </c>
      <c r="Z52" s="113">
        <f t="shared" si="35"/>
        <v>0.3</v>
      </c>
      <c r="AA52" s="78">
        <f t="shared" ca="1" si="36"/>
        <v>0.69745999999999997</v>
      </c>
      <c r="AB52" s="118" t="str">
        <f t="shared" ca="1" si="37"/>
        <v>Evaluar nuevamente en un año</v>
      </c>
      <c r="AC52" s="38"/>
      <c r="AD52" s="38"/>
      <c r="AE52" s="38"/>
      <c r="AF52" s="38"/>
      <c r="AG52" s="38"/>
      <c r="AH52" s="38"/>
      <c r="AI52" s="38"/>
      <c r="AJ52" s="38"/>
    </row>
    <row r="53" spans="1:36" ht="15" x14ac:dyDescent="0.25">
      <c r="A53" s="49" t="s">
        <v>45</v>
      </c>
      <c r="B53" s="56" t="s">
        <v>44</v>
      </c>
      <c r="C53" s="59">
        <f>AVERAGE(3,0)</f>
        <v>1.5</v>
      </c>
      <c r="D53" s="50" t="str">
        <f t="shared" si="21"/>
        <v>Mediana</v>
      </c>
      <c r="E53" s="60">
        <f t="shared" si="22"/>
        <v>0.36659999999999998</v>
      </c>
      <c r="F53" s="66">
        <f>AVERAGE(3,0)</f>
        <v>1.5</v>
      </c>
      <c r="G53" s="50" t="str">
        <f t="shared" si="23"/>
        <v>Mediana</v>
      </c>
      <c r="H53" s="67">
        <f t="shared" si="24"/>
        <v>0.16009999999999999</v>
      </c>
      <c r="I53" s="71">
        <f>AVERAGE(2,0)</f>
        <v>1</v>
      </c>
      <c r="J53" s="50" t="str">
        <f t="shared" si="25"/>
        <v>Baja</v>
      </c>
      <c r="K53" s="67">
        <f t="shared" si="26"/>
        <v>6.9900000000000004E-2</v>
      </c>
      <c r="L53" s="75">
        <f t="shared" si="27"/>
        <v>0.17897999999999997</v>
      </c>
      <c r="M53" s="79">
        <f ca="1">10/(YEAR(TODAY())-YEAR("28/02/1999"))</f>
        <v>0.43478260869565216</v>
      </c>
      <c r="N53" s="67">
        <f t="shared" ca="1" si="28"/>
        <v>2.7400000000000001E-2</v>
      </c>
      <c r="O53" s="89">
        <f>5</f>
        <v>5</v>
      </c>
      <c r="P53" s="88">
        <f t="shared" si="29"/>
        <v>0.2349</v>
      </c>
      <c r="Q53" s="96">
        <v>0</v>
      </c>
      <c r="R53" s="88">
        <f t="shared" si="30"/>
        <v>0.1135</v>
      </c>
      <c r="S53" s="100">
        <v>0</v>
      </c>
      <c r="T53" s="67">
        <f t="shared" si="31"/>
        <v>0.1681</v>
      </c>
      <c r="U53" s="95">
        <v>0</v>
      </c>
      <c r="V53" s="88">
        <f t="shared" si="32"/>
        <v>6.08E-2</v>
      </c>
      <c r="W53" s="75">
        <f t="shared" ca="1" si="33"/>
        <v>0.24187999999999998</v>
      </c>
      <c r="X53" s="108">
        <f>(18519*(138.73/127.19))/892500000</f>
        <v>2.263219757908667E-5</v>
      </c>
      <c r="Y53" s="88">
        <f t="shared" si="34"/>
        <v>1</v>
      </c>
      <c r="Z53" s="113">
        <f t="shared" si="35"/>
        <v>0.3</v>
      </c>
      <c r="AA53" s="78">
        <f t="shared" ca="1" si="36"/>
        <v>0.72085999999999983</v>
      </c>
      <c r="AB53" s="118" t="str">
        <f t="shared" ca="1" si="37"/>
        <v>Evaluar nuevamente en un año</v>
      </c>
      <c r="AC53" s="38"/>
      <c r="AD53" s="38"/>
      <c r="AE53" s="38"/>
      <c r="AF53" s="38"/>
      <c r="AG53" s="38"/>
      <c r="AH53" s="38"/>
      <c r="AI53" s="38"/>
      <c r="AJ53" s="38"/>
    </row>
    <row r="54" spans="1:36" ht="15" x14ac:dyDescent="0.25">
      <c r="A54" s="49" t="s">
        <v>42</v>
      </c>
      <c r="B54" s="56" t="s">
        <v>43</v>
      </c>
      <c r="C54" s="59">
        <f>AVERAGE(3,3,3)</f>
        <v>3</v>
      </c>
      <c r="D54" s="50" t="str">
        <f t="shared" si="21"/>
        <v>Alta</v>
      </c>
      <c r="E54" s="60">
        <f t="shared" si="22"/>
        <v>0.54900000000000004</v>
      </c>
      <c r="F54" s="66">
        <f>AVERAGE(1,1,2)</f>
        <v>1.3333333333333333</v>
      </c>
      <c r="G54" s="50" t="str">
        <f t="shared" si="23"/>
        <v>Baja</v>
      </c>
      <c r="H54" s="67">
        <f t="shared" si="24"/>
        <v>8.0100000000000005E-2</v>
      </c>
      <c r="I54" s="71">
        <f>AVERAGE(2,2,3)</f>
        <v>2.3333333333333335</v>
      </c>
      <c r="J54" s="50" t="str">
        <f t="shared" si="25"/>
        <v>Mediana</v>
      </c>
      <c r="K54" s="67">
        <f t="shared" si="26"/>
        <v>0.1399</v>
      </c>
      <c r="L54" s="75">
        <f t="shared" si="27"/>
        <v>0.23069999999999999</v>
      </c>
      <c r="M54" s="83">
        <f ca="1">5/(YEAR(TODAY()) - YEAR("1/8/2003"))</f>
        <v>0.26315789473684209</v>
      </c>
      <c r="N54" s="67">
        <f t="shared" ca="1" si="28"/>
        <v>2.7400000000000001E-2</v>
      </c>
      <c r="O54" s="89">
        <f>5</f>
        <v>5</v>
      </c>
      <c r="P54" s="88">
        <f t="shared" si="29"/>
        <v>0.2349</v>
      </c>
      <c r="Q54" s="96">
        <v>0</v>
      </c>
      <c r="R54" s="88">
        <f t="shared" si="30"/>
        <v>0.1135</v>
      </c>
      <c r="S54" s="100">
        <v>0</v>
      </c>
      <c r="T54" s="67">
        <f t="shared" si="31"/>
        <v>0.1681</v>
      </c>
      <c r="U54" s="95">
        <v>0</v>
      </c>
      <c r="V54" s="88">
        <f t="shared" si="32"/>
        <v>6.08E-2</v>
      </c>
      <c r="W54" s="75">
        <f t="shared" ca="1" si="33"/>
        <v>0.24187999999999998</v>
      </c>
      <c r="X54" s="109">
        <f>((1103333+1020000)*(138.73/127.19))/(50000000*(138.73/60.9))</f>
        <v>2.0333513593835992E-2</v>
      </c>
      <c r="Y54" s="88">
        <f t="shared" si="34"/>
        <v>1</v>
      </c>
      <c r="Z54" s="113">
        <f t="shared" si="35"/>
        <v>0.3</v>
      </c>
      <c r="AA54" s="78">
        <f t="shared" ca="1" si="36"/>
        <v>0.77257999999999993</v>
      </c>
      <c r="AB54" s="118" t="str">
        <f t="shared" ca="1" si="37"/>
        <v>Evaluar nuevamente en un año</v>
      </c>
      <c r="AC54" s="38"/>
      <c r="AD54" s="38"/>
      <c r="AE54" s="38"/>
      <c r="AF54" s="38"/>
      <c r="AG54" s="38"/>
      <c r="AH54" s="38"/>
      <c r="AI54" s="38"/>
      <c r="AJ54" s="38"/>
    </row>
    <row r="55" spans="1:36" ht="15" x14ac:dyDescent="0.25">
      <c r="A55" s="49" t="s">
        <v>42</v>
      </c>
      <c r="B55" s="56" t="s">
        <v>41</v>
      </c>
      <c r="C55" s="59">
        <f>AVERAGE(3,3,3)</f>
        <v>3</v>
      </c>
      <c r="D55" s="50" t="str">
        <f t="shared" si="21"/>
        <v>Alta</v>
      </c>
      <c r="E55" s="60">
        <f t="shared" si="22"/>
        <v>0.54900000000000004</v>
      </c>
      <c r="F55" s="66">
        <f>AVERAGE(3,2,1)</f>
        <v>2</v>
      </c>
      <c r="G55" s="50" t="str">
        <f t="shared" si="23"/>
        <v>Mediana</v>
      </c>
      <c r="H55" s="67">
        <f t="shared" si="24"/>
        <v>0.16009999999999999</v>
      </c>
      <c r="I55" s="71">
        <f>AVERAGE(3,2,2)</f>
        <v>2.3333333333333335</v>
      </c>
      <c r="J55" s="50" t="str">
        <f t="shared" si="25"/>
        <v>Mediana</v>
      </c>
      <c r="K55" s="67">
        <f t="shared" si="26"/>
        <v>0.1399</v>
      </c>
      <c r="L55" s="75">
        <f t="shared" si="27"/>
        <v>0.25470000000000004</v>
      </c>
      <c r="M55" s="83">
        <f ca="1">5/(YEAR(TODAY()) - YEAR("13/04/2007"))</f>
        <v>0.33333333333333331</v>
      </c>
      <c r="N55" s="67">
        <f t="shared" ca="1" si="28"/>
        <v>2.7400000000000001E-2</v>
      </c>
      <c r="O55" s="89">
        <f>5</f>
        <v>5</v>
      </c>
      <c r="P55" s="88">
        <f t="shared" si="29"/>
        <v>0.2349</v>
      </c>
      <c r="Q55" s="96">
        <v>0</v>
      </c>
      <c r="R55" s="88">
        <f t="shared" si="30"/>
        <v>0.1135</v>
      </c>
      <c r="S55" s="100">
        <v>0</v>
      </c>
      <c r="T55" s="67">
        <f t="shared" si="31"/>
        <v>0.1681</v>
      </c>
      <c r="U55" s="95">
        <v>0</v>
      </c>
      <c r="V55" s="88">
        <f t="shared" si="32"/>
        <v>6.08E-2</v>
      </c>
      <c r="W55" s="75">
        <f t="shared" ca="1" si="33"/>
        <v>0.24187999999999998</v>
      </c>
      <c r="X55" s="109">
        <f>(55556*(138.73/127.19))/(100000000*(138.73/74.58))</f>
        <v>3.2576196870823178E-4</v>
      </c>
      <c r="Y55" s="88">
        <f t="shared" si="34"/>
        <v>1</v>
      </c>
      <c r="Z55" s="113">
        <f t="shared" si="35"/>
        <v>0.3</v>
      </c>
      <c r="AA55" s="78">
        <f t="shared" ca="1" si="36"/>
        <v>0.79657999999999995</v>
      </c>
      <c r="AB55" s="118" t="str">
        <f t="shared" ca="1" si="37"/>
        <v>Evaluar nuevamente en un año</v>
      </c>
      <c r="AC55" s="38"/>
      <c r="AD55" s="38"/>
      <c r="AE55" s="38"/>
      <c r="AF55" s="38"/>
      <c r="AG55" s="38"/>
      <c r="AH55" s="38"/>
      <c r="AI55" s="38"/>
      <c r="AJ55" s="38"/>
    </row>
    <row r="56" spans="1:36" ht="15" x14ac:dyDescent="0.25">
      <c r="A56" s="49" t="s">
        <v>31</v>
      </c>
      <c r="B56" s="56" t="s">
        <v>40</v>
      </c>
      <c r="C56" s="59">
        <f>AVERAGE(3,3,3,3,3,3,3,3,3,3,3)</f>
        <v>3</v>
      </c>
      <c r="D56" s="50" t="str">
        <f t="shared" si="21"/>
        <v>Alta</v>
      </c>
      <c r="E56" s="60">
        <f t="shared" si="22"/>
        <v>0.54900000000000004</v>
      </c>
      <c r="F56" s="66">
        <f>AVERAGE(3,3,3,3,3,3,3,2,3,3,3)</f>
        <v>2.9090909090909092</v>
      </c>
      <c r="G56" s="50" t="str">
        <f t="shared" si="23"/>
        <v>Alta</v>
      </c>
      <c r="H56" s="67">
        <f t="shared" si="24"/>
        <v>0.2402</v>
      </c>
      <c r="I56" s="71">
        <f>AVERAGE(3,2,3,2,3,3,2,3,3,3,2)</f>
        <v>2.6363636363636362</v>
      </c>
      <c r="J56" s="50" t="str">
        <f t="shared" si="25"/>
        <v>Alta</v>
      </c>
      <c r="K56" s="67">
        <f t="shared" si="26"/>
        <v>0.20979999999999999</v>
      </c>
      <c r="L56" s="75">
        <f t="shared" si="27"/>
        <v>0.29969999999999997</v>
      </c>
      <c r="M56" s="83">
        <f ca="1">10/(YEAR(TODAY()) - YEAR("24/7/2008"))</f>
        <v>0.7142857142857143</v>
      </c>
      <c r="N56" s="67">
        <f t="shared" ca="1" si="28"/>
        <v>5.4699999999999999E-2</v>
      </c>
      <c r="O56" s="89">
        <f>3/2</f>
        <v>1.5</v>
      </c>
      <c r="P56" s="88">
        <f t="shared" si="29"/>
        <v>0.2349</v>
      </c>
      <c r="Q56" s="96">
        <v>0</v>
      </c>
      <c r="R56" s="88">
        <f t="shared" si="30"/>
        <v>0.1135</v>
      </c>
      <c r="S56" s="100">
        <f>1.5/720</f>
        <v>2.0833333333333333E-3</v>
      </c>
      <c r="T56" s="67">
        <f t="shared" si="31"/>
        <v>0.1681</v>
      </c>
      <c r="U56" s="95">
        <v>0</v>
      </c>
      <c r="V56" s="88">
        <f t="shared" si="32"/>
        <v>6.08E-2</v>
      </c>
      <c r="W56" s="75">
        <f t="shared" ca="1" si="33"/>
        <v>0.25279999999999997</v>
      </c>
      <c r="X56" s="108">
        <f>(37137*(138.73/127.19))/21182000</f>
        <v>1.9123054946935951E-3</v>
      </c>
      <c r="Y56" s="88">
        <f t="shared" si="34"/>
        <v>1</v>
      </c>
      <c r="Z56" s="113">
        <f t="shared" si="35"/>
        <v>0.3</v>
      </c>
      <c r="AA56" s="78">
        <f t="shared" ca="1" si="36"/>
        <v>0.85249999999999992</v>
      </c>
      <c r="AB56" s="118" t="str">
        <f t="shared" ca="1" si="37"/>
        <v>Evaluar nuevamente en dos años</v>
      </c>
      <c r="AC56" s="38"/>
      <c r="AD56" s="38"/>
      <c r="AE56" s="38"/>
      <c r="AF56" s="38"/>
      <c r="AG56" s="38"/>
      <c r="AH56" s="38"/>
      <c r="AI56" s="38"/>
      <c r="AJ56" s="38"/>
    </row>
    <row r="57" spans="1:36" ht="15" x14ac:dyDescent="0.25">
      <c r="A57" s="49" t="s">
        <v>31</v>
      </c>
      <c r="B57" s="56" t="s">
        <v>39</v>
      </c>
      <c r="C57" s="59">
        <f>AVERAGE(3,3,3,3,3,3,3,3,3,3,3)</f>
        <v>3</v>
      </c>
      <c r="D57" s="50" t="str">
        <f t="shared" si="21"/>
        <v>Alta</v>
      </c>
      <c r="E57" s="60">
        <f t="shared" si="22"/>
        <v>0.54900000000000004</v>
      </c>
      <c r="F57" s="66">
        <f>AVERAGE(3,3,3,3,3,3,3,2,3,3,3)</f>
        <v>2.9090909090909092</v>
      </c>
      <c r="G57" s="50" t="str">
        <f t="shared" si="23"/>
        <v>Alta</v>
      </c>
      <c r="H57" s="67">
        <f t="shared" si="24"/>
        <v>0.2402</v>
      </c>
      <c r="I57" s="71">
        <f>AVERAGE(3,2,3,2,3,3,2,3,3,3,2)</f>
        <v>2.6363636363636362</v>
      </c>
      <c r="J57" s="50" t="str">
        <f t="shared" si="25"/>
        <v>Alta</v>
      </c>
      <c r="K57" s="67">
        <f t="shared" si="26"/>
        <v>0.20979999999999999</v>
      </c>
      <c r="L57" s="75">
        <f t="shared" si="27"/>
        <v>0.29969999999999997</v>
      </c>
      <c r="M57" s="83">
        <f ca="1">10/(YEAR(TODAY()) - YEAR("1/7/2008"))</f>
        <v>0.7142857142857143</v>
      </c>
      <c r="N57" s="67">
        <f t="shared" ca="1" si="28"/>
        <v>5.4699999999999999E-2</v>
      </c>
      <c r="O57" s="89">
        <f>2/1</f>
        <v>2</v>
      </c>
      <c r="P57" s="88">
        <f t="shared" si="29"/>
        <v>0.2349</v>
      </c>
      <c r="Q57" s="96">
        <v>0</v>
      </c>
      <c r="R57" s="88">
        <f t="shared" si="30"/>
        <v>0.1135</v>
      </c>
      <c r="S57" s="100">
        <f>((3*24)+2)/720</f>
        <v>0.10277777777777777</v>
      </c>
      <c r="T57" s="67">
        <f t="shared" si="31"/>
        <v>0.1681</v>
      </c>
      <c r="U57" s="95">
        <v>0</v>
      </c>
      <c r="V57" s="88">
        <f t="shared" si="32"/>
        <v>6.08E-2</v>
      </c>
      <c r="W57" s="75">
        <f t="shared" ca="1" si="33"/>
        <v>0.25279999999999997</v>
      </c>
      <c r="X57" s="108">
        <f>((1387037+1350000)*(138.73/127.19))/21182000</f>
        <v>0.14093897983896583</v>
      </c>
      <c r="Y57" s="88">
        <f t="shared" si="34"/>
        <v>1</v>
      </c>
      <c r="Z57" s="113">
        <f t="shared" si="35"/>
        <v>0.3</v>
      </c>
      <c r="AA57" s="78">
        <f t="shared" ca="1" si="36"/>
        <v>0.85249999999999992</v>
      </c>
      <c r="AB57" s="118" t="str">
        <f t="shared" ca="1" si="37"/>
        <v>Evaluar nuevamente en dos años</v>
      </c>
      <c r="AC57" s="38"/>
      <c r="AD57" s="38"/>
      <c r="AE57" s="38"/>
      <c r="AF57" s="38"/>
      <c r="AG57" s="38"/>
      <c r="AH57" s="38"/>
      <c r="AI57" s="38"/>
      <c r="AJ57" s="38"/>
    </row>
    <row r="58" spans="1:36" ht="15" x14ac:dyDescent="0.25">
      <c r="A58" s="49" t="s">
        <v>31</v>
      </c>
      <c r="B58" s="56" t="s">
        <v>38</v>
      </c>
      <c r="C58" s="59">
        <f>AVERAGE(3,3,2,3,3,3,3,3,3,3,3)</f>
        <v>2.9090909090909092</v>
      </c>
      <c r="D58" s="50" t="str">
        <f t="shared" si="21"/>
        <v>Alta</v>
      </c>
      <c r="E58" s="60">
        <f t="shared" si="22"/>
        <v>0.54900000000000004</v>
      </c>
      <c r="F58" s="66">
        <f>AVERAGE(3,3,2,3,3,3,3,3,3,3,3)</f>
        <v>2.9090909090909092</v>
      </c>
      <c r="G58" s="50" t="str">
        <f t="shared" si="23"/>
        <v>Alta</v>
      </c>
      <c r="H58" s="67">
        <f t="shared" si="24"/>
        <v>0.2402</v>
      </c>
      <c r="I58" s="71">
        <f>AVERAGE(3,3,3,3,3,2,3,2,3,3,2)</f>
        <v>2.7272727272727271</v>
      </c>
      <c r="J58" s="50" t="str">
        <f t="shared" si="25"/>
        <v>Alta</v>
      </c>
      <c r="K58" s="67">
        <f t="shared" si="26"/>
        <v>0.20979999999999999</v>
      </c>
      <c r="L58" s="75">
        <f t="shared" si="27"/>
        <v>0.29969999999999997</v>
      </c>
      <c r="M58" s="83">
        <f ca="1">8/(YEAR(TODAY()) - YEAR("15/9/2006"))</f>
        <v>0.5</v>
      </c>
      <c r="N58" s="67">
        <f t="shared" ca="1" si="28"/>
        <v>2.7400000000000001E-2</v>
      </c>
      <c r="O58" s="89">
        <f>2/2</f>
        <v>1</v>
      </c>
      <c r="P58" s="88">
        <f t="shared" si="29"/>
        <v>0.15659999999999999</v>
      </c>
      <c r="Q58" s="96">
        <v>0</v>
      </c>
      <c r="R58" s="88">
        <f t="shared" si="30"/>
        <v>0.1135</v>
      </c>
      <c r="S58" s="100">
        <f>((10*24)+21)/720</f>
        <v>0.36249999999999999</v>
      </c>
      <c r="T58" s="67">
        <f t="shared" si="31"/>
        <v>0.1681</v>
      </c>
      <c r="U58" s="95">
        <v>0</v>
      </c>
      <c r="V58" s="88">
        <f t="shared" si="32"/>
        <v>6.08E-2</v>
      </c>
      <c r="W58" s="75">
        <f t="shared" ca="1" si="33"/>
        <v>0.21056</v>
      </c>
      <c r="X58" s="108">
        <f>(18519*(138.73/127.19))/35700000</f>
        <v>5.6580493947716679E-4</v>
      </c>
      <c r="Y58" s="88">
        <f t="shared" si="34"/>
        <v>1</v>
      </c>
      <c r="Z58" s="113">
        <f t="shared" si="35"/>
        <v>0.3</v>
      </c>
      <c r="AA58" s="78">
        <f t="shared" ca="1" si="36"/>
        <v>0.81025999999999998</v>
      </c>
      <c r="AB58" s="118" t="str">
        <f t="shared" ca="1" si="37"/>
        <v>Evaluar nuevamente en dos años</v>
      </c>
      <c r="AC58" s="38"/>
      <c r="AD58" s="38"/>
      <c r="AE58" s="38"/>
      <c r="AF58" s="38"/>
      <c r="AG58" s="38"/>
      <c r="AH58" s="38"/>
      <c r="AI58" s="38"/>
      <c r="AJ58" s="38"/>
    </row>
    <row r="59" spans="1:36" ht="15" x14ac:dyDescent="0.25">
      <c r="A59" s="49" t="s">
        <v>31</v>
      </c>
      <c r="B59" s="56" t="s">
        <v>37</v>
      </c>
      <c r="C59" s="59">
        <f>AVERAGE(3,3,2,3,3,3,3,3,3,3,3)</f>
        <v>2.9090909090909092</v>
      </c>
      <c r="D59" s="50" t="str">
        <f t="shared" si="21"/>
        <v>Alta</v>
      </c>
      <c r="E59" s="60">
        <f t="shared" si="22"/>
        <v>0.54900000000000004</v>
      </c>
      <c r="F59" s="66">
        <f>AVERAGE(3,3,2,3,3,3,3,3,3,3,3)</f>
        <v>2.9090909090909092</v>
      </c>
      <c r="G59" s="50" t="str">
        <f t="shared" si="23"/>
        <v>Alta</v>
      </c>
      <c r="H59" s="67">
        <f t="shared" si="24"/>
        <v>0.2402</v>
      </c>
      <c r="I59" s="71">
        <f>AVERAGE(3,3,3,3,3,2,3,2,3,3,2)</f>
        <v>2.7272727272727271</v>
      </c>
      <c r="J59" s="50" t="str">
        <f t="shared" si="25"/>
        <v>Alta</v>
      </c>
      <c r="K59" s="67">
        <f t="shared" si="26"/>
        <v>0.20979999999999999</v>
      </c>
      <c r="L59" s="75">
        <f t="shared" si="27"/>
        <v>0.29969999999999997</v>
      </c>
      <c r="M59" s="83">
        <f ca="1">8/(YEAR(TODAY())- YEAR("1/8/2007"))</f>
        <v>0.53333333333333333</v>
      </c>
      <c r="N59" s="67">
        <f t="shared" ca="1" si="28"/>
        <v>5.4699999999999999E-2</v>
      </c>
      <c r="O59" s="89">
        <f>0/1</f>
        <v>0</v>
      </c>
      <c r="P59" s="88">
        <f t="shared" si="29"/>
        <v>7.8299999999999995E-2</v>
      </c>
      <c r="Q59" s="96">
        <v>0</v>
      </c>
      <c r="R59" s="88">
        <f t="shared" si="30"/>
        <v>0.1135</v>
      </c>
      <c r="S59" s="100">
        <f>2/720</f>
        <v>2.7777777777777779E-3</v>
      </c>
      <c r="T59" s="67">
        <f t="shared" si="31"/>
        <v>0.1681</v>
      </c>
      <c r="U59" s="95">
        <v>0</v>
      </c>
      <c r="V59" s="88">
        <f t="shared" si="32"/>
        <v>6.08E-2</v>
      </c>
      <c r="W59" s="75">
        <f t="shared" ca="1" si="33"/>
        <v>0.19016</v>
      </c>
      <c r="X59" s="108">
        <f>0/35700000</f>
        <v>0</v>
      </c>
      <c r="Y59" s="88">
        <f t="shared" si="34"/>
        <v>1</v>
      </c>
      <c r="Z59" s="113">
        <f t="shared" si="35"/>
        <v>0.3</v>
      </c>
      <c r="AA59" s="78">
        <f t="shared" ca="1" si="36"/>
        <v>0.78986000000000001</v>
      </c>
      <c r="AB59" s="118" t="str">
        <f t="shared" ca="1" si="37"/>
        <v>Evaluar nuevamente en un año</v>
      </c>
      <c r="AC59" s="38"/>
      <c r="AD59" s="38"/>
      <c r="AE59" s="38"/>
      <c r="AF59" s="38"/>
      <c r="AG59" s="38"/>
      <c r="AH59" s="38"/>
      <c r="AI59" s="38"/>
      <c r="AJ59" s="38"/>
    </row>
    <row r="60" spans="1:36" ht="15" x14ac:dyDescent="0.25">
      <c r="A60" s="49" t="s">
        <v>31</v>
      </c>
      <c r="B60" s="56" t="s">
        <v>36</v>
      </c>
      <c r="C60" s="59">
        <f>AVERAGE(3,3,3,3,3,3,3,1,3,3,3)</f>
        <v>2.8181818181818183</v>
      </c>
      <c r="D60" s="50" t="str">
        <f t="shared" si="21"/>
        <v>Alta</v>
      </c>
      <c r="E60" s="60">
        <f t="shared" si="22"/>
        <v>0.54900000000000004</v>
      </c>
      <c r="F60" s="66">
        <f>AVERAGE(3,3,3,3,3,3,3,1,3,1,3)</f>
        <v>2.6363636363636362</v>
      </c>
      <c r="G60" s="50" t="str">
        <f t="shared" si="23"/>
        <v>Alta</v>
      </c>
      <c r="H60" s="67">
        <f t="shared" si="24"/>
        <v>0.2402</v>
      </c>
      <c r="I60" s="71">
        <f>AVERAGE(2,3,2,2,2,2,3,1,1,2)</f>
        <v>2</v>
      </c>
      <c r="J60" s="50" t="str">
        <f t="shared" si="25"/>
        <v>Mediana</v>
      </c>
      <c r="K60" s="67">
        <f t="shared" si="26"/>
        <v>0.1399</v>
      </c>
      <c r="L60" s="75">
        <f t="shared" si="27"/>
        <v>0.27872999999999998</v>
      </c>
      <c r="M60" s="83">
        <f ca="1">5/(YEAR(TODAY()) - YEAR("5/1/2006"))</f>
        <v>0.3125</v>
      </c>
      <c r="N60" s="67">
        <f t="shared" ca="1" si="28"/>
        <v>2.7400000000000001E-2</v>
      </c>
      <c r="O60" s="89">
        <f>3/2</f>
        <v>1.5</v>
      </c>
      <c r="P60" s="88">
        <f t="shared" si="29"/>
        <v>0.2349</v>
      </c>
      <c r="Q60" s="96">
        <v>5</v>
      </c>
      <c r="R60" s="88">
        <f t="shared" si="30"/>
        <v>0.4541</v>
      </c>
      <c r="S60" s="100">
        <f>3.5/720</f>
        <v>4.8611111111111112E-3</v>
      </c>
      <c r="T60" s="67">
        <f t="shared" si="31"/>
        <v>0.1681</v>
      </c>
      <c r="U60" s="95">
        <v>0</v>
      </c>
      <c r="V60" s="88">
        <f t="shared" si="32"/>
        <v>6.08E-2</v>
      </c>
      <c r="W60" s="75">
        <f t="shared" ca="1" si="33"/>
        <v>0.37812000000000001</v>
      </c>
      <c r="X60" s="108">
        <f>(1033922*(138.73/127.19))/18000000</f>
        <v>6.2651675559748751E-2</v>
      </c>
      <c r="Y60" s="88">
        <f t="shared" si="34"/>
        <v>1</v>
      </c>
      <c r="Z60" s="113">
        <f t="shared" si="35"/>
        <v>0.3</v>
      </c>
      <c r="AA60" s="78">
        <f t="shared" ca="1" si="36"/>
        <v>0.95684999999999998</v>
      </c>
      <c r="AB60" s="118" t="str">
        <f t="shared" ca="1" si="37"/>
        <v>Evaluar nuevamente en dos años</v>
      </c>
      <c r="AC60" s="38"/>
      <c r="AD60" s="38"/>
      <c r="AE60" s="38"/>
      <c r="AF60" s="38"/>
      <c r="AG60" s="38"/>
      <c r="AH60" s="38"/>
      <c r="AI60" s="38"/>
      <c r="AJ60" s="38"/>
    </row>
    <row r="61" spans="1:36" ht="15" x14ac:dyDescent="0.25">
      <c r="A61" s="49" t="s">
        <v>31</v>
      </c>
      <c r="B61" s="56" t="s">
        <v>35</v>
      </c>
      <c r="C61" s="59">
        <f>AVERAGE(3,3,3,3,3,3,3,3,3,3,3)</f>
        <v>3</v>
      </c>
      <c r="D61" s="50" t="str">
        <f t="shared" si="21"/>
        <v>Alta</v>
      </c>
      <c r="E61" s="60">
        <f t="shared" si="22"/>
        <v>0.54900000000000004</v>
      </c>
      <c r="F61" s="66">
        <f>AVERAGE(3,3,3,3,3,3,3,3,3,3,3)</f>
        <v>3</v>
      </c>
      <c r="G61" s="50" t="str">
        <f t="shared" si="23"/>
        <v>Alta</v>
      </c>
      <c r="H61" s="67">
        <f t="shared" si="24"/>
        <v>0.2402</v>
      </c>
      <c r="I61" s="71">
        <f>AVERAGE(3,3,3,3,3,3,3,2,2,3,2)</f>
        <v>2.7272727272727271</v>
      </c>
      <c r="J61" s="50" t="str">
        <f t="shared" si="25"/>
        <v>Alta</v>
      </c>
      <c r="K61" s="67">
        <f t="shared" si="26"/>
        <v>0.20979999999999999</v>
      </c>
      <c r="L61" s="75">
        <f t="shared" si="27"/>
        <v>0.29969999999999997</v>
      </c>
      <c r="M61" s="83">
        <f ca="1">10/(YEAR(TODAY()) - YEAR("22/7/2015"))</f>
        <v>1.4285714285714286</v>
      </c>
      <c r="N61" s="67">
        <f t="shared" ca="1" si="28"/>
        <v>8.2100000000000006E-2</v>
      </c>
      <c r="O61" s="89">
        <f>2/3</f>
        <v>0.66666666666666663</v>
      </c>
      <c r="P61" s="88">
        <f t="shared" si="29"/>
        <v>0.15659999999999999</v>
      </c>
      <c r="Q61" s="96">
        <v>7</v>
      </c>
      <c r="R61" s="88">
        <f t="shared" si="30"/>
        <v>0.4541</v>
      </c>
      <c r="S61" s="100">
        <v>0</v>
      </c>
      <c r="T61" s="67">
        <f t="shared" si="31"/>
        <v>0.1681</v>
      </c>
      <c r="U61" s="95">
        <v>0</v>
      </c>
      <c r="V61" s="88">
        <f t="shared" si="32"/>
        <v>6.08E-2</v>
      </c>
      <c r="W61" s="75">
        <f t="shared" ca="1" si="33"/>
        <v>0.36868000000000001</v>
      </c>
      <c r="X61" s="108">
        <f>(27778*(138.73/127.19))/64260000</f>
        <v>4.7149562937753831E-4</v>
      </c>
      <c r="Y61" s="88">
        <f t="shared" si="34"/>
        <v>1</v>
      </c>
      <c r="Z61" s="113">
        <f t="shared" si="35"/>
        <v>0.3</v>
      </c>
      <c r="AA61" s="78">
        <f t="shared" ca="1" si="36"/>
        <v>0.96837999999999991</v>
      </c>
      <c r="AB61" s="118" t="str">
        <f t="shared" ca="1" si="37"/>
        <v>Evaluar nuevamente en dos años</v>
      </c>
      <c r="AC61" s="38"/>
      <c r="AD61" s="38"/>
      <c r="AE61" s="38"/>
      <c r="AF61" s="38"/>
      <c r="AG61" s="38"/>
      <c r="AH61" s="38"/>
      <c r="AI61" s="38"/>
      <c r="AJ61" s="38"/>
    </row>
    <row r="62" spans="1:36" ht="15" x14ac:dyDescent="0.25">
      <c r="A62" s="49" t="s">
        <v>31</v>
      </c>
      <c r="B62" s="56" t="s">
        <v>34</v>
      </c>
      <c r="C62" s="59">
        <f>AVERAGE(3,3,3,3,3,3,3,3,3,3,3)</f>
        <v>3</v>
      </c>
      <c r="D62" s="50" t="str">
        <f t="shared" si="21"/>
        <v>Alta</v>
      </c>
      <c r="E62" s="60">
        <f t="shared" si="22"/>
        <v>0.54900000000000004</v>
      </c>
      <c r="F62" s="66">
        <f>AVERAGE(3,3,3,3,3,3,3,3,3,3,3)</f>
        <v>3</v>
      </c>
      <c r="G62" s="50" t="str">
        <f t="shared" si="23"/>
        <v>Alta</v>
      </c>
      <c r="H62" s="67">
        <f t="shared" si="24"/>
        <v>0.2402</v>
      </c>
      <c r="I62" s="71">
        <f>AVERAGE(3,3,3,3,3,3,3,2,2,3,2)</f>
        <v>2.7272727272727271</v>
      </c>
      <c r="J62" s="50" t="str">
        <f t="shared" si="25"/>
        <v>Alta</v>
      </c>
      <c r="K62" s="67">
        <f t="shared" si="26"/>
        <v>0.20979999999999999</v>
      </c>
      <c r="L62" s="75">
        <f t="shared" si="27"/>
        <v>0.29969999999999997</v>
      </c>
      <c r="M62" s="83">
        <f ca="1">10/(YEAR(TODAY()) - YEAR("6/7/2012"))</f>
        <v>1</v>
      </c>
      <c r="N62" s="67">
        <f t="shared" ca="1" si="28"/>
        <v>5.4699999999999999E-2</v>
      </c>
      <c r="O62" s="89">
        <f>2/4</f>
        <v>0.5</v>
      </c>
      <c r="P62" s="88">
        <f t="shared" si="29"/>
        <v>7.8299999999999995E-2</v>
      </c>
      <c r="Q62" s="96">
        <v>7</v>
      </c>
      <c r="R62" s="88">
        <f t="shared" si="30"/>
        <v>0.4541</v>
      </c>
      <c r="S62" s="100">
        <v>0</v>
      </c>
      <c r="T62" s="67">
        <f t="shared" si="31"/>
        <v>0.1681</v>
      </c>
      <c r="U62" s="95">
        <v>0</v>
      </c>
      <c r="V62" s="88">
        <f t="shared" si="32"/>
        <v>6.08E-2</v>
      </c>
      <c r="W62" s="75">
        <f t="shared" ca="1" si="33"/>
        <v>0.32640000000000002</v>
      </c>
      <c r="X62" s="109">
        <f>(27778*(138.73/127.19))/(16984095*(138.73/90.73))</f>
        <v>1.16669277054184E-3</v>
      </c>
      <c r="Y62" s="88">
        <f t="shared" si="34"/>
        <v>1</v>
      </c>
      <c r="Z62" s="113">
        <f t="shared" si="35"/>
        <v>0.3</v>
      </c>
      <c r="AA62" s="78">
        <f t="shared" ca="1" si="36"/>
        <v>0.92610000000000003</v>
      </c>
      <c r="AB62" s="118" t="str">
        <f t="shared" ca="1" si="37"/>
        <v>Evaluar nuevamente en dos años</v>
      </c>
      <c r="AC62" s="38"/>
      <c r="AD62" s="38"/>
      <c r="AE62" s="38"/>
      <c r="AF62" s="38"/>
      <c r="AG62" s="38"/>
      <c r="AH62" s="38"/>
      <c r="AI62" s="38"/>
      <c r="AJ62" s="38"/>
    </row>
    <row r="63" spans="1:36" ht="15" x14ac:dyDescent="0.25">
      <c r="A63" s="49" t="s">
        <v>31</v>
      </c>
      <c r="B63" s="56" t="s">
        <v>33</v>
      </c>
      <c r="C63" s="59">
        <f>AVERAGE(3,3,3,3,3,3,2,3,3,3,3)</f>
        <v>2.9090909090909092</v>
      </c>
      <c r="D63" s="50" t="str">
        <f t="shared" si="21"/>
        <v>Alta</v>
      </c>
      <c r="E63" s="60">
        <f t="shared" si="22"/>
        <v>0.54900000000000004</v>
      </c>
      <c r="F63" s="66">
        <f>AVERAGE(3,3,3,3,3,3,2,3,3,3,3)</f>
        <v>2.9090909090909092</v>
      </c>
      <c r="G63" s="50" t="str">
        <f t="shared" si="23"/>
        <v>Alta</v>
      </c>
      <c r="H63" s="67">
        <f t="shared" si="24"/>
        <v>0.2402</v>
      </c>
      <c r="I63" s="71">
        <f>AVERAGE(3,2,3,2,3,3,2,3,3,3,3)</f>
        <v>2.7272727272727271</v>
      </c>
      <c r="J63" s="50" t="str">
        <f t="shared" si="25"/>
        <v>Alta</v>
      </c>
      <c r="K63" s="67">
        <f t="shared" si="26"/>
        <v>0.20979999999999999</v>
      </c>
      <c r="L63" s="75">
        <f t="shared" si="27"/>
        <v>0.29969999999999997</v>
      </c>
      <c r="M63" s="83">
        <f ca="1">10/(YEAR(TODAY()) - YEAR("9/8/2013"))</f>
        <v>1.1111111111111112</v>
      </c>
      <c r="N63" s="67">
        <f t="shared" ca="1" si="28"/>
        <v>8.2100000000000006E-2</v>
      </c>
      <c r="O63" s="89">
        <f>5</f>
        <v>5</v>
      </c>
      <c r="P63" s="88">
        <f t="shared" si="29"/>
        <v>0.2349</v>
      </c>
      <c r="Q63" s="96">
        <v>5</v>
      </c>
      <c r="R63" s="88">
        <f t="shared" si="30"/>
        <v>0.4541</v>
      </c>
      <c r="S63" s="100">
        <v>0</v>
      </c>
      <c r="T63" s="67">
        <f t="shared" si="31"/>
        <v>0.1681</v>
      </c>
      <c r="U63" s="95">
        <v>0</v>
      </c>
      <c r="V63" s="88">
        <f t="shared" si="32"/>
        <v>6.08E-2</v>
      </c>
      <c r="W63" s="75">
        <f t="shared" ca="1" si="33"/>
        <v>0.4</v>
      </c>
      <c r="X63" s="108">
        <f>(9259*(138.73/127.19))/18445000</f>
        <v>5.4752360013368175E-4</v>
      </c>
      <c r="Y63" s="88">
        <f t="shared" si="34"/>
        <v>1</v>
      </c>
      <c r="Z63" s="113">
        <f t="shared" si="35"/>
        <v>0.3</v>
      </c>
      <c r="AA63" s="78">
        <f t="shared" ca="1" si="36"/>
        <v>0.99969999999999992</v>
      </c>
      <c r="AB63" s="118" t="str">
        <f t="shared" ca="1" si="37"/>
        <v>Evaluar nuevamente en dos años</v>
      </c>
      <c r="AC63" s="38"/>
      <c r="AD63" s="38"/>
      <c r="AE63" s="38"/>
      <c r="AF63" s="38"/>
      <c r="AG63" s="38"/>
      <c r="AH63" s="38"/>
      <c r="AI63" s="38"/>
      <c r="AJ63" s="38"/>
    </row>
    <row r="64" spans="1:36" ht="15" x14ac:dyDescent="0.25">
      <c r="A64" s="49" t="s">
        <v>31</v>
      </c>
      <c r="B64" s="56" t="s">
        <v>32</v>
      </c>
      <c r="C64" s="59">
        <f>AVERAGE(3,3,3,3,3,3,2,3,3,3,3)</f>
        <v>2.9090909090909092</v>
      </c>
      <c r="D64" s="50" t="str">
        <f t="shared" si="21"/>
        <v>Alta</v>
      </c>
      <c r="E64" s="60">
        <f t="shared" si="22"/>
        <v>0.54900000000000004</v>
      </c>
      <c r="F64" s="66">
        <f>AVERAGE(3,3,3,3,3,3,2,3,3,3,3)</f>
        <v>2.9090909090909092</v>
      </c>
      <c r="G64" s="50" t="str">
        <f t="shared" si="23"/>
        <v>Alta</v>
      </c>
      <c r="H64" s="67">
        <f t="shared" si="24"/>
        <v>0.2402</v>
      </c>
      <c r="I64" s="71">
        <f>AVERAGE(3,2,3,2,3,3,2,3,3,3,3)</f>
        <v>2.7272727272727271</v>
      </c>
      <c r="J64" s="50" t="str">
        <f t="shared" si="25"/>
        <v>Alta</v>
      </c>
      <c r="K64" s="67">
        <f t="shared" si="26"/>
        <v>0.20979999999999999</v>
      </c>
      <c r="L64" s="75">
        <f t="shared" si="27"/>
        <v>0.29969999999999997</v>
      </c>
      <c r="M64" s="83">
        <f ca="1">10/(YEAR(TODAY()) - YEAR("9/8/2013"))</f>
        <v>1.1111111111111112</v>
      </c>
      <c r="N64" s="67">
        <f t="shared" ca="1" si="28"/>
        <v>8.2100000000000006E-2</v>
      </c>
      <c r="O64" s="89">
        <f>2/1</f>
        <v>2</v>
      </c>
      <c r="P64" s="88">
        <f t="shared" si="29"/>
        <v>0.2349</v>
      </c>
      <c r="Q64" s="96">
        <v>5</v>
      </c>
      <c r="R64" s="88">
        <f t="shared" si="30"/>
        <v>0.4541</v>
      </c>
      <c r="S64" s="100">
        <v>0</v>
      </c>
      <c r="T64" s="67">
        <f t="shared" si="31"/>
        <v>0.1681</v>
      </c>
      <c r="U64" s="95">
        <v>0</v>
      </c>
      <c r="V64" s="88">
        <f t="shared" si="32"/>
        <v>6.08E-2</v>
      </c>
      <c r="W64" s="75">
        <f t="shared" ca="1" si="33"/>
        <v>0.4</v>
      </c>
      <c r="X64" s="108">
        <f>((319327+365623)*(138.73/127.19))/18445000</f>
        <v>4.0503973421704864E-2</v>
      </c>
      <c r="Y64" s="88">
        <f t="shared" si="34"/>
        <v>1</v>
      </c>
      <c r="Z64" s="113">
        <f t="shared" si="35"/>
        <v>0.3</v>
      </c>
      <c r="AA64" s="78">
        <f t="shared" ca="1" si="36"/>
        <v>0.99969999999999992</v>
      </c>
      <c r="AB64" s="118" t="str">
        <f t="shared" ca="1" si="37"/>
        <v>Evaluar nuevamente en dos años</v>
      </c>
      <c r="AC64" s="38"/>
      <c r="AD64" s="38"/>
      <c r="AE64" s="38"/>
      <c r="AF64" s="38"/>
      <c r="AG64" s="38"/>
      <c r="AH64" s="38"/>
      <c r="AI64" s="38"/>
      <c r="AJ64" s="38"/>
    </row>
    <row r="65" spans="1:36" ht="15" x14ac:dyDescent="0.25">
      <c r="A65" s="49" t="s">
        <v>31</v>
      </c>
      <c r="B65" s="56" t="s">
        <v>30</v>
      </c>
      <c r="C65" s="59">
        <f>AVERAGE(3,3,3,3,3,3,2,3,3,3,3)</f>
        <v>2.9090909090909092</v>
      </c>
      <c r="D65" s="50" t="str">
        <f t="shared" si="21"/>
        <v>Alta</v>
      </c>
      <c r="E65" s="60">
        <f t="shared" si="22"/>
        <v>0.54900000000000004</v>
      </c>
      <c r="F65" s="66">
        <f>AVERAGE(3,3,3,3,3,3,2,3,3,3,3)</f>
        <v>2.9090909090909092</v>
      </c>
      <c r="G65" s="50" t="str">
        <f t="shared" si="23"/>
        <v>Alta</v>
      </c>
      <c r="H65" s="67">
        <f t="shared" si="24"/>
        <v>0.2402</v>
      </c>
      <c r="I65" s="71">
        <f>AVERAGE(3,2,3,2,3,3,2,3,3,3,3)</f>
        <v>2.7272727272727271</v>
      </c>
      <c r="J65" s="50" t="str">
        <f t="shared" si="25"/>
        <v>Alta</v>
      </c>
      <c r="K65" s="67">
        <f t="shared" si="26"/>
        <v>0.20979999999999999</v>
      </c>
      <c r="L65" s="75">
        <f t="shared" si="27"/>
        <v>0.29969999999999997</v>
      </c>
      <c r="M65" s="83">
        <f ca="1">10/(YEAR(TODAY()) - YEAR("9/8/2013"))</f>
        <v>1.1111111111111112</v>
      </c>
      <c r="N65" s="67">
        <f t="shared" ca="1" si="28"/>
        <v>8.2100000000000006E-2</v>
      </c>
      <c r="O65" s="89">
        <f>2/7</f>
        <v>0.2857142857142857</v>
      </c>
      <c r="P65" s="88">
        <f t="shared" si="29"/>
        <v>7.8299999999999995E-2</v>
      </c>
      <c r="Q65" s="96">
        <v>5</v>
      </c>
      <c r="R65" s="88">
        <f t="shared" si="30"/>
        <v>0.4541</v>
      </c>
      <c r="S65" s="100">
        <f>((36*24)+20)/720</f>
        <v>1.2277777777777779</v>
      </c>
      <c r="T65" s="67">
        <f t="shared" si="31"/>
        <v>0.11210000000000001</v>
      </c>
      <c r="U65" s="95">
        <v>0</v>
      </c>
      <c r="V65" s="88">
        <f t="shared" si="32"/>
        <v>6.08E-2</v>
      </c>
      <c r="W65" s="75">
        <f t="shared" ca="1" si="33"/>
        <v>0.31496000000000002</v>
      </c>
      <c r="X65" s="108">
        <f>((2616478+2690552)*(138.73/127.19))/18445000</f>
        <v>0.31382699769062028</v>
      </c>
      <c r="Y65" s="88">
        <f t="shared" si="34"/>
        <v>0.66659999999999997</v>
      </c>
      <c r="Z65" s="113">
        <f t="shared" si="35"/>
        <v>0.19997999999999999</v>
      </c>
      <c r="AA65" s="78">
        <f t="shared" ca="1" si="36"/>
        <v>0.81463999999999992</v>
      </c>
      <c r="AB65" s="118" t="str">
        <f t="shared" ca="1" si="37"/>
        <v>Evaluar nuevamente en dos años</v>
      </c>
      <c r="AC65" s="38"/>
      <c r="AD65" s="38"/>
      <c r="AE65" s="38"/>
      <c r="AF65" s="38"/>
      <c r="AG65" s="38"/>
      <c r="AH65" s="38"/>
      <c r="AI65" s="38"/>
      <c r="AJ65" s="38"/>
    </row>
    <row r="66" spans="1:36" ht="15" x14ac:dyDescent="0.25">
      <c r="A66" s="49" t="s">
        <v>27</v>
      </c>
      <c r="B66" s="56" t="s">
        <v>29</v>
      </c>
      <c r="C66" s="59">
        <f>AVERAGE(3,3,3,3,3,3,3,3,3)</f>
        <v>3</v>
      </c>
      <c r="D66" s="50" t="str">
        <f t="shared" si="21"/>
        <v>Alta</v>
      </c>
      <c r="E66" s="60">
        <f t="shared" si="22"/>
        <v>0.54900000000000004</v>
      </c>
      <c r="F66" s="66">
        <f>AVERAGE(3,3,3,3,3,2,3,3.3)</f>
        <v>2.9125000000000001</v>
      </c>
      <c r="G66" s="50" t="str">
        <f t="shared" si="23"/>
        <v>Alta</v>
      </c>
      <c r="H66" s="67">
        <f t="shared" si="24"/>
        <v>0.2402</v>
      </c>
      <c r="I66" s="71">
        <f>AVERAGE(3,3,3,3,3,3,3,3,3)</f>
        <v>3</v>
      </c>
      <c r="J66" s="50" t="str">
        <f t="shared" si="25"/>
        <v>Alta</v>
      </c>
      <c r="K66" s="67">
        <f t="shared" si="26"/>
        <v>0.20979999999999999</v>
      </c>
      <c r="L66" s="75">
        <f t="shared" si="27"/>
        <v>0.29969999999999997</v>
      </c>
      <c r="M66" s="83">
        <f ca="1">5/(YEAR(TODAY()) - YEAR("26/11/2012"))</f>
        <v>0.5</v>
      </c>
      <c r="N66" s="67">
        <f t="shared" ca="1" si="28"/>
        <v>2.7400000000000001E-2</v>
      </c>
      <c r="O66" s="89">
        <f>2/2</f>
        <v>1</v>
      </c>
      <c r="P66" s="88">
        <f t="shared" si="29"/>
        <v>0.15659999999999999</v>
      </c>
      <c r="Q66" s="96">
        <v>0</v>
      </c>
      <c r="R66" s="88">
        <f t="shared" si="30"/>
        <v>0.1135</v>
      </c>
      <c r="S66" s="100">
        <f>22/720</f>
        <v>3.0555555555555555E-2</v>
      </c>
      <c r="T66" s="67">
        <f t="shared" si="31"/>
        <v>0.1681</v>
      </c>
      <c r="U66" s="95">
        <v>0</v>
      </c>
      <c r="V66" s="88">
        <f t="shared" si="32"/>
        <v>6.08E-2</v>
      </c>
      <c r="W66" s="75">
        <f t="shared" ca="1" si="33"/>
        <v>0.21056</v>
      </c>
      <c r="X66" s="109">
        <f>(37030*(138.73/127.19))/(3487300*(138.73/90.73))</f>
        <v>7.5746460846899443E-3</v>
      </c>
      <c r="Y66" s="88">
        <f t="shared" si="34"/>
        <v>1</v>
      </c>
      <c r="Z66" s="113">
        <f t="shared" si="35"/>
        <v>0.3</v>
      </c>
      <c r="AA66" s="78">
        <f t="shared" ca="1" si="36"/>
        <v>0.81025999999999998</v>
      </c>
      <c r="AB66" s="118" t="str">
        <f t="shared" ca="1" si="37"/>
        <v>Evaluar nuevamente en dos años</v>
      </c>
      <c r="AC66" s="38"/>
      <c r="AD66" s="38"/>
      <c r="AE66" s="38"/>
      <c r="AF66" s="38"/>
      <c r="AG66" s="38"/>
      <c r="AH66" s="38"/>
      <c r="AI66" s="38"/>
      <c r="AJ66" s="38"/>
    </row>
    <row r="67" spans="1:36" ht="15" x14ac:dyDescent="0.25">
      <c r="A67" s="49" t="s">
        <v>27</v>
      </c>
      <c r="B67" s="56" t="s">
        <v>28</v>
      </c>
      <c r="C67" s="59">
        <f>AVERAGE(3,3,3,3,3,3,3,3,3)</f>
        <v>3</v>
      </c>
      <c r="D67" s="50" t="str">
        <f t="shared" ref="D67:D98" si="39">IF(C67&gt;=2.5,"Alta",IF(AND(C67&gt;=1.5,C67&lt;2.5),"Mediana",IF(AND(C67&gt;=0.5,C67&lt;1.5),"Baja",IF(C67&lt;0.5,"Ninguna"))))</f>
        <v>Alta</v>
      </c>
      <c r="E67" s="60">
        <f t="shared" ref="E67:E98" si="40">IF(D67="Alta",0.549,IF(D67="Mediana",0.3666,IF(D67="Baja",0.1833,IF(D67="Ninguna",0))))</f>
        <v>0.54900000000000004</v>
      </c>
      <c r="F67" s="66">
        <f>AVERAGE(3,3,3,3,3,2,3,3.3)</f>
        <v>2.9125000000000001</v>
      </c>
      <c r="G67" s="50" t="str">
        <f t="shared" ref="G67:G98" si="41">IF(F67&gt;=2.5,"Alta",IF(AND(F67&gt;=1.5,F67&lt;2.5),"Mediana",IF(AND(F67&gt;=0.5,F67&lt;1.5),"Baja",IF(F67&lt;0.5,"Ninguna"))))</f>
        <v>Alta</v>
      </c>
      <c r="H67" s="67">
        <f t="shared" ref="H67:H98" si="42">IF(G67="Alta",0.2402,IF(G67="Mediana",0.1601,IF(G67="Baja",0.0801,IF(G67="Ninguna",0))))</f>
        <v>0.2402</v>
      </c>
      <c r="I67" s="71">
        <f>AVERAGE(3,3,3,3,3,3,3,3,3)</f>
        <v>3</v>
      </c>
      <c r="J67" s="50" t="str">
        <f t="shared" ref="J67:J98" si="43">IF(I67&gt;=2.5,"Alta",IF(AND(I67&gt;=1.5,I67&lt;2.5),"Mediana",IF(AND(I67&gt;=0.5,I67&lt;1.5),"Baja",IF(I67&lt;0.5,"Ninguna"))))</f>
        <v>Alta</v>
      </c>
      <c r="K67" s="67">
        <f t="shared" ref="K67:K98" si="44">IF(J67="Alta",0.2098,IF(J67="Mediana",0.1399,IF(J67="Baja",0.0699,IF(J67="Ninguna",0))))</f>
        <v>0.20979999999999999</v>
      </c>
      <c r="L67" s="75">
        <f t="shared" ref="L67:L98" si="45">(E67+H67+K67)*0.3</f>
        <v>0.29969999999999997</v>
      </c>
      <c r="M67" s="83">
        <f ca="1">5/(YEAR(TODAY()) - YEAR("26/11/2012"))</f>
        <v>0.5</v>
      </c>
      <c r="N67" s="67">
        <f t="shared" ref="N67:N98" ca="1" si="46">IF(M67&gt;1,0.0821,IF(AND(M67&gt;0.5,M67&lt;=1),0.0547,IF(AND(M67&gt;0,M67&lt;=0.5),0.0274)))</f>
        <v>2.7400000000000001E-2</v>
      </c>
      <c r="O67" s="89">
        <f>2/2</f>
        <v>1</v>
      </c>
      <c r="P67" s="88">
        <f t="shared" ref="P67:P98" si="47">IF(O67&gt;1,0.2349,IF(AND(O67&gt;0.5,O67&lt;=1),0.1566,IF(AND(O67&gt;=0,O67&lt;=0.5),0.0783)))</f>
        <v>0.15659999999999999</v>
      </c>
      <c r="Q67" s="96">
        <v>0</v>
      </c>
      <c r="R67" s="88">
        <f t="shared" ref="R67:R98" si="48">IF(Q67&lt;1,0.1135,IF(AND(Q67&lt;2,Q67&gt;=1),0.2271,IF(AND(Q67&lt;5,Q67&gt;=2),0.3406,IF(Q67&gt;=5,0.4541))))</f>
        <v>0.1135</v>
      </c>
      <c r="S67" s="100">
        <f>5/720</f>
        <v>6.9444444444444441E-3</v>
      </c>
      <c r="T67" s="67">
        <f t="shared" ref="T67:T98" si="49">IF(S67&lt;=1,0.1681,IF(AND(S67&gt;1,S67&lt;=3),0.1121,IF(S67&gt;3,0.056)))</f>
        <v>0.1681</v>
      </c>
      <c r="U67" s="95">
        <v>0</v>
      </c>
      <c r="V67" s="88">
        <f t="shared" ref="V67:V98" si="50">IF(U67=0,0.0608,IF(U67=1,0.0405,IF(U67&gt;=2,0.0203)))</f>
        <v>6.08E-2</v>
      </c>
      <c r="W67" s="75">
        <f t="shared" ref="W67:W98" ca="1" si="51">(SUM(N67,P67,R67,T67,V67))*0.4</f>
        <v>0.21056</v>
      </c>
      <c r="X67" s="109">
        <f>(55556*(138.73/127.19))/(3487300*(138.73/90.73))</f>
        <v>1.1364219224440576E-2</v>
      </c>
      <c r="Y67" s="88">
        <f t="shared" ref="Y67:Y98" si="52">IF(X67&lt;0.25,1,IF(AND(X67&gt;=0.25,X67&lt;0.5),0.6666,IF(X67&gt;=0.5,0.3333)))</f>
        <v>1</v>
      </c>
      <c r="Z67" s="113">
        <f t="shared" ref="Z67:Z98" si="53">Y67*0.3</f>
        <v>0.3</v>
      </c>
      <c r="AA67" s="78">
        <f t="shared" ref="AA67:AA98" ca="1" si="54">(SUM(Z67,W67,L67))</f>
        <v>0.81025999999999998</v>
      </c>
      <c r="AB67" s="118" t="str">
        <f t="shared" ref="AB67:AB98" ca="1" si="55">IF(AA67&gt;=0.8,"Evaluar nuevamente en dos años",IF(AND(AA67&lt;0.8,AA67&gt;=0.6),"Evaluar nuevamente en un año",IF(AA67&lt;0.6,"Renovar inmediatamente")))</f>
        <v>Evaluar nuevamente en dos años</v>
      </c>
      <c r="AC67" s="38"/>
      <c r="AD67" s="38"/>
      <c r="AE67" s="38"/>
      <c r="AF67" s="38"/>
      <c r="AG67" s="38"/>
      <c r="AH67" s="38"/>
      <c r="AI67" s="38"/>
      <c r="AJ67" s="38"/>
    </row>
    <row r="68" spans="1:36" thickBot="1" x14ac:dyDescent="0.3">
      <c r="A68" s="49" t="s">
        <v>27</v>
      </c>
      <c r="B68" s="56" t="s">
        <v>26</v>
      </c>
      <c r="C68" s="61">
        <f>AVERAGE(3,3,3,3,3,3,3,3,3)</f>
        <v>3</v>
      </c>
      <c r="D68" s="62" t="str">
        <f t="shared" si="39"/>
        <v>Alta</v>
      </c>
      <c r="E68" s="63">
        <f t="shared" si="40"/>
        <v>0.54900000000000004</v>
      </c>
      <c r="F68" s="68">
        <f>AVERAGE(3,3,3,3,3,2,3,3.3)</f>
        <v>2.9125000000000001</v>
      </c>
      <c r="G68" s="62" t="str">
        <f t="shared" si="41"/>
        <v>Alta</v>
      </c>
      <c r="H68" s="69">
        <f t="shared" si="42"/>
        <v>0.2402</v>
      </c>
      <c r="I68" s="72">
        <f>AVERAGE(3,3,3,3,3,3,3,3,3)</f>
        <v>3</v>
      </c>
      <c r="J68" s="62" t="str">
        <f t="shared" si="43"/>
        <v>Alta</v>
      </c>
      <c r="K68" s="69">
        <f t="shared" si="44"/>
        <v>0.20979999999999999</v>
      </c>
      <c r="L68" s="76">
        <f t="shared" si="45"/>
        <v>0.29969999999999997</v>
      </c>
      <c r="M68" s="84">
        <f ca="1">5/(YEAR(TODAY()) - YEAR("7/5/2013"))</f>
        <v>0.55555555555555558</v>
      </c>
      <c r="N68" s="69">
        <f t="shared" ca="1" si="46"/>
        <v>5.4699999999999999E-2</v>
      </c>
      <c r="O68" s="92">
        <f>3/1</f>
        <v>3</v>
      </c>
      <c r="P68" s="93">
        <f t="shared" si="47"/>
        <v>0.2349</v>
      </c>
      <c r="Q68" s="97">
        <v>0</v>
      </c>
      <c r="R68" s="93">
        <f t="shared" si="48"/>
        <v>0.1135</v>
      </c>
      <c r="S68" s="101">
        <f>8/720</f>
        <v>1.1111111111111112E-2</v>
      </c>
      <c r="T68" s="69">
        <f t="shared" si="49"/>
        <v>0.1681</v>
      </c>
      <c r="U68" s="102">
        <v>0</v>
      </c>
      <c r="V68" s="93">
        <f t="shared" si="50"/>
        <v>6.08E-2</v>
      </c>
      <c r="W68" s="76">
        <f t="shared" ca="1" si="51"/>
        <v>0.25279999999999997</v>
      </c>
      <c r="X68" s="110">
        <f>(18519*(138.73/127.19))/(549432*(138.73/90.73))</f>
        <v>2.4043712442204258E-2</v>
      </c>
      <c r="Y68" s="93">
        <f t="shared" si="52"/>
        <v>1</v>
      </c>
      <c r="Z68" s="114">
        <f t="shared" si="53"/>
        <v>0.3</v>
      </c>
      <c r="AA68" s="119">
        <f t="shared" ca="1" si="54"/>
        <v>0.85249999999999992</v>
      </c>
      <c r="AB68" s="120" t="str">
        <f t="shared" ca="1" si="55"/>
        <v>Evaluar nuevamente en dos años</v>
      </c>
      <c r="AC68" s="38"/>
      <c r="AD68" s="38"/>
      <c r="AE68" s="38"/>
      <c r="AF68" s="38"/>
      <c r="AG68" s="38"/>
      <c r="AH68" s="38"/>
      <c r="AI68" s="38"/>
      <c r="AJ68" s="38"/>
    </row>
    <row r="69" spans="1:36" ht="15" x14ac:dyDescent="0.25">
      <c r="A69" s="45"/>
      <c r="B69" s="45"/>
      <c r="C69" s="45"/>
      <c r="D69" s="38"/>
      <c r="E69" s="38"/>
      <c r="F69" s="38"/>
      <c r="G69" s="38"/>
      <c r="H69" s="38"/>
      <c r="I69" s="38"/>
      <c r="J69" s="38"/>
      <c r="K69" s="38"/>
      <c r="L69" s="47"/>
      <c r="M69" s="42"/>
      <c r="N69" s="42"/>
      <c r="O69" s="42"/>
      <c r="P69" s="42"/>
      <c r="Q69" s="42"/>
      <c r="R69" s="42"/>
      <c r="S69" s="44"/>
      <c r="T69" s="42"/>
      <c r="U69" s="42"/>
      <c r="V69" s="42"/>
      <c r="W69" s="43"/>
      <c r="X69" s="44"/>
      <c r="Y69" s="42"/>
      <c r="Z69" s="42"/>
      <c r="AA69" s="39"/>
      <c r="AB69" s="38"/>
      <c r="AC69" s="38"/>
      <c r="AD69" s="38"/>
      <c r="AE69" s="38"/>
      <c r="AF69" s="38"/>
      <c r="AG69" s="38"/>
      <c r="AH69" s="38"/>
      <c r="AI69" s="38"/>
      <c r="AJ69" s="38"/>
    </row>
    <row r="70" spans="1:36" ht="15" x14ac:dyDescent="0.25">
      <c r="A70" s="45"/>
      <c r="B70" s="45"/>
      <c r="C70" s="45"/>
      <c r="D70" s="38"/>
      <c r="E70" s="38"/>
      <c r="F70" s="38"/>
      <c r="G70" s="38"/>
      <c r="H70" s="38"/>
      <c r="I70" s="38"/>
      <c r="J70" s="38"/>
      <c r="K70" s="38"/>
      <c r="L70" s="47"/>
      <c r="M70" s="42"/>
      <c r="N70" s="42"/>
      <c r="O70" s="42"/>
      <c r="P70" s="42"/>
      <c r="Q70" s="42"/>
      <c r="R70" s="42"/>
      <c r="S70" s="44"/>
      <c r="T70" s="42"/>
      <c r="U70" s="42"/>
      <c r="V70" s="42"/>
      <c r="W70" s="43"/>
      <c r="X70" s="44"/>
      <c r="Y70" s="42"/>
      <c r="Z70" s="42"/>
      <c r="AA70" s="39"/>
      <c r="AB70" s="38"/>
      <c r="AC70" s="38"/>
      <c r="AD70" s="38"/>
      <c r="AE70" s="38"/>
      <c r="AF70" s="38"/>
      <c r="AG70" s="38"/>
      <c r="AH70" s="38"/>
      <c r="AI70" s="38"/>
      <c r="AJ70" s="38"/>
    </row>
    <row r="71" spans="1:36" ht="15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47"/>
      <c r="M71" s="38"/>
      <c r="N71" s="38"/>
      <c r="O71" s="38"/>
      <c r="P71" s="38"/>
      <c r="Q71" s="38"/>
      <c r="R71" s="38"/>
      <c r="S71" s="40"/>
      <c r="T71" s="38"/>
      <c r="U71" s="38"/>
      <c r="V71" s="38"/>
      <c r="W71" s="39"/>
      <c r="X71" s="40"/>
      <c r="Y71" s="38"/>
      <c r="Z71" s="38"/>
      <c r="AA71" s="39"/>
      <c r="AB71" s="38"/>
      <c r="AC71" s="38"/>
      <c r="AD71" s="38"/>
      <c r="AE71" s="38"/>
      <c r="AF71" s="38"/>
      <c r="AG71" s="38"/>
      <c r="AH71" s="38"/>
      <c r="AI71" s="38"/>
      <c r="AJ71" s="38"/>
    </row>
    <row r="72" spans="1:36" ht="15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47"/>
      <c r="M72" s="38"/>
      <c r="N72" s="38"/>
      <c r="O72" s="38"/>
      <c r="P72" s="38"/>
      <c r="Q72" s="38"/>
      <c r="R72" s="38"/>
      <c r="S72" s="40"/>
      <c r="T72" s="38"/>
      <c r="U72" s="38"/>
      <c r="V72" s="38"/>
      <c r="W72" s="39"/>
      <c r="X72" s="40"/>
      <c r="Y72" s="38"/>
      <c r="Z72" s="38"/>
      <c r="AA72" s="39"/>
      <c r="AB72" s="38"/>
      <c r="AC72" s="38"/>
      <c r="AD72" s="38"/>
      <c r="AE72" s="38"/>
      <c r="AF72" s="38"/>
      <c r="AG72" s="38"/>
      <c r="AH72" s="38"/>
      <c r="AI72" s="38"/>
      <c r="AJ72" s="38"/>
    </row>
    <row r="73" spans="1:36" ht="15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47"/>
      <c r="M73" s="38"/>
      <c r="N73" s="38"/>
      <c r="O73" s="38"/>
      <c r="P73" s="38"/>
      <c r="Q73" s="38"/>
      <c r="R73" s="38"/>
      <c r="S73" s="40"/>
      <c r="T73" s="38"/>
      <c r="U73" s="38"/>
      <c r="V73" s="38"/>
      <c r="W73" s="39"/>
      <c r="X73" s="40"/>
      <c r="Y73" s="38"/>
      <c r="Z73" s="38"/>
      <c r="AA73" s="39"/>
      <c r="AB73" s="38"/>
      <c r="AC73" s="38"/>
      <c r="AD73" s="38"/>
      <c r="AE73" s="38"/>
      <c r="AF73" s="38"/>
      <c r="AG73" s="38"/>
      <c r="AH73" s="38"/>
      <c r="AI73" s="38"/>
      <c r="AJ73" s="38"/>
    </row>
    <row r="74" spans="1:36" ht="15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47"/>
      <c r="M74" s="38"/>
      <c r="N74" s="38"/>
      <c r="O74" s="38"/>
      <c r="P74" s="38"/>
      <c r="Q74" s="38"/>
      <c r="R74" s="38"/>
      <c r="S74" s="40"/>
      <c r="T74" s="38"/>
      <c r="U74" s="38"/>
      <c r="V74" s="38"/>
      <c r="W74" s="39"/>
      <c r="X74" s="40"/>
      <c r="Y74" s="38"/>
      <c r="Z74" s="38"/>
      <c r="AA74" s="39"/>
      <c r="AB74" s="38"/>
      <c r="AC74" s="38"/>
      <c r="AD74" s="38"/>
      <c r="AE74" s="38"/>
      <c r="AF74" s="38"/>
      <c r="AG74" s="38"/>
      <c r="AH74" s="38"/>
      <c r="AI74" s="38"/>
      <c r="AJ74" s="38"/>
    </row>
    <row r="75" spans="1:36" ht="15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47"/>
      <c r="M75" s="38"/>
      <c r="N75" s="38"/>
      <c r="O75" s="38"/>
      <c r="P75" s="38"/>
      <c r="Q75" s="38"/>
      <c r="R75" s="38"/>
      <c r="S75" s="40"/>
      <c r="T75" s="38"/>
      <c r="U75" s="38"/>
      <c r="V75" s="38"/>
      <c r="W75" s="39"/>
      <c r="X75" s="40"/>
      <c r="Y75" s="38"/>
      <c r="Z75" s="38"/>
      <c r="AA75" s="39"/>
      <c r="AB75" s="38"/>
      <c r="AC75" s="38"/>
      <c r="AD75" s="38"/>
      <c r="AE75" s="38"/>
      <c r="AF75" s="38"/>
      <c r="AG75" s="38"/>
      <c r="AH75" s="38"/>
      <c r="AI75" s="38"/>
      <c r="AJ75" s="38"/>
    </row>
    <row r="76" spans="1:36" ht="15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47"/>
      <c r="M76" s="38"/>
      <c r="N76" s="38"/>
      <c r="O76" s="38"/>
      <c r="P76" s="38"/>
      <c r="Q76" s="38"/>
      <c r="R76" s="38"/>
      <c r="S76" s="40"/>
      <c r="T76" s="38"/>
      <c r="U76" s="38"/>
      <c r="V76" s="38"/>
      <c r="W76" s="39"/>
      <c r="X76" s="40"/>
      <c r="Y76" s="38"/>
      <c r="Z76" s="38"/>
      <c r="AA76" s="39"/>
      <c r="AB76" s="38"/>
      <c r="AC76" s="38"/>
      <c r="AD76" s="38"/>
      <c r="AE76" s="38"/>
      <c r="AF76" s="38"/>
      <c r="AG76" s="38"/>
      <c r="AH76" s="38"/>
      <c r="AI76" s="38"/>
      <c r="AJ76" s="38"/>
    </row>
    <row r="77" spans="1:36" ht="15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47"/>
      <c r="M77" s="38"/>
      <c r="N77" s="38"/>
      <c r="O77" s="38"/>
      <c r="P77" s="38"/>
      <c r="Q77" s="38"/>
      <c r="R77" s="38"/>
      <c r="S77" s="40"/>
      <c r="T77" s="38"/>
      <c r="U77" s="38"/>
      <c r="V77" s="38"/>
      <c r="W77" s="39"/>
      <c r="X77" s="40"/>
      <c r="Y77" s="38"/>
      <c r="Z77" s="38"/>
      <c r="AA77" s="39"/>
      <c r="AB77" s="38"/>
      <c r="AC77" s="38"/>
      <c r="AD77" s="38"/>
      <c r="AE77" s="38"/>
      <c r="AF77" s="38"/>
      <c r="AG77" s="38"/>
      <c r="AH77" s="38"/>
      <c r="AI77" s="38"/>
      <c r="AJ77" s="38"/>
    </row>
    <row r="78" spans="1:36" ht="15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47"/>
      <c r="M78" s="38"/>
      <c r="N78" s="38"/>
      <c r="O78" s="38"/>
      <c r="P78" s="38"/>
      <c r="Q78" s="38"/>
      <c r="R78" s="38"/>
      <c r="S78" s="40"/>
      <c r="T78" s="38"/>
      <c r="U78" s="38"/>
      <c r="V78" s="38"/>
      <c r="W78" s="39"/>
      <c r="X78" s="40"/>
      <c r="Y78" s="38"/>
      <c r="Z78" s="38"/>
      <c r="AA78" s="39"/>
      <c r="AB78" s="38"/>
      <c r="AC78" s="38"/>
      <c r="AD78" s="38"/>
      <c r="AE78" s="38"/>
      <c r="AF78" s="38"/>
      <c r="AG78" s="38"/>
      <c r="AH78" s="38"/>
      <c r="AI78" s="38"/>
      <c r="AJ78" s="38"/>
    </row>
    <row r="79" spans="1:36" ht="15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47"/>
      <c r="M79" s="38"/>
      <c r="N79" s="38"/>
      <c r="O79" s="38"/>
      <c r="P79" s="38"/>
      <c r="Q79" s="38"/>
      <c r="R79" s="38"/>
      <c r="S79" s="40"/>
      <c r="T79" s="38"/>
      <c r="U79" s="38"/>
      <c r="V79" s="38"/>
      <c r="W79" s="39"/>
      <c r="X79" s="40"/>
      <c r="Y79" s="38"/>
      <c r="Z79" s="38"/>
      <c r="AA79" s="39"/>
      <c r="AB79" s="38"/>
      <c r="AC79" s="38"/>
      <c r="AD79" s="38"/>
      <c r="AE79" s="38"/>
      <c r="AF79" s="38"/>
      <c r="AG79" s="38"/>
      <c r="AH79" s="38"/>
      <c r="AI79" s="38"/>
      <c r="AJ79" s="38"/>
    </row>
    <row r="80" spans="1:36" ht="15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47"/>
      <c r="M80" s="38"/>
      <c r="N80" s="38"/>
      <c r="O80" s="38"/>
      <c r="P80" s="38"/>
      <c r="Q80" s="38"/>
      <c r="R80" s="38"/>
      <c r="S80" s="40"/>
      <c r="T80" s="38"/>
      <c r="U80" s="38"/>
      <c r="V80" s="38"/>
      <c r="W80" s="39"/>
      <c r="X80" s="40"/>
      <c r="Y80" s="38"/>
      <c r="Z80" s="38"/>
      <c r="AA80" s="39"/>
      <c r="AB80" s="38"/>
      <c r="AC80" s="38"/>
      <c r="AD80" s="38"/>
      <c r="AE80" s="38"/>
      <c r="AF80" s="38"/>
      <c r="AG80" s="38"/>
      <c r="AH80" s="38"/>
      <c r="AI80" s="38"/>
      <c r="AJ80" s="38"/>
    </row>
    <row r="81" spans="1:36" ht="15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47"/>
      <c r="M81" s="38"/>
      <c r="N81" s="38"/>
      <c r="O81" s="38"/>
      <c r="P81" s="38"/>
      <c r="Q81" s="38"/>
      <c r="R81" s="38"/>
      <c r="S81" s="40"/>
      <c r="T81" s="38"/>
      <c r="U81" s="38"/>
      <c r="V81" s="38"/>
      <c r="W81" s="39"/>
      <c r="X81" s="40"/>
      <c r="Y81" s="38"/>
      <c r="Z81" s="38"/>
      <c r="AA81" s="39"/>
      <c r="AB81" s="38"/>
      <c r="AC81" s="38"/>
      <c r="AD81" s="38"/>
      <c r="AE81" s="38"/>
      <c r="AF81" s="38"/>
      <c r="AG81" s="38"/>
      <c r="AH81" s="38"/>
      <c r="AI81" s="38"/>
      <c r="AJ81" s="38"/>
    </row>
    <row r="82" spans="1:36" ht="15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47"/>
      <c r="M82" s="38"/>
      <c r="N82" s="38"/>
      <c r="O82" s="38"/>
      <c r="P82" s="38"/>
      <c r="Q82" s="38"/>
      <c r="R82" s="38"/>
      <c r="S82" s="40"/>
      <c r="T82" s="38"/>
      <c r="U82" s="38"/>
      <c r="V82" s="38"/>
      <c r="W82" s="39"/>
      <c r="X82" s="40"/>
      <c r="Y82" s="38"/>
      <c r="Z82" s="38"/>
      <c r="AA82" s="39"/>
      <c r="AB82" s="38"/>
      <c r="AC82" s="38"/>
      <c r="AD82" s="38"/>
      <c r="AE82" s="38"/>
      <c r="AF82" s="38"/>
      <c r="AG82" s="38"/>
      <c r="AH82" s="38"/>
      <c r="AI82" s="38"/>
      <c r="AJ82" s="38"/>
    </row>
    <row r="83" spans="1:36" ht="15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47"/>
      <c r="M83" s="38"/>
      <c r="N83" s="38"/>
      <c r="O83" s="38"/>
      <c r="P83" s="38"/>
      <c r="Q83" s="38"/>
      <c r="R83" s="38"/>
      <c r="S83" s="40"/>
      <c r="T83" s="38"/>
      <c r="U83" s="38"/>
      <c r="V83" s="38"/>
      <c r="W83" s="39"/>
      <c r="X83" s="40"/>
      <c r="Y83" s="38"/>
      <c r="Z83" s="38"/>
      <c r="AA83" s="39"/>
      <c r="AB83" s="38"/>
      <c r="AC83" s="38"/>
      <c r="AD83" s="38"/>
      <c r="AE83" s="38"/>
      <c r="AF83" s="38"/>
      <c r="AG83" s="38"/>
      <c r="AH83" s="38"/>
      <c r="AI83" s="38"/>
      <c r="AJ83" s="38"/>
    </row>
    <row r="84" spans="1:36" ht="15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47"/>
      <c r="M84" s="38"/>
      <c r="N84" s="38"/>
      <c r="O84" s="38"/>
      <c r="P84" s="38"/>
      <c r="Q84" s="38"/>
      <c r="R84" s="38"/>
      <c r="S84" s="40"/>
      <c r="T84" s="38"/>
      <c r="U84" s="38"/>
      <c r="V84" s="38"/>
      <c r="W84" s="39"/>
      <c r="X84" s="40"/>
      <c r="Y84" s="38"/>
      <c r="Z84" s="38"/>
      <c r="AA84" s="39"/>
      <c r="AB84" s="38"/>
      <c r="AC84" s="38"/>
      <c r="AD84" s="38"/>
      <c r="AE84" s="38"/>
      <c r="AF84" s="38"/>
      <c r="AG84" s="38"/>
      <c r="AH84" s="38"/>
      <c r="AI84" s="38"/>
      <c r="AJ84" s="38"/>
    </row>
    <row r="85" spans="1:36" ht="15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47"/>
      <c r="M85" s="38"/>
      <c r="N85" s="38"/>
      <c r="O85" s="38"/>
      <c r="P85" s="38"/>
      <c r="Q85" s="38"/>
      <c r="R85" s="38"/>
      <c r="S85" s="40"/>
      <c r="T85" s="38"/>
      <c r="U85" s="38"/>
      <c r="V85" s="38"/>
      <c r="W85" s="39"/>
      <c r="X85" s="40"/>
      <c r="Y85" s="38"/>
      <c r="Z85" s="38"/>
      <c r="AA85" s="39"/>
      <c r="AB85" s="38"/>
      <c r="AC85" s="38"/>
      <c r="AD85" s="38"/>
      <c r="AE85" s="38"/>
      <c r="AF85" s="38"/>
      <c r="AG85" s="38"/>
      <c r="AH85" s="38"/>
      <c r="AI85" s="38"/>
      <c r="AJ85" s="38"/>
    </row>
    <row r="86" spans="1:36" ht="15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47"/>
      <c r="M86" s="38"/>
      <c r="N86" s="38"/>
      <c r="O86" s="38"/>
      <c r="P86" s="38"/>
      <c r="Q86" s="38"/>
      <c r="R86" s="38"/>
      <c r="S86" s="40"/>
      <c r="T86" s="38"/>
      <c r="U86" s="38"/>
      <c r="V86" s="38"/>
      <c r="W86" s="39"/>
      <c r="X86" s="40"/>
      <c r="Y86" s="38"/>
      <c r="Z86" s="38"/>
      <c r="AA86" s="39"/>
      <c r="AB86" s="38"/>
      <c r="AC86" s="38"/>
      <c r="AD86" s="38"/>
      <c r="AE86" s="38"/>
      <c r="AF86" s="38"/>
      <c r="AG86" s="38"/>
      <c r="AH86" s="38"/>
      <c r="AI86" s="38"/>
      <c r="AJ86" s="38"/>
    </row>
    <row r="87" spans="1:36" ht="15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47"/>
      <c r="M87" s="38"/>
      <c r="N87" s="38"/>
      <c r="O87" s="38"/>
      <c r="P87" s="38"/>
      <c r="Q87" s="38"/>
      <c r="R87" s="38"/>
      <c r="S87" s="40"/>
      <c r="T87" s="38"/>
      <c r="U87" s="38"/>
      <c r="V87" s="38"/>
      <c r="W87" s="39"/>
      <c r="X87" s="40"/>
      <c r="Y87" s="38"/>
      <c r="Z87" s="38"/>
      <c r="AA87" s="39"/>
      <c r="AB87" s="38"/>
      <c r="AC87" s="38"/>
      <c r="AD87" s="38"/>
      <c r="AE87" s="38"/>
      <c r="AF87" s="38"/>
      <c r="AG87" s="38"/>
      <c r="AH87" s="38"/>
      <c r="AI87" s="38"/>
      <c r="AJ87" s="38"/>
    </row>
    <row r="88" spans="1:36" ht="15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47"/>
      <c r="M88" s="38"/>
      <c r="N88" s="38"/>
      <c r="O88" s="38"/>
      <c r="P88" s="38"/>
      <c r="Q88" s="38"/>
      <c r="R88" s="38"/>
      <c r="S88" s="40"/>
      <c r="T88" s="38"/>
      <c r="U88" s="38"/>
      <c r="V88" s="38"/>
      <c r="W88" s="39"/>
      <c r="X88" s="40"/>
      <c r="Y88" s="38"/>
      <c r="Z88" s="38"/>
      <c r="AA88" s="39"/>
      <c r="AB88" s="38"/>
      <c r="AC88" s="38"/>
      <c r="AD88" s="38"/>
      <c r="AE88" s="38"/>
      <c r="AF88" s="38"/>
      <c r="AG88" s="38"/>
      <c r="AH88" s="38"/>
      <c r="AI88" s="38"/>
      <c r="AJ88" s="38"/>
    </row>
    <row r="89" spans="1:36" ht="15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47"/>
      <c r="M89" s="38"/>
      <c r="N89" s="38"/>
      <c r="O89" s="38"/>
      <c r="P89" s="38"/>
      <c r="Q89" s="38"/>
      <c r="R89" s="38"/>
      <c r="S89" s="40"/>
      <c r="T89" s="38"/>
      <c r="U89" s="38"/>
      <c r="V89" s="38"/>
      <c r="W89" s="39"/>
      <c r="X89" s="40"/>
      <c r="Y89" s="38"/>
      <c r="Z89" s="38"/>
      <c r="AA89" s="39"/>
      <c r="AB89" s="38"/>
      <c r="AC89" s="38"/>
      <c r="AD89" s="38"/>
      <c r="AE89" s="38"/>
      <c r="AF89" s="38"/>
      <c r="AG89" s="38"/>
      <c r="AH89" s="38"/>
      <c r="AI89" s="38"/>
      <c r="AJ89" s="38"/>
    </row>
    <row r="90" spans="1:36" ht="15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47"/>
      <c r="M90" s="38"/>
      <c r="N90" s="38"/>
      <c r="O90" s="38"/>
      <c r="P90" s="38"/>
      <c r="Q90" s="38"/>
      <c r="R90" s="38"/>
      <c r="S90" s="40"/>
      <c r="T90" s="38"/>
      <c r="U90" s="38"/>
      <c r="V90" s="38"/>
      <c r="W90" s="39"/>
      <c r="X90" s="40"/>
      <c r="Y90" s="38"/>
      <c r="Z90" s="38"/>
      <c r="AA90" s="39"/>
      <c r="AB90" s="38"/>
      <c r="AC90" s="38"/>
      <c r="AD90" s="38"/>
      <c r="AE90" s="38"/>
      <c r="AF90" s="38"/>
      <c r="AG90" s="38"/>
      <c r="AH90" s="38"/>
      <c r="AI90" s="38"/>
      <c r="AJ90" s="38"/>
    </row>
    <row r="91" spans="1:36" ht="15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47"/>
      <c r="M91" s="38"/>
      <c r="N91" s="38"/>
      <c r="O91" s="38"/>
      <c r="P91" s="38"/>
      <c r="Q91" s="38"/>
      <c r="R91" s="38"/>
      <c r="S91" s="40"/>
      <c r="T91" s="38"/>
      <c r="U91" s="38"/>
      <c r="V91" s="38"/>
      <c r="W91" s="39"/>
      <c r="X91" s="40"/>
      <c r="Y91" s="38"/>
      <c r="Z91" s="38"/>
      <c r="AA91" s="39"/>
      <c r="AB91" s="38"/>
      <c r="AC91" s="38"/>
      <c r="AD91" s="38"/>
      <c r="AE91" s="38"/>
      <c r="AF91" s="38"/>
      <c r="AG91" s="38"/>
      <c r="AH91" s="38"/>
      <c r="AI91" s="38"/>
      <c r="AJ91" s="38"/>
    </row>
    <row r="92" spans="1:36" ht="15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47"/>
      <c r="M92" s="38"/>
      <c r="N92" s="38"/>
      <c r="O92" s="38"/>
      <c r="P92" s="38"/>
      <c r="Q92" s="38"/>
      <c r="R92" s="38"/>
      <c r="S92" s="40"/>
      <c r="T92" s="38"/>
      <c r="U92" s="38"/>
      <c r="V92" s="38"/>
      <c r="W92" s="39"/>
      <c r="X92" s="40"/>
      <c r="Y92" s="38"/>
      <c r="Z92" s="38"/>
      <c r="AA92" s="39"/>
      <c r="AB92" s="38"/>
      <c r="AC92" s="38"/>
      <c r="AD92" s="38"/>
      <c r="AE92" s="38"/>
      <c r="AF92" s="38"/>
      <c r="AG92" s="38"/>
      <c r="AH92" s="38"/>
      <c r="AI92" s="38"/>
      <c r="AJ92" s="38"/>
    </row>
    <row r="93" spans="1:36" ht="15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47"/>
      <c r="M93" s="38"/>
      <c r="N93" s="38"/>
      <c r="O93" s="38"/>
      <c r="P93" s="38"/>
      <c r="Q93" s="38"/>
      <c r="R93" s="38"/>
      <c r="S93" s="40"/>
      <c r="T93" s="38"/>
      <c r="U93" s="38"/>
      <c r="V93" s="38"/>
      <c r="W93" s="39"/>
      <c r="X93" s="40"/>
      <c r="Y93" s="38"/>
      <c r="Z93" s="38"/>
      <c r="AA93" s="39"/>
      <c r="AB93" s="38"/>
      <c r="AC93" s="38"/>
      <c r="AD93" s="38"/>
      <c r="AE93" s="38"/>
      <c r="AF93" s="38"/>
      <c r="AG93" s="38"/>
      <c r="AH93" s="38"/>
      <c r="AI93" s="38"/>
      <c r="AJ93" s="38"/>
    </row>
    <row r="94" spans="1:36" ht="15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47"/>
      <c r="M94" s="38"/>
      <c r="N94" s="38"/>
      <c r="O94" s="38"/>
      <c r="P94" s="38"/>
      <c r="Q94" s="38"/>
      <c r="R94" s="38"/>
      <c r="S94" s="40"/>
      <c r="T94" s="38"/>
      <c r="U94" s="38"/>
      <c r="V94" s="38"/>
      <c r="W94" s="39"/>
      <c r="X94" s="40"/>
      <c r="Y94" s="38"/>
      <c r="Z94" s="38"/>
      <c r="AA94" s="39"/>
      <c r="AB94" s="38"/>
      <c r="AC94" s="38"/>
      <c r="AD94" s="38"/>
      <c r="AE94" s="38"/>
      <c r="AF94" s="38"/>
      <c r="AG94" s="38"/>
      <c r="AH94" s="38"/>
      <c r="AI94" s="38"/>
      <c r="AJ94" s="38"/>
    </row>
    <row r="95" spans="1:36" ht="15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47"/>
      <c r="M95" s="38"/>
      <c r="N95" s="38"/>
      <c r="O95" s="38"/>
      <c r="P95" s="38"/>
      <c r="Q95" s="38"/>
      <c r="R95" s="38"/>
      <c r="S95" s="40"/>
      <c r="T95" s="38"/>
      <c r="U95" s="38"/>
      <c r="V95" s="38"/>
      <c r="W95" s="39"/>
      <c r="X95" s="40"/>
      <c r="Y95" s="38"/>
      <c r="Z95" s="38"/>
      <c r="AA95" s="39"/>
      <c r="AB95" s="38"/>
      <c r="AC95" s="38"/>
      <c r="AD95" s="38"/>
      <c r="AE95" s="38"/>
      <c r="AF95" s="38"/>
      <c r="AG95" s="38"/>
      <c r="AH95" s="38"/>
      <c r="AI95" s="38"/>
      <c r="AJ95" s="38"/>
    </row>
    <row r="96" spans="1:36" ht="15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47"/>
      <c r="M96" s="38"/>
      <c r="N96" s="38"/>
      <c r="O96" s="38"/>
      <c r="P96" s="38"/>
      <c r="Q96" s="38"/>
      <c r="R96" s="38"/>
      <c r="S96" s="40"/>
      <c r="T96" s="38"/>
      <c r="U96" s="38"/>
      <c r="V96" s="38"/>
      <c r="W96" s="39"/>
      <c r="X96" s="40"/>
      <c r="Y96" s="38"/>
      <c r="Z96" s="38"/>
      <c r="AA96" s="39"/>
      <c r="AB96" s="38"/>
      <c r="AC96" s="38"/>
      <c r="AD96" s="38"/>
      <c r="AE96" s="38"/>
      <c r="AF96" s="38"/>
      <c r="AG96" s="38"/>
      <c r="AH96" s="38"/>
      <c r="AI96" s="38"/>
      <c r="AJ96" s="38"/>
    </row>
    <row r="97" spans="1:36" ht="15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47"/>
      <c r="M97" s="38"/>
      <c r="N97" s="38"/>
      <c r="O97" s="38"/>
      <c r="P97" s="38"/>
      <c r="Q97" s="38"/>
      <c r="R97" s="38"/>
      <c r="S97" s="40"/>
      <c r="T97" s="38"/>
      <c r="U97" s="38"/>
      <c r="V97" s="38"/>
      <c r="W97" s="39"/>
      <c r="X97" s="40"/>
      <c r="Y97" s="38"/>
      <c r="Z97" s="38"/>
      <c r="AA97" s="39"/>
      <c r="AB97" s="38"/>
      <c r="AC97" s="38"/>
      <c r="AD97" s="38"/>
      <c r="AE97" s="38"/>
      <c r="AF97" s="38"/>
      <c r="AG97" s="38"/>
      <c r="AH97" s="38"/>
      <c r="AI97" s="38"/>
      <c r="AJ97" s="38"/>
    </row>
    <row r="98" spans="1:36" ht="15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47"/>
      <c r="M98" s="38"/>
      <c r="N98" s="38"/>
      <c r="O98" s="38"/>
      <c r="P98" s="38"/>
      <c r="Q98" s="38"/>
      <c r="R98" s="38"/>
      <c r="S98" s="40"/>
      <c r="T98" s="38"/>
      <c r="U98" s="38"/>
      <c r="V98" s="38"/>
      <c r="W98" s="39"/>
      <c r="X98" s="40"/>
      <c r="Y98" s="38"/>
      <c r="Z98" s="38"/>
      <c r="AA98" s="39"/>
      <c r="AB98" s="38"/>
      <c r="AC98" s="38"/>
      <c r="AD98" s="38"/>
      <c r="AE98" s="38"/>
      <c r="AF98" s="38"/>
      <c r="AG98" s="38"/>
      <c r="AH98" s="38"/>
      <c r="AI98" s="38"/>
      <c r="AJ98" s="38"/>
    </row>
    <row r="99" spans="1:36" ht="15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47"/>
      <c r="M99" s="38"/>
      <c r="N99" s="38"/>
      <c r="O99" s="38"/>
      <c r="P99" s="38"/>
      <c r="Q99" s="38"/>
      <c r="R99" s="38"/>
      <c r="S99" s="40"/>
      <c r="T99" s="38"/>
      <c r="U99" s="38"/>
      <c r="V99" s="38"/>
      <c r="W99" s="39"/>
      <c r="X99" s="40"/>
      <c r="Y99" s="38"/>
      <c r="Z99" s="38"/>
      <c r="AA99" s="39"/>
      <c r="AB99" s="38"/>
      <c r="AC99" s="38"/>
      <c r="AD99" s="38"/>
      <c r="AE99" s="38"/>
      <c r="AF99" s="38"/>
      <c r="AG99" s="38"/>
      <c r="AH99" s="38"/>
      <c r="AI99" s="38"/>
      <c r="AJ99" s="38"/>
    </row>
    <row r="100" spans="1:36" ht="15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47"/>
      <c r="M100" s="38"/>
      <c r="N100" s="38"/>
      <c r="O100" s="38"/>
      <c r="P100" s="38"/>
      <c r="Q100" s="38"/>
      <c r="R100" s="38"/>
      <c r="S100" s="40"/>
      <c r="T100" s="38"/>
      <c r="U100" s="38"/>
      <c r="V100" s="38"/>
      <c r="W100" s="39"/>
      <c r="X100" s="40"/>
      <c r="Y100" s="38"/>
      <c r="Z100" s="38"/>
      <c r="AA100" s="39"/>
      <c r="AB100" s="38"/>
      <c r="AC100" s="38"/>
      <c r="AD100" s="38"/>
      <c r="AE100" s="38"/>
      <c r="AF100" s="38"/>
      <c r="AG100" s="38"/>
      <c r="AH100" s="38"/>
      <c r="AI100" s="38"/>
      <c r="AJ100" s="38"/>
    </row>
    <row r="101" spans="1:36" ht="15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47"/>
      <c r="M101" s="38"/>
      <c r="N101" s="38"/>
      <c r="O101" s="38"/>
      <c r="P101" s="38"/>
      <c r="Q101" s="38"/>
      <c r="R101" s="38"/>
      <c r="S101" s="40"/>
      <c r="T101" s="38"/>
      <c r="U101" s="38"/>
      <c r="V101" s="38"/>
      <c r="W101" s="39"/>
      <c r="X101" s="40"/>
      <c r="Y101" s="38"/>
      <c r="Z101" s="38"/>
      <c r="AA101" s="39"/>
      <c r="AB101" s="38"/>
      <c r="AC101" s="38"/>
      <c r="AD101" s="38"/>
      <c r="AE101" s="38"/>
      <c r="AF101" s="38"/>
      <c r="AG101" s="38"/>
      <c r="AH101" s="38"/>
      <c r="AI101" s="38"/>
      <c r="AJ101" s="38"/>
    </row>
    <row r="102" spans="1:36" ht="15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47"/>
      <c r="M102" s="38"/>
      <c r="N102" s="38"/>
      <c r="O102" s="38"/>
      <c r="P102" s="38"/>
      <c r="Q102" s="38"/>
      <c r="R102" s="38"/>
      <c r="S102" s="40"/>
      <c r="T102" s="38"/>
      <c r="U102" s="38"/>
      <c r="V102" s="38"/>
      <c r="W102" s="39"/>
      <c r="X102" s="40"/>
      <c r="Y102" s="38"/>
      <c r="Z102" s="38"/>
      <c r="AA102" s="39"/>
      <c r="AB102" s="38"/>
      <c r="AC102" s="38"/>
      <c r="AD102" s="38"/>
      <c r="AE102" s="38"/>
      <c r="AF102" s="38"/>
      <c r="AG102" s="38"/>
      <c r="AH102" s="38"/>
      <c r="AI102" s="38"/>
      <c r="AJ102" s="38"/>
    </row>
    <row r="103" spans="1:36" ht="15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47"/>
      <c r="M103" s="38"/>
      <c r="N103" s="38"/>
      <c r="O103" s="38"/>
      <c r="P103" s="38"/>
      <c r="Q103" s="38"/>
      <c r="R103" s="38"/>
      <c r="S103" s="40"/>
      <c r="T103" s="38"/>
      <c r="U103" s="38"/>
      <c r="V103" s="38"/>
      <c r="W103" s="39"/>
      <c r="X103" s="40"/>
      <c r="Y103" s="38"/>
      <c r="Z103" s="38"/>
      <c r="AA103" s="39"/>
      <c r="AB103" s="38"/>
      <c r="AC103" s="38"/>
      <c r="AD103" s="38"/>
      <c r="AE103" s="38"/>
      <c r="AF103" s="38"/>
      <c r="AG103" s="38"/>
      <c r="AH103" s="38"/>
      <c r="AI103" s="38"/>
      <c r="AJ103" s="38"/>
    </row>
    <row r="104" spans="1:36" ht="15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47"/>
      <c r="M104" s="38"/>
      <c r="N104" s="38"/>
      <c r="O104" s="38"/>
      <c r="P104" s="38"/>
      <c r="Q104" s="38"/>
      <c r="R104" s="38"/>
      <c r="S104" s="40"/>
      <c r="T104" s="38"/>
      <c r="U104" s="38"/>
      <c r="V104" s="38"/>
      <c r="W104" s="39"/>
      <c r="X104" s="40"/>
      <c r="Y104" s="38"/>
      <c r="Z104" s="38"/>
      <c r="AA104" s="39"/>
      <c r="AB104" s="38"/>
      <c r="AC104" s="38"/>
      <c r="AD104" s="38"/>
      <c r="AE104" s="38"/>
      <c r="AF104" s="38"/>
      <c r="AG104" s="38"/>
      <c r="AH104" s="38"/>
      <c r="AI104" s="38"/>
      <c r="AJ104" s="38"/>
    </row>
    <row r="105" spans="1:36" ht="15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47"/>
      <c r="M105" s="38"/>
      <c r="N105" s="38"/>
      <c r="O105" s="38"/>
      <c r="P105" s="38"/>
      <c r="Q105" s="38"/>
      <c r="R105" s="38"/>
      <c r="S105" s="40"/>
      <c r="T105" s="38"/>
      <c r="U105" s="38"/>
      <c r="V105" s="38"/>
      <c r="W105" s="39"/>
      <c r="X105" s="40"/>
      <c r="Y105" s="38"/>
      <c r="Z105" s="38"/>
      <c r="AA105" s="39"/>
      <c r="AB105" s="38"/>
      <c r="AC105" s="38"/>
      <c r="AD105" s="38"/>
      <c r="AE105" s="38"/>
      <c r="AF105" s="38"/>
      <c r="AG105" s="38"/>
      <c r="AH105" s="38"/>
      <c r="AI105" s="38"/>
      <c r="AJ105" s="38"/>
    </row>
    <row r="106" spans="1:36" ht="15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47"/>
      <c r="M106" s="38"/>
      <c r="N106" s="38"/>
      <c r="O106" s="38"/>
      <c r="P106" s="38"/>
      <c r="Q106" s="38"/>
      <c r="R106" s="38"/>
      <c r="S106" s="40"/>
      <c r="T106" s="38"/>
      <c r="U106" s="38"/>
      <c r="V106" s="38"/>
      <c r="W106" s="39"/>
      <c r="X106" s="40"/>
      <c r="Y106" s="38"/>
      <c r="Z106" s="38"/>
      <c r="AA106" s="39"/>
      <c r="AB106" s="38"/>
      <c r="AC106" s="38"/>
      <c r="AD106" s="38"/>
      <c r="AE106" s="38"/>
      <c r="AF106" s="38"/>
      <c r="AG106" s="38"/>
      <c r="AH106" s="38"/>
      <c r="AI106" s="38"/>
      <c r="AJ106" s="38"/>
    </row>
    <row r="107" spans="1:36" ht="15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47"/>
      <c r="M107" s="38"/>
      <c r="N107" s="38"/>
      <c r="O107" s="38"/>
      <c r="P107" s="38"/>
      <c r="Q107" s="38"/>
      <c r="R107" s="38"/>
      <c r="S107" s="40"/>
      <c r="T107" s="38"/>
      <c r="U107" s="38"/>
      <c r="V107" s="38"/>
      <c r="W107" s="39"/>
      <c r="X107" s="40"/>
      <c r="Y107" s="38"/>
      <c r="Z107" s="38"/>
      <c r="AA107" s="39"/>
      <c r="AB107" s="38"/>
      <c r="AC107" s="38"/>
      <c r="AD107" s="38"/>
      <c r="AE107" s="38"/>
      <c r="AF107" s="38"/>
      <c r="AG107" s="38"/>
      <c r="AH107" s="38"/>
      <c r="AI107" s="38"/>
      <c r="AJ107" s="38"/>
    </row>
    <row r="108" spans="1:36" ht="15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47"/>
      <c r="M108" s="38"/>
      <c r="N108" s="38"/>
      <c r="O108" s="38"/>
      <c r="P108" s="38"/>
      <c r="Q108" s="38"/>
      <c r="R108" s="38"/>
      <c r="S108" s="40"/>
      <c r="T108" s="38"/>
      <c r="U108" s="38"/>
      <c r="V108" s="38"/>
      <c r="W108" s="39"/>
      <c r="X108" s="40"/>
      <c r="Y108" s="38"/>
      <c r="Z108" s="38"/>
      <c r="AA108" s="39"/>
      <c r="AB108" s="38"/>
      <c r="AC108" s="38"/>
      <c r="AD108" s="38"/>
      <c r="AE108" s="38"/>
      <c r="AF108" s="38"/>
      <c r="AG108" s="38"/>
      <c r="AH108" s="38"/>
      <c r="AI108" s="38"/>
      <c r="AJ108" s="38"/>
    </row>
    <row r="109" spans="1:36" ht="15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47"/>
      <c r="M109" s="38"/>
      <c r="N109" s="38"/>
      <c r="O109" s="38"/>
      <c r="P109" s="38"/>
      <c r="Q109" s="38"/>
      <c r="R109" s="38"/>
      <c r="S109" s="40"/>
      <c r="T109" s="38"/>
      <c r="U109" s="38"/>
      <c r="V109" s="38"/>
      <c r="W109" s="39"/>
      <c r="X109" s="40"/>
      <c r="Y109" s="38"/>
      <c r="Z109" s="38"/>
      <c r="AA109" s="39"/>
      <c r="AB109" s="38"/>
      <c r="AC109" s="38"/>
      <c r="AD109" s="38"/>
      <c r="AE109" s="38"/>
      <c r="AF109" s="38"/>
      <c r="AG109" s="38"/>
      <c r="AH109" s="38"/>
      <c r="AI109" s="38"/>
      <c r="AJ109" s="38"/>
    </row>
    <row r="110" spans="1:36" ht="15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47"/>
      <c r="M110" s="38"/>
      <c r="N110" s="38"/>
      <c r="O110" s="38"/>
      <c r="P110" s="38"/>
      <c r="Q110" s="38"/>
      <c r="R110" s="38"/>
      <c r="S110" s="40"/>
      <c r="T110" s="38"/>
      <c r="U110" s="38"/>
      <c r="V110" s="38"/>
      <c r="W110" s="39"/>
      <c r="X110" s="40"/>
      <c r="Y110" s="38"/>
      <c r="Z110" s="38"/>
      <c r="AA110" s="39"/>
      <c r="AB110" s="38"/>
      <c r="AC110" s="38"/>
      <c r="AD110" s="38"/>
      <c r="AE110" s="38"/>
      <c r="AF110" s="38"/>
      <c r="AG110" s="38"/>
      <c r="AH110" s="38"/>
      <c r="AI110" s="38"/>
      <c r="AJ110" s="38"/>
    </row>
    <row r="111" spans="1:36" ht="15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47"/>
      <c r="M111" s="38"/>
      <c r="N111" s="38"/>
      <c r="O111" s="38"/>
      <c r="P111" s="38"/>
      <c r="Q111" s="38"/>
      <c r="R111" s="38"/>
      <c r="S111" s="40"/>
      <c r="T111" s="38"/>
      <c r="U111" s="38"/>
      <c r="V111" s="38"/>
      <c r="W111" s="39"/>
      <c r="X111" s="40"/>
      <c r="Y111" s="38"/>
      <c r="Z111" s="38"/>
      <c r="AA111" s="39"/>
      <c r="AB111" s="38"/>
      <c r="AC111" s="38"/>
      <c r="AD111" s="38"/>
      <c r="AE111" s="38"/>
      <c r="AF111" s="38"/>
      <c r="AG111" s="38"/>
      <c r="AH111" s="38"/>
      <c r="AI111" s="38"/>
      <c r="AJ111" s="38"/>
    </row>
    <row r="112" spans="1:36" ht="15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47"/>
      <c r="M112" s="38"/>
      <c r="N112" s="38"/>
      <c r="O112" s="38"/>
      <c r="P112" s="38"/>
      <c r="Q112" s="38"/>
      <c r="R112" s="38"/>
      <c r="S112" s="40"/>
      <c r="T112" s="38"/>
      <c r="U112" s="38"/>
      <c r="V112" s="38"/>
      <c r="W112" s="39"/>
      <c r="X112" s="40"/>
      <c r="Y112" s="38"/>
      <c r="Z112" s="38"/>
      <c r="AA112" s="39"/>
      <c r="AB112" s="38"/>
      <c r="AC112" s="38"/>
      <c r="AD112" s="38"/>
      <c r="AE112" s="38"/>
      <c r="AF112" s="38"/>
      <c r="AG112" s="38"/>
      <c r="AH112" s="38"/>
      <c r="AI112" s="38"/>
      <c r="AJ112" s="38"/>
    </row>
    <row r="113" spans="1:36" ht="15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47"/>
      <c r="M113" s="38"/>
      <c r="N113" s="38"/>
      <c r="O113" s="38"/>
      <c r="P113" s="38"/>
      <c r="Q113" s="38"/>
      <c r="R113" s="38"/>
      <c r="S113" s="40"/>
      <c r="T113" s="38"/>
      <c r="U113" s="38"/>
      <c r="V113" s="38"/>
      <c r="W113" s="39"/>
      <c r="X113" s="40"/>
      <c r="Y113" s="38"/>
      <c r="Z113" s="38"/>
      <c r="AA113" s="39"/>
      <c r="AB113" s="38"/>
      <c r="AC113" s="38"/>
      <c r="AD113" s="38"/>
      <c r="AE113" s="38"/>
      <c r="AF113" s="38"/>
      <c r="AG113" s="38"/>
      <c r="AH113" s="38"/>
      <c r="AI113" s="38"/>
      <c r="AJ113" s="38"/>
    </row>
    <row r="114" spans="1:36" ht="15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47"/>
      <c r="M114" s="38"/>
      <c r="N114" s="38"/>
      <c r="O114" s="38"/>
      <c r="P114" s="38"/>
      <c r="Q114" s="38"/>
      <c r="R114" s="38"/>
      <c r="S114" s="40"/>
      <c r="T114" s="38"/>
      <c r="U114" s="38"/>
      <c r="V114" s="38"/>
      <c r="W114" s="39"/>
      <c r="X114" s="40"/>
      <c r="Y114" s="38"/>
      <c r="Z114" s="38"/>
      <c r="AA114" s="39"/>
      <c r="AB114" s="38"/>
      <c r="AC114" s="38"/>
      <c r="AD114" s="38"/>
      <c r="AE114" s="38"/>
      <c r="AF114" s="38"/>
      <c r="AG114" s="38"/>
      <c r="AH114" s="38"/>
      <c r="AI114" s="38"/>
      <c r="AJ114" s="38"/>
    </row>
    <row r="115" spans="1:36" ht="15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47"/>
      <c r="M115" s="38"/>
      <c r="N115" s="38"/>
      <c r="O115" s="38"/>
      <c r="P115" s="38"/>
      <c r="Q115" s="38"/>
      <c r="R115" s="38"/>
      <c r="S115" s="40"/>
      <c r="T115" s="38"/>
      <c r="U115" s="38"/>
      <c r="V115" s="38"/>
      <c r="W115" s="39"/>
      <c r="X115" s="40"/>
      <c r="Y115" s="38"/>
      <c r="Z115" s="38"/>
      <c r="AA115" s="39"/>
      <c r="AB115" s="38"/>
      <c r="AC115" s="38"/>
      <c r="AD115" s="38"/>
      <c r="AE115" s="38"/>
      <c r="AF115" s="38"/>
      <c r="AG115" s="38"/>
      <c r="AH115" s="38"/>
      <c r="AI115" s="38"/>
      <c r="AJ115" s="38"/>
    </row>
    <row r="116" spans="1:36" ht="15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47"/>
      <c r="M116" s="38"/>
      <c r="N116" s="38"/>
      <c r="O116" s="38"/>
      <c r="P116" s="38"/>
      <c r="Q116" s="38"/>
      <c r="R116" s="38"/>
      <c r="S116" s="40"/>
      <c r="T116" s="38"/>
      <c r="U116" s="38"/>
      <c r="V116" s="38"/>
      <c r="W116" s="39"/>
      <c r="X116" s="40"/>
      <c r="Y116" s="38"/>
      <c r="Z116" s="38"/>
      <c r="AA116" s="39"/>
      <c r="AB116" s="38"/>
      <c r="AC116" s="38"/>
      <c r="AD116" s="38"/>
      <c r="AE116" s="38"/>
      <c r="AF116" s="38"/>
      <c r="AG116" s="38"/>
      <c r="AH116" s="38"/>
      <c r="AI116" s="38"/>
      <c r="AJ116" s="38"/>
    </row>
    <row r="117" spans="1:36" ht="15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47"/>
      <c r="M117" s="38"/>
      <c r="N117" s="38"/>
      <c r="O117" s="38"/>
      <c r="P117" s="38"/>
      <c r="Q117" s="38"/>
      <c r="R117" s="38"/>
      <c r="S117" s="40"/>
      <c r="T117" s="38"/>
      <c r="U117" s="38"/>
      <c r="V117" s="38"/>
      <c r="W117" s="39"/>
      <c r="X117" s="40"/>
      <c r="Y117" s="38"/>
      <c r="Z117" s="38"/>
      <c r="AA117" s="39"/>
      <c r="AB117" s="38"/>
      <c r="AC117" s="38"/>
      <c r="AD117" s="38"/>
      <c r="AE117" s="38"/>
      <c r="AF117" s="38"/>
      <c r="AG117" s="38"/>
      <c r="AH117" s="38"/>
      <c r="AI117" s="38"/>
      <c r="AJ117" s="38"/>
    </row>
    <row r="118" spans="1:36" ht="15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47"/>
      <c r="M118" s="38"/>
      <c r="N118" s="38"/>
      <c r="O118" s="38"/>
      <c r="P118" s="38"/>
      <c r="Q118" s="38"/>
      <c r="R118" s="38"/>
      <c r="S118" s="40"/>
      <c r="T118" s="38"/>
      <c r="U118" s="38"/>
      <c r="V118" s="38"/>
      <c r="W118" s="39"/>
      <c r="X118" s="40"/>
      <c r="Y118" s="38"/>
      <c r="Z118" s="38"/>
      <c r="AA118" s="39"/>
      <c r="AB118" s="38"/>
      <c r="AC118" s="38"/>
      <c r="AD118" s="38"/>
      <c r="AE118" s="38"/>
      <c r="AF118" s="38"/>
      <c r="AG118" s="38"/>
      <c r="AH118" s="38"/>
      <c r="AI118" s="38"/>
      <c r="AJ118" s="38"/>
    </row>
    <row r="119" spans="1:36" ht="15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47"/>
      <c r="M119" s="38"/>
      <c r="N119" s="38"/>
      <c r="O119" s="38"/>
      <c r="P119" s="38"/>
      <c r="Q119" s="38"/>
      <c r="R119" s="38"/>
      <c r="S119" s="40"/>
      <c r="T119" s="38"/>
      <c r="U119" s="38"/>
      <c r="V119" s="38"/>
      <c r="W119" s="39"/>
      <c r="X119" s="40"/>
      <c r="Y119" s="38"/>
      <c r="Z119" s="38"/>
      <c r="AA119" s="39"/>
      <c r="AB119" s="38"/>
      <c r="AC119" s="38"/>
      <c r="AD119" s="38"/>
      <c r="AE119" s="38"/>
      <c r="AF119" s="38"/>
      <c r="AG119" s="38"/>
      <c r="AH119" s="38"/>
      <c r="AI119" s="38"/>
      <c r="AJ119" s="38"/>
    </row>
    <row r="120" spans="1:36" ht="15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47"/>
      <c r="M120" s="38"/>
      <c r="N120" s="38"/>
      <c r="O120" s="38"/>
      <c r="P120" s="38"/>
      <c r="Q120" s="38"/>
      <c r="R120" s="38"/>
      <c r="S120" s="40"/>
      <c r="T120" s="38"/>
      <c r="U120" s="38"/>
      <c r="V120" s="38"/>
      <c r="W120" s="39"/>
      <c r="X120" s="40"/>
      <c r="Y120" s="38"/>
      <c r="Z120" s="38"/>
      <c r="AA120" s="39"/>
      <c r="AB120" s="38"/>
      <c r="AC120" s="38"/>
      <c r="AD120" s="38"/>
      <c r="AE120" s="38"/>
      <c r="AF120" s="38"/>
      <c r="AG120" s="38"/>
      <c r="AH120" s="38"/>
      <c r="AI120" s="38"/>
      <c r="AJ120" s="38"/>
    </row>
    <row r="121" spans="1:36" ht="15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47"/>
      <c r="M121" s="38"/>
      <c r="N121" s="38"/>
      <c r="O121" s="38"/>
      <c r="P121" s="38"/>
      <c r="Q121" s="38"/>
      <c r="R121" s="38"/>
      <c r="S121" s="40"/>
      <c r="T121" s="38"/>
      <c r="U121" s="38"/>
      <c r="V121" s="38"/>
      <c r="W121" s="39"/>
      <c r="X121" s="40"/>
      <c r="Y121" s="38"/>
      <c r="Z121" s="38"/>
      <c r="AA121" s="39"/>
      <c r="AB121" s="38"/>
      <c r="AC121" s="38"/>
      <c r="AD121" s="38"/>
      <c r="AE121" s="38"/>
      <c r="AF121" s="38"/>
      <c r="AG121" s="38"/>
      <c r="AH121" s="38"/>
      <c r="AI121" s="38"/>
      <c r="AJ121" s="38"/>
    </row>
    <row r="122" spans="1:36" ht="15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47"/>
      <c r="M122" s="38"/>
      <c r="N122" s="38"/>
      <c r="O122" s="38"/>
      <c r="P122" s="38"/>
      <c r="Q122" s="38"/>
      <c r="R122" s="38"/>
      <c r="S122" s="40"/>
      <c r="T122" s="38"/>
      <c r="U122" s="38"/>
      <c r="V122" s="38"/>
      <c r="W122" s="39"/>
      <c r="X122" s="40"/>
      <c r="Y122" s="38"/>
      <c r="Z122" s="38"/>
      <c r="AA122" s="39"/>
      <c r="AB122" s="38"/>
      <c r="AC122" s="38"/>
      <c r="AD122" s="38"/>
      <c r="AE122" s="38"/>
      <c r="AF122" s="38"/>
      <c r="AG122" s="38"/>
      <c r="AH122" s="38"/>
      <c r="AI122" s="38"/>
      <c r="AJ122" s="38"/>
    </row>
    <row r="123" spans="1:36" ht="15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47"/>
      <c r="M123" s="38"/>
      <c r="N123" s="38"/>
      <c r="O123" s="38"/>
      <c r="P123" s="38"/>
      <c r="Q123" s="38"/>
      <c r="R123" s="38"/>
      <c r="S123" s="40"/>
      <c r="T123" s="38"/>
      <c r="U123" s="38"/>
      <c r="V123" s="38"/>
      <c r="W123" s="39"/>
      <c r="X123" s="40"/>
      <c r="Y123" s="38"/>
      <c r="Z123" s="38"/>
      <c r="AA123" s="39"/>
      <c r="AB123" s="38"/>
      <c r="AC123" s="38"/>
      <c r="AD123" s="38"/>
      <c r="AE123" s="38"/>
      <c r="AF123" s="38"/>
      <c r="AG123" s="38"/>
      <c r="AH123" s="38"/>
      <c r="AI123" s="38"/>
      <c r="AJ123" s="38"/>
    </row>
    <row r="124" spans="1:36" ht="15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47"/>
      <c r="M124" s="38"/>
      <c r="N124" s="38"/>
      <c r="O124" s="38"/>
      <c r="P124" s="38"/>
      <c r="Q124" s="38"/>
      <c r="R124" s="38"/>
      <c r="S124" s="40"/>
      <c r="T124" s="38"/>
      <c r="U124" s="38"/>
      <c r="V124" s="38"/>
      <c r="W124" s="39"/>
      <c r="X124" s="40"/>
      <c r="Y124" s="38"/>
      <c r="Z124" s="38"/>
      <c r="AA124" s="39"/>
      <c r="AB124" s="38"/>
      <c r="AC124" s="38"/>
      <c r="AD124" s="38"/>
      <c r="AE124" s="38"/>
      <c r="AF124" s="38"/>
      <c r="AG124" s="38"/>
      <c r="AH124" s="38"/>
      <c r="AI124" s="38"/>
      <c r="AJ124" s="38"/>
    </row>
    <row r="125" spans="1:36" ht="15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47"/>
      <c r="M125" s="38"/>
      <c r="N125" s="38"/>
      <c r="O125" s="38"/>
      <c r="P125" s="38"/>
      <c r="Q125" s="38"/>
      <c r="R125" s="38"/>
      <c r="S125" s="40"/>
      <c r="T125" s="38"/>
      <c r="U125" s="38"/>
      <c r="V125" s="38"/>
      <c r="W125" s="39"/>
      <c r="X125" s="40"/>
      <c r="Y125" s="38"/>
      <c r="Z125" s="38"/>
      <c r="AA125" s="39"/>
      <c r="AB125" s="38"/>
      <c r="AC125" s="38"/>
      <c r="AD125" s="38"/>
      <c r="AE125" s="38"/>
      <c r="AF125" s="38"/>
      <c r="AG125" s="38"/>
      <c r="AH125" s="38"/>
      <c r="AI125" s="38"/>
      <c r="AJ125" s="38"/>
    </row>
    <row r="126" spans="1:36" ht="15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47"/>
      <c r="M126" s="38"/>
      <c r="N126" s="38"/>
      <c r="O126" s="38"/>
      <c r="P126" s="38"/>
      <c r="Q126" s="38"/>
      <c r="R126" s="38"/>
      <c r="S126" s="40"/>
      <c r="T126" s="38"/>
      <c r="U126" s="38"/>
      <c r="V126" s="38"/>
      <c r="W126" s="39"/>
      <c r="X126" s="40"/>
      <c r="Y126" s="38"/>
      <c r="Z126" s="38"/>
      <c r="AA126" s="39"/>
      <c r="AB126" s="38"/>
      <c r="AC126" s="38"/>
      <c r="AD126" s="38"/>
      <c r="AE126" s="38"/>
      <c r="AF126" s="38"/>
      <c r="AG126" s="38"/>
      <c r="AH126" s="38"/>
      <c r="AI126" s="38"/>
      <c r="AJ126" s="38"/>
    </row>
    <row r="127" spans="1:36" ht="15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47"/>
      <c r="M127" s="38"/>
      <c r="N127" s="38"/>
      <c r="O127" s="38"/>
      <c r="P127" s="38"/>
      <c r="Q127" s="38"/>
      <c r="R127" s="38"/>
      <c r="S127" s="40"/>
      <c r="T127" s="38"/>
      <c r="U127" s="38"/>
      <c r="V127" s="38"/>
      <c r="W127" s="39"/>
      <c r="X127" s="40"/>
      <c r="Y127" s="38"/>
      <c r="Z127" s="38"/>
      <c r="AA127" s="39"/>
      <c r="AB127" s="38"/>
      <c r="AC127" s="38"/>
      <c r="AD127" s="38"/>
      <c r="AE127" s="38"/>
      <c r="AF127" s="38"/>
      <c r="AG127" s="38"/>
      <c r="AH127" s="38"/>
      <c r="AI127" s="38"/>
      <c r="AJ127" s="38"/>
    </row>
    <row r="128" spans="1:36" ht="15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47"/>
      <c r="M128" s="38"/>
      <c r="N128" s="38"/>
      <c r="O128" s="38"/>
      <c r="P128" s="38"/>
      <c r="Q128" s="38"/>
      <c r="R128" s="38"/>
      <c r="S128" s="40"/>
      <c r="T128" s="38"/>
      <c r="U128" s="38"/>
      <c r="V128" s="38"/>
      <c r="W128" s="39"/>
      <c r="X128" s="40"/>
      <c r="Y128" s="38"/>
      <c r="Z128" s="38"/>
      <c r="AA128" s="39"/>
      <c r="AB128" s="38"/>
      <c r="AC128" s="38"/>
      <c r="AD128" s="38"/>
      <c r="AE128" s="38"/>
      <c r="AF128" s="38"/>
      <c r="AG128" s="38"/>
      <c r="AH128" s="38"/>
      <c r="AI128" s="38"/>
      <c r="AJ128" s="38"/>
    </row>
    <row r="129" spans="1:36" ht="15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47"/>
      <c r="M129" s="38"/>
      <c r="N129" s="38"/>
      <c r="O129" s="38"/>
      <c r="P129" s="38"/>
      <c r="Q129" s="38"/>
      <c r="R129" s="38"/>
      <c r="S129" s="40"/>
      <c r="T129" s="38"/>
      <c r="U129" s="38"/>
      <c r="V129" s="38"/>
      <c r="W129" s="39"/>
      <c r="X129" s="40"/>
      <c r="Y129" s="38"/>
      <c r="Z129" s="38"/>
      <c r="AA129" s="39"/>
      <c r="AB129" s="38"/>
      <c r="AC129" s="38"/>
      <c r="AD129" s="38"/>
      <c r="AE129" s="38"/>
      <c r="AF129" s="38"/>
      <c r="AG129" s="38"/>
      <c r="AH129" s="38"/>
      <c r="AI129" s="38"/>
      <c r="AJ129" s="38"/>
    </row>
    <row r="130" spans="1:36" ht="15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47"/>
      <c r="M130" s="38"/>
      <c r="N130" s="38"/>
      <c r="O130" s="38"/>
      <c r="P130" s="38"/>
      <c r="Q130" s="38"/>
      <c r="R130" s="38"/>
      <c r="S130" s="40"/>
      <c r="T130" s="38"/>
      <c r="U130" s="38"/>
      <c r="V130" s="38"/>
      <c r="W130" s="39"/>
      <c r="X130" s="40"/>
      <c r="Y130" s="38"/>
      <c r="Z130" s="38"/>
      <c r="AA130" s="39"/>
      <c r="AB130" s="38"/>
      <c r="AC130" s="38"/>
      <c r="AD130" s="38"/>
      <c r="AE130" s="38"/>
      <c r="AF130" s="38"/>
      <c r="AG130" s="38"/>
      <c r="AH130" s="38"/>
      <c r="AI130" s="38"/>
      <c r="AJ130" s="38"/>
    </row>
    <row r="131" spans="1:36" ht="15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47"/>
      <c r="M131" s="38"/>
      <c r="N131" s="38"/>
      <c r="O131" s="38"/>
      <c r="P131" s="38"/>
      <c r="Q131" s="38"/>
      <c r="R131" s="38"/>
      <c r="S131" s="40"/>
      <c r="T131" s="38"/>
      <c r="U131" s="38"/>
      <c r="V131" s="38"/>
      <c r="W131" s="39"/>
      <c r="X131" s="40"/>
      <c r="Y131" s="38"/>
      <c r="Z131" s="38"/>
      <c r="AA131" s="39"/>
      <c r="AB131" s="38"/>
      <c r="AC131" s="38"/>
      <c r="AD131" s="38"/>
      <c r="AE131" s="38"/>
      <c r="AF131" s="38"/>
      <c r="AG131" s="38"/>
      <c r="AH131" s="38"/>
      <c r="AI131" s="38"/>
      <c r="AJ131" s="38"/>
    </row>
    <row r="132" spans="1:36" ht="15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47"/>
      <c r="M132" s="38"/>
      <c r="N132" s="38"/>
      <c r="O132" s="38"/>
      <c r="P132" s="38"/>
      <c r="Q132" s="38"/>
      <c r="R132" s="38"/>
      <c r="S132" s="40"/>
      <c r="T132" s="38"/>
      <c r="U132" s="38"/>
      <c r="V132" s="38"/>
      <c r="W132" s="39"/>
      <c r="X132" s="40"/>
      <c r="Y132" s="38"/>
      <c r="Z132" s="38"/>
      <c r="AA132" s="39"/>
      <c r="AB132" s="38"/>
      <c r="AC132" s="38"/>
      <c r="AD132" s="38"/>
      <c r="AE132" s="38"/>
      <c r="AF132" s="38"/>
      <c r="AG132" s="38"/>
      <c r="AH132" s="38"/>
      <c r="AI132" s="38"/>
      <c r="AJ132" s="38"/>
    </row>
    <row r="133" spans="1:36" ht="15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47"/>
      <c r="M133" s="38"/>
      <c r="N133" s="38"/>
      <c r="O133" s="38"/>
      <c r="P133" s="38"/>
      <c r="Q133" s="38"/>
      <c r="R133" s="38"/>
      <c r="S133" s="40"/>
      <c r="T133" s="38"/>
      <c r="U133" s="38"/>
      <c r="V133" s="38"/>
      <c r="W133" s="39"/>
      <c r="X133" s="40"/>
      <c r="Y133" s="38"/>
      <c r="Z133" s="38"/>
      <c r="AA133" s="39"/>
      <c r="AB133" s="38"/>
      <c r="AC133" s="38"/>
      <c r="AD133" s="38"/>
      <c r="AE133" s="38"/>
      <c r="AF133" s="38"/>
      <c r="AG133" s="38"/>
      <c r="AH133" s="38"/>
      <c r="AI133" s="38"/>
      <c r="AJ133" s="38"/>
    </row>
    <row r="134" spans="1:36" ht="15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47"/>
      <c r="M134" s="38"/>
      <c r="N134" s="38"/>
      <c r="O134" s="38"/>
      <c r="P134" s="38"/>
      <c r="Q134" s="38"/>
      <c r="R134" s="38"/>
      <c r="S134" s="40"/>
      <c r="T134" s="38"/>
      <c r="U134" s="38"/>
      <c r="V134" s="38"/>
      <c r="W134" s="39"/>
      <c r="X134" s="40"/>
      <c r="Y134" s="38"/>
      <c r="Z134" s="38"/>
      <c r="AA134" s="39"/>
      <c r="AB134" s="38"/>
      <c r="AC134" s="38"/>
      <c r="AD134" s="38"/>
      <c r="AE134" s="38"/>
      <c r="AF134" s="38"/>
      <c r="AG134" s="38"/>
      <c r="AH134" s="38"/>
      <c r="AI134" s="38"/>
      <c r="AJ134" s="38"/>
    </row>
    <row r="135" spans="1:36" ht="15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47"/>
      <c r="M135" s="38"/>
      <c r="N135" s="38"/>
      <c r="O135" s="38"/>
      <c r="P135" s="38"/>
      <c r="Q135" s="38"/>
      <c r="R135" s="38"/>
      <c r="S135" s="40"/>
      <c r="T135" s="38"/>
      <c r="U135" s="38"/>
      <c r="V135" s="38"/>
      <c r="W135" s="39"/>
      <c r="X135" s="40"/>
      <c r="Y135" s="38"/>
      <c r="Z135" s="38"/>
      <c r="AA135" s="39"/>
      <c r="AB135" s="38"/>
      <c r="AC135" s="38"/>
      <c r="AD135" s="38"/>
      <c r="AE135" s="38"/>
      <c r="AF135" s="38"/>
      <c r="AG135" s="38"/>
      <c r="AH135" s="38"/>
      <c r="AI135" s="38"/>
      <c r="AJ135" s="38"/>
    </row>
    <row r="136" spans="1:36" ht="15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47"/>
      <c r="M136" s="38"/>
      <c r="N136" s="38"/>
      <c r="O136" s="38"/>
      <c r="P136" s="38"/>
      <c r="Q136" s="38"/>
      <c r="R136" s="38"/>
      <c r="S136" s="40"/>
      <c r="T136" s="38"/>
      <c r="U136" s="38"/>
      <c r="V136" s="38"/>
      <c r="W136" s="39"/>
      <c r="X136" s="40"/>
      <c r="Y136" s="38"/>
      <c r="Z136" s="38"/>
      <c r="AA136" s="39"/>
      <c r="AB136" s="38"/>
      <c r="AC136" s="38"/>
      <c r="AD136" s="38"/>
      <c r="AE136" s="38"/>
      <c r="AF136" s="38"/>
      <c r="AG136" s="38"/>
      <c r="AH136" s="38"/>
      <c r="AI136" s="38"/>
      <c r="AJ136" s="38"/>
    </row>
    <row r="137" spans="1:36" ht="15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47"/>
      <c r="M137" s="38"/>
      <c r="N137" s="38"/>
      <c r="O137" s="38"/>
      <c r="P137" s="38"/>
      <c r="Q137" s="38"/>
      <c r="R137" s="38"/>
      <c r="S137" s="40"/>
      <c r="T137" s="38"/>
      <c r="U137" s="38"/>
      <c r="V137" s="38"/>
      <c r="W137" s="39"/>
      <c r="X137" s="40"/>
      <c r="Y137" s="38"/>
      <c r="Z137" s="38"/>
      <c r="AA137" s="39"/>
      <c r="AB137" s="38"/>
      <c r="AC137" s="38"/>
      <c r="AD137" s="38"/>
      <c r="AE137" s="38"/>
      <c r="AF137" s="38"/>
      <c r="AG137" s="38"/>
      <c r="AH137" s="38"/>
      <c r="AI137" s="38"/>
      <c r="AJ137" s="38"/>
    </row>
    <row r="138" spans="1:36" ht="15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47"/>
      <c r="M138" s="38"/>
      <c r="N138" s="38"/>
      <c r="O138" s="38"/>
      <c r="P138" s="38"/>
      <c r="Q138" s="38"/>
      <c r="R138" s="38"/>
      <c r="S138" s="40"/>
      <c r="T138" s="38"/>
      <c r="U138" s="38"/>
      <c r="V138" s="38"/>
      <c r="W138" s="39"/>
      <c r="X138" s="40"/>
      <c r="Y138" s="38"/>
      <c r="Z138" s="38"/>
      <c r="AA138" s="39"/>
      <c r="AB138" s="38"/>
      <c r="AC138" s="38"/>
      <c r="AD138" s="38"/>
      <c r="AE138" s="38"/>
      <c r="AF138" s="38"/>
      <c r="AG138" s="38"/>
      <c r="AH138" s="38"/>
      <c r="AI138" s="38"/>
      <c r="AJ138" s="38"/>
    </row>
    <row r="139" spans="1:36" ht="15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47"/>
      <c r="M139" s="38"/>
      <c r="N139" s="38"/>
      <c r="O139" s="38"/>
      <c r="P139" s="38"/>
      <c r="Q139" s="38"/>
      <c r="R139" s="38"/>
      <c r="S139" s="40"/>
      <c r="T139" s="38"/>
      <c r="U139" s="38"/>
      <c r="V139" s="38"/>
      <c r="W139" s="39"/>
      <c r="X139" s="40"/>
      <c r="Y139" s="38"/>
      <c r="Z139" s="38"/>
      <c r="AA139" s="39"/>
      <c r="AB139" s="38"/>
      <c r="AC139" s="38"/>
      <c r="AD139" s="38"/>
      <c r="AE139" s="38"/>
      <c r="AF139" s="38"/>
      <c r="AG139" s="38"/>
      <c r="AH139" s="38"/>
      <c r="AI139" s="38"/>
      <c r="AJ139" s="38"/>
    </row>
    <row r="140" spans="1:36" ht="15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47"/>
      <c r="M140" s="38"/>
      <c r="N140" s="38"/>
      <c r="O140" s="38"/>
      <c r="P140" s="38"/>
      <c r="Q140" s="38"/>
      <c r="R140" s="38"/>
      <c r="S140" s="40"/>
      <c r="T140" s="38"/>
      <c r="U140" s="38"/>
      <c r="V140" s="38"/>
      <c r="W140" s="39"/>
      <c r="X140" s="40"/>
      <c r="Y140" s="38"/>
      <c r="Z140" s="38"/>
      <c r="AA140" s="39"/>
      <c r="AB140" s="38"/>
      <c r="AC140" s="38"/>
      <c r="AD140" s="38"/>
      <c r="AE140" s="38"/>
      <c r="AF140" s="38"/>
      <c r="AG140" s="38"/>
      <c r="AH140" s="38"/>
      <c r="AI140" s="38"/>
      <c r="AJ140" s="38"/>
    </row>
    <row r="141" spans="1:36" ht="15" x14ac:dyDescent="0.25">
      <c r="A141" s="38"/>
      <c r="B141" s="38"/>
      <c r="C141" s="38"/>
      <c r="D141" s="41"/>
      <c r="E141" s="38"/>
      <c r="F141" s="38"/>
      <c r="G141" s="38"/>
      <c r="H141" s="38"/>
      <c r="I141" s="38"/>
      <c r="J141" s="38"/>
      <c r="K141" s="38"/>
      <c r="L141" s="47"/>
      <c r="M141" s="38"/>
      <c r="N141" s="38"/>
      <c r="O141" s="38"/>
      <c r="P141" s="38"/>
      <c r="Q141" s="38"/>
      <c r="R141" s="38"/>
      <c r="S141" s="40"/>
      <c r="T141" s="38"/>
      <c r="U141" s="38"/>
      <c r="V141" s="38"/>
      <c r="W141" s="39"/>
      <c r="X141" s="40"/>
      <c r="Y141" s="38"/>
      <c r="Z141" s="38"/>
      <c r="AA141" s="39"/>
      <c r="AB141" s="38"/>
      <c r="AC141" s="38"/>
      <c r="AD141" s="38"/>
      <c r="AE141" s="38"/>
      <c r="AF141" s="38"/>
      <c r="AG141" s="38"/>
      <c r="AH141" s="38"/>
      <c r="AI141" s="38"/>
      <c r="AJ141" s="38"/>
    </row>
    <row r="142" spans="1:36" ht="15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47"/>
      <c r="M142" s="38"/>
      <c r="N142" s="38"/>
      <c r="O142" s="38"/>
      <c r="P142" s="38"/>
      <c r="Q142" s="38"/>
      <c r="R142" s="38"/>
      <c r="S142" s="40"/>
      <c r="T142" s="38"/>
      <c r="U142" s="38"/>
      <c r="V142" s="38"/>
      <c r="W142" s="39"/>
      <c r="X142" s="40"/>
      <c r="Y142" s="38"/>
      <c r="Z142" s="38"/>
      <c r="AA142" s="39"/>
      <c r="AB142" s="38"/>
      <c r="AC142" s="38"/>
      <c r="AD142" s="38"/>
      <c r="AE142" s="38"/>
      <c r="AF142" s="38"/>
      <c r="AG142" s="38"/>
      <c r="AH142" s="38"/>
      <c r="AI142" s="38"/>
      <c r="AJ142" s="38"/>
    </row>
    <row r="143" spans="1:36" ht="15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47"/>
      <c r="M143" s="38"/>
      <c r="N143" s="38"/>
      <c r="O143" s="38"/>
      <c r="P143" s="38"/>
      <c r="Q143" s="38"/>
      <c r="R143" s="38"/>
      <c r="S143" s="40"/>
      <c r="T143" s="38"/>
      <c r="U143" s="38"/>
      <c r="V143" s="38"/>
      <c r="W143" s="39"/>
      <c r="X143" s="40"/>
      <c r="Y143" s="38"/>
      <c r="Z143" s="38"/>
      <c r="AA143" s="39"/>
      <c r="AB143" s="38"/>
      <c r="AC143" s="38"/>
      <c r="AD143" s="38"/>
      <c r="AE143" s="38"/>
      <c r="AF143" s="38"/>
      <c r="AG143" s="38"/>
      <c r="AH143" s="38"/>
      <c r="AI143" s="38"/>
      <c r="AJ143" s="38"/>
    </row>
    <row r="144" spans="1:36" ht="15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47"/>
      <c r="M144" s="38"/>
      <c r="N144" s="38"/>
      <c r="O144" s="38"/>
      <c r="P144" s="38"/>
      <c r="Q144" s="38"/>
      <c r="R144" s="38"/>
      <c r="S144" s="40"/>
      <c r="T144" s="38"/>
      <c r="U144" s="38"/>
      <c r="V144" s="38"/>
      <c r="W144" s="39"/>
      <c r="X144" s="40"/>
      <c r="Y144" s="38"/>
      <c r="Z144" s="38"/>
      <c r="AA144" s="39"/>
      <c r="AB144" s="38"/>
      <c r="AC144" s="38"/>
      <c r="AD144" s="38"/>
      <c r="AE144" s="38"/>
      <c r="AF144" s="38"/>
      <c r="AG144" s="38"/>
      <c r="AH144" s="38"/>
      <c r="AI144" s="38"/>
      <c r="AJ144" s="38"/>
    </row>
    <row r="145" spans="1:36" ht="15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47"/>
      <c r="M145" s="38"/>
      <c r="N145" s="38"/>
      <c r="O145" s="38"/>
      <c r="P145" s="38"/>
      <c r="Q145" s="38"/>
      <c r="R145" s="38"/>
      <c r="S145" s="40"/>
      <c r="T145" s="38"/>
      <c r="U145" s="38"/>
      <c r="V145" s="38"/>
      <c r="W145" s="39"/>
      <c r="X145" s="40"/>
      <c r="Y145" s="38"/>
      <c r="Z145" s="38"/>
      <c r="AA145" s="39"/>
      <c r="AB145" s="38"/>
      <c r="AC145" s="38"/>
      <c r="AD145" s="38"/>
      <c r="AE145" s="38"/>
      <c r="AF145" s="38"/>
      <c r="AG145" s="38"/>
      <c r="AH145" s="38"/>
      <c r="AI145" s="38"/>
      <c r="AJ145" s="38"/>
    </row>
    <row r="146" spans="1:36" ht="15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47"/>
      <c r="M146" s="38"/>
      <c r="N146" s="38"/>
      <c r="O146" s="38"/>
      <c r="P146" s="38"/>
      <c r="Q146" s="38"/>
      <c r="R146" s="38"/>
      <c r="S146" s="40"/>
      <c r="T146" s="38"/>
      <c r="U146" s="38"/>
      <c r="V146" s="38"/>
      <c r="W146" s="39"/>
      <c r="X146" s="40"/>
      <c r="Y146" s="38"/>
      <c r="Z146" s="38"/>
      <c r="AA146" s="39"/>
      <c r="AB146" s="38"/>
      <c r="AC146" s="38"/>
      <c r="AD146" s="38"/>
      <c r="AE146" s="38"/>
      <c r="AF146" s="38"/>
      <c r="AG146" s="38"/>
      <c r="AH146" s="38"/>
      <c r="AI146" s="38"/>
      <c r="AJ146" s="38"/>
    </row>
    <row r="147" spans="1:36" ht="15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47"/>
      <c r="M147" s="38"/>
      <c r="N147" s="38"/>
      <c r="O147" s="38"/>
      <c r="P147" s="38"/>
      <c r="Q147" s="38"/>
      <c r="R147" s="38"/>
      <c r="S147" s="40"/>
      <c r="T147" s="38"/>
      <c r="U147" s="38"/>
      <c r="V147" s="38"/>
      <c r="W147" s="39"/>
      <c r="X147" s="40"/>
      <c r="Y147" s="38"/>
      <c r="Z147" s="38"/>
      <c r="AA147" s="39"/>
      <c r="AB147" s="38"/>
      <c r="AC147" s="38"/>
      <c r="AD147" s="38"/>
      <c r="AE147" s="38"/>
      <c r="AF147" s="38"/>
      <c r="AG147" s="38"/>
      <c r="AH147" s="38"/>
      <c r="AI147" s="38"/>
      <c r="AJ147" s="38"/>
    </row>
    <row r="148" spans="1:36" ht="15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47"/>
      <c r="M148" s="38"/>
      <c r="N148" s="38"/>
      <c r="O148" s="38"/>
      <c r="P148" s="38"/>
      <c r="Q148" s="38"/>
      <c r="R148" s="38"/>
      <c r="S148" s="40"/>
      <c r="T148" s="38"/>
      <c r="U148" s="38"/>
      <c r="V148" s="38"/>
      <c r="W148" s="39"/>
      <c r="X148" s="40"/>
      <c r="Y148" s="38"/>
      <c r="Z148" s="38"/>
      <c r="AA148" s="39"/>
      <c r="AB148" s="38"/>
      <c r="AC148" s="38"/>
      <c r="AD148" s="38"/>
      <c r="AE148" s="38"/>
      <c r="AF148" s="38"/>
      <c r="AG148" s="38"/>
      <c r="AH148" s="38"/>
      <c r="AI148" s="38"/>
      <c r="AJ148" s="38"/>
    </row>
    <row r="149" spans="1:36" ht="12.75" x14ac:dyDescent="0.2">
      <c r="L149" s="48"/>
      <c r="S149" s="37"/>
      <c r="W149" s="36"/>
    </row>
    <row r="150" spans="1:36" ht="12.75" x14ac:dyDescent="0.2">
      <c r="L150" s="48"/>
      <c r="S150" s="37"/>
      <c r="W150" s="36"/>
    </row>
    <row r="151" spans="1:36" ht="12.75" x14ac:dyDescent="0.2">
      <c r="L151" s="48"/>
      <c r="S151" s="37"/>
      <c r="W151" s="36"/>
    </row>
    <row r="152" spans="1:36" ht="12.75" x14ac:dyDescent="0.2">
      <c r="L152" s="48"/>
      <c r="S152" s="37"/>
      <c r="W152" s="36"/>
    </row>
    <row r="153" spans="1:36" ht="12.75" x14ac:dyDescent="0.2">
      <c r="L153" s="48"/>
      <c r="S153" s="37"/>
      <c r="W153" s="36"/>
    </row>
    <row r="154" spans="1:36" ht="12.75" x14ac:dyDescent="0.2">
      <c r="L154" s="48"/>
      <c r="S154" s="37"/>
      <c r="W154" s="36"/>
    </row>
    <row r="155" spans="1:36" ht="12.75" x14ac:dyDescent="0.2">
      <c r="L155" s="48"/>
      <c r="S155" s="37"/>
      <c r="W155" s="36"/>
    </row>
    <row r="156" spans="1:36" ht="12.75" x14ac:dyDescent="0.2">
      <c r="L156" s="48"/>
      <c r="S156" s="37"/>
      <c r="W156" s="36"/>
    </row>
    <row r="157" spans="1:36" ht="12.75" x14ac:dyDescent="0.2">
      <c r="L157" s="48"/>
      <c r="S157" s="37"/>
      <c r="W157" s="36"/>
    </row>
    <row r="158" spans="1:36" ht="12.75" x14ac:dyDescent="0.2">
      <c r="L158" s="48"/>
      <c r="S158" s="37"/>
      <c r="W158" s="36"/>
    </row>
    <row r="159" spans="1:36" ht="12.75" x14ac:dyDescent="0.2">
      <c r="L159" s="48"/>
      <c r="S159" s="37"/>
      <c r="W159" s="36"/>
    </row>
    <row r="160" spans="1:36" ht="12.75" x14ac:dyDescent="0.2">
      <c r="L160" s="48"/>
      <c r="S160" s="37"/>
      <c r="W160" s="36"/>
    </row>
    <row r="161" spans="12:23" ht="12.75" x14ac:dyDescent="0.2">
      <c r="L161" s="48"/>
      <c r="S161" s="37"/>
      <c r="W161" s="36"/>
    </row>
    <row r="162" spans="12:23" ht="12.75" x14ac:dyDescent="0.2">
      <c r="L162" s="48"/>
      <c r="S162" s="37"/>
      <c r="W162" s="36"/>
    </row>
    <row r="163" spans="12:23" ht="12.75" x14ac:dyDescent="0.2">
      <c r="L163" s="48"/>
      <c r="S163" s="37"/>
      <c r="W163" s="36"/>
    </row>
    <row r="164" spans="12:23" ht="12.75" x14ac:dyDescent="0.2">
      <c r="L164" s="48"/>
      <c r="S164" s="37"/>
      <c r="W164" s="36"/>
    </row>
    <row r="165" spans="12:23" ht="12.75" x14ac:dyDescent="0.2">
      <c r="L165" s="48"/>
      <c r="S165" s="37"/>
      <c r="W165" s="36"/>
    </row>
    <row r="166" spans="12:23" ht="12.75" x14ac:dyDescent="0.2">
      <c r="L166" s="48"/>
      <c r="S166" s="37"/>
      <c r="W166" s="36"/>
    </row>
    <row r="167" spans="12:23" ht="12.75" x14ac:dyDescent="0.2">
      <c r="L167" s="48"/>
      <c r="S167" s="37"/>
      <c r="W167" s="36"/>
    </row>
    <row r="168" spans="12:23" ht="12.75" x14ac:dyDescent="0.2">
      <c r="L168" s="48"/>
      <c r="S168" s="37"/>
      <c r="W168" s="36"/>
    </row>
    <row r="169" spans="12:23" ht="12.75" x14ac:dyDescent="0.2">
      <c r="L169" s="48"/>
      <c r="S169" s="37"/>
      <c r="W169" s="36"/>
    </row>
    <row r="170" spans="12:23" ht="12.75" x14ac:dyDescent="0.2">
      <c r="L170" s="48"/>
      <c r="S170" s="37"/>
      <c r="W170" s="36"/>
    </row>
    <row r="171" spans="12:23" ht="12.75" x14ac:dyDescent="0.2">
      <c r="L171" s="48"/>
      <c r="S171" s="37"/>
      <c r="W171" s="36"/>
    </row>
    <row r="172" spans="12:23" ht="12.75" x14ac:dyDescent="0.2">
      <c r="L172" s="48"/>
      <c r="S172" s="37"/>
      <c r="W172" s="36"/>
    </row>
    <row r="173" spans="12:23" ht="12.75" x14ac:dyDescent="0.2">
      <c r="L173" s="48"/>
      <c r="S173" s="37"/>
      <c r="W173" s="36"/>
    </row>
    <row r="174" spans="12:23" ht="12.75" x14ac:dyDescent="0.2">
      <c r="L174" s="48"/>
      <c r="S174" s="37"/>
      <c r="W174" s="36"/>
    </row>
    <row r="175" spans="12:23" ht="12.75" x14ac:dyDescent="0.2">
      <c r="L175" s="48"/>
      <c r="S175" s="37"/>
      <c r="W175" s="36"/>
    </row>
    <row r="176" spans="12:23" ht="12.75" x14ac:dyDescent="0.2">
      <c r="L176" s="48"/>
      <c r="S176" s="37"/>
      <c r="W176" s="36"/>
    </row>
    <row r="177" spans="12:23" ht="12.75" x14ac:dyDescent="0.2">
      <c r="L177" s="48"/>
      <c r="S177" s="37"/>
      <c r="W177" s="36"/>
    </row>
    <row r="178" spans="12:23" ht="12.75" x14ac:dyDescent="0.2">
      <c r="L178" s="48"/>
      <c r="S178" s="37"/>
      <c r="W178" s="36"/>
    </row>
    <row r="179" spans="12:23" ht="12.75" x14ac:dyDescent="0.2">
      <c r="L179" s="48"/>
      <c r="S179" s="37"/>
      <c r="W179" s="36"/>
    </row>
    <row r="180" spans="12:23" ht="12.75" x14ac:dyDescent="0.2">
      <c r="L180" s="48"/>
      <c r="S180" s="37"/>
      <c r="W180" s="36"/>
    </row>
    <row r="181" spans="12:23" ht="12.75" x14ac:dyDescent="0.2">
      <c r="L181" s="48"/>
      <c r="S181" s="37"/>
      <c r="W181" s="36"/>
    </row>
    <row r="182" spans="12:23" ht="12.75" x14ac:dyDescent="0.2">
      <c r="L182" s="48"/>
      <c r="S182" s="37"/>
      <c r="W182" s="36"/>
    </row>
    <row r="183" spans="12:23" ht="12.75" x14ac:dyDescent="0.2">
      <c r="L183" s="48"/>
      <c r="S183" s="37"/>
      <c r="W183" s="36"/>
    </row>
    <row r="184" spans="12:23" ht="12.75" x14ac:dyDescent="0.2">
      <c r="L184" s="48"/>
      <c r="S184" s="37"/>
      <c r="W184" s="36"/>
    </row>
    <row r="185" spans="12:23" ht="12.75" x14ac:dyDescent="0.2">
      <c r="L185" s="48"/>
      <c r="S185" s="37"/>
      <c r="W185" s="36"/>
    </row>
    <row r="186" spans="12:23" ht="12.75" x14ac:dyDescent="0.2">
      <c r="L186" s="48"/>
      <c r="S186" s="37"/>
      <c r="W186" s="36"/>
    </row>
    <row r="187" spans="12:23" ht="12.75" x14ac:dyDescent="0.2">
      <c r="L187" s="48"/>
      <c r="S187" s="37"/>
      <c r="W187" s="36"/>
    </row>
    <row r="188" spans="12:23" ht="12.75" x14ac:dyDescent="0.2">
      <c r="L188" s="48"/>
      <c r="S188" s="37"/>
      <c r="W188" s="36"/>
    </row>
    <row r="189" spans="12:23" ht="12.75" x14ac:dyDescent="0.2">
      <c r="L189" s="48"/>
      <c r="S189" s="37"/>
      <c r="W189" s="36"/>
    </row>
    <row r="190" spans="12:23" ht="12.75" x14ac:dyDescent="0.2">
      <c r="L190" s="48"/>
      <c r="S190" s="37"/>
      <c r="W190" s="36"/>
    </row>
    <row r="191" spans="12:23" ht="12.75" x14ac:dyDescent="0.2">
      <c r="L191" s="48"/>
      <c r="S191" s="37"/>
      <c r="W191" s="36"/>
    </row>
    <row r="192" spans="12:23" ht="12.75" x14ac:dyDescent="0.2">
      <c r="L192" s="48"/>
      <c r="S192" s="37"/>
      <c r="W192" s="36"/>
    </row>
    <row r="193" spans="12:23" ht="12.75" x14ac:dyDescent="0.2">
      <c r="L193" s="48"/>
      <c r="S193" s="37"/>
      <c r="W193" s="36"/>
    </row>
    <row r="194" spans="12:23" ht="12.75" x14ac:dyDescent="0.2">
      <c r="L194" s="48"/>
      <c r="S194" s="37"/>
      <c r="W194" s="36"/>
    </row>
    <row r="195" spans="12:23" ht="12.75" x14ac:dyDescent="0.2">
      <c r="L195" s="48"/>
      <c r="S195" s="37"/>
      <c r="W195" s="36"/>
    </row>
    <row r="196" spans="12:23" ht="12.75" x14ac:dyDescent="0.2">
      <c r="L196" s="48"/>
      <c r="S196" s="37"/>
      <c r="W196" s="36"/>
    </row>
    <row r="197" spans="12:23" ht="12.75" x14ac:dyDescent="0.2">
      <c r="L197" s="48"/>
      <c r="S197" s="37"/>
      <c r="W197" s="36"/>
    </row>
    <row r="198" spans="12:23" ht="12.75" x14ac:dyDescent="0.2">
      <c r="L198" s="48"/>
      <c r="S198" s="37"/>
      <c r="W198" s="36"/>
    </row>
    <row r="199" spans="12:23" ht="12.75" x14ac:dyDescent="0.2">
      <c r="L199" s="48"/>
      <c r="S199" s="37"/>
      <c r="W199" s="36"/>
    </row>
    <row r="200" spans="12:23" ht="12.75" x14ac:dyDescent="0.2">
      <c r="L200" s="48"/>
      <c r="S200" s="37"/>
      <c r="W200" s="36"/>
    </row>
    <row r="201" spans="12:23" ht="12.75" x14ac:dyDescent="0.2">
      <c r="L201" s="48"/>
      <c r="S201" s="37"/>
      <c r="W201" s="36"/>
    </row>
    <row r="202" spans="12:23" ht="12.75" x14ac:dyDescent="0.2">
      <c r="L202" s="48"/>
      <c r="S202" s="37"/>
      <c r="W202" s="36"/>
    </row>
    <row r="203" spans="12:23" ht="12.75" x14ac:dyDescent="0.2">
      <c r="L203" s="48"/>
      <c r="S203" s="37"/>
      <c r="W203" s="36"/>
    </row>
    <row r="204" spans="12:23" ht="12.75" x14ac:dyDescent="0.2">
      <c r="L204" s="48"/>
      <c r="S204" s="37"/>
      <c r="W204" s="36"/>
    </row>
    <row r="205" spans="12:23" ht="12.75" x14ac:dyDescent="0.2">
      <c r="L205" s="48"/>
      <c r="S205" s="37"/>
      <c r="W205" s="36"/>
    </row>
    <row r="206" spans="12:23" ht="12.75" x14ac:dyDescent="0.2">
      <c r="L206" s="48"/>
      <c r="S206" s="37"/>
      <c r="W206" s="36"/>
    </row>
    <row r="207" spans="12:23" ht="12.75" x14ac:dyDescent="0.2">
      <c r="L207" s="48"/>
      <c r="S207" s="37"/>
      <c r="W207" s="36"/>
    </row>
    <row r="208" spans="12:23" ht="12.75" x14ac:dyDescent="0.2">
      <c r="L208" s="48"/>
      <c r="S208" s="37"/>
      <c r="W208" s="36"/>
    </row>
    <row r="209" spans="12:23" ht="12.75" x14ac:dyDescent="0.2">
      <c r="L209" s="48"/>
      <c r="S209" s="37"/>
      <c r="W209" s="36"/>
    </row>
    <row r="210" spans="12:23" ht="12.75" x14ac:dyDescent="0.2">
      <c r="L210" s="48"/>
      <c r="S210" s="37"/>
      <c r="W210" s="36"/>
    </row>
    <row r="211" spans="12:23" ht="12.75" x14ac:dyDescent="0.2">
      <c r="L211" s="48"/>
      <c r="S211" s="37"/>
      <c r="W211" s="36"/>
    </row>
    <row r="212" spans="12:23" ht="12.75" x14ac:dyDescent="0.2">
      <c r="L212" s="48"/>
      <c r="S212" s="37"/>
      <c r="W212" s="36"/>
    </row>
    <row r="213" spans="12:23" ht="12.75" x14ac:dyDescent="0.2">
      <c r="L213" s="48"/>
      <c r="S213" s="37"/>
      <c r="W213" s="36"/>
    </row>
    <row r="214" spans="12:23" ht="12.75" x14ac:dyDescent="0.2">
      <c r="L214" s="48"/>
      <c r="S214" s="37"/>
      <c r="W214" s="36"/>
    </row>
    <row r="215" spans="12:23" ht="12.75" x14ac:dyDescent="0.2">
      <c r="L215" s="48"/>
      <c r="S215" s="37"/>
      <c r="W215" s="36"/>
    </row>
    <row r="216" spans="12:23" ht="12.75" x14ac:dyDescent="0.2">
      <c r="L216" s="48"/>
      <c r="S216" s="37"/>
      <c r="W216" s="36"/>
    </row>
    <row r="217" spans="12:23" ht="12.75" x14ac:dyDescent="0.2">
      <c r="L217" s="48"/>
      <c r="S217" s="37"/>
      <c r="W217" s="36"/>
    </row>
    <row r="218" spans="12:23" ht="12.75" x14ac:dyDescent="0.2">
      <c r="L218" s="48"/>
      <c r="S218" s="37"/>
      <c r="W218" s="36"/>
    </row>
    <row r="219" spans="12:23" ht="12.75" x14ac:dyDescent="0.2">
      <c r="L219" s="48"/>
      <c r="S219" s="37"/>
      <c r="W219" s="36"/>
    </row>
    <row r="220" spans="12:23" ht="12.75" x14ac:dyDescent="0.2">
      <c r="L220" s="48"/>
      <c r="S220" s="37"/>
      <c r="W220" s="36"/>
    </row>
    <row r="221" spans="12:23" ht="12.75" x14ac:dyDescent="0.2">
      <c r="L221" s="36"/>
      <c r="S221" s="37"/>
      <c r="W221" s="36"/>
    </row>
    <row r="222" spans="12:23" ht="12.75" x14ac:dyDescent="0.2">
      <c r="L222" s="36"/>
      <c r="S222" s="37"/>
      <c r="W222" s="36"/>
    </row>
    <row r="223" spans="12:23" ht="12.75" x14ac:dyDescent="0.2">
      <c r="L223" s="36"/>
      <c r="S223" s="37"/>
      <c r="W223" s="36"/>
    </row>
    <row r="224" spans="12:23" ht="12.75" x14ac:dyDescent="0.2">
      <c r="L224" s="36"/>
      <c r="S224" s="37"/>
      <c r="W224" s="36"/>
    </row>
    <row r="225" spans="12:23" ht="12.75" x14ac:dyDescent="0.2">
      <c r="L225" s="36"/>
      <c r="S225" s="37"/>
      <c r="W225" s="36"/>
    </row>
    <row r="226" spans="12:23" ht="12.75" x14ac:dyDescent="0.2">
      <c r="L226" s="36"/>
      <c r="S226" s="37"/>
      <c r="W226" s="36"/>
    </row>
    <row r="227" spans="12:23" ht="12.75" x14ac:dyDescent="0.2">
      <c r="L227" s="36"/>
      <c r="S227" s="37"/>
      <c r="W227" s="36"/>
    </row>
    <row r="228" spans="12:23" ht="12.75" x14ac:dyDescent="0.2">
      <c r="L228" s="36"/>
      <c r="S228" s="37"/>
      <c r="W228" s="36"/>
    </row>
    <row r="229" spans="12:23" ht="12.75" x14ac:dyDescent="0.2">
      <c r="L229" s="36"/>
      <c r="S229" s="37"/>
      <c r="W229" s="36"/>
    </row>
    <row r="230" spans="12:23" ht="12.75" x14ac:dyDescent="0.2">
      <c r="L230" s="36"/>
      <c r="S230" s="37"/>
      <c r="W230" s="36"/>
    </row>
    <row r="231" spans="12:23" ht="12.75" x14ac:dyDescent="0.2">
      <c r="L231" s="36"/>
      <c r="S231" s="37"/>
      <c r="W231" s="36"/>
    </row>
    <row r="232" spans="12:23" ht="12.75" x14ac:dyDescent="0.2">
      <c r="L232" s="36"/>
      <c r="S232" s="37"/>
      <c r="W232" s="36"/>
    </row>
    <row r="233" spans="12:23" ht="12.75" x14ac:dyDescent="0.2">
      <c r="L233" s="36"/>
      <c r="S233" s="37"/>
      <c r="W233" s="36"/>
    </row>
    <row r="234" spans="12:23" ht="12.75" x14ac:dyDescent="0.2">
      <c r="L234" s="36"/>
      <c r="S234" s="37"/>
      <c r="W234" s="36"/>
    </row>
    <row r="235" spans="12:23" ht="12.75" x14ac:dyDescent="0.2">
      <c r="L235" s="36"/>
      <c r="S235" s="37"/>
      <c r="W235" s="36"/>
    </row>
    <row r="236" spans="12:23" ht="12.75" x14ac:dyDescent="0.2">
      <c r="L236" s="36"/>
      <c r="S236" s="37"/>
      <c r="W236" s="36"/>
    </row>
    <row r="237" spans="12:23" ht="12.75" x14ac:dyDescent="0.2">
      <c r="L237" s="36"/>
      <c r="S237" s="37"/>
      <c r="W237" s="36"/>
    </row>
    <row r="238" spans="12:23" ht="12.75" x14ac:dyDescent="0.2">
      <c r="L238" s="36"/>
      <c r="S238" s="37"/>
      <c r="W238" s="36"/>
    </row>
    <row r="239" spans="12:23" ht="12.75" x14ac:dyDescent="0.2">
      <c r="L239" s="36"/>
      <c r="S239" s="37"/>
      <c r="W239" s="36"/>
    </row>
    <row r="240" spans="12:23" ht="12.75" x14ac:dyDescent="0.2">
      <c r="L240" s="36"/>
      <c r="S240" s="37"/>
      <c r="W240" s="36"/>
    </row>
    <row r="241" spans="12:23" ht="12.75" x14ac:dyDescent="0.2">
      <c r="L241" s="36"/>
      <c r="S241" s="37"/>
      <c r="W241" s="36"/>
    </row>
    <row r="242" spans="12:23" ht="12.75" x14ac:dyDescent="0.2">
      <c r="L242" s="36"/>
      <c r="S242" s="37"/>
      <c r="W242" s="36"/>
    </row>
    <row r="243" spans="12:23" ht="12.75" x14ac:dyDescent="0.2">
      <c r="L243" s="36"/>
      <c r="S243" s="37"/>
      <c r="W243" s="36"/>
    </row>
    <row r="244" spans="12:23" ht="12.75" x14ac:dyDescent="0.2">
      <c r="L244" s="36"/>
      <c r="S244" s="37"/>
      <c r="W244" s="36"/>
    </row>
    <row r="245" spans="12:23" ht="12.75" x14ac:dyDescent="0.2">
      <c r="L245" s="36"/>
      <c r="S245" s="37"/>
      <c r="W245" s="36"/>
    </row>
    <row r="246" spans="12:23" ht="12.75" x14ac:dyDescent="0.2">
      <c r="L246" s="36"/>
      <c r="S246" s="37"/>
      <c r="W246" s="36"/>
    </row>
    <row r="247" spans="12:23" ht="12.75" x14ac:dyDescent="0.2">
      <c r="L247" s="36"/>
      <c r="S247" s="37"/>
      <c r="W247" s="36"/>
    </row>
    <row r="248" spans="12:23" ht="12.75" x14ac:dyDescent="0.2">
      <c r="L248" s="36"/>
      <c r="S248" s="37"/>
      <c r="W248" s="36"/>
    </row>
    <row r="249" spans="12:23" ht="12.75" x14ac:dyDescent="0.2">
      <c r="L249" s="36"/>
      <c r="S249" s="37"/>
      <c r="W249" s="36"/>
    </row>
    <row r="250" spans="12:23" ht="12.75" x14ac:dyDescent="0.2">
      <c r="L250" s="36"/>
      <c r="S250" s="37"/>
      <c r="W250" s="36"/>
    </row>
    <row r="251" spans="12:23" ht="12.75" x14ac:dyDescent="0.2">
      <c r="L251" s="36"/>
      <c r="S251" s="37"/>
      <c r="W251" s="36"/>
    </row>
    <row r="252" spans="12:23" ht="12.75" x14ac:dyDescent="0.2">
      <c r="L252" s="36"/>
      <c r="S252" s="37"/>
      <c r="W252" s="36"/>
    </row>
    <row r="253" spans="12:23" ht="12.75" x14ac:dyDescent="0.2">
      <c r="L253" s="36"/>
      <c r="S253" s="37"/>
      <c r="W253" s="36"/>
    </row>
    <row r="254" spans="12:23" ht="12.75" x14ac:dyDescent="0.2">
      <c r="L254" s="36"/>
      <c r="S254" s="37"/>
      <c r="W254" s="36"/>
    </row>
    <row r="255" spans="12:23" ht="12.75" x14ac:dyDescent="0.2">
      <c r="L255" s="36"/>
      <c r="S255" s="37"/>
      <c r="W255" s="36"/>
    </row>
    <row r="256" spans="12:23" ht="12.75" x14ac:dyDescent="0.2">
      <c r="L256" s="36"/>
      <c r="S256" s="37"/>
      <c r="W256" s="36"/>
    </row>
    <row r="257" spans="12:23" ht="12.75" x14ac:dyDescent="0.2">
      <c r="L257" s="36"/>
      <c r="S257" s="37"/>
      <c r="W257" s="36"/>
    </row>
    <row r="258" spans="12:23" ht="12.75" x14ac:dyDescent="0.2">
      <c r="L258" s="36"/>
      <c r="S258" s="37"/>
      <c r="W258" s="36"/>
    </row>
    <row r="259" spans="12:23" ht="12.75" x14ac:dyDescent="0.2">
      <c r="L259" s="36"/>
      <c r="S259" s="37"/>
      <c r="W259" s="36"/>
    </row>
    <row r="260" spans="12:23" ht="12.75" x14ac:dyDescent="0.2">
      <c r="L260" s="36"/>
      <c r="S260" s="37"/>
      <c r="W260" s="36"/>
    </row>
    <row r="261" spans="12:23" ht="12.75" x14ac:dyDescent="0.2">
      <c r="L261" s="36"/>
      <c r="S261" s="37"/>
      <c r="W261" s="36"/>
    </row>
    <row r="262" spans="12:23" ht="12.75" x14ac:dyDescent="0.2">
      <c r="L262" s="36"/>
      <c r="S262" s="37"/>
      <c r="W262" s="36"/>
    </row>
    <row r="263" spans="12:23" ht="12.75" x14ac:dyDescent="0.2">
      <c r="L263" s="36"/>
      <c r="S263" s="37"/>
      <c r="W263" s="36"/>
    </row>
    <row r="264" spans="12:23" ht="12.75" x14ac:dyDescent="0.2">
      <c r="L264" s="36"/>
      <c r="S264" s="37"/>
      <c r="W264" s="36"/>
    </row>
    <row r="265" spans="12:23" ht="12.75" x14ac:dyDescent="0.2">
      <c r="L265" s="36"/>
      <c r="S265" s="37"/>
      <c r="W265" s="36"/>
    </row>
    <row r="266" spans="12:23" ht="12.75" x14ac:dyDescent="0.2">
      <c r="L266" s="36"/>
      <c r="S266" s="37"/>
      <c r="W266" s="36"/>
    </row>
    <row r="267" spans="12:23" ht="12.75" x14ac:dyDescent="0.2">
      <c r="L267" s="36"/>
      <c r="S267" s="37"/>
      <c r="W267" s="36"/>
    </row>
    <row r="268" spans="12:23" ht="12.75" x14ac:dyDescent="0.2">
      <c r="L268" s="36"/>
      <c r="S268" s="37"/>
      <c r="W268" s="36"/>
    </row>
    <row r="269" spans="12:23" ht="12.75" x14ac:dyDescent="0.2">
      <c r="L269" s="36"/>
      <c r="S269" s="37"/>
      <c r="W269" s="36"/>
    </row>
    <row r="270" spans="12:23" ht="12.75" x14ac:dyDescent="0.2">
      <c r="L270" s="36"/>
      <c r="S270" s="37"/>
      <c r="W270" s="36"/>
    </row>
    <row r="271" spans="12:23" ht="12.75" x14ac:dyDescent="0.2">
      <c r="L271" s="36"/>
      <c r="S271" s="37"/>
      <c r="W271" s="36"/>
    </row>
    <row r="272" spans="12:23" ht="12.75" x14ac:dyDescent="0.2">
      <c r="L272" s="36"/>
      <c r="S272" s="37"/>
      <c r="W272" s="36"/>
    </row>
    <row r="273" spans="12:23" ht="12.75" x14ac:dyDescent="0.2">
      <c r="L273" s="36"/>
      <c r="S273" s="37"/>
      <c r="W273" s="36"/>
    </row>
    <row r="274" spans="12:23" ht="12.75" x14ac:dyDescent="0.2">
      <c r="L274" s="36"/>
      <c r="S274" s="37"/>
      <c r="W274" s="36"/>
    </row>
    <row r="275" spans="12:23" ht="12.75" x14ac:dyDescent="0.2">
      <c r="L275" s="36"/>
      <c r="S275" s="37"/>
      <c r="W275" s="36"/>
    </row>
    <row r="276" spans="12:23" ht="12.75" x14ac:dyDescent="0.2">
      <c r="L276" s="36"/>
      <c r="S276" s="37"/>
      <c r="W276" s="36"/>
    </row>
    <row r="277" spans="12:23" ht="12.75" x14ac:dyDescent="0.2">
      <c r="L277" s="36"/>
      <c r="S277" s="37"/>
      <c r="W277" s="36"/>
    </row>
    <row r="278" spans="12:23" ht="12.75" x14ac:dyDescent="0.2">
      <c r="L278" s="36"/>
      <c r="S278" s="37"/>
      <c r="W278" s="36"/>
    </row>
    <row r="279" spans="12:23" ht="12.75" x14ac:dyDescent="0.2">
      <c r="L279" s="36"/>
      <c r="S279" s="37"/>
      <c r="W279" s="36"/>
    </row>
    <row r="280" spans="12:23" ht="12.75" x14ac:dyDescent="0.2">
      <c r="L280" s="36"/>
      <c r="S280" s="37"/>
      <c r="W280" s="36"/>
    </row>
    <row r="281" spans="12:23" ht="12.75" x14ac:dyDescent="0.2">
      <c r="L281" s="36"/>
      <c r="S281" s="37"/>
      <c r="W281" s="36"/>
    </row>
    <row r="282" spans="12:23" ht="12.75" x14ac:dyDescent="0.2">
      <c r="L282" s="36"/>
      <c r="S282" s="37"/>
      <c r="W282" s="36"/>
    </row>
    <row r="283" spans="12:23" ht="12.75" x14ac:dyDescent="0.2">
      <c r="L283" s="36"/>
      <c r="S283" s="37"/>
      <c r="W283" s="36"/>
    </row>
    <row r="284" spans="12:23" ht="12.75" x14ac:dyDescent="0.2">
      <c r="L284" s="36"/>
      <c r="S284" s="37"/>
      <c r="W284" s="36"/>
    </row>
    <row r="285" spans="12:23" ht="12.75" x14ac:dyDescent="0.2">
      <c r="L285" s="36"/>
      <c r="S285" s="37"/>
      <c r="W285" s="36"/>
    </row>
    <row r="286" spans="12:23" ht="12.75" x14ac:dyDescent="0.2">
      <c r="L286" s="36"/>
      <c r="S286" s="37"/>
      <c r="W286" s="36"/>
    </row>
    <row r="287" spans="12:23" ht="12.75" x14ac:dyDescent="0.2">
      <c r="L287" s="36"/>
      <c r="S287" s="37"/>
      <c r="W287" s="36"/>
    </row>
    <row r="288" spans="12:23" ht="12.75" x14ac:dyDescent="0.2">
      <c r="L288" s="36"/>
      <c r="S288" s="37"/>
      <c r="W288" s="36"/>
    </row>
    <row r="289" spans="12:23" ht="12.75" x14ac:dyDescent="0.2">
      <c r="L289" s="36"/>
      <c r="S289" s="37"/>
      <c r="W289" s="36"/>
    </row>
    <row r="290" spans="12:23" ht="12.75" x14ac:dyDescent="0.2">
      <c r="L290" s="36"/>
      <c r="S290" s="37"/>
      <c r="W290" s="36"/>
    </row>
    <row r="291" spans="12:23" ht="12.75" x14ac:dyDescent="0.2">
      <c r="L291" s="36"/>
      <c r="S291" s="37"/>
      <c r="W291" s="36"/>
    </row>
    <row r="292" spans="12:23" ht="12.75" x14ac:dyDescent="0.2">
      <c r="L292" s="36"/>
      <c r="S292" s="37"/>
      <c r="W292" s="36"/>
    </row>
    <row r="293" spans="12:23" ht="12.75" x14ac:dyDescent="0.2">
      <c r="L293" s="36"/>
      <c r="S293" s="37"/>
      <c r="W293" s="36"/>
    </row>
    <row r="294" spans="12:23" ht="12.75" x14ac:dyDescent="0.2">
      <c r="L294" s="36"/>
      <c r="S294" s="37"/>
      <c r="W294" s="36"/>
    </row>
    <row r="295" spans="12:23" ht="12.75" x14ac:dyDescent="0.2">
      <c r="L295" s="36"/>
      <c r="S295" s="37"/>
      <c r="W295" s="36"/>
    </row>
    <row r="296" spans="12:23" ht="12.75" x14ac:dyDescent="0.2">
      <c r="L296" s="36"/>
      <c r="S296" s="37"/>
      <c r="W296" s="36"/>
    </row>
    <row r="297" spans="12:23" ht="12.75" x14ac:dyDescent="0.2">
      <c r="L297" s="36"/>
      <c r="S297" s="37"/>
      <c r="W297" s="36"/>
    </row>
    <row r="298" spans="12:23" ht="12.75" x14ac:dyDescent="0.2">
      <c r="L298" s="36"/>
      <c r="S298" s="37"/>
      <c r="W298" s="36"/>
    </row>
    <row r="299" spans="12:23" ht="12.75" x14ac:dyDescent="0.2">
      <c r="L299" s="36"/>
      <c r="S299" s="37"/>
      <c r="W299" s="36"/>
    </row>
    <row r="300" spans="12:23" ht="12.75" x14ac:dyDescent="0.2">
      <c r="L300" s="36"/>
      <c r="S300" s="37"/>
      <c r="W300" s="36"/>
    </row>
    <row r="301" spans="12:23" ht="12.75" x14ac:dyDescent="0.2">
      <c r="L301" s="36"/>
      <c r="S301" s="37"/>
      <c r="W301" s="36"/>
    </row>
    <row r="302" spans="12:23" ht="12.75" x14ac:dyDescent="0.2">
      <c r="L302" s="36"/>
      <c r="S302" s="37"/>
      <c r="W302" s="36"/>
    </row>
    <row r="303" spans="12:23" ht="12.75" x14ac:dyDescent="0.2">
      <c r="L303" s="36"/>
      <c r="S303" s="37"/>
      <c r="W303" s="36"/>
    </row>
    <row r="304" spans="12:23" ht="12.75" x14ac:dyDescent="0.2">
      <c r="L304" s="36"/>
      <c r="S304" s="37"/>
      <c r="W304" s="36"/>
    </row>
    <row r="305" spans="12:23" ht="12.75" x14ac:dyDescent="0.2">
      <c r="L305" s="36"/>
      <c r="S305" s="37"/>
      <c r="W305" s="36"/>
    </row>
    <row r="306" spans="12:23" ht="12.75" x14ac:dyDescent="0.2">
      <c r="L306" s="36"/>
      <c r="S306" s="37"/>
      <c r="W306" s="36"/>
    </row>
    <row r="307" spans="12:23" ht="12.75" x14ac:dyDescent="0.2">
      <c r="L307" s="36"/>
      <c r="S307" s="37"/>
      <c r="W307" s="36"/>
    </row>
    <row r="308" spans="12:23" ht="12.75" x14ac:dyDescent="0.2">
      <c r="L308" s="36"/>
      <c r="S308" s="37"/>
      <c r="W308" s="36"/>
    </row>
    <row r="309" spans="12:23" ht="12.75" x14ac:dyDescent="0.2">
      <c r="L309" s="36"/>
      <c r="S309" s="37"/>
      <c r="W309" s="36"/>
    </row>
    <row r="310" spans="12:23" ht="12.75" x14ac:dyDescent="0.2">
      <c r="L310" s="36"/>
      <c r="S310" s="37"/>
      <c r="W310" s="36"/>
    </row>
    <row r="311" spans="12:23" ht="12.75" x14ac:dyDescent="0.2">
      <c r="L311" s="36"/>
      <c r="S311" s="37"/>
      <c r="W311" s="36"/>
    </row>
    <row r="312" spans="12:23" ht="12.75" x14ac:dyDescent="0.2">
      <c r="L312" s="36"/>
      <c r="S312" s="37"/>
      <c r="W312" s="36"/>
    </row>
    <row r="313" spans="12:23" ht="12.75" x14ac:dyDescent="0.2">
      <c r="L313" s="36"/>
      <c r="S313" s="37"/>
      <c r="W313" s="36"/>
    </row>
    <row r="314" spans="12:23" ht="12.75" x14ac:dyDescent="0.2">
      <c r="L314" s="36"/>
      <c r="S314" s="37"/>
      <c r="W314" s="36"/>
    </row>
    <row r="315" spans="12:23" ht="12.75" x14ac:dyDescent="0.2">
      <c r="L315" s="36"/>
      <c r="S315" s="37"/>
      <c r="W315" s="36"/>
    </row>
    <row r="316" spans="12:23" ht="12.75" x14ac:dyDescent="0.2">
      <c r="L316" s="36"/>
      <c r="S316" s="37"/>
      <c r="W316" s="36"/>
    </row>
    <row r="317" spans="12:23" ht="12.75" x14ac:dyDescent="0.2">
      <c r="L317" s="36"/>
      <c r="S317" s="37"/>
      <c r="W317" s="36"/>
    </row>
    <row r="318" spans="12:23" ht="12.75" x14ac:dyDescent="0.2">
      <c r="L318" s="36"/>
      <c r="S318" s="37"/>
      <c r="W318" s="36"/>
    </row>
    <row r="319" spans="12:23" ht="12.75" x14ac:dyDescent="0.2">
      <c r="L319" s="36"/>
      <c r="S319" s="37"/>
      <c r="W319" s="36"/>
    </row>
    <row r="320" spans="12:23" ht="12.75" x14ac:dyDescent="0.2">
      <c r="L320" s="36"/>
      <c r="S320" s="37"/>
      <c r="W320" s="36"/>
    </row>
    <row r="321" spans="12:23" ht="12.75" x14ac:dyDescent="0.2">
      <c r="L321" s="36"/>
      <c r="S321" s="37"/>
      <c r="W321" s="36"/>
    </row>
    <row r="322" spans="12:23" ht="12.75" x14ac:dyDescent="0.2">
      <c r="L322" s="36"/>
      <c r="S322" s="37"/>
      <c r="W322" s="36"/>
    </row>
    <row r="323" spans="12:23" ht="12.75" x14ac:dyDescent="0.2">
      <c r="L323" s="36"/>
      <c r="S323" s="37"/>
      <c r="W323" s="36"/>
    </row>
    <row r="324" spans="12:23" ht="12.75" x14ac:dyDescent="0.2">
      <c r="L324" s="36"/>
      <c r="S324" s="37"/>
      <c r="W324" s="36"/>
    </row>
    <row r="325" spans="12:23" ht="12.75" x14ac:dyDescent="0.2">
      <c r="L325" s="36"/>
      <c r="S325" s="37"/>
      <c r="W325" s="36"/>
    </row>
    <row r="326" spans="12:23" ht="12.75" x14ac:dyDescent="0.2">
      <c r="L326" s="36"/>
      <c r="S326" s="37"/>
      <c r="W326" s="36"/>
    </row>
    <row r="327" spans="12:23" ht="12.75" x14ac:dyDescent="0.2">
      <c r="L327" s="36"/>
      <c r="S327" s="37"/>
      <c r="W327" s="36"/>
    </row>
    <row r="328" spans="12:23" ht="12.75" x14ac:dyDescent="0.2">
      <c r="L328" s="36"/>
      <c r="S328" s="37"/>
      <c r="W328" s="36"/>
    </row>
    <row r="329" spans="12:23" ht="12.75" x14ac:dyDescent="0.2">
      <c r="L329" s="36"/>
      <c r="S329" s="37"/>
      <c r="W329" s="36"/>
    </row>
    <row r="330" spans="12:23" ht="12.75" x14ac:dyDescent="0.2">
      <c r="L330" s="36"/>
      <c r="S330" s="37"/>
      <c r="W330" s="36"/>
    </row>
    <row r="331" spans="12:23" ht="12.75" x14ac:dyDescent="0.2">
      <c r="L331" s="36"/>
      <c r="S331" s="37"/>
      <c r="W331" s="36"/>
    </row>
    <row r="332" spans="12:23" ht="12.75" x14ac:dyDescent="0.2">
      <c r="L332" s="36"/>
      <c r="S332" s="37"/>
      <c r="W332" s="36"/>
    </row>
    <row r="333" spans="12:23" ht="12.75" x14ac:dyDescent="0.2">
      <c r="L333" s="36"/>
      <c r="S333" s="37"/>
      <c r="W333" s="36"/>
    </row>
    <row r="334" spans="12:23" ht="12.75" x14ac:dyDescent="0.2">
      <c r="L334" s="36"/>
      <c r="S334" s="37"/>
      <c r="W334" s="36"/>
    </row>
    <row r="335" spans="12:23" ht="12.75" x14ac:dyDescent="0.2">
      <c r="L335" s="36"/>
      <c r="S335" s="37"/>
      <c r="W335" s="36"/>
    </row>
    <row r="336" spans="12:23" ht="12.75" x14ac:dyDescent="0.2">
      <c r="L336" s="36"/>
      <c r="S336" s="37"/>
      <c r="W336" s="36"/>
    </row>
    <row r="337" spans="12:23" ht="12.75" x14ac:dyDescent="0.2">
      <c r="L337" s="36"/>
      <c r="S337" s="37"/>
      <c r="W337" s="36"/>
    </row>
    <row r="338" spans="12:23" ht="12.75" x14ac:dyDescent="0.2">
      <c r="L338" s="36"/>
      <c r="S338" s="37"/>
      <c r="W338" s="36"/>
    </row>
    <row r="339" spans="12:23" ht="12.75" x14ac:dyDescent="0.2">
      <c r="L339" s="36"/>
      <c r="S339" s="37"/>
      <c r="W339" s="36"/>
    </row>
    <row r="340" spans="12:23" ht="12.75" x14ac:dyDescent="0.2">
      <c r="L340" s="36"/>
      <c r="S340" s="37"/>
      <c r="W340" s="36"/>
    </row>
    <row r="341" spans="12:23" ht="12.75" x14ac:dyDescent="0.2">
      <c r="L341" s="36"/>
      <c r="S341" s="37"/>
      <c r="W341" s="36"/>
    </row>
    <row r="342" spans="12:23" ht="12.75" x14ac:dyDescent="0.2">
      <c r="L342" s="36"/>
      <c r="S342" s="37"/>
      <c r="W342" s="36"/>
    </row>
    <row r="343" spans="12:23" ht="12.75" x14ac:dyDescent="0.2">
      <c r="L343" s="36"/>
      <c r="S343" s="37"/>
      <c r="W343" s="36"/>
    </row>
    <row r="344" spans="12:23" ht="12.75" x14ac:dyDescent="0.2">
      <c r="L344" s="36"/>
      <c r="S344" s="37"/>
      <c r="W344" s="36"/>
    </row>
    <row r="345" spans="12:23" ht="12.75" x14ac:dyDescent="0.2">
      <c r="L345" s="36"/>
      <c r="S345" s="37"/>
      <c r="W345" s="36"/>
    </row>
    <row r="346" spans="12:23" ht="12.75" x14ac:dyDescent="0.2">
      <c r="L346" s="36"/>
      <c r="S346" s="37"/>
      <c r="W346" s="36"/>
    </row>
    <row r="347" spans="12:23" ht="12.75" x14ac:dyDescent="0.2">
      <c r="L347" s="36"/>
      <c r="S347" s="37"/>
      <c r="W347" s="36"/>
    </row>
    <row r="348" spans="12:23" ht="12.75" x14ac:dyDescent="0.2">
      <c r="L348" s="36"/>
      <c r="S348" s="37"/>
      <c r="W348" s="36"/>
    </row>
    <row r="349" spans="12:23" ht="12.75" x14ac:dyDescent="0.2">
      <c r="L349" s="36"/>
      <c r="S349" s="37"/>
      <c r="W349" s="36"/>
    </row>
    <row r="350" spans="12:23" ht="12.75" x14ac:dyDescent="0.2">
      <c r="L350" s="36"/>
      <c r="S350" s="37"/>
      <c r="W350" s="36"/>
    </row>
    <row r="351" spans="12:23" ht="12.75" x14ac:dyDescent="0.2">
      <c r="L351" s="36"/>
      <c r="S351" s="37"/>
      <c r="W351" s="36"/>
    </row>
    <row r="352" spans="12:23" ht="12.75" x14ac:dyDescent="0.2">
      <c r="L352" s="36"/>
      <c r="S352" s="37"/>
      <c r="W352" s="36"/>
    </row>
    <row r="353" spans="12:23" ht="12.75" x14ac:dyDescent="0.2">
      <c r="L353" s="36"/>
      <c r="S353" s="37"/>
      <c r="W353" s="36"/>
    </row>
    <row r="354" spans="12:23" ht="12.75" x14ac:dyDescent="0.2">
      <c r="L354" s="36"/>
      <c r="S354" s="37"/>
      <c r="W354" s="36"/>
    </row>
    <row r="355" spans="12:23" ht="12.75" x14ac:dyDescent="0.2">
      <c r="L355" s="36"/>
      <c r="S355" s="37"/>
      <c r="W355" s="36"/>
    </row>
    <row r="356" spans="12:23" ht="12.75" x14ac:dyDescent="0.2">
      <c r="L356" s="36"/>
      <c r="S356" s="37"/>
      <c r="W356" s="36"/>
    </row>
    <row r="357" spans="12:23" ht="12.75" x14ac:dyDescent="0.2">
      <c r="L357" s="36"/>
      <c r="S357" s="37"/>
      <c r="W357" s="36"/>
    </row>
    <row r="358" spans="12:23" ht="12.75" x14ac:dyDescent="0.2">
      <c r="L358" s="36"/>
      <c r="S358" s="37"/>
      <c r="W358" s="36"/>
    </row>
    <row r="359" spans="12:23" ht="12.75" x14ac:dyDescent="0.2">
      <c r="L359" s="36"/>
      <c r="S359" s="37"/>
      <c r="W359" s="36"/>
    </row>
    <row r="360" spans="12:23" ht="12.75" x14ac:dyDescent="0.2">
      <c r="L360" s="36"/>
      <c r="S360" s="37"/>
      <c r="W360" s="36"/>
    </row>
    <row r="361" spans="12:23" ht="12.75" x14ac:dyDescent="0.2">
      <c r="L361" s="36"/>
      <c r="S361" s="37"/>
      <c r="W361" s="36"/>
    </row>
    <row r="362" spans="12:23" ht="12.75" x14ac:dyDescent="0.2">
      <c r="L362" s="36"/>
      <c r="S362" s="37"/>
      <c r="W362" s="36"/>
    </row>
    <row r="363" spans="12:23" ht="12.75" x14ac:dyDescent="0.2">
      <c r="L363" s="36"/>
      <c r="S363" s="37"/>
      <c r="W363" s="36"/>
    </row>
    <row r="364" spans="12:23" ht="12.75" x14ac:dyDescent="0.2">
      <c r="L364" s="36"/>
      <c r="S364" s="37"/>
      <c r="W364" s="36"/>
    </row>
    <row r="365" spans="12:23" ht="12.75" x14ac:dyDescent="0.2">
      <c r="L365" s="36"/>
      <c r="S365" s="37"/>
      <c r="W365" s="36"/>
    </row>
    <row r="366" spans="12:23" ht="12.75" x14ac:dyDescent="0.2">
      <c r="L366" s="36"/>
      <c r="S366" s="37"/>
      <c r="W366" s="36"/>
    </row>
    <row r="367" spans="12:23" ht="12.75" x14ac:dyDescent="0.2">
      <c r="L367" s="36"/>
      <c r="S367" s="37"/>
      <c r="W367" s="36"/>
    </row>
    <row r="368" spans="12:23" ht="12.75" x14ac:dyDescent="0.2">
      <c r="L368" s="36"/>
      <c r="S368" s="37"/>
      <c r="W368" s="36"/>
    </row>
    <row r="369" spans="12:23" ht="12.75" x14ac:dyDescent="0.2">
      <c r="L369" s="36"/>
      <c r="S369" s="37"/>
      <c r="W369" s="36"/>
    </row>
    <row r="370" spans="12:23" ht="12.75" x14ac:dyDescent="0.2">
      <c r="L370" s="36"/>
      <c r="S370" s="37"/>
      <c r="W370" s="36"/>
    </row>
    <row r="371" spans="12:23" ht="12.75" x14ac:dyDescent="0.2">
      <c r="L371" s="36"/>
      <c r="S371" s="37"/>
      <c r="W371" s="36"/>
    </row>
    <row r="372" spans="12:23" ht="12.75" x14ac:dyDescent="0.2">
      <c r="L372" s="36"/>
      <c r="S372" s="37"/>
      <c r="W372" s="36"/>
    </row>
    <row r="373" spans="12:23" ht="12.75" x14ac:dyDescent="0.2">
      <c r="L373" s="36"/>
      <c r="S373" s="37"/>
      <c r="W373" s="36"/>
    </row>
    <row r="374" spans="12:23" ht="12.75" x14ac:dyDescent="0.2">
      <c r="L374" s="36"/>
      <c r="S374" s="37"/>
      <c r="W374" s="36"/>
    </row>
    <row r="375" spans="12:23" ht="12.75" x14ac:dyDescent="0.2">
      <c r="L375" s="36"/>
      <c r="S375" s="37"/>
      <c r="W375" s="36"/>
    </row>
    <row r="376" spans="12:23" ht="12.75" x14ac:dyDescent="0.2">
      <c r="L376" s="36"/>
      <c r="S376" s="37"/>
      <c r="W376" s="36"/>
    </row>
    <row r="377" spans="12:23" ht="12.75" x14ac:dyDescent="0.2">
      <c r="L377" s="36"/>
      <c r="S377" s="37"/>
      <c r="W377" s="36"/>
    </row>
    <row r="378" spans="12:23" ht="12.75" x14ac:dyDescent="0.2">
      <c r="L378" s="36"/>
      <c r="S378" s="37"/>
      <c r="W378" s="36"/>
    </row>
    <row r="379" spans="12:23" ht="12.75" x14ac:dyDescent="0.2">
      <c r="L379" s="36"/>
      <c r="S379" s="37"/>
      <c r="W379" s="36"/>
    </row>
    <row r="380" spans="12:23" ht="12.75" x14ac:dyDescent="0.2">
      <c r="L380" s="36"/>
      <c r="S380" s="37"/>
      <c r="W380" s="36"/>
    </row>
    <row r="381" spans="12:23" ht="12.75" x14ac:dyDescent="0.2">
      <c r="L381" s="36"/>
      <c r="S381" s="37"/>
      <c r="W381" s="36"/>
    </row>
    <row r="382" spans="12:23" ht="12.75" x14ac:dyDescent="0.2">
      <c r="L382" s="36"/>
      <c r="S382" s="37"/>
      <c r="W382" s="36"/>
    </row>
    <row r="383" spans="12:23" ht="12.75" x14ac:dyDescent="0.2">
      <c r="L383" s="36"/>
      <c r="S383" s="37"/>
      <c r="W383" s="36"/>
    </row>
    <row r="384" spans="12:23" ht="12.75" x14ac:dyDescent="0.2">
      <c r="L384" s="36"/>
      <c r="S384" s="37"/>
      <c r="W384" s="36"/>
    </row>
    <row r="385" spans="12:23" ht="12.75" x14ac:dyDescent="0.2">
      <c r="L385" s="36"/>
      <c r="S385" s="37"/>
      <c r="W385" s="36"/>
    </row>
    <row r="386" spans="12:23" ht="12.75" x14ac:dyDescent="0.2">
      <c r="L386" s="36"/>
      <c r="S386" s="37"/>
      <c r="W386" s="36"/>
    </row>
    <row r="387" spans="12:23" ht="12.75" x14ac:dyDescent="0.2">
      <c r="L387" s="36"/>
      <c r="S387" s="37"/>
      <c r="W387" s="36"/>
    </row>
    <row r="388" spans="12:23" ht="12.75" x14ac:dyDescent="0.2">
      <c r="L388" s="36"/>
      <c r="S388" s="37"/>
      <c r="W388" s="36"/>
    </row>
    <row r="389" spans="12:23" ht="12.75" x14ac:dyDescent="0.2">
      <c r="L389" s="36"/>
      <c r="S389" s="37"/>
      <c r="W389" s="36"/>
    </row>
    <row r="390" spans="12:23" ht="12.75" x14ac:dyDescent="0.2">
      <c r="L390" s="36"/>
      <c r="S390" s="37"/>
      <c r="W390" s="36"/>
    </row>
    <row r="391" spans="12:23" ht="12.75" x14ac:dyDescent="0.2">
      <c r="L391" s="36"/>
      <c r="S391" s="37"/>
      <c r="W391" s="36"/>
    </row>
    <row r="392" spans="12:23" ht="12.75" x14ac:dyDescent="0.2">
      <c r="L392" s="36"/>
      <c r="S392" s="37"/>
      <c r="W392" s="36"/>
    </row>
    <row r="393" spans="12:23" ht="12.75" x14ac:dyDescent="0.2">
      <c r="L393" s="36"/>
      <c r="S393" s="37"/>
      <c r="W393" s="36"/>
    </row>
    <row r="394" spans="12:23" ht="12.75" x14ac:dyDescent="0.2">
      <c r="L394" s="36"/>
      <c r="S394" s="37"/>
      <c r="W394" s="36"/>
    </row>
    <row r="395" spans="12:23" ht="12.75" x14ac:dyDescent="0.2">
      <c r="L395" s="36"/>
      <c r="S395" s="37"/>
      <c r="W395" s="36"/>
    </row>
    <row r="396" spans="12:23" ht="12.75" x14ac:dyDescent="0.2">
      <c r="L396" s="36"/>
      <c r="S396" s="37"/>
      <c r="W396" s="36"/>
    </row>
    <row r="397" spans="12:23" ht="12.75" x14ac:dyDescent="0.2">
      <c r="L397" s="36"/>
      <c r="S397" s="37"/>
      <c r="W397" s="36"/>
    </row>
    <row r="398" spans="12:23" ht="12.75" x14ac:dyDescent="0.2">
      <c r="L398" s="36"/>
      <c r="S398" s="37"/>
      <c r="W398" s="36"/>
    </row>
    <row r="399" spans="12:23" ht="12.75" x14ac:dyDescent="0.2">
      <c r="L399" s="36"/>
      <c r="S399" s="37"/>
      <c r="W399" s="36"/>
    </row>
    <row r="400" spans="12:23" ht="12.75" x14ac:dyDescent="0.2">
      <c r="L400" s="36"/>
      <c r="S400" s="37"/>
      <c r="W400" s="36"/>
    </row>
    <row r="401" spans="12:23" ht="12.75" x14ac:dyDescent="0.2">
      <c r="L401" s="36"/>
      <c r="S401" s="37"/>
      <c r="W401" s="36"/>
    </row>
    <row r="402" spans="12:23" ht="12.75" x14ac:dyDescent="0.2">
      <c r="L402" s="36"/>
      <c r="S402" s="37"/>
      <c r="W402" s="36"/>
    </row>
    <row r="403" spans="12:23" ht="12.75" x14ac:dyDescent="0.2">
      <c r="L403" s="36"/>
      <c r="S403" s="37"/>
      <c r="W403" s="36"/>
    </row>
    <row r="404" spans="12:23" ht="12.75" x14ac:dyDescent="0.2">
      <c r="L404" s="36"/>
      <c r="S404" s="37"/>
      <c r="W404" s="36"/>
    </row>
    <row r="405" spans="12:23" ht="12.75" x14ac:dyDescent="0.2">
      <c r="L405" s="36"/>
      <c r="S405" s="37"/>
      <c r="W405" s="36"/>
    </row>
    <row r="406" spans="12:23" ht="12.75" x14ac:dyDescent="0.2">
      <c r="L406" s="36"/>
      <c r="S406" s="37"/>
      <c r="W406" s="36"/>
    </row>
    <row r="407" spans="12:23" ht="12.75" x14ac:dyDescent="0.2">
      <c r="L407" s="36"/>
      <c r="S407" s="37"/>
      <c r="W407" s="36"/>
    </row>
    <row r="408" spans="12:23" ht="12.75" x14ac:dyDescent="0.2">
      <c r="L408" s="36"/>
      <c r="S408" s="37"/>
      <c r="W408" s="36"/>
    </row>
    <row r="409" spans="12:23" ht="12.75" x14ac:dyDescent="0.2">
      <c r="L409" s="36"/>
      <c r="S409" s="37"/>
      <c r="W409" s="36"/>
    </row>
    <row r="410" spans="12:23" ht="12.75" x14ac:dyDescent="0.2">
      <c r="L410" s="36"/>
      <c r="S410" s="37"/>
      <c r="W410" s="36"/>
    </row>
    <row r="411" spans="12:23" ht="12.75" x14ac:dyDescent="0.2">
      <c r="L411" s="36"/>
      <c r="S411" s="37"/>
      <c r="W411" s="36"/>
    </row>
    <row r="412" spans="12:23" ht="12.75" x14ac:dyDescent="0.2">
      <c r="L412" s="36"/>
      <c r="S412" s="37"/>
      <c r="W412" s="36"/>
    </row>
    <row r="413" spans="12:23" ht="12.75" x14ac:dyDescent="0.2">
      <c r="L413" s="36"/>
      <c r="S413" s="37"/>
      <c r="W413" s="36"/>
    </row>
    <row r="414" spans="12:23" ht="12.75" x14ac:dyDescent="0.2">
      <c r="L414" s="36"/>
      <c r="S414" s="37"/>
      <c r="W414" s="36"/>
    </row>
    <row r="415" spans="12:23" ht="12.75" x14ac:dyDescent="0.2">
      <c r="L415" s="36"/>
      <c r="S415" s="37"/>
      <c r="W415" s="36"/>
    </row>
    <row r="416" spans="12:23" ht="12.75" x14ac:dyDescent="0.2">
      <c r="L416" s="36"/>
      <c r="S416" s="37"/>
      <c r="W416" s="36"/>
    </row>
    <row r="417" spans="12:23" ht="12.75" x14ac:dyDescent="0.2">
      <c r="L417" s="36"/>
      <c r="S417" s="37"/>
      <c r="W417" s="36"/>
    </row>
    <row r="418" spans="12:23" ht="12.75" x14ac:dyDescent="0.2">
      <c r="L418" s="36"/>
      <c r="S418" s="37"/>
      <c r="W418" s="36"/>
    </row>
    <row r="419" spans="12:23" ht="12.75" x14ac:dyDescent="0.2">
      <c r="L419" s="36"/>
      <c r="S419" s="37"/>
      <c r="W419" s="36"/>
    </row>
    <row r="420" spans="12:23" ht="12.75" x14ac:dyDescent="0.2">
      <c r="L420" s="36"/>
      <c r="S420" s="37"/>
      <c r="W420" s="36"/>
    </row>
    <row r="421" spans="12:23" ht="12.75" x14ac:dyDescent="0.2">
      <c r="L421" s="36"/>
      <c r="S421" s="37"/>
      <c r="W421" s="36"/>
    </row>
    <row r="422" spans="12:23" ht="12.75" x14ac:dyDescent="0.2">
      <c r="L422" s="36"/>
      <c r="S422" s="37"/>
      <c r="W422" s="36"/>
    </row>
    <row r="423" spans="12:23" ht="12.75" x14ac:dyDescent="0.2">
      <c r="L423" s="36"/>
      <c r="S423" s="37"/>
      <c r="W423" s="36"/>
    </row>
    <row r="424" spans="12:23" ht="12.75" x14ac:dyDescent="0.2">
      <c r="L424" s="36"/>
      <c r="S424" s="37"/>
      <c r="W424" s="36"/>
    </row>
    <row r="425" spans="12:23" ht="12.75" x14ac:dyDescent="0.2">
      <c r="L425" s="36"/>
      <c r="S425" s="37"/>
      <c r="W425" s="36"/>
    </row>
    <row r="426" spans="12:23" ht="12.75" x14ac:dyDescent="0.2">
      <c r="L426" s="36"/>
      <c r="S426" s="37"/>
      <c r="W426" s="36"/>
    </row>
    <row r="427" spans="12:23" ht="12.75" x14ac:dyDescent="0.2">
      <c r="L427" s="36"/>
      <c r="S427" s="37"/>
      <c r="W427" s="36"/>
    </row>
    <row r="428" spans="12:23" ht="12.75" x14ac:dyDescent="0.2">
      <c r="L428" s="36"/>
      <c r="S428" s="37"/>
      <c r="W428" s="36"/>
    </row>
    <row r="429" spans="12:23" ht="12.75" x14ac:dyDescent="0.2">
      <c r="L429" s="36"/>
      <c r="S429" s="37"/>
      <c r="W429" s="36"/>
    </row>
    <row r="430" spans="12:23" ht="12.75" x14ac:dyDescent="0.2">
      <c r="L430" s="36"/>
      <c r="S430" s="37"/>
      <c r="W430" s="36"/>
    </row>
    <row r="431" spans="12:23" ht="12.75" x14ac:dyDescent="0.2">
      <c r="L431" s="36"/>
      <c r="S431" s="37"/>
      <c r="W431" s="36"/>
    </row>
    <row r="432" spans="12:23" ht="12.75" x14ac:dyDescent="0.2">
      <c r="L432" s="36"/>
      <c r="S432" s="37"/>
      <c r="W432" s="36"/>
    </row>
    <row r="433" spans="12:23" ht="12.75" x14ac:dyDescent="0.2">
      <c r="L433" s="36"/>
      <c r="S433" s="37"/>
      <c r="W433" s="36"/>
    </row>
    <row r="434" spans="12:23" ht="12.75" x14ac:dyDescent="0.2">
      <c r="L434" s="36"/>
      <c r="S434" s="37"/>
      <c r="W434" s="36"/>
    </row>
    <row r="435" spans="12:23" ht="12.75" x14ac:dyDescent="0.2">
      <c r="L435" s="36"/>
      <c r="S435" s="37"/>
      <c r="W435" s="36"/>
    </row>
    <row r="436" spans="12:23" ht="12.75" x14ac:dyDescent="0.2">
      <c r="L436" s="36"/>
      <c r="S436" s="37"/>
      <c r="W436" s="36"/>
    </row>
    <row r="437" spans="12:23" ht="12.75" x14ac:dyDescent="0.2">
      <c r="L437" s="36"/>
      <c r="S437" s="37"/>
      <c r="W437" s="36"/>
    </row>
    <row r="438" spans="12:23" ht="12.75" x14ac:dyDescent="0.2">
      <c r="L438" s="36"/>
      <c r="S438" s="37"/>
      <c r="W438" s="36"/>
    </row>
    <row r="439" spans="12:23" ht="12.75" x14ac:dyDescent="0.2">
      <c r="L439" s="36"/>
      <c r="S439" s="37"/>
      <c r="W439" s="36"/>
    </row>
    <row r="440" spans="12:23" ht="12.75" x14ac:dyDescent="0.2">
      <c r="L440" s="36"/>
      <c r="S440" s="37"/>
      <c r="W440" s="36"/>
    </row>
    <row r="441" spans="12:23" ht="12.75" x14ac:dyDescent="0.2">
      <c r="L441" s="36"/>
      <c r="S441" s="37"/>
      <c r="W441" s="36"/>
    </row>
    <row r="442" spans="12:23" ht="12.75" x14ac:dyDescent="0.2">
      <c r="L442" s="36"/>
      <c r="S442" s="37"/>
      <c r="W442" s="36"/>
    </row>
    <row r="443" spans="12:23" ht="12.75" x14ac:dyDescent="0.2">
      <c r="L443" s="36"/>
      <c r="S443" s="37"/>
      <c r="W443" s="36"/>
    </row>
    <row r="444" spans="12:23" ht="12.75" x14ac:dyDescent="0.2">
      <c r="L444" s="36"/>
      <c r="S444" s="37"/>
      <c r="W444" s="36"/>
    </row>
    <row r="445" spans="12:23" ht="12.75" x14ac:dyDescent="0.2">
      <c r="L445" s="36"/>
      <c r="S445" s="37"/>
      <c r="W445" s="36"/>
    </row>
    <row r="446" spans="12:23" ht="12.75" x14ac:dyDescent="0.2">
      <c r="L446" s="36"/>
      <c r="S446" s="37"/>
      <c r="W446" s="36"/>
    </row>
    <row r="447" spans="12:23" ht="12.75" x14ac:dyDescent="0.2">
      <c r="L447" s="36"/>
      <c r="S447" s="37"/>
      <c r="W447" s="36"/>
    </row>
    <row r="448" spans="12:23" ht="12.75" x14ac:dyDescent="0.2">
      <c r="L448" s="36"/>
      <c r="S448" s="37"/>
      <c r="W448" s="36"/>
    </row>
    <row r="449" spans="12:23" ht="12.75" x14ac:dyDescent="0.2">
      <c r="L449" s="36"/>
      <c r="S449" s="37"/>
      <c r="W449" s="36"/>
    </row>
    <row r="450" spans="12:23" ht="12.75" x14ac:dyDescent="0.2">
      <c r="L450" s="36"/>
      <c r="S450" s="37"/>
      <c r="W450" s="36"/>
    </row>
    <row r="451" spans="12:23" ht="12.75" x14ac:dyDescent="0.2">
      <c r="L451" s="36"/>
      <c r="S451" s="37"/>
      <c r="W451" s="36"/>
    </row>
    <row r="452" spans="12:23" ht="12.75" x14ac:dyDescent="0.2">
      <c r="L452" s="36"/>
      <c r="S452" s="37"/>
      <c r="W452" s="36"/>
    </row>
    <row r="453" spans="12:23" ht="12.75" x14ac:dyDescent="0.2">
      <c r="L453" s="36"/>
      <c r="S453" s="37"/>
      <c r="W453" s="36"/>
    </row>
    <row r="454" spans="12:23" ht="12.75" x14ac:dyDescent="0.2">
      <c r="L454" s="36"/>
      <c r="S454" s="37"/>
      <c r="W454" s="36"/>
    </row>
    <row r="455" spans="12:23" ht="12.75" x14ac:dyDescent="0.2">
      <c r="L455" s="36"/>
      <c r="S455" s="37"/>
      <c r="W455" s="36"/>
    </row>
    <row r="456" spans="12:23" ht="12.75" x14ac:dyDescent="0.2">
      <c r="L456" s="36"/>
      <c r="S456" s="37"/>
      <c r="W456" s="36"/>
    </row>
    <row r="457" spans="12:23" ht="12.75" x14ac:dyDescent="0.2">
      <c r="L457" s="36"/>
      <c r="S457" s="37"/>
      <c r="W457" s="36"/>
    </row>
    <row r="458" spans="12:23" ht="12.75" x14ac:dyDescent="0.2">
      <c r="L458" s="36"/>
      <c r="S458" s="37"/>
      <c r="W458" s="36"/>
    </row>
    <row r="459" spans="12:23" ht="12.75" x14ac:dyDescent="0.2">
      <c r="L459" s="36"/>
      <c r="S459" s="37"/>
      <c r="W459" s="36"/>
    </row>
    <row r="460" spans="12:23" ht="12.75" x14ac:dyDescent="0.2">
      <c r="L460" s="36"/>
      <c r="S460" s="37"/>
      <c r="W460" s="36"/>
    </row>
    <row r="461" spans="12:23" ht="12.75" x14ac:dyDescent="0.2">
      <c r="L461" s="36"/>
      <c r="S461" s="37"/>
      <c r="W461" s="36"/>
    </row>
    <row r="462" spans="12:23" ht="12.75" x14ac:dyDescent="0.2">
      <c r="L462" s="36"/>
      <c r="S462" s="37"/>
      <c r="W462" s="36"/>
    </row>
    <row r="463" spans="12:23" ht="12.75" x14ac:dyDescent="0.2">
      <c r="L463" s="36"/>
      <c r="S463" s="37"/>
      <c r="W463" s="36"/>
    </row>
    <row r="464" spans="12:23" ht="12.75" x14ac:dyDescent="0.2">
      <c r="L464" s="36"/>
      <c r="S464" s="37"/>
      <c r="W464" s="36"/>
    </row>
    <row r="465" spans="12:23" ht="12.75" x14ac:dyDescent="0.2">
      <c r="L465" s="36"/>
      <c r="S465" s="37"/>
      <c r="W465" s="36"/>
    </row>
    <row r="466" spans="12:23" ht="12.75" x14ac:dyDescent="0.2">
      <c r="L466" s="36"/>
      <c r="S466" s="37"/>
      <c r="W466" s="36"/>
    </row>
    <row r="467" spans="12:23" ht="12.75" x14ac:dyDescent="0.2">
      <c r="L467" s="36"/>
      <c r="S467" s="37"/>
      <c r="W467" s="36"/>
    </row>
    <row r="468" spans="12:23" ht="12.75" x14ac:dyDescent="0.2">
      <c r="L468" s="36"/>
      <c r="S468" s="37"/>
      <c r="W468" s="36"/>
    </row>
    <row r="469" spans="12:23" ht="12.75" x14ac:dyDescent="0.2">
      <c r="L469" s="36"/>
      <c r="S469" s="37"/>
      <c r="W469" s="36"/>
    </row>
    <row r="470" spans="12:23" ht="12.75" x14ac:dyDescent="0.2">
      <c r="L470" s="36"/>
      <c r="S470" s="37"/>
      <c r="W470" s="36"/>
    </row>
    <row r="471" spans="12:23" ht="12.75" x14ac:dyDescent="0.2">
      <c r="L471" s="36"/>
      <c r="S471" s="37"/>
      <c r="W471" s="36"/>
    </row>
    <row r="472" spans="12:23" ht="12.75" x14ac:dyDescent="0.2">
      <c r="L472" s="36"/>
      <c r="S472" s="37"/>
      <c r="W472" s="36"/>
    </row>
    <row r="473" spans="12:23" ht="12.75" x14ac:dyDescent="0.2">
      <c r="L473" s="36"/>
      <c r="S473" s="37"/>
      <c r="W473" s="36"/>
    </row>
    <row r="474" spans="12:23" ht="12.75" x14ac:dyDescent="0.2">
      <c r="L474" s="36"/>
      <c r="S474" s="37"/>
      <c r="W474" s="36"/>
    </row>
    <row r="475" spans="12:23" ht="12.75" x14ac:dyDescent="0.2">
      <c r="L475" s="36"/>
      <c r="S475" s="37"/>
      <c r="W475" s="36"/>
    </row>
    <row r="476" spans="12:23" ht="12.75" x14ac:dyDescent="0.2">
      <c r="L476" s="36"/>
      <c r="S476" s="37"/>
      <c r="W476" s="36"/>
    </row>
    <row r="477" spans="12:23" ht="12.75" x14ac:dyDescent="0.2">
      <c r="L477" s="36"/>
      <c r="S477" s="37"/>
      <c r="W477" s="36"/>
    </row>
    <row r="478" spans="12:23" ht="12.75" x14ac:dyDescent="0.2">
      <c r="L478" s="36"/>
      <c r="S478" s="37"/>
      <c r="W478" s="36"/>
    </row>
    <row r="479" spans="12:23" ht="12.75" x14ac:dyDescent="0.2">
      <c r="L479" s="36"/>
      <c r="S479" s="37"/>
      <c r="W479" s="36"/>
    </row>
    <row r="480" spans="12:23" ht="12.75" x14ac:dyDescent="0.2">
      <c r="L480" s="36"/>
      <c r="S480" s="37"/>
      <c r="W480" s="36"/>
    </row>
    <row r="481" spans="12:23" ht="12.75" x14ac:dyDescent="0.2">
      <c r="L481" s="36"/>
      <c r="S481" s="37"/>
      <c r="W481" s="36"/>
    </row>
    <row r="482" spans="12:23" ht="12.75" x14ac:dyDescent="0.2">
      <c r="L482" s="36"/>
      <c r="S482" s="37"/>
      <c r="W482" s="36"/>
    </row>
    <row r="483" spans="12:23" ht="12.75" x14ac:dyDescent="0.2">
      <c r="L483" s="36"/>
      <c r="S483" s="37"/>
      <c r="W483" s="36"/>
    </row>
    <row r="484" spans="12:23" ht="12.75" x14ac:dyDescent="0.2">
      <c r="L484" s="36"/>
      <c r="S484" s="37"/>
      <c r="W484" s="36"/>
    </row>
    <row r="485" spans="12:23" ht="12.75" x14ac:dyDescent="0.2">
      <c r="L485" s="36"/>
      <c r="S485" s="37"/>
      <c r="W485" s="36"/>
    </row>
    <row r="486" spans="12:23" ht="12.75" x14ac:dyDescent="0.2">
      <c r="L486" s="36"/>
      <c r="S486" s="37"/>
      <c r="W486" s="36"/>
    </row>
    <row r="487" spans="12:23" ht="12.75" x14ac:dyDescent="0.2">
      <c r="L487" s="36"/>
      <c r="S487" s="37"/>
      <c r="W487" s="36"/>
    </row>
    <row r="488" spans="12:23" ht="12.75" x14ac:dyDescent="0.2">
      <c r="L488" s="36"/>
      <c r="S488" s="37"/>
      <c r="W488" s="36"/>
    </row>
    <row r="489" spans="12:23" ht="12.75" x14ac:dyDescent="0.2">
      <c r="L489" s="36"/>
      <c r="S489" s="37"/>
      <c r="W489" s="36"/>
    </row>
    <row r="490" spans="12:23" ht="12.75" x14ac:dyDescent="0.2">
      <c r="L490" s="36"/>
      <c r="S490" s="37"/>
      <c r="W490" s="36"/>
    </row>
    <row r="491" spans="12:23" ht="12.75" x14ac:dyDescent="0.2">
      <c r="L491" s="36"/>
      <c r="S491" s="37"/>
      <c r="W491" s="36"/>
    </row>
    <row r="492" spans="12:23" ht="12.75" x14ac:dyDescent="0.2">
      <c r="L492" s="36"/>
      <c r="S492" s="37"/>
      <c r="W492" s="36"/>
    </row>
    <row r="493" spans="12:23" ht="12.75" x14ac:dyDescent="0.2">
      <c r="L493" s="36"/>
      <c r="S493" s="37"/>
      <c r="W493" s="36"/>
    </row>
    <row r="494" spans="12:23" ht="12.75" x14ac:dyDescent="0.2">
      <c r="L494" s="36"/>
      <c r="S494" s="37"/>
      <c r="W494" s="36"/>
    </row>
    <row r="495" spans="12:23" ht="12.75" x14ac:dyDescent="0.2">
      <c r="L495" s="36"/>
      <c r="S495" s="37"/>
      <c r="W495" s="36"/>
    </row>
    <row r="496" spans="12:23" ht="12.75" x14ac:dyDescent="0.2">
      <c r="L496" s="36"/>
      <c r="S496" s="37"/>
      <c r="W496" s="36"/>
    </row>
    <row r="497" spans="12:23" ht="12.75" x14ac:dyDescent="0.2">
      <c r="L497" s="36"/>
      <c r="S497" s="37"/>
      <c r="W497" s="36"/>
    </row>
    <row r="498" spans="12:23" ht="12.75" x14ac:dyDescent="0.2">
      <c r="L498" s="36"/>
      <c r="S498" s="37"/>
      <c r="W498" s="36"/>
    </row>
    <row r="499" spans="12:23" ht="12.75" x14ac:dyDescent="0.2">
      <c r="L499" s="36"/>
      <c r="S499" s="37"/>
      <c r="W499" s="36"/>
    </row>
    <row r="500" spans="12:23" ht="12.75" x14ac:dyDescent="0.2">
      <c r="L500" s="36"/>
      <c r="S500" s="37"/>
      <c r="W500" s="36"/>
    </row>
    <row r="501" spans="12:23" ht="12.75" x14ac:dyDescent="0.2">
      <c r="L501" s="36"/>
      <c r="S501" s="37"/>
      <c r="W501" s="36"/>
    </row>
    <row r="502" spans="12:23" ht="12.75" x14ac:dyDescent="0.2">
      <c r="L502" s="36"/>
      <c r="S502" s="37"/>
      <c r="W502" s="36"/>
    </row>
    <row r="503" spans="12:23" ht="12.75" x14ac:dyDescent="0.2">
      <c r="L503" s="36"/>
      <c r="S503" s="37"/>
      <c r="W503" s="36"/>
    </row>
    <row r="504" spans="12:23" ht="12.75" x14ac:dyDescent="0.2">
      <c r="L504" s="36"/>
      <c r="S504" s="37"/>
      <c r="W504" s="36"/>
    </row>
    <row r="505" spans="12:23" ht="12.75" x14ac:dyDescent="0.2">
      <c r="L505" s="36"/>
      <c r="S505" s="37"/>
      <c r="W505" s="36"/>
    </row>
    <row r="506" spans="12:23" ht="12.75" x14ac:dyDescent="0.2">
      <c r="L506" s="36"/>
      <c r="S506" s="37"/>
      <c r="W506" s="36"/>
    </row>
    <row r="507" spans="12:23" ht="12.75" x14ac:dyDescent="0.2">
      <c r="L507" s="36"/>
      <c r="S507" s="37"/>
      <c r="W507" s="36"/>
    </row>
    <row r="508" spans="12:23" ht="12.75" x14ac:dyDescent="0.2">
      <c r="L508" s="36"/>
      <c r="S508" s="37"/>
      <c r="W508" s="36"/>
    </row>
    <row r="509" spans="12:23" ht="12.75" x14ac:dyDescent="0.2">
      <c r="L509" s="36"/>
      <c r="S509" s="37"/>
      <c r="W509" s="36"/>
    </row>
    <row r="510" spans="12:23" ht="12.75" x14ac:dyDescent="0.2">
      <c r="L510" s="36"/>
      <c r="S510" s="37"/>
      <c r="W510" s="36"/>
    </row>
    <row r="511" spans="12:23" ht="12.75" x14ac:dyDescent="0.2">
      <c r="L511" s="36"/>
      <c r="S511" s="37"/>
      <c r="W511" s="36"/>
    </row>
    <row r="512" spans="12:23" ht="12.75" x14ac:dyDescent="0.2">
      <c r="L512" s="36"/>
      <c r="S512" s="37"/>
      <c r="W512" s="36"/>
    </row>
    <row r="513" spans="12:23" ht="12.75" x14ac:dyDescent="0.2">
      <c r="L513" s="36"/>
      <c r="S513" s="37"/>
      <c r="W513" s="36"/>
    </row>
    <row r="514" spans="12:23" ht="12.75" x14ac:dyDescent="0.2">
      <c r="L514" s="36"/>
      <c r="S514" s="37"/>
      <c r="W514" s="36"/>
    </row>
    <row r="515" spans="12:23" ht="12.75" x14ac:dyDescent="0.2">
      <c r="L515" s="36"/>
      <c r="S515" s="37"/>
      <c r="W515" s="36"/>
    </row>
    <row r="516" spans="12:23" ht="12.75" x14ac:dyDescent="0.2">
      <c r="L516" s="36"/>
      <c r="S516" s="37"/>
      <c r="W516" s="36"/>
    </row>
    <row r="517" spans="12:23" ht="12.75" x14ac:dyDescent="0.2">
      <c r="L517" s="36"/>
      <c r="S517" s="37"/>
      <c r="W517" s="36"/>
    </row>
    <row r="518" spans="12:23" ht="12.75" x14ac:dyDescent="0.2">
      <c r="L518" s="36"/>
      <c r="S518" s="37"/>
      <c r="W518" s="36"/>
    </row>
    <row r="519" spans="12:23" ht="12.75" x14ac:dyDescent="0.2">
      <c r="L519" s="36"/>
      <c r="S519" s="37"/>
      <c r="W519" s="36"/>
    </row>
    <row r="520" spans="12:23" ht="12.75" x14ac:dyDescent="0.2">
      <c r="L520" s="36"/>
      <c r="S520" s="37"/>
      <c r="W520" s="36"/>
    </row>
    <row r="521" spans="12:23" ht="12.75" x14ac:dyDescent="0.2">
      <c r="L521" s="36"/>
      <c r="S521" s="37"/>
      <c r="W521" s="36"/>
    </row>
    <row r="522" spans="12:23" ht="12.75" x14ac:dyDescent="0.2">
      <c r="L522" s="36"/>
      <c r="S522" s="37"/>
      <c r="W522" s="36"/>
    </row>
    <row r="523" spans="12:23" ht="12.75" x14ac:dyDescent="0.2">
      <c r="L523" s="36"/>
      <c r="S523" s="37"/>
      <c r="W523" s="36"/>
    </row>
    <row r="524" spans="12:23" ht="12.75" x14ac:dyDescent="0.2">
      <c r="L524" s="36"/>
      <c r="S524" s="37"/>
      <c r="W524" s="36"/>
    </row>
    <row r="525" spans="12:23" ht="12.75" x14ac:dyDescent="0.2">
      <c r="L525" s="36"/>
      <c r="S525" s="37"/>
      <c r="W525" s="36"/>
    </row>
    <row r="526" spans="12:23" ht="12.75" x14ac:dyDescent="0.2">
      <c r="L526" s="36"/>
      <c r="S526" s="37"/>
      <c r="W526" s="36"/>
    </row>
    <row r="527" spans="12:23" ht="12.75" x14ac:dyDescent="0.2">
      <c r="L527" s="36"/>
      <c r="S527" s="37"/>
      <c r="W527" s="36"/>
    </row>
    <row r="528" spans="12:23" ht="12.75" x14ac:dyDescent="0.2">
      <c r="L528" s="36"/>
      <c r="S528" s="37"/>
      <c r="W528" s="36"/>
    </row>
    <row r="529" spans="12:23" ht="12.75" x14ac:dyDescent="0.2">
      <c r="L529" s="36"/>
      <c r="S529" s="37"/>
      <c r="W529" s="36"/>
    </row>
    <row r="530" spans="12:23" ht="12.75" x14ac:dyDescent="0.2">
      <c r="L530" s="36"/>
      <c r="S530" s="37"/>
      <c r="W530" s="36"/>
    </row>
    <row r="531" spans="12:23" ht="12.75" x14ac:dyDescent="0.2">
      <c r="L531" s="36"/>
      <c r="S531" s="37"/>
      <c r="W531" s="36"/>
    </row>
    <row r="532" spans="12:23" ht="12.75" x14ac:dyDescent="0.2">
      <c r="L532" s="36"/>
      <c r="S532" s="37"/>
      <c r="W532" s="36"/>
    </row>
    <row r="533" spans="12:23" ht="12.75" x14ac:dyDescent="0.2">
      <c r="L533" s="36"/>
      <c r="S533" s="37"/>
      <c r="W533" s="36"/>
    </row>
    <row r="534" spans="12:23" ht="12.75" x14ac:dyDescent="0.2">
      <c r="L534" s="36"/>
      <c r="S534" s="37"/>
      <c r="W534" s="36"/>
    </row>
    <row r="535" spans="12:23" ht="12.75" x14ac:dyDescent="0.2">
      <c r="L535" s="36"/>
      <c r="S535" s="37"/>
      <c r="W535" s="36"/>
    </row>
    <row r="536" spans="12:23" ht="12.75" x14ac:dyDescent="0.2">
      <c r="L536" s="36"/>
      <c r="S536" s="37"/>
      <c r="W536" s="36"/>
    </row>
    <row r="537" spans="12:23" ht="12.75" x14ac:dyDescent="0.2">
      <c r="L537" s="36"/>
      <c r="S537" s="37"/>
      <c r="W537" s="36"/>
    </row>
    <row r="538" spans="12:23" ht="12.75" x14ac:dyDescent="0.2">
      <c r="L538" s="36"/>
      <c r="S538" s="37"/>
      <c r="W538" s="36"/>
    </row>
    <row r="539" spans="12:23" ht="12.75" x14ac:dyDescent="0.2">
      <c r="L539" s="36"/>
      <c r="S539" s="37"/>
      <c r="W539" s="36"/>
    </row>
    <row r="540" spans="12:23" ht="12.75" x14ac:dyDescent="0.2">
      <c r="L540" s="36"/>
      <c r="S540" s="37"/>
      <c r="W540" s="36"/>
    </row>
    <row r="541" spans="12:23" ht="12.75" x14ac:dyDescent="0.2">
      <c r="L541" s="36"/>
      <c r="S541" s="37"/>
      <c r="W541" s="36"/>
    </row>
    <row r="542" spans="12:23" ht="12.75" x14ac:dyDescent="0.2">
      <c r="L542" s="36"/>
      <c r="S542" s="37"/>
      <c r="W542" s="36"/>
    </row>
    <row r="543" spans="12:23" ht="12.75" x14ac:dyDescent="0.2">
      <c r="L543" s="36"/>
      <c r="S543" s="37"/>
      <c r="W543" s="36"/>
    </row>
    <row r="544" spans="12:23" ht="12.75" x14ac:dyDescent="0.2">
      <c r="L544" s="36"/>
      <c r="S544" s="37"/>
      <c r="W544" s="36"/>
    </row>
    <row r="545" spans="12:23" ht="12.75" x14ac:dyDescent="0.2">
      <c r="L545" s="36"/>
      <c r="S545" s="37"/>
      <c r="W545" s="36"/>
    </row>
    <row r="546" spans="12:23" ht="12.75" x14ac:dyDescent="0.2">
      <c r="L546" s="36"/>
      <c r="S546" s="37"/>
      <c r="W546" s="36"/>
    </row>
    <row r="547" spans="12:23" ht="12.75" x14ac:dyDescent="0.2">
      <c r="L547" s="36"/>
      <c r="S547" s="37"/>
      <c r="W547" s="36"/>
    </row>
    <row r="548" spans="12:23" ht="12.75" x14ac:dyDescent="0.2">
      <c r="L548" s="36"/>
      <c r="S548" s="37"/>
      <c r="W548" s="36"/>
    </row>
    <row r="549" spans="12:23" ht="12.75" x14ac:dyDescent="0.2">
      <c r="L549" s="36"/>
      <c r="S549" s="37"/>
      <c r="W549" s="36"/>
    </row>
    <row r="550" spans="12:23" ht="12.75" x14ac:dyDescent="0.2">
      <c r="L550" s="36"/>
      <c r="S550" s="37"/>
      <c r="W550" s="36"/>
    </row>
    <row r="551" spans="12:23" ht="12.75" x14ac:dyDescent="0.2">
      <c r="L551" s="36"/>
      <c r="S551" s="37"/>
      <c r="W551" s="36"/>
    </row>
    <row r="552" spans="12:23" ht="12.75" x14ac:dyDescent="0.2">
      <c r="L552" s="36"/>
      <c r="S552" s="37"/>
      <c r="W552" s="36"/>
    </row>
    <row r="553" spans="12:23" ht="12.75" x14ac:dyDescent="0.2">
      <c r="L553" s="36"/>
      <c r="S553" s="37"/>
      <c r="W553" s="36"/>
    </row>
    <row r="554" spans="12:23" ht="12.75" x14ac:dyDescent="0.2">
      <c r="L554" s="36"/>
      <c r="S554" s="37"/>
      <c r="W554" s="36"/>
    </row>
    <row r="555" spans="12:23" ht="12.75" x14ac:dyDescent="0.2">
      <c r="L555" s="36"/>
      <c r="S555" s="37"/>
      <c r="W555" s="36"/>
    </row>
    <row r="556" spans="12:23" ht="12.75" x14ac:dyDescent="0.2">
      <c r="L556" s="36"/>
      <c r="S556" s="37"/>
      <c r="W556" s="36"/>
    </row>
    <row r="557" spans="12:23" ht="12.75" x14ac:dyDescent="0.2">
      <c r="L557" s="36"/>
      <c r="S557" s="37"/>
      <c r="W557" s="36"/>
    </row>
    <row r="558" spans="12:23" ht="12.75" x14ac:dyDescent="0.2">
      <c r="L558" s="36"/>
      <c r="S558" s="37"/>
      <c r="W558" s="36"/>
    </row>
    <row r="559" spans="12:23" ht="12.75" x14ac:dyDescent="0.2">
      <c r="L559" s="36"/>
      <c r="S559" s="37"/>
      <c r="W559" s="36"/>
    </row>
    <row r="560" spans="12:23" ht="12.75" x14ac:dyDescent="0.2">
      <c r="L560" s="36"/>
      <c r="S560" s="37"/>
      <c r="W560" s="36"/>
    </row>
    <row r="561" spans="12:23" ht="12.75" x14ac:dyDescent="0.2">
      <c r="L561" s="36"/>
      <c r="S561" s="37"/>
      <c r="W561" s="36"/>
    </row>
    <row r="562" spans="12:23" ht="12.75" x14ac:dyDescent="0.2">
      <c r="L562" s="36"/>
      <c r="S562" s="37"/>
      <c r="W562" s="36"/>
    </row>
    <row r="563" spans="12:23" ht="12.75" x14ac:dyDescent="0.2">
      <c r="L563" s="36"/>
      <c r="S563" s="37"/>
      <c r="W563" s="36"/>
    </row>
    <row r="564" spans="12:23" ht="12.75" x14ac:dyDescent="0.2">
      <c r="L564" s="36"/>
      <c r="S564" s="37"/>
      <c r="W564" s="36"/>
    </row>
    <row r="565" spans="12:23" ht="12.75" x14ac:dyDescent="0.2">
      <c r="L565" s="36"/>
      <c r="S565" s="37"/>
      <c r="W565" s="36"/>
    </row>
    <row r="566" spans="12:23" ht="12.75" x14ac:dyDescent="0.2">
      <c r="L566" s="36"/>
      <c r="S566" s="37"/>
      <c r="W566" s="36"/>
    </row>
    <row r="567" spans="12:23" ht="12.75" x14ac:dyDescent="0.2">
      <c r="L567" s="36"/>
      <c r="S567" s="37"/>
      <c r="W567" s="36"/>
    </row>
    <row r="568" spans="12:23" ht="12.75" x14ac:dyDescent="0.2">
      <c r="L568" s="36"/>
      <c r="S568" s="37"/>
      <c r="W568" s="36"/>
    </row>
    <row r="569" spans="12:23" ht="12.75" x14ac:dyDescent="0.2">
      <c r="L569" s="36"/>
      <c r="S569" s="37"/>
      <c r="W569" s="36"/>
    </row>
    <row r="570" spans="12:23" ht="12.75" x14ac:dyDescent="0.2">
      <c r="L570" s="36"/>
      <c r="S570" s="37"/>
      <c r="W570" s="36"/>
    </row>
    <row r="571" spans="12:23" ht="12.75" x14ac:dyDescent="0.2">
      <c r="L571" s="36"/>
      <c r="S571" s="37"/>
      <c r="W571" s="36"/>
    </row>
    <row r="572" spans="12:23" ht="12.75" x14ac:dyDescent="0.2">
      <c r="L572" s="36"/>
      <c r="S572" s="37"/>
      <c r="W572" s="36"/>
    </row>
    <row r="573" spans="12:23" ht="12.75" x14ac:dyDescent="0.2">
      <c r="L573" s="36"/>
      <c r="S573" s="37"/>
      <c r="W573" s="36"/>
    </row>
    <row r="574" spans="12:23" ht="12.75" x14ac:dyDescent="0.2">
      <c r="L574" s="36"/>
      <c r="S574" s="37"/>
      <c r="W574" s="36"/>
    </row>
    <row r="575" spans="12:23" ht="12.75" x14ac:dyDescent="0.2">
      <c r="L575" s="36"/>
      <c r="S575" s="37"/>
      <c r="W575" s="36"/>
    </row>
    <row r="576" spans="12:23" ht="12.75" x14ac:dyDescent="0.2">
      <c r="L576" s="36"/>
      <c r="S576" s="37"/>
      <c r="W576" s="36"/>
    </row>
    <row r="577" spans="12:23" ht="12.75" x14ac:dyDescent="0.2">
      <c r="L577" s="36"/>
      <c r="S577" s="37"/>
      <c r="W577" s="36"/>
    </row>
    <row r="578" spans="12:23" ht="12.75" x14ac:dyDescent="0.2">
      <c r="L578" s="36"/>
      <c r="S578" s="37"/>
      <c r="W578" s="36"/>
    </row>
    <row r="579" spans="12:23" ht="12.75" x14ac:dyDescent="0.2">
      <c r="L579" s="36"/>
      <c r="S579" s="37"/>
      <c r="W579" s="36"/>
    </row>
    <row r="580" spans="12:23" ht="12.75" x14ac:dyDescent="0.2">
      <c r="L580" s="36"/>
      <c r="S580" s="37"/>
      <c r="W580" s="36"/>
    </row>
    <row r="581" spans="12:23" ht="12.75" x14ac:dyDescent="0.2">
      <c r="L581" s="36"/>
      <c r="S581" s="37"/>
      <c r="W581" s="36"/>
    </row>
    <row r="582" spans="12:23" ht="12.75" x14ac:dyDescent="0.2">
      <c r="L582" s="36"/>
      <c r="S582" s="37"/>
      <c r="W582" s="36"/>
    </row>
    <row r="583" spans="12:23" ht="12.75" x14ac:dyDescent="0.2">
      <c r="L583" s="36"/>
      <c r="S583" s="37"/>
      <c r="W583" s="36"/>
    </row>
    <row r="584" spans="12:23" ht="12.75" x14ac:dyDescent="0.2">
      <c r="L584" s="36"/>
      <c r="S584" s="37"/>
      <c r="W584" s="36"/>
    </row>
    <row r="585" spans="12:23" ht="12.75" x14ac:dyDescent="0.2">
      <c r="L585" s="36"/>
      <c r="S585" s="37"/>
      <c r="W585" s="36"/>
    </row>
    <row r="586" spans="12:23" ht="12.75" x14ac:dyDescent="0.2">
      <c r="L586" s="36"/>
      <c r="S586" s="37"/>
      <c r="W586" s="36"/>
    </row>
    <row r="587" spans="12:23" ht="12.75" x14ac:dyDescent="0.2">
      <c r="L587" s="36"/>
      <c r="S587" s="37"/>
      <c r="W587" s="36"/>
    </row>
    <row r="588" spans="12:23" ht="12.75" x14ac:dyDescent="0.2">
      <c r="L588" s="36"/>
      <c r="S588" s="37"/>
      <c r="W588" s="36"/>
    </row>
    <row r="589" spans="12:23" ht="12.75" x14ac:dyDescent="0.2">
      <c r="L589" s="36"/>
      <c r="S589" s="37"/>
      <c r="W589" s="36"/>
    </row>
    <row r="590" spans="12:23" ht="12.75" x14ac:dyDescent="0.2">
      <c r="L590" s="36"/>
      <c r="S590" s="37"/>
      <c r="W590" s="36"/>
    </row>
    <row r="591" spans="12:23" ht="12.75" x14ac:dyDescent="0.2">
      <c r="L591" s="36"/>
      <c r="S591" s="37"/>
      <c r="W591" s="36"/>
    </row>
    <row r="592" spans="12:23" ht="12.75" x14ac:dyDescent="0.2">
      <c r="L592" s="36"/>
      <c r="S592" s="37"/>
      <c r="W592" s="36"/>
    </row>
    <row r="593" spans="12:23" ht="12.75" x14ac:dyDescent="0.2">
      <c r="L593" s="36"/>
      <c r="S593" s="37"/>
      <c r="W593" s="36"/>
    </row>
    <row r="594" spans="12:23" ht="12.75" x14ac:dyDescent="0.2">
      <c r="L594" s="36"/>
      <c r="S594" s="37"/>
      <c r="W594" s="36"/>
    </row>
    <row r="595" spans="12:23" ht="12.75" x14ac:dyDescent="0.2">
      <c r="L595" s="36"/>
      <c r="S595" s="37"/>
      <c r="W595" s="36"/>
    </row>
    <row r="596" spans="12:23" ht="12.75" x14ac:dyDescent="0.2">
      <c r="L596" s="36"/>
      <c r="S596" s="37"/>
      <c r="W596" s="36"/>
    </row>
    <row r="597" spans="12:23" ht="12.75" x14ac:dyDescent="0.2">
      <c r="L597" s="36"/>
      <c r="S597" s="37"/>
      <c r="W597" s="36"/>
    </row>
    <row r="598" spans="12:23" ht="12.75" x14ac:dyDescent="0.2">
      <c r="L598" s="36"/>
      <c r="S598" s="37"/>
      <c r="W598" s="36"/>
    </row>
    <row r="599" spans="12:23" ht="12.75" x14ac:dyDescent="0.2">
      <c r="L599" s="36"/>
      <c r="S599" s="37"/>
      <c r="W599" s="36"/>
    </row>
    <row r="600" spans="12:23" ht="12.75" x14ac:dyDescent="0.2">
      <c r="L600" s="36"/>
      <c r="S600" s="37"/>
      <c r="W600" s="36"/>
    </row>
    <row r="601" spans="12:23" ht="12.75" x14ac:dyDescent="0.2">
      <c r="L601" s="36"/>
      <c r="S601" s="37"/>
      <c r="W601" s="36"/>
    </row>
    <row r="602" spans="12:23" ht="12.75" x14ac:dyDescent="0.2">
      <c r="L602" s="36"/>
      <c r="S602" s="37"/>
      <c r="W602" s="36"/>
    </row>
    <row r="603" spans="12:23" ht="12.75" x14ac:dyDescent="0.2">
      <c r="L603" s="36"/>
      <c r="S603" s="37"/>
      <c r="W603" s="36"/>
    </row>
    <row r="604" spans="12:23" ht="12.75" x14ac:dyDescent="0.2">
      <c r="L604" s="36"/>
      <c r="S604" s="37"/>
      <c r="W604" s="36"/>
    </row>
    <row r="605" spans="12:23" ht="12.75" x14ac:dyDescent="0.2">
      <c r="L605" s="36"/>
      <c r="S605" s="37"/>
      <c r="W605" s="36"/>
    </row>
    <row r="606" spans="12:23" ht="12.75" x14ac:dyDescent="0.2">
      <c r="L606" s="36"/>
      <c r="S606" s="37"/>
      <c r="W606" s="36"/>
    </row>
    <row r="607" spans="12:23" ht="12.75" x14ac:dyDescent="0.2">
      <c r="L607" s="36"/>
      <c r="S607" s="37"/>
      <c r="W607" s="36"/>
    </row>
    <row r="608" spans="12:23" ht="12.75" x14ac:dyDescent="0.2">
      <c r="L608" s="36"/>
      <c r="S608" s="37"/>
      <c r="W608" s="36"/>
    </row>
    <row r="609" spans="12:23" ht="12.75" x14ac:dyDescent="0.2">
      <c r="L609" s="36"/>
      <c r="S609" s="37"/>
      <c r="W609" s="36"/>
    </row>
    <row r="610" spans="12:23" ht="12.75" x14ac:dyDescent="0.2">
      <c r="L610" s="36"/>
      <c r="S610" s="37"/>
      <c r="W610" s="36"/>
    </row>
    <row r="611" spans="12:23" ht="12.75" x14ac:dyDescent="0.2">
      <c r="L611" s="36"/>
      <c r="S611" s="37"/>
      <c r="W611" s="36"/>
    </row>
    <row r="612" spans="12:23" ht="12.75" x14ac:dyDescent="0.2">
      <c r="L612" s="36"/>
      <c r="S612" s="37"/>
      <c r="W612" s="36"/>
    </row>
    <row r="613" spans="12:23" ht="12.75" x14ac:dyDescent="0.2">
      <c r="L613" s="36"/>
      <c r="S613" s="37"/>
      <c r="W613" s="36"/>
    </row>
    <row r="614" spans="12:23" ht="12.75" x14ac:dyDescent="0.2">
      <c r="L614" s="36"/>
      <c r="S614" s="37"/>
      <c r="W614" s="36"/>
    </row>
    <row r="615" spans="12:23" ht="12.75" x14ac:dyDescent="0.2">
      <c r="L615" s="36"/>
      <c r="S615" s="37"/>
      <c r="W615" s="36"/>
    </row>
    <row r="616" spans="12:23" ht="12.75" x14ac:dyDescent="0.2">
      <c r="L616" s="36"/>
      <c r="S616" s="37"/>
      <c r="W616" s="36"/>
    </row>
    <row r="617" spans="12:23" ht="12.75" x14ac:dyDescent="0.2">
      <c r="L617" s="36"/>
      <c r="S617" s="37"/>
      <c r="W617" s="36"/>
    </row>
    <row r="618" spans="12:23" ht="12.75" x14ac:dyDescent="0.2">
      <c r="L618" s="36"/>
      <c r="S618" s="37"/>
      <c r="W618" s="36"/>
    </row>
    <row r="619" spans="12:23" ht="12.75" x14ac:dyDescent="0.2">
      <c r="L619" s="36"/>
      <c r="S619" s="37"/>
      <c r="W619" s="36"/>
    </row>
    <row r="620" spans="12:23" ht="12.75" x14ac:dyDescent="0.2">
      <c r="L620" s="36"/>
      <c r="S620" s="37"/>
      <c r="W620" s="36"/>
    </row>
    <row r="621" spans="12:23" ht="12.75" x14ac:dyDescent="0.2">
      <c r="L621" s="36"/>
      <c r="S621" s="37"/>
      <c r="W621" s="36"/>
    </row>
    <row r="622" spans="12:23" ht="12.75" x14ac:dyDescent="0.2">
      <c r="L622" s="36"/>
      <c r="S622" s="37"/>
      <c r="W622" s="36"/>
    </row>
    <row r="623" spans="12:23" ht="12.75" x14ac:dyDescent="0.2">
      <c r="L623" s="36"/>
      <c r="S623" s="37"/>
      <c r="W623" s="36"/>
    </row>
    <row r="624" spans="12:23" ht="12.75" x14ac:dyDescent="0.2">
      <c r="L624" s="36"/>
      <c r="S624" s="37"/>
      <c r="W624" s="36"/>
    </row>
    <row r="625" spans="12:23" ht="12.75" x14ac:dyDescent="0.2">
      <c r="L625" s="36"/>
      <c r="S625" s="37"/>
      <c r="W625" s="36"/>
    </row>
    <row r="626" spans="12:23" ht="12.75" x14ac:dyDescent="0.2">
      <c r="L626" s="36"/>
      <c r="S626" s="37"/>
      <c r="W626" s="36"/>
    </row>
    <row r="627" spans="12:23" ht="12.75" x14ac:dyDescent="0.2">
      <c r="L627" s="36"/>
      <c r="S627" s="37"/>
      <c r="W627" s="36"/>
    </row>
    <row r="628" spans="12:23" ht="12.75" x14ac:dyDescent="0.2">
      <c r="L628" s="36"/>
      <c r="S628" s="37"/>
      <c r="W628" s="36"/>
    </row>
    <row r="629" spans="12:23" ht="12.75" x14ac:dyDescent="0.2">
      <c r="L629" s="36"/>
      <c r="S629" s="37"/>
      <c r="W629" s="36"/>
    </row>
    <row r="630" spans="12:23" ht="12.75" x14ac:dyDescent="0.2">
      <c r="L630" s="36"/>
      <c r="S630" s="37"/>
      <c r="W630" s="36"/>
    </row>
    <row r="631" spans="12:23" ht="12.75" x14ac:dyDescent="0.2">
      <c r="L631" s="36"/>
      <c r="S631" s="37"/>
      <c r="W631" s="36"/>
    </row>
    <row r="632" spans="12:23" ht="12.75" x14ac:dyDescent="0.2">
      <c r="L632" s="36"/>
      <c r="S632" s="37"/>
      <c r="W632" s="36"/>
    </row>
    <row r="633" spans="12:23" ht="12.75" x14ac:dyDescent="0.2">
      <c r="L633" s="36"/>
      <c r="S633" s="37"/>
      <c r="W633" s="36"/>
    </row>
    <row r="634" spans="12:23" ht="12.75" x14ac:dyDescent="0.2">
      <c r="L634" s="36"/>
      <c r="S634" s="37"/>
      <c r="W634" s="36"/>
    </row>
    <row r="635" spans="12:23" ht="12.75" x14ac:dyDescent="0.2">
      <c r="L635" s="36"/>
      <c r="S635" s="37"/>
      <c r="W635" s="36"/>
    </row>
    <row r="636" spans="12:23" ht="12.75" x14ac:dyDescent="0.2">
      <c r="L636" s="36"/>
      <c r="S636" s="37"/>
      <c r="W636" s="36"/>
    </row>
    <row r="637" spans="12:23" ht="12.75" x14ac:dyDescent="0.2">
      <c r="L637" s="36"/>
      <c r="S637" s="37"/>
      <c r="W637" s="36"/>
    </row>
    <row r="638" spans="12:23" ht="12.75" x14ac:dyDescent="0.2">
      <c r="L638" s="36"/>
      <c r="S638" s="37"/>
      <c r="W638" s="36"/>
    </row>
    <row r="639" spans="12:23" ht="12.75" x14ac:dyDescent="0.2">
      <c r="L639" s="36"/>
      <c r="S639" s="37"/>
      <c r="W639" s="36"/>
    </row>
    <row r="640" spans="12:23" ht="12.75" x14ac:dyDescent="0.2">
      <c r="L640" s="36"/>
      <c r="S640" s="37"/>
      <c r="W640" s="36"/>
    </row>
    <row r="641" spans="12:23" ht="12.75" x14ac:dyDescent="0.2">
      <c r="L641" s="36"/>
      <c r="S641" s="37"/>
      <c r="W641" s="36"/>
    </row>
    <row r="642" spans="12:23" ht="12.75" x14ac:dyDescent="0.2">
      <c r="L642" s="36"/>
      <c r="S642" s="37"/>
      <c r="W642" s="36"/>
    </row>
    <row r="643" spans="12:23" ht="12.75" x14ac:dyDescent="0.2">
      <c r="L643" s="36"/>
      <c r="S643" s="37"/>
      <c r="W643" s="36"/>
    </row>
    <row r="644" spans="12:23" ht="12.75" x14ac:dyDescent="0.2">
      <c r="L644" s="36"/>
      <c r="S644" s="37"/>
      <c r="W644" s="36"/>
    </row>
    <row r="645" spans="12:23" ht="12.75" x14ac:dyDescent="0.2">
      <c r="L645" s="36"/>
      <c r="S645" s="37"/>
      <c r="W645" s="36"/>
    </row>
    <row r="646" spans="12:23" ht="12.75" x14ac:dyDescent="0.2">
      <c r="L646" s="36"/>
      <c r="S646" s="37"/>
      <c r="W646" s="36"/>
    </row>
    <row r="647" spans="12:23" ht="12.75" x14ac:dyDescent="0.2">
      <c r="L647" s="36"/>
      <c r="S647" s="37"/>
      <c r="W647" s="36"/>
    </row>
    <row r="648" spans="12:23" ht="12.75" x14ac:dyDescent="0.2">
      <c r="L648" s="36"/>
      <c r="S648" s="37"/>
      <c r="W648" s="36"/>
    </row>
    <row r="649" spans="12:23" ht="12.75" x14ac:dyDescent="0.2">
      <c r="L649" s="36"/>
      <c r="S649" s="37"/>
      <c r="W649" s="36"/>
    </row>
    <row r="650" spans="12:23" ht="12.75" x14ac:dyDescent="0.2">
      <c r="L650" s="36"/>
      <c r="S650" s="37"/>
      <c r="W650" s="36"/>
    </row>
    <row r="651" spans="12:23" ht="12.75" x14ac:dyDescent="0.2">
      <c r="L651" s="36"/>
      <c r="S651" s="37"/>
      <c r="W651" s="36"/>
    </row>
    <row r="652" spans="12:23" ht="12.75" x14ac:dyDescent="0.2">
      <c r="L652" s="36"/>
      <c r="S652" s="37"/>
      <c r="W652" s="36"/>
    </row>
    <row r="653" spans="12:23" ht="12.75" x14ac:dyDescent="0.2">
      <c r="L653" s="36"/>
      <c r="S653" s="37"/>
      <c r="W653" s="36"/>
    </row>
    <row r="654" spans="12:23" ht="12.75" x14ac:dyDescent="0.2">
      <c r="L654" s="36"/>
      <c r="S654" s="37"/>
      <c r="W654" s="36"/>
    </row>
    <row r="655" spans="12:23" ht="12.75" x14ac:dyDescent="0.2">
      <c r="L655" s="36"/>
      <c r="S655" s="37"/>
      <c r="W655" s="36"/>
    </row>
    <row r="656" spans="12:23" ht="12.75" x14ac:dyDescent="0.2">
      <c r="L656" s="36"/>
      <c r="S656" s="37"/>
      <c r="W656" s="36"/>
    </row>
    <row r="657" spans="12:23" ht="12.75" x14ac:dyDescent="0.2">
      <c r="L657" s="36"/>
      <c r="S657" s="37"/>
      <c r="W657" s="36"/>
    </row>
    <row r="658" spans="12:23" ht="12.75" x14ac:dyDescent="0.2">
      <c r="L658" s="36"/>
      <c r="S658" s="37"/>
      <c r="W658" s="36"/>
    </row>
    <row r="659" spans="12:23" ht="12.75" x14ac:dyDescent="0.2">
      <c r="L659" s="36"/>
      <c r="S659" s="37"/>
      <c r="W659" s="36"/>
    </row>
    <row r="660" spans="12:23" ht="12.75" x14ac:dyDescent="0.2">
      <c r="L660" s="36"/>
      <c r="S660" s="37"/>
      <c r="W660" s="36"/>
    </row>
    <row r="661" spans="12:23" ht="12.75" x14ac:dyDescent="0.2">
      <c r="L661" s="36"/>
      <c r="S661" s="37"/>
      <c r="W661" s="36"/>
    </row>
    <row r="662" spans="12:23" ht="12.75" x14ac:dyDescent="0.2">
      <c r="L662" s="36"/>
      <c r="S662" s="37"/>
      <c r="W662" s="36"/>
    </row>
    <row r="663" spans="12:23" ht="12.75" x14ac:dyDescent="0.2">
      <c r="L663" s="36"/>
      <c r="S663" s="37"/>
      <c r="W663" s="36"/>
    </row>
    <row r="664" spans="12:23" ht="12.75" x14ac:dyDescent="0.2">
      <c r="L664" s="36"/>
      <c r="S664" s="37"/>
      <c r="W664" s="36"/>
    </row>
    <row r="665" spans="12:23" ht="12.75" x14ac:dyDescent="0.2">
      <c r="L665" s="36"/>
      <c r="S665" s="37"/>
      <c r="W665" s="36"/>
    </row>
    <row r="666" spans="12:23" ht="12.75" x14ac:dyDescent="0.2">
      <c r="L666" s="36"/>
      <c r="S666" s="37"/>
      <c r="W666" s="36"/>
    </row>
    <row r="667" spans="12:23" ht="12.75" x14ac:dyDescent="0.2">
      <c r="L667" s="36"/>
      <c r="S667" s="37"/>
      <c r="W667" s="36"/>
    </row>
    <row r="668" spans="12:23" ht="12.75" x14ac:dyDescent="0.2">
      <c r="L668" s="36"/>
      <c r="S668" s="37"/>
      <c r="W668" s="36"/>
    </row>
    <row r="669" spans="12:23" ht="12.75" x14ac:dyDescent="0.2">
      <c r="L669" s="36"/>
      <c r="S669" s="37"/>
      <c r="W669" s="36"/>
    </row>
    <row r="670" spans="12:23" ht="12.75" x14ac:dyDescent="0.2">
      <c r="L670" s="36"/>
      <c r="S670" s="37"/>
      <c r="W670" s="36"/>
    </row>
    <row r="671" spans="12:23" ht="12.75" x14ac:dyDescent="0.2">
      <c r="L671" s="36"/>
      <c r="S671" s="37"/>
      <c r="W671" s="36"/>
    </row>
    <row r="672" spans="12:23" ht="12.75" x14ac:dyDescent="0.2">
      <c r="L672" s="36"/>
      <c r="S672" s="37"/>
      <c r="W672" s="36"/>
    </row>
    <row r="673" spans="12:23" ht="12.75" x14ac:dyDescent="0.2">
      <c r="L673" s="36"/>
      <c r="S673" s="37"/>
      <c r="W673" s="36"/>
    </row>
    <row r="674" spans="12:23" ht="12.75" x14ac:dyDescent="0.2">
      <c r="L674" s="36"/>
      <c r="S674" s="37"/>
      <c r="W674" s="36"/>
    </row>
    <row r="675" spans="12:23" ht="12.75" x14ac:dyDescent="0.2">
      <c r="L675" s="36"/>
      <c r="S675" s="37"/>
      <c r="W675" s="36"/>
    </row>
    <row r="676" spans="12:23" ht="12.75" x14ac:dyDescent="0.2">
      <c r="L676" s="36"/>
      <c r="S676" s="37"/>
      <c r="W676" s="36"/>
    </row>
    <row r="677" spans="12:23" ht="12.75" x14ac:dyDescent="0.2">
      <c r="L677" s="36"/>
      <c r="S677" s="37"/>
      <c r="W677" s="36"/>
    </row>
    <row r="678" spans="12:23" ht="12.75" x14ac:dyDescent="0.2">
      <c r="L678" s="36"/>
      <c r="S678" s="37"/>
      <c r="W678" s="36"/>
    </row>
    <row r="679" spans="12:23" ht="12.75" x14ac:dyDescent="0.2">
      <c r="L679" s="36"/>
      <c r="S679" s="37"/>
      <c r="W679" s="36"/>
    </row>
    <row r="680" spans="12:23" ht="12.75" x14ac:dyDescent="0.2">
      <c r="L680" s="36"/>
      <c r="S680" s="37"/>
      <c r="W680" s="36"/>
    </row>
    <row r="681" spans="12:23" ht="12.75" x14ac:dyDescent="0.2">
      <c r="L681" s="36"/>
      <c r="S681" s="37"/>
      <c r="W681" s="36"/>
    </row>
    <row r="682" spans="12:23" ht="12.75" x14ac:dyDescent="0.2">
      <c r="L682" s="36"/>
      <c r="S682" s="37"/>
      <c r="W682" s="36"/>
    </row>
    <row r="683" spans="12:23" ht="12.75" x14ac:dyDescent="0.2">
      <c r="L683" s="36"/>
      <c r="S683" s="37"/>
      <c r="W683" s="36"/>
    </row>
    <row r="684" spans="12:23" ht="12.75" x14ac:dyDescent="0.2">
      <c r="L684" s="36"/>
      <c r="S684" s="37"/>
      <c r="W684" s="36"/>
    </row>
    <row r="685" spans="12:23" ht="12.75" x14ac:dyDescent="0.2">
      <c r="L685" s="36"/>
      <c r="S685" s="37"/>
      <c r="W685" s="36"/>
    </row>
    <row r="686" spans="12:23" ht="12.75" x14ac:dyDescent="0.2">
      <c r="L686" s="36"/>
      <c r="S686" s="37"/>
      <c r="W686" s="36"/>
    </row>
    <row r="687" spans="12:23" ht="12.75" x14ac:dyDescent="0.2">
      <c r="L687" s="36"/>
      <c r="S687" s="37"/>
      <c r="W687" s="36"/>
    </row>
    <row r="688" spans="12:23" ht="12.75" x14ac:dyDescent="0.2">
      <c r="L688" s="36"/>
      <c r="S688" s="37"/>
      <c r="W688" s="36"/>
    </row>
    <row r="689" spans="12:23" ht="12.75" x14ac:dyDescent="0.2">
      <c r="L689" s="36"/>
      <c r="S689" s="37"/>
      <c r="W689" s="36"/>
    </row>
    <row r="690" spans="12:23" ht="12.75" x14ac:dyDescent="0.2">
      <c r="L690" s="36"/>
      <c r="S690" s="37"/>
      <c r="W690" s="36"/>
    </row>
    <row r="691" spans="12:23" ht="12.75" x14ac:dyDescent="0.2">
      <c r="L691" s="36"/>
      <c r="S691" s="37"/>
      <c r="W691" s="36"/>
    </row>
    <row r="692" spans="12:23" ht="12.75" x14ac:dyDescent="0.2">
      <c r="L692" s="36"/>
      <c r="S692" s="37"/>
      <c r="W692" s="36"/>
    </row>
    <row r="693" spans="12:23" ht="12.75" x14ac:dyDescent="0.2">
      <c r="L693" s="36"/>
      <c r="S693" s="37"/>
      <c r="W693" s="36"/>
    </row>
    <row r="694" spans="12:23" ht="12.75" x14ac:dyDescent="0.2">
      <c r="L694" s="36"/>
      <c r="S694" s="37"/>
      <c r="W694" s="36"/>
    </row>
    <row r="695" spans="12:23" ht="12.75" x14ac:dyDescent="0.2">
      <c r="L695" s="36"/>
      <c r="S695" s="37"/>
      <c r="W695" s="36"/>
    </row>
    <row r="696" spans="12:23" ht="12.75" x14ac:dyDescent="0.2">
      <c r="L696" s="36"/>
      <c r="S696" s="37"/>
      <c r="W696" s="36"/>
    </row>
    <row r="697" spans="12:23" ht="12.75" x14ac:dyDescent="0.2">
      <c r="L697" s="36"/>
      <c r="S697" s="37"/>
      <c r="W697" s="36"/>
    </row>
    <row r="698" spans="12:23" ht="12.75" x14ac:dyDescent="0.2">
      <c r="L698" s="36"/>
      <c r="S698" s="37"/>
      <c r="W698" s="36"/>
    </row>
    <row r="699" spans="12:23" ht="12.75" x14ac:dyDescent="0.2">
      <c r="L699" s="36"/>
      <c r="S699" s="37"/>
      <c r="W699" s="36"/>
    </row>
    <row r="700" spans="12:23" ht="12.75" x14ac:dyDescent="0.2">
      <c r="L700" s="36"/>
      <c r="S700" s="37"/>
      <c r="W700" s="36"/>
    </row>
    <row r="701" spans="12:23" ht="12.75" x14ac:dyDescent="0.2">
      <c r="L701" s="36"/>
      <c r="S701" s="37"/>
      <c r="W701" s="36"/>
    </row>
    <row r="702" spans="12:23" ht="12.75" x14ac:dyDescent="0.2">
      <c r="L702" s="36"/>
      <c r="S702" s="37"/>
      <c r="W702" s="36"/>
    </row>
    <row r="703" spans="12:23" ht="12.75" x14ac:dyDescent="0.2">
      <c r="L703" s="36"/>
      <c r="S703" s="37"/>
      <c r="W703" s="36"/>
    </row>
    <row r="704" spans="12:23" ht="12.75" x14ac:dyDescent="0.2">
      <c r="L704" s="36"/>
      <c r="S704" s="37"/>
      <c r="W704" s="36"/>
    </row>
    <row r="705" spans="12:23" ht="12.75" x14ac:dyDescent="0.2">
      <c r="L705" s="36"/>
      <c r="S705" s="37"/>
      <c r="W705" s="36"/>
    </row>
    <row r="706" spans="12:23" ht="12.75" x14ac:dyDescent="0.2">
      <c r="L706" s="36"/>
      <c r="S706" s="37"/>
      <c r="W706" s="36"/>
    </row>
    <row r="707" spans="12:23" ht="12.75" x14ac:dyDescent="0.2">
      <c r="L707" s="36"/>
      <c r="S707" s="37"/>
      <c r="W707" s="36"/>
    </row>
    <row r="708" spans="12:23" ht="12.75" x14ac:dyDescent="0.2">
      <c r="L708" s="36"/>
      <c r="S708" s="37"/>
      <c r="W708" s="36"/>
    </row>
    <row r="709" spans="12:23" ht="12.75" x14ac:dyDescent="0.2">
      <c r="L709" s="36"/>
      <c r="S709" s="37"/>
      <c r="W709" s="36"/>
    </row>
    <row r="710" spans="12:23" ht="12.75" x14ac:dyDescent="0.2">
      <c r="L710" s="36"/>
      <c r="S710" s="37"/>
      <c r="W710" s="36"/>
    </row>
    <row r="711" spans="12:23" ht="12.75" x14ac:dyDescent="0.2">
      <c r="L711" s="36"/>
      <c r="S711" s="37"/>
      <c r="W711" s="36"/>
    </row>
    <row r="712" spans="12:23" ht="12.75" x14ac:dyDescent="0.2">
      <c r="L712" s="36"/>
      <c r="S712" s="37"/>
      <c r="W712" s="36"/>
    </row>
    <row r="713" spans="12:23" ht="12.75" x14ac:dyDescent="0.2">
      <c r="L713" s="36"/>
      <c r="S713" s="37"/>
      <c r="W713" s="36"/>
    </row>
    <row r="714" spans="12:23" ht="12.75" x14ac:dyDescent="0.2">
      <c r="L714" s="36"/>
      <c r="S714" s="37"/>
      <c r="W714" s="36"/>
    </row>
    <row r="715" spans="12:23" ht="12.75" x14ac:dyDescent="0.2">
      <c r="L715" s="36"/>
      <c r="S715" s="37"/>
      <c r="W715" s="36"/>
    </row>
    <row r="716" spans="12:23" ht="12.75" x14ac:dyDescent="0.2">
      <c r="L716" s="36"/>
      <c r="S716" s="37"/>
      <c r="W716" s="36"/>
    </row>
    <row r="717" spans="12:23" ht="12.75" x14ac:dyDescent="0.2">
      <c r="L717" s="36"/>
      <c r="S717" s="37"/>
      <c r="W717" s="36"/>
    </row>
    <row r="718" spans="12:23" ht="12.75" x14ac:dyDescent="0.2">
      <c r="L718" s="36"/>
      <c r="S718" s="37"/>
      <c r="W718" s="36"/>
    </row>
    <row r="719" spans="12:23" ht="12.75" x14ac:dyDescent="0.2">
      <c r="L719" s="36"/>
      <c r="S719" s="37"/>
      <c r="W719" s="36"/>
    </row>
    <row r="720" spans="12:23" ht="12.75" x14ac:dyDescent="0.2">
      <c r="L720" s="36"/>
      <c r="S720" s="37"/>
      <c r="W720" s="36"/>
    </row>
    <row r="721" spans="12:23" ht="12.75" x14ac:dyDescent="0.2">
      <c r="L721" s="36"/>
      <c r="S721" s="37"/>
      <c r="W721" s="36"/>
    </row>
    <row r="722" spans="12:23" ht="12.75" x14ac:dyDescent="0.2">
      <c r="L722" s="36"/>
      <c r="S722" s="37"/>
      <c r="W722" s="36"/>
    </row>
    <row r="723" spans="12:23" ht="12.75" x14ac:dyDescent="0.2">
      <c r="L723" s="36"/>
      <c r="S723" s="37"/>
      <c r="W723" s="36"/>
    </row>
    <row r="724" spans="12:23" ht="12.75" x14ac:dyDescent="0.2">
      <c r="L724" s="36"/>
      <c r="S724" s="37"/>
      <c r="W724" s="36"/>
    </row>
    <row r="725" spans="12:23" ht="12.75" x14ac:dyDescent="0.2">
      <c r="L725" s="36"/>
      <c r="S725" s="37"/>
      <c r="W725" s="36"/>
    </row>
    <row r="726" spans="12:23" ht="12.75" x14ac:dyDescent="0.2">
      <c r="L726" s="36"/>
      <c r="S726" s="37"/>
      <c r="W726" s="36"/>
    </row>
    <row r="727" spans="12:23" ht="12.75" x14ac:dyDescent="0.2">
      <c r="L727" s="36"/>
      <c r="S727" s="37"/>
      <c r="W727" s="36"/>
    </row>
    <row r="728" spans="12:23" ht="12.75" x14ac:dyDescent="0.2">
      <c r="L728" s="36"/>
      <c r="S728" s="37"/>
      <c r="W728" s="36"/>
    </row>
    <row r="729" spans="12:23" ht="12.75" x14ac:dyDescent="0.2">
      <c r="L729" s="36"/>
      <c r="S729" s="37"/>
      <c r="W729" s="36"/>
    </row>
    <row r="730" spans="12:23" ht="12.75" x14ac:dyDescent="0.2">
      <c r="L730" s="36"/>
      <c r="S730" s="37"/>
      <c r="W730" s="36"/>
    </row>
    <row r="731" spans="12:23" ht="12.75" x14ac:dyDescent="0.2">
      <c r="L731" s="36"/>
      <c r="S731" s="37"/>
      <c r="W731" s="36"/>
    </row>
    <row r="732" spans="12:23" ht="12.75" x14ac:dyDescent="0.2">
      <c r="L732" s="36"/>
      <c r="S732" s="37"/>
      <c r="W732" s="36"/>
    </row>
    <row r="733" spans="12:23" ht="12.75" x14ac:dyDescent="0.2">
      <c r="L733" s="36"/>
      <c r="S733" s="37"/>
      <c r="W733" s="36"/>
    </row>
    <row r="734" spans="12:23" ht="12.75" x14ac:dyDescent="0.2">
      <c r="L734" s="36"/>
      <c r="S734" s="37"/>
      <c r="W734" s="36"/>
    </row>
    <row r="735" spans="12:23" ht="12.75" x14ac:dyDescent="0.2">
      <c r="L735" s="36"/>
      <c r="S735" s="37"/>
      <c r="W735" s="36"/>
    </row>
    <row r="736" spans="12:23" ht="12.75" x14ac:dyDescent="0.2">
      <c r="L736" s="36"/>
      <c r="S736" s="37"/>
      <c r="W736" s="36"/>
    </row>
    <row r="737" spans="12:23" ht="12.75" x14ac:dyDescent="0.2">
      <c r="L737" s="36"/>
      <c r="S737" s="37"/>
      <c r="W737" s="36"/>
    </row>
    <row r="738" spans="12:23" ht="12.75" x14ac:dyDescent="0.2">
      <c r="L738" s="36"/>
      <c r="S738" s="37"/>
      <c r="W738" s="36"/>
    </row>
    <row r="739" spans="12:23" ht="12.75" x14ac:dyDescent="0.2">
      <c r="L739" s="36"/>
      <c r="S739" s="37"/>
      <c r="W739" s="36"/>
    </row>
    <row r="740" spans="12:23" ht="12.75" x14ac:dyDescent="0.2">
      <c r="L740" s="36"/>
      <c r="S740" s="37"/>
      <c r="W740" s="36"/>
    </row>
    <row r="741" spans="12:23" ht="12.75" x14ac:dyDescent="0.2">
      <c r="L741" s="36"/>
      <c r="S741" s="37"/>
      <c r="W741" s="36"/>
    </row>
    <row r="742" spans="12:23" ht="12.75" x14ac:dyDescent="0.2">
      <c r="L742" s="36"/>
      <c r="S742" s="37"/>
      <c r="W742" s="36"/>
    </row>
    <row r="743" spans="12:23" ht="12.75" x14ac:dyDescent="0.2">
      <c r="L743" s="36"/>
      <c r="S743" s="37"/>
      <c r="W743" s="36"/>
    </row>
    <row r="744" spans="12:23" ht="12.75" x14ac:dyDescent="0.2">
      <c r="L744" s="36"/>
      <c r="S744" s="37"/>
      <c r="W744" s="36"/>
    </row>
    <row r="745" spans="12:23" ht="12.75" x14ac:dyDescent="0.2">
      <c r="L745" s="36"/>
      <c r="S745" s="37"/>
      <c r="W745" s="36"/>
    </row>
    <row r="746" spans="12:23" ht="12.75" x14ac:dyDescent="0.2">
      <c r="L746" s="36"/>
      <c r="S746" s="37"/>
      <c r="W746" s="36"/>
    </row>
    <row r="747" spans="12:23" ht="12.75" x14ac:dyDescent="0.2">
      <c r="L747" s="36"/>
      <c r="S747" s="37"/>
      <c r="W747" s="36"/>
    </row>
    <row r="748" spans="12:23" ht="12.75" x14ac:dyDescent="0.2">
      <c r="L748" s="36"/>
      <c r="S748" s="37"/>
      <c r="W748" s="36"/>
    </row>
    <row r="749" spans="12:23" ht="12.75" x14ac:dyDescent="0.2">
      <c r="L749" s="36"/>
      <c r="S749" s="37"/>
      <c r="W749" s="36"/>
    </row>
    <row r="750" spans="12:23" ht="12.75" x14ac:dyDescent="0.2">
      <c r="L750" s="36"/>
      <c r="S750" s="37"/>
      <c r="W750" s="36"/>
    </row>
    <row r="751" spans="12:23" ht="12.75" x14ac:dyDescent="0.2">
      <c r="L751" s="36"/>
      <c r="S751" s="37"/>
      <c r="W751" s="36"/>
    </row>
    <row r="752" spans="12:23" ht="12.75" x14ac:dyDescent="0.2">
      <c r="L752" s="36"/>
      <c r="S752" s="37"/>
      <c r="W752" s="36"/>
    </row>
    <row r="753" spans="12:23" ht="12.75" x14ac:dyDescent="0.2">
      <c r="L753" s="36"/>
      <c r="S753" s="37"/>
      <c r="W753" s="36"/>
    </row>
    <row r="754" spans="12:23" ht="12.75" x14ac:dyDescent="0.2">
      <c r="L754" s="36"/>
      <c r="S754" s="37"/>
      <c r="W754" s="36"/>
    </row>
    <row r="755" spans="12:23" ht="12.75" x14ac:dyDescent="0.2">
      <c r="L755" s="36"/>
      <c r="S755" s="37"/>
      <c r="W755" s="36"/>
    </row>
    <row r="756" spans="12:23" ht="12.75" x14ac:dyDescent="0.2">
      <c r="L756" s="36"/>
      <c r="S756" s="37"/>
      <c r="W756" s="36"/>
    </row>
    <row r="757" spans="12:23" ht="12.75" x14ac:dyDescent="0.2">
      <c r="L757" s="36"/>
      <c r="S757" s="37"/>
      <c r="W757" s="36"/>
    </row>
    <row r="758" spans="12:23" ht="12.75" x14ac:dyDescent="0.2">
      <c r="L758" s="36"/>
      <c r="S758" s="37"/>
      <c r="W758" s="36"/>
    </row>
    <row r="759" spans="12:23" ht="12.75" x14ac:dyDescent="0.2">
      <c r="L759" s="36"/>
      <c r="S759" s="37"/>
      <c r="W759" s="36"/>
    </row>
    <row r="760" spans="12:23" ht="12.75" x14ac:dyDescent="0.2">
      <c r="L760" s="36"/>
      <c r="S760" s="37"/>
      <c r="W760" s="36"/>
    </row>
    <row r="761" spans="12:23" ht="12.75" x14ac:dyDescent="0.2">
      <c r="L761" s="36"/>
      <c r="S761" s="37"/>
      <c r="W761" s="36"/>
    </row>
    <row r="762" spans="12:23" ht="12.75" x14ac:dyDescent="0.2">
      <c r="L762" s="36"/>
      <c r="S762" s="37"/>
      <c r="W762" s="36"/>
    </row>
    <row r="763" spans="12:23" ht="12.75" x14ac:dyDescent="0.2">
      <c r="L763" s="36"/>
      <c r="S763" s="37"/>
      <c r="W763" s="36"/>
    </row>
    <row r="764" spans="12:23" ht="12.75" x14ac:dyDescent="0.2">
      <c r="L764" s="36"/>
      <c r="S764" s="37"/>
      <c r="W764" s="36"/>
    </row>
    <row r="765" spans="12:23" ht="12.75" x14ac:dyDescent="0.2">
      <c r="L765" s="36"/>
      <c r="S765" s="37"/>
      <c r="W765" s="36"/>
    </row>
    <row r="766" spans="12:23" ht="12.75" x14ac:dyDescent="0.2">
      <c r="L766" s="36"/>
      <c r="S766" s="37"/>
      <c r="W766" s="36"/>
    </row>
    <row r="767" spans="12:23" ht="12.75" x14ac:dyDescent="0.2">
      <c r="L767" s="36"/>
      <c r="S767" s="37"/>
      <c r="W767" s="36"/>
    </row>
    <row r="768" spans="12:23" ht="12.75" x14ac:dyDescent="0.2">
      <c r="L768" s="36"/>
      <c r="S768" s="37"/>
      <c r="W768" s="36"/>
    </row>
    <row r="769" spans="12:23" ht="12.75" x14ac:dyDescent="0.2">
      <c r="L769" s="36"/>
      <c r="S769" s="37"/>
      <c r="W769" s="36"/>
    </row>
    <row r="770" spans="12:23" ht="12.75" x14ac:dyDescent="0.2">
      <c r="L770" s="36"/>
      <c r="S770" s="37"/>
      <c r="W770" s="36"/>
    </row>
    <row r="771" spans="12:23" ht="12.75" x14ac:dyDescent="0.2">
      <c r="L771" s="36"/>
      <c r="S771" s="37"/>
      <c r="W771" s="36"/>
    </row>
    <row r="772" spans="12:23" ht="12.75" x14ac:dyDescent="0.2">
      <c r="L772" s="36"/>
      <c r="S772" s="37"/>
      <c r="W772" s="36"/>
    </row>
    <row r="773" spans="12:23" ht="12.75" x14ac:dyDescent="0.2">
      <c r="L773" s="36"/>
      <c r="S773" s="37"/>
      <c r="W773" s="36"/>
    </row>
    <row r="774" spans="12:23" ht="12.75" x14ac:dyDescent="0.2">
      <c r="L774" s="36"/>
      <c r="S774" s="37"/>
      <c r="W774" s="36"/>
    </row>
    <row r="775" spans="12:23" ht="12.75" x14ac:dyDescent="0.2">
      <c r="L775" s="36"/>
      <c r="S775" s="37"/>
      <c r="W775" s="36"/>
    </row>
    <row r="776" spans="12:23" ht="12.75" x14ac:dyDescent="0.2">
      <c r="L776" s="36"/>
      <c r="S776" s="37"/>
      <c r="W776" s="36"/>
    </row>
    <row r="777" spans="12:23" ht="12.75" x14ac:dyDescent="0.2">
      <c r="L777" s="36"/>
      <c r="S777" s="37"/>
      <c r="W777" s="36"/>
    </row>
    <row r="778" spans="12:23" ht="12.75" x14ac:dyDescent="0.2">
      <c r="L778" s="36"/>
      <c r="S778" s="37"/>
      <c r="W778" s="36"/>
    </row>
    <row r="779" spans="12:23" ht="12.75" x14ac:dyDescent="0.2">
      <c r="L779" s="36"/>
      <c r="S779" s="37"/>
      <c r="W779" s="36"/>
    </row>
    <row r="780" spans="12:23" ht="12.75" x14ac:dyDescent="0.2">
      <c r="L780" s="36"/>
      <c r="S780" s="37"/>
      <c r="W780" s="36"/>
    </row>
    <row r="781" spans="12:23" ht="12.75" x14ac:dyDescent="0.2">
      <c r="L781" s="36"/>
      <c r="S781" s="37"/>
      <c r="W781" s="36"/>
    </row>
    <row r="782" spans="12:23" ht="12.75" x14ac:dyDescent="0.2">
      <c r="L782" s="36"/>
      <c r="S782" s="37"/>
      <c r="W782" s="36"/>
    </row>
    <row r="783" spans="12:23" ht="12.75" x14ac:dyDescent="0.2">
      <c r="L783" s="36"/>
      <c r="S783" s="37"/>
      <c r="W783" s="36"/>
    </row>
    <row r="784" spans="12:23" ht="12.75" x14ac:dyDescent="0.2">
      <c r="L784" s="36"/>
      <c r="S784" s="37"/>
      <c r="W784" s="36"/>
    </row>
    <row r="785" spans="12:23" ht="12.75" x14ac:dyDescent="0.2">
      <c r="L785" s="36"/>
      <c r="S785" s="37"/>
      <c r="W785" s="36"/>
    </row>
    <row r="786" spans="12:23" ht="12.75" x14ac:dyDescent="0.2">
      <c r="L786" s="36"/>
      <c r="S786" s="37"/>
      <c r="W786" s="36"/>
    </row>
    <row r="787" spans="12:23" ht="12.75" x14ac:dyDescent="0.2">
      <c r="L787" s="36"/>
      <c r="S787" s="37"/>
      <c r="W787" s="36"/>
    </row>
    <row r="788" spans="12:23" ht="12.75" x14ac:dyDescent="0.2">
      <c r="L788" s="36"/>
      <c r="S788" s="37"/>
      <c r="W788" s="36"/>
    </row>
    <row r="789" spans="12:23" ht="12.75" x14ac:dyDescent="0.2">
      <c r="L789" s="36"/>
      <c r="S789" s="37"/>
      <c r="W789" s="36"/>
    </row>
    <row r="790" spans="12:23" ht="12.75" x14ac:dyDescent="0.2">
      <c r="L790" s="36"/>
      <c r="S790" s="37"/>
      <c r="W790" s="36"/>
    </row>
    <row r="791" spans="12:23" ht="12.75" x14ac:dyDescent="0.2">
      <c r="L791" s="36"/>
      <c r="S791" s="37"/>
      <c r="W791" s="36"/>
    </row>
    <row r="792" spans="12:23" ht="12.75" x14ac:dyDescent="0.2">
      <c r="L792" s="36"/>
      <c r="S792" s="37"/>
      <c r="W792" s="36"/>
    </row>
    <row r="793" spans="12:23" ht="12.75" x14ac:dyDescent="0.2">
      <c r="L793" s="36"/>
      <c r="S793" s="37"/>
      <c r="W793" s="36"/>
    </row>
    <row r="794" spans="12:23" ht="12.75" x14ac:dyDescent="0.2">
      <c r="L794" s="36"/>
      <c r="S794" s="37"/>
      <c r="W794" s="36"/>
    </row>
    <row r="795" spans="12:23" ht="12.75" x14ac:dyDescent="0.2">
      <c r="L795" s="36"/>
      <c r="S795" s="37"/>
      <c r="W795" s="36"/>
    </row>
    <row r="796" spans="12:23" ht="12.75" x14ac:dyDescent="0.2">
      <c r="L796" s="36"/>
      <c r="S796" s="37"/>
      <c r="W796" s="36"/>
    </row>
    <row r="797" spans="12:23" ht="12.75" x14ac:dyDescent="0.2">
      <c r="L797" s="36"/>
      <c r="S797" s="37"/>
      <c r="W797" s="36"/>
    </row>
    <row r="798" spans="12:23" ht="12.75" x14ac:dyDescent="0.2">
      <c r="L798" s="36"/>
      <c r="S798" s="37"/>
      <c r="W798" s="36"/>
    </row>
    <row r="799" spans="12:23" ht="12.75" x14ac:dyDescent="0.2">
      <c r="L799" s="36"/>
      <c r="S799" s="37"/>
      <c r="W799" s="36"/>
    </row>
    <row r="800" spans="12:23" ht="12.75" x14ac:dyDescent="0.2">
      <c r="L800" s="36"/>
      <c r="S800" s="37"/>
      <c r="W800" s="36"/>
    </row>
    <row r="801" spans="12:23" ht="12.75" x14ac:dyDescent="0.2">
      <c r="L801" s="36"/>
      <c r="S801" s="37"/>
      <c r="W801" s="36"/>
    </row>
    <row r="802" spans="12:23" ht="12.75" x14ac:dyDescent="0.2">
      <c r="L802" s="36"/>
      <c r="S802" s="37"/>
      <c r="W802" s="36"/>
    </row>
    <row r="803" spans="12:23" ht="12.75" x14ac:dyDescent="0.2">
      <c r="L803" s="36"/>
      <c r="S803" s="37"/>
      <c r="W803" s="36"/>
    </row>
    <row r="804" spans="12:23" ht="12.75" x14ac:dyDescent="0.2">
      <c r="L804" s="36"/>
      <c r="S804" s="37"/>
      <c r="W804" s="36"/>
    </row>
    <row r="805" spans="12:23" ht="12.75" x14ac:dyDescent="0.2">
      <c r="L805" s="36"/>
      <c r="S805" s="37"/>
      <c r="W805" s="36"/>
    </row>
    <row r="806" spans="12:23" ht="12.75" x14ac:dyDescent="0.2">
      <c r="L806" s="36"/>
      <c r="S806" s="37"/>
      <c r="W806" s="36"/>
    </row>
    <row r="807" spans="12:23" ht="12.75" x14ac:dyDescent="0.2">
      <c r="L807" s="36"/>
      <c r="S807" s="37"/>
      <c r="W807" s="36"/>
    </row>
    <row r="808" spans="12:23" ht="12.75" x14ac:dyDescent="0.2">
      <c r="L808" s="36"/>
      <c r="S808" s="37"/>
      <c r="W808" s="36"/>
    </row>
    <row r="809" spans="12:23" ht="12.75" x14ac:dyDescent="0.2">
      <c r="L809" s="36"/>
      <c r="S809" s="37"/>
      <c r="W809" s="36"/>
    </row>
    <row r="810" spans="12:23" ht="12.75" x14ac:dyDescent="0.2">
      <c r="L810" s="36"/>
      <c r="S810" s="37"/>
      <c r="W810" s="36"/>
    </row>
    <row r="811" spans="12:23" ht="12.75" x14ac:dyDescent="0.2">
      <c r="L811" s="36"/>
      <c r="S811" s="37"/>
      <c r="W811" s="36"/>
    </row>
    <row r="812" spans="12:23" ht="12.75" x14ac:dyDescent="0.2">
      <c r="L812" s="36"/>
      <c r="S812" s="37"/>
      <c r="W812" s="36"/>
    </row>
    <row r="813" spans="12:23" ht="12.75" x14ac:dyDescent="0.2">
      <c r="L813" s="36"/>
      <c r="S813" s="37"/>
      <c r="W813" s="36"/>
    </row>
    <row r="814" spans="12:23" ht="12.75" x14ac:dyDescent="0.2">
      <c r="L814" s="36"/>
      <c r="S814" s="37"/>
      <c r="W814" s="36"/>
    </row>
    <row r="815" spans="12:23" ht="12.75" x14ac:dyDescent="0.2">
      <c r="L815" s="36"/>
      <c r="S815" s="37"/>
      <c r="W815" s="36"/>
    </row>
    <row r="816" spans="12:23" ht="12.75" x14ac:dyDescent="0.2">
      <c r="L816" s="36"/>
      <c r="S816" s="37"/>
      <c r="W816" s="36"/>
    </row>
    <row r="817" spans="12:23" ht="12.75" x14ac:dyDescent="0.2">
      <c r="L817" s="36"/>
      <c r="S817" s="37"/>
      <c r="W817" s="36"/>
    </row>
    <row r="818" spans="12:23" ht="12.75" x14ac:dyDescent="0.2">
      <c r="L818" s="36"/>
      <c r="S818" s="37"/>
      <c r="W818" s="36"/>
    </row>
    <row r="819" spans="12:23" ht="12.75" x14ac:dyDescent="0.2">
      <c r="L819" s="36"/>
      <c r="S819" s="37"/>
      <c r="W819" s="36"/>
    </row>
    <row r="820" spans="12:23" ht="12.75" x14ac:dyDescent="0.2">
      <c r="L820" s="36"/>
      <c r="S820" s="37"/>
      <c r="W820" s="36"/>
    </row>
    <row r="821" spans="12:23" ht="12.75" x14ac:dyDescent="0.2">
      <c r="L821" s="36"/>
      <c r="S821" s="37"/>
      <c r="W821" s="36"/>
    </row>
    <row r="822" spans="12:23" ht="12.75" x14ac:dyDescent="0.2">
      <c r="L822" s="36"/>
      <c r="S822" s="37"/>
      <c r="W822" s="36"/>
    </row>
    <row r="823" spans="12:23" ht="12.75" x14ac:dyDescent="0.2">
      <c r="L823" s="36"/>
      <c r="S823" s="37"/>
      <c r="W823" s="36"/>
    </row>
    <row r="824" spans="12:23" ht="12.75" x14ac:dyDescent="0.2">
      <c r="L824" s="36"/>
      <c r="S824" s="37"/>
      <c r="W824" s="36"/>
    </row>
    <row r="825" spans="12:23" ht="12.75" x14ac:dyDescent="0.2">
      <c r="L825" s="36"/>
      <c r="S825" s="37"/>
      <c r="W825" s="36"/>
    </row>
    <row r="826" spans="12:23" ht="12.75" x14ac:dyDescent="0.2">
      <c r="L826" s="36"/>
      <c r="S826" s="37"/>
      <c r="W826" s="36"/>
    </row>
    <row r="827" spans="12:23" ht="12.75" x14ac:dyDescent="0.2">
      <c r="L827" s="36"/>
      <c r="S827" s="37"/>
      <c r="W827" s="36"/>
    </row>
    <row r="828" spans="12:23" ht="12.75" x14ac:dyDescent="0.2">
      <c r="L828" s="36"/>
      <c r="S828" s="37"/>
      <c r="W828" s="36"/>
    </row>
    <row r="829" spans="12:23" ht="12.75" x14ac:dyDescent="0.2">
      <c r="L829" s="36"/>
      <c r="S829" s="37"/>
      <c r="W829" s="36"/>
    </row>
    <row r="830" spans="12:23" ht="12.75" x14ac:dyDescent="0.2">
      <c r="L830" s="36"/>
      <c r="S830" s="37"/>
      <c r="W830" s="36"/>
    </row>
    <row r="831" spans="12:23" ht="12.75" x14ac:dyDescent="0.2">
      <c r="L831" s="36"/>
      <c r="S831" s="37"/>
      <c r="W831" s="36"/>
    </row>
    <row r="832" spans="12:23" ht="12.75" x14ac:dyDescent="0.2">
      <c r="L832" s="36"/>
      <c r="S832" s="37"/>
      <c r="W832" s="36"/>
    </row>
    <row r="833" spans="12:23" ht="12.75" x14ac:dyDescent="0.2">
      <c r="L833" s="36"/>
      <c r="S833" s="37"/>
      <c r="W833" s="36"/>
    </row>
    <row r="834" spans="12:23" ht="12.75" x14ac:dyDescent="0.2">
      <c r="L834" s="36"/>
      <c r="S834" s="37"/>
      <c r="W834" s="36"/>
    </row>
    <row r="835" spans="12:23" ht="12.75" x14ac:dyDescent="0.2">
      <c r="L835" s="36"/>
      <c r="S835" s="37"/>
      <c r="W835" s="36"/>
    </row>
    <row r="836" spans="12:23" ht="12.75" x14ac:dyDescent="0.2">
      <c r="L836" s="36"/>
      <c r="S836" s="37"/>
      <c r="W836" s="36"/>
    </row>
    <row r="837" spans="12:23" ht="12.75" x14ac:dyDescent="0.2">
      <c r="L837" s="36"/>
      <c r="S837" s="37"/>
      <c r="W837" s="36"/>
    </row>
    <row r="838" spans="12:23" ht="12.75" x14ac:dyDescent="0.2">
      <c r="L838" s="36"/>
      <c r="S838" s="37"/>
      <c r="W838" s="36"/>
    </row>
    <row r="839" spans="12:23" ht="12.75" x14ac:dyDescent="0.2">
      <c r="L839" s="36"/>
      <c r="S839" s="37"/>
      <c r="W839" s="36"/>
    </row>
    <row r="840" spans="12:23" ht="12.75" x14ac:dyDescent="0.2">
      <c r="L840" s="36"/>
      <c r="S840" s="37"/>
      <c r="W840" s="36"/>
    </row>
    <row r="841" spans="12:23" ht="12.75" x14ac:dyDescent="0.2">
      <c r="L841" s="36"/>
      <c r="S841" s="37"/>
      <c r="W841" s="36"/>
    </row>
    <row r="842" spans="12:23" ht="12.75" x14ac:dyDescent="0.2">
      <c r="L842" s="36"/>
      <c r="S842" s="37"/>
      <c r="W842" s="36"/>
    </row>
    <row r="843" spans="12:23" ht="12.75" x14ac:dyDescent="0.2">
      <c r="L843" s="36"/>
      <c r="S843" s="37"/>
      <c r="W843" s="36"/>
    </row>
    <row r="844" spans="12:23" ht="12.75" x14ac:dyDescent="0.2">
      <c r="L844" s="36"/>
      <c r="S844" s="37"/>
      <c r="W844" s="36"/>
    </row>
    <row r="845" spans="12:23" ht="12.75" x14ac:dyDescent="0.2">
      <c r="L845" s="36"/>
      <c r="S845" s="37"/>
      <c r="W845" s="36"/>
    </row>
    <row r="846" spans="12:23" ht="12.75" x14ac:dyDescent="0.2">
      <c r="L846" s="36"/>
      <c r="S846" s="37"/>
      <c r="W846" s="36"/>
    </row>
    <row r="847" spans="12:23" ht="12.75" x14ac:dyDescent="0.2">
      <c r="L847" s="36"/>
      <c r="S847" s="37"/>
      <c r="W847" s="36"/>
    </row>
    <row r="848" spans="12:23" ht="12.75" x14ac:dyDescent="0.2">
      <c r="L848" s="36"/>
      <c r="S848" s="37"/>
      <c r="W848" s="36"/>
    </row>
    <row r="849" spans="12:23" ht="12.75" x14ac:dyDescent="0.2">
      <c r="L849" s="36"/>
      <c r="S849" s="37"/>
      <c r="W849" s="36"/>
    </row>
    <row r="850" spans="12:23" ht="12.75" x14ac:dyDescent="0.2">
      <c r="L850" s="36"/>
      <c r="S850" s="37"/>
      <c r="W850" s="36"/>
    </row>
    <row r="851" spans="12:23" ht="12.75" x14ac:dyDescent="0.2">
      <c r="L851" s="36"/>
      <c r="S851" s="37"/>
      <c r="W851" s="36"/>
    </row>
    <row r="852" spans="12:23" ht="12.75" x14ac:dyDescent="0.2">
      <c r="L852" s="36"/>
      <c r="S852" s="37"/>
      <c r="W852" s="36"/>
    </row>
    <row r="853" spans="12:23" ht="12.75" x14ac:dyDescent="0.2">
      <c r="L853" s="36"/>
      <c r="S853" s="37"/>
      <c r="W853" s="36"/>
    </row>
    <row r="854" spans="12:23" ht="12.75" x14ac:dyDescent="0.2">
      <c r="L854" s="36"/>
      <c r="S854" s="37"/>
      <c r="W854" s="36"/>
    </row>
    <row r="855" spans="12:23" ht="12.75" x14ac:dyDescent="0.2">
      <c r="L855" s="36"/>
      <c r="S855" s="37"/>
      <c r="W855" s="36"/>
    </row>
    <row r="856" spans="12:23" ht="12.75" x14ac:dyDescent="0.2">
      <c r="L856" s="36"/>
      <c r="S856" s="37"/>
      <c r="W856" s="36"/>
    </row>
    <row r="857" spans="12:23" ht="12.75" x14ac:dyDescent="0.2">
      <c r="L857" s="36"/>
      <c r="S857" s="37"/>
      <c r="W857" s="36"/>
    </row>
    <row r="858" spans="12:23" ht="12.75" x14ac:dyDescent="0.2">
      <c r="L858" s="36"/>
      <c r="S858" s="37"/>
      <c r="W858" s="36"/>
    </row>
    <row r="859" spans="12:23" ht="12.75" x14ac:dyDescent="0.2">
      <c r="L859" s="36"/>
      <c r="S859" s="37"/>
      <c r="W859" s="36"/>
    </row>
    <row r="860" spans="12:23" ht="12.75" x14ac:dyDescent="0.2">
      <c r="L860" s="36"/>
      <c r="S860" s="37"/>
      <c r="W860" s="36"/>
    </row>
    <row r="861" spans="12:23" ht="12.75" x14ac:dyDescent="0.2">
      <c r="L861" s="36"/>
      <c r="S861" s="37"/>
      <c r="W861" s="36"/>
    </row>
    <row r="862" spans="12:23" ht="12.75" x14ac:dyDescent="0.2">
      <c r="L862" s="36"/>
      <c r="S862" s="37"/>
      <c r="W862" s="36"/>
    </row>
    <row r="863" spans="12:23" ht="12.75" x14ac:dyDescent="0.2">
      <c r="L863" s="36"/>
      <c r="S863" s="37"/>
      <c r="W863" s="36"/>
    </row>
    <row r="864" spans="12:23" ht="12.75" x14ac:dyDescent="0.2">
      <c r="L864" s="36"/>
      <c r="S864" s="37"/>
      <c r="W864" s="36"/>
    </row>
    <row r="865" spans="12:23" ht="12.75" x14ac:dyDescent="0.2">
      <c r="L865" s="36"/>
      <c r="S865" s="37"/>
      <c r="W865" s="36"/>
    </row>
    <row r="866" spans="12:23" ht="12.75" x14ac:dyDescent="0.2">
      <c r="L866" s="36"/>
      <c r="S866" s="37"/>
      <c r="W866" s="36"/>
    </row>
    <row r="867" spans="12:23" ht="12.75" x14ac:dyDescent="0.2">
      <c r="L867" s="36"/>
      <c r="S867" s="37"/>
      <c r="W867" s="36"/>
    </row>
    <row r="868" spans="12:23" ht="12.75" x14ac:dyDescent="0.2">
      <c r="L868" s="36"/>
      <c r="S868" s="37"/>
      <c r="W868" s="36"/>
    </row>
    <row r="869" spans="12:23" ht="12.75" x14ac:dyDescent="0.2">
      <c r="L869" s="36"/>
      <c r="S869" s="37"/>
      <c r="W869" s="36"/>
    </row>
    <row r="870" spans="12:23" ht="12.75" x14ac:dyDescent="0.2">
      <c r="L870" s="36"/>
      <c r="S870" s="37"/>
      <c r="W870" s="36"/>
    </row>
    <row r="871" spans="12:23" ht="12.75" x14ac:dyDescent="0.2">
      <c r="L871" s="36"/>
      <c r="S871" s="37"/>
      <c r="W871" s="36"/>
    </row>
    <row r="872" spans="12:23" ht="12.75" x14ac:dyDescent="0.2">
      <c r="L872" s="36"/>
      <c r="S872" s="37"/>
      <c r="W872" s="36"/>
    </row>
    <row r="873" spans="12:23" ht="12.75" x14ac:dyDescent="0.2">
      <c r="L873" s="36"/>
      <c r="S873" s="37"/>
      <c r="W873" s="36"/>
    </row>
    <row r="874" spans="12:23" ht="12.75" x14ac:dyDescent="0.2">
      <c r="L874" s="36"/>
      <c r="S874" s="37"/>
      <c r="W874" s="36"/>
    </row>
    <row r="875" spans="12:23" ht="12.75" x14ac:dyDescent="0.2">
      <c r="L875" s="36"/>
      <c r="S875" s="37"/>
      <c r="W875" s="36"/>
    </row>
    <row r="876" spans="12:23" ht="12.75" x14ac:dyDescent="0.2">
      <c r="L876" s="36"/>
      <c r="S876" s="37"/>
      <c r="W876" s="36"/>
    </row>
    <row r="877" spans="12:23" ht="12.75" x14ac:dyDescent="0.2">
      <c r="L877" s="36"/>
      <c r="S877" s="37"/>
      <c r="W877" s="36"/>
    </row>
    <row r="878" spans="12:23" ht="12.75" x14ac:dyDescent="0.2">
      <c r="L878" s="36"/>
      <c r="S878" s="37"/>
      <c r="W878" s="36"/>
    </row>
    <row r="879" spans="12:23" ht="12.75" x14ac:dyDescent="0.2">
      <c r="L879" s="36"/>
      <c r="S879" s="37"/>
      <c r="W879" s="36"/>
    </row>
    <row r="880" spans="12:23" ht="12.75" x14ac:dyDescent="0.2">
      <c r="L880" s="36"/>
      <c r="S880" s="37"/>
      <c r="W880" s="36"/>
    </row>
    <row r="881" spans="12:23" ht="12.75" x14ac:dyDescent="0.2">
      <c r="L881" s="36"/>
      <c r="S881" s="37"/>
      <c r="W881" s="36"/>
    </row>
    <row r="882" spans="12:23" ht="12.75" x14ac:dyDescent="0.2">
      <c r="L882" s="36"/>
      <c r="S882" s="37"/>
      <c r="W882" s="36"/>
    </row>
    <row r="883" spans="12:23" ht="12.75" x14ac:dyDescent="0.2">
      <c r="L883" s="36"/>
      <c r="S883" s="37"/>
      <c r="W883" s="36"/>
    </row>
    <row r="884" spans="12:23" ht="12.75" x14ac:dyDescent="0.2">
      <c r="L884" s="36"/>
      <c r="S884" s="37"/>
      <c r="W884" s="36"/>
    </row>
    <row r="885" spans="12:23" ht="12.75" x14ac:dyDescent="0.2">
      <c r="L885" s="36"/>
      <c r="S885" s="37"/>
      <c r="W885" s="36"/>
    </row>
    <row r="886" spans="12:23" ht="12.75" x14ac:dyDescent="0.2">
      <c r="L886" s="36"/>
      <c r="S886" s="37"/>
      <c r="W886" s="36"/>
    </row>
    <row r="887" spans="12:23" ht="12.75" x14ac:dyDescent="0.2">
      <c r="L887" s="36"/>
      <c r="S887" s="37"/>
      <c r="W887" s="36"/>
    </row>
    <row r="888" spans="12:23" ht="12.75" x14ac:dyDescent="0.2">
      <c r="L888" s="36"/>
      <c r="S888" s="37"/>
      <c r="W888" s="36"/>
    </row>
    <row r="889" spans="12:23" ht="12.75" x14ac:dyDescent="0.2">
      <c r="L889" s="36"/>
      <c r="S889" s="37"/>
      <c r="W889" s="36"/>
    </row>
    <row r="890" spans="12:23" ht="12.75" x14ac:dyDescent="0.2">
      <c r="L890" s="36"/>
      <c r="S890" s="37"/>
      <c r="W890" s="36"/>
    </row>
    <row r="891" spans="12:23" ht="12.75" x14ac:dyDescent="0.2">
      <c r="L891" s="36"/>
      <c r="S891" s="37"/>
      <c r="W891" s="36"/>
    </row>
    <row r="892" spans="12:23" ht="12.75" x14ac:dyDescent="0.2">
      <c r="L892" s="36"/>
      <c r="S892" s="37"/>
      <c r="W892" s="36"/>
    </row>
    <row r="893" spans="12:23" ht="12.75" x14ac:dyDescent="0.2">
      <c r="L893" s="36"/>
      <c r="S893" s="37"/>
      <c r="W893" s="36"/>
    </row>
    <row r="894" spans="12:23" ht="12.75" x14ac:dyDescent="0.2">
      <c r="L894" s="36"/>
      <c r="S894" s="37"/>
      <c r="W894" s="36"/>
    </row>
    <row r="895" spans="12:23" ht="12.75" x14ac:dyDescent="0.2">
      <c r="L895" s="36"/>
      <c r="S895" s="37"/>
      <c r="W895" s="36"/>
    </row>
    <row r="896" spans="12:23" ht="12.75" x14ac:dyDescent="0.2">
      <c r="L896" s="36"/>
      <c r="S896" s="37"/>
      <c r="W896" s="36"/>
    </row>
    <row r="897" spans="12:23" ht="12.75" x14ac:dyDescent="0.2">
      <c r="L897" s="36"/>
      <c r="S897" s="37"/>
      <c r="W897" s="36"/>
    </row>
    <row r="898" spans="12:23" ht="12.75" x14ac:dyDescent="0.2">
      <c r="L898" s="36"/>
      <c r="S898" s="37"/>
      <c r="W898" s="36"/>
    </row>
    <row r="899" spans="12:23" ht="12.75" x14ac:dyDescent="0.2">
      <c r="L899" s="36"/>
      <c r="S899" s="37"/>
      <c r="W899" s="36"/>
    </row>
    <row r="900" spans="12:23" ht="12.75" x14ac:dyDescent="0.2">
      <c r="L900" s="36"/>
      <c r="S900" s="37"/>
      <c r="W900" s="36"/>
    </row>
    <row r="901" spans="12:23" ht="12.75" x14ac:dyDescent="0.2">
      <c r="L901" s="36"/>
      <c r="S901" s="37"/>
      <c r="W901" s="36"/>
    </row>
    <row r="902" spans="12:23" ht="12.75" x14ac:dyDescent="0.2">
      <c r="L902" s="36"/>
      <c r="S902" s="37"/>
      <c r="W902" s="36"/>
    </row>
    <row r="903" spans="12:23" ht="12.75" x14ac:dyDescent="0.2">
      <c r="L903" s="36"/>
      <c r="S903" s="37"/>
      <c r="W903" s="36"/>
    </row>
    <row r="904" spans="12:23" ht="12.75" x14ac:dyDescent="0.2">
      <c r="L904" s="36"/>
      <c r="S904" s="37"/>
      <c r="W904" s="36"/>
    </row>
    <row r="905" spans="12:23" ht="12.75" x14ac:dyDescent="0.2">
      <c r="L905" s="36"/>
      <c r="S905" s="37"/>
      <c r="W905" s="36"/>
    </row>
    <row r="906" spans="12:23" ht="12.75" x14ac:dyDescent="0.2">
      <c r="L906" s="36"/>
      <c r="S906" s="37"/>
      <c r="W906" s="36"/>
    </row>
    <row r="907" spans="12:23" ht="12.75" x14ac:dyDescent="0.2">
      <c r="L907" s="36"/>
      <c r="S907" s="37"/>
      <c r="W907" s="36"/>
    </row>
    <row r="908" spans="12:23" ht="12.75" x14ac:dyDescent="0.2">
      <c r="L908" s="36"/>
      <c r="S908" s="37"/>
      <c r="W908" s="36"/>
    </row>
    <row r="909" spans="12:23" ht="12.75" x14ac:dyDescent="0.2">
      <c r="L909" s="36"/>
      <c r="S909" s="37"/>
      <c r="W909" s="36"/>
    </row>
    <row r="910" spans="12:23" ht="12.75" x14ac:dyDescent="0.2">
      <c r="L910" s="36"/>
      <c r="S910" s="37"/>
      <c r="W910" s="36"/>
    </row>
    <row r="911" spans="12:23" ht="12.75" x14ac:dyDescent="0.2">
      <c r="L911" s="36"/>
      <c r="S911" s="37"/>
      <c r="W911" s="36"/>
    </row>
    <row r="912" spans="12:23" ht="12.75" x14ac:dyDescent="0.2">
      <c r="L912" s="36"/>
      <c r="S912" s="37"/>
      <c r="W912" s="36"/>
    </row>
    <row r="913" spans="12:23" ht="12.75" x14ac:dyDescent="0.2">
      <c r="L913" s="36"/>
      <c r="S913" s="37"/>
      <c r="W913" s="36"/>
    </row>
    <row r="914" spans="12:23" ht="12.75" x14ac:dyDescent="0.2">
      <c r="L914" s="36"/>
      <c r="S914" s="37"/>
      <c r="W914" s="36"/>
    </row>
    <row r="915" spans="12:23" ht="12.75" x14ac:dyDescent="0.2">
      <c r="L915" s="36"/>
      <c r="S915" s="37"/>
      <c r="W915" s="36"/>
    </row>
    <row r="916" spans="12:23" ht="12.75" x14ac:dyDescent="0.2">
      <c r="L916" s="36"/>
      <c r="S916" s="37"/>
      <c r="W916" s="36"/>
    </row>
    <row r="917" spans="12:23" ht="12.75" x14ac:dyDescent="0.2">
      <c r="L917" s="36"/>
      <c r="S917" s="37"/>
      <c r="W917" s="36"/>
    </row>
    <row r="918" spans="12:23" ht="12.75" x14ac:dyDescent="0.2">
      <c r="L918" s="36"/>
      <c r="S918" s="37"/>
      <c r="W918" s="36"/>
    </row>
    <row r="919" spans="12:23" ht="12.75" x14ac:dyDescent="0.2">
      <c r="L919" s="36"/>
      <c r="S919" s="37"/>
      <c r="W919" s="36"/>
    </row>
    <row r="920" spans="12:23" ht="12.75" x14ac:dyDescent="0.2">
      <c r="L920" s="36"/>
      <c r="S920" s="37"/>
      <c r="W920" s="36"/>
    </row>
    <row r="921" spans="12:23" ht="12.75" x14ac:dyDescent="0.2">
      <c r="L921" s="36"/>
      <c r="S921" s="37"/>
      <c r="W921" s="36"/>
    </row>
    <row r="922" spans="12:23" ht="12.75" x14ac:dyDescent="0.2">
      <c r="L922" s="36"/>
      <c r="S922" s="37"/>
      <c r="W922" s="36"/>
    </row>
    <row r="923" spans="12:23" ht="12.75" x14ac:dyDescent="0.2">
      <c r="L923" s="36"/>
      <c r="S923" s="37"/>
      <c r="W923" s="36"/>
    </row>
    <row r="924" spans="12:23" ht="12.75" x14ac:dyDescent="0.2">
      <c r="L924" s="36"/>
      <c r="S924" s="37"/>
      <c r="W924" s="36"/>
    </row>
    <row r="925" spans="12:23" ht="12.75" x14ac:dyDescent="0.2">
      <c r="L925" s="36"/>
      <c r="S925" s="37"/>
      <c r="W925" s="36"/>
    </row>
    <row r="926" spans="12:23" ht="12.75" x14ac:dyDescent="0.2">
      <c r="L926" s="36"/>
      <c r="S926" s="37"/>
      <c r="W926" s="36"/>
    </row>
    <row r="927" spans="12:23" ht="12.75" x14ac:dyDescent="0.2">
      <c r="L927" s="36"/>
      <c r="S927" s="37"/>
      <c r="W927" s="36"/>
    </row>
    <row r="928" spans="12:23" ht="12.75" x14ac:dyDescent="0.2">
      <c r="L928" s="36"/>
      <c r="S928" s="37"/>
      <c r="W928" s="36"/>
    </row>
    <row r="929" spans="12:23" ht="12.75" x14ac:dyDescent="0.2">
      <c r="L929" s="36"/>
      <c r="S929" s="37"/>
      <c r="W929" s="36"/>
    </row>
    <row r="930" spans="12:23" ht="12.75" x14ac:dyDescent="0.2">
      <c r="L930" s="36"/>
      <c r="S930" s="37"/>
      <c r="W930" s="36"/>
    </row>
    <row r="931" spans="12:23" ht="12.75" x14ac:dyDescent="0.2">
      <c r="L931" s="36"/>
      <c r="S931" s="37"/>
      <c r="W931" s="36"/>
    </row>
    <row r="932" spans="12:23" ht="12.75" x14ac:dyDescent="0.2">
      <c r="L932" s="36"/>
      <c r="S932" s="37"/>
      <c r="W932" s="36"/>
    </row>
    <row r="933" spans="12:23" ht="12.75" x14ac:dyDescent="0.2">
      <c r="L933" s="36"/>
      <c r="S933" s="37"/>
      <c r="W933" s="36"/>
    </row>
    <row r="934" spans="12:23" ht="12.75" x14ac:dyDescent="0.2">
      <c r="L934" s="36"/>
      <c r="S934" s="37"/>
      <c r="W934" s="36"/>
    </row>
    <row r="935" spans="12:23" ht="12.75" x14ac:dyDescent="0.2">
      <c r="L935" s="36"/>
      <c r="S935" s="37"/>
      <c r="W935" s="36"/>
    </row>
    <row r="936" spans="12:23" ht="12.75" x14ac:dyDescent="0.2">
      <c r="L936" s="36"/>
      <c r="S936" s="37"/>
      <c r="W936" s="36"/>
    </row>
    <row r="937" spans="12:23" ht="12.75" x14ac:dyDescent="0.2">
      <c r="L937" s="36"/>
      <c r="S937" s="37"/>
      <c r="W937" s="36"/>
    </row>
    <row r="938" spans="12:23" ht="12.75" x14ac:dyDescent="0.2">
      <c r="L938" s="36"/>
      <c r="S938" s="37"/>
      <c r="W938" s="36"/>
    </row>
    <row r="939" spans="12:23" ht="12.75" x14ac:dyDescent="0.2">
      <c r="L939" s="36"/>
      <c r="S939" s="37"/>
      <c r="W939" s="36"/>
    </row>
    <row r="940" spans="12:23" ht="12.75" x14ac:dyDescent="0.2">
      <c r="L940" s="36"/>
      <c r="S940" s="37"/>
      <c r="W940" s="36"/>
    </row>
    <row r="941" spans="12:23" ht="12.75" x14ac:dyDescent="0.2">
      <c r="L941" s="36"/>
      <c r="S941" s="37"/>
      <c r="W941" s="36"/>
    </row>
    <row r="942" spans="12:23" ht="12.75" x14ac:dyDescent="0.2">
      <c r="L942" s="36"/>
      <c r="S942" s="37"/>
      <c r="W942" s="36"/>
    </row>
    <row r="943" spans="12:23" ht="12.75" x14ac:dyDescent="0.2">
      <c r="L943" s="36"/>
      <c r="S943" s="37"/>
      <c r="W943" s="36"/>
    </row>
    <row r="944" spans="12:23" ht="12.75" x14ac:dyDescent="0.2">
      <c r="L944" s="36"/>
      <c r="S944" s="37"/>
      <c r="W944" s="36"/>
    </row>
    <row r="945" spans="12:23" ht="12.75" x14ac:dyDescent="0.2">
      <c r="L945" s="36"/>
      <c r="S945" s="37"/>
      <c r="W945" s="36"/>
    </row>
    <row r="946" spans="12:23" ht="12.75" x14ac:dyDescent="0.2">
      <c r="L946" s="36"/>
      <c r="S946" s="37"/>
      <c r="W946" s="36"/>
    </row>
    <row r="947" spans="12:23" ht="12.75" x14ac:dyDescent="0.2">
      <c r="L947" s="36"/>
      <c r="S947" s="37"/>
      <c r="W947" s="36"/>
    </row>
    <row r="948" spans="12:23" ht="12.75" x14ac:dyDescent="0.2">
      <c r="L948" s="36"/>
      <c r="S948" s="37"/>
      <c r="W948" s="36"/>
    </row>
    <row r="949" spans="12:23" ht="12.75" x14ac:dyDescent="0.2">
      <c r="L949" s="36"/>
      <c r="S949" s="37"/>
      <c r="W949" s="36"/>
    </row>
    <row r="950" spans="12:23" ht="12.75" x14ac:dyDescent="0.2">
      <c r="L950" s="36"/>
      <c r="S950" s="37"/>
      <c r="W950" s="36"/>
    </row>
    <row r="951" spans="12:23" ht="12.75" x14ac:dyDescent="0.2">
      <c r="L951" s="36"/>
      <c r="S951" s="37"/>
      <c r="W951" s="36"/>
    </row>
    <row r="952" spans="12:23" ht="12.75" x14ac:dyDescent="0.2">
      <c r="L952" s="36"/>
      <c r="S952" s="37"/>
      <c r="W952" s="36"/>
    </row>
    <row r="953" spans="12:23" ht="12.75" x14ac:dyDescent="0.2">
      <c r="L953" s="36"/>
      <c r="S953" s="37"/>
      <c r="W953" s="36"/>
    </row>
    <row r="954" spans="12:23" ht="12.75" x14ac:dyDescent="0.2">
      <c r="L954" s="36"/>
      <c r="S954" s="37"/>
      <c r="W954" s="36"/>
    </row>
    <row r="955" spans="12:23" ht="12.75" x14ac:dyDescent="0.2">
      <c r="L955" s="36"/>
      <c r="S955" s="37"/>
      <c r="W955" s="36"/>
    </row>
    <row r="956" spans="12:23" ht="12.75" x14ac:dyDescent="0.2">
      <c r="L956" s="36"/>
      <c r="S956" s="37"/>
      <c r="W956" s="36"/>
    </row>
    <row r="957" spans="12:23" ht="12.75" x14ac:dyDescent="0.2">
      <c r="L957" s="36"/>
      <c r="S957" s="37"/>
      <c r="W957" s="36"/>
    </row>
    <row r="958" spans="12:23" ht="12.75" x14ac:dyDescent="0.2">
      <c r="L958" s="36"/>
      <c r="S958" s="37"/>
      <c r="W958" s="36"/>
    </row>
    <row r="959" spans="12:23" ht="12.75" x14ac:dyDescent="0.2">
      <c r="L959" s="36"/>
      <c r="S959" s="37"/>
      <c r="W959" s="36"/>
    </row>
    <row r="960" spans="12:23" ht="12.75" x14ac:dyDescent="0.2">
      <c r="L960" s="36"/>
      <c r="S960" s="37"/>
      <c r="W960" s="36"/>
    </row>
    <row r="961" spans="12:23" ht="12.75" x14ac:dyDescent="0.2">
      <c r="L961" s="36"/>
      <c r="S961" s="37"/>
      <c r="W961" s="36"/>
    </row>
    <row r="962" spans="12:23" ht="12.75" x14ac:dyDescent="0.2">
      <c r="L962" s="36"/>
      <c r="S962" s="37"/>
      <c r="W962" s="36"/>
    </row>
    <row r="963" spans="12:23" ht="12.75" x14ac:dyDescent="0.2">
      <c r="L963" s="36"/>
      <c r="S963" s="37"/>
      <c r="W963" s="36"/>
    </row>
    <row r="964" spans="12:23" ht="12.75" x14ac:dyDescent="0.2">
      <c r="L964" s="36"/>
      <c r="S964" s="37"/>
      <c r="W964" s="36"/>
    </row>
    <row r="965" spans="12:23" ht="12.75" x14ac:dyDescent="0.2">
      <c r="L965" s="36"/>
      <c r="S965" s="37"/>
      <c r="W965" s="36"/>
    </row>
    <row r="966" spans="12:23" ht="12.75" x14ac:dyDescent="0.2">
      <c r="L966" s="36"/>
      <c r="S966" s="37"/>
      <c r="W966" s="36"/>
    </row>
    <row r="967" spans="12:23" ht="12.75" x14ac:dyDescent="0.2">
      <c r="L967" s="36"/>
      <c r="S967" s="37"/>
      <c r="W967" s="36"/>
    </row>
    <row r="968" spans="12:23" ht="12.75" x14ac:dyDescent="0.2">
      <c r="L968" s="36"/>
      <c r="S968" s="37"/>
      <c r="W968" s="36"/>
    </row>
    <row r="969" spans="12:23" ht="12.75" x14ac:dyDescent="0.2">
      <c r="L969" s="36"/>
      <c r="S969" s="37"/>
      <c r="W969" s="36"/>
    </row>
    <row r="970" spans="12:23" ht="12.75" x14ac:dyDescent="0.2">
      <c r="L970" s="36"/>
      <c r="S970" s="37"/>
      <c r="W970" s="36"/>
    </row>
    <row r="971" spans="12:23" ht="12.75" x14ac:dyDescent="0.2">
      <c r="L971" s="36"/>
      <c r="S971" s="37"/>
      <c r="W971" s="36"/>
    </row>
    <row r="972" spans="12:23" ht="12.75" x14ac:dyDescent="0.2">
      <c r="L972" s="36"/>
      <c r="S972" s="37"/>
      <c r="W972" s="36"/>
    </row>
    <row r="973" spans="12:23" ht="12.75" x14ac:dyDescent="0.2">
      <c r="L973" s="36"/>
      <c r="S973" s="37"/>
      <c r="W973" s="36"/>
    </row>
    <row r="974" spans="12:23" ht="12.75" x14ac:dyDescent="0.2">
      <c r="L974" s="36"/>
      <c r="S974" s="37"/>
      <c r="W974" s="36"/>
    </row>
    <row r="975" spans="12:23" ht="12.75" x14ac:dyDescent="0.2">
      <c r="L975" s="36"/>
      <c r="S975" s="37"/>
      <c r="W975" s="36"/>
    </row>
    <row r="976" spans="12:23" ht="12.75" x14ac:dyDescent="0.2">
      <c r="L976" s="36"/>
      <c r="S976" s="37"/>
      <c r="W976" s="36"/>
    </row>
    <row r="977" spans="12:23" ht="12.75" x14ac:dyDescent="0.2">
      <c r="L977" s="36"/>
      <c r="S977" s="37"/>
      <c r="W977" s="36"/>
    </row>
    <row r="978" spans="12:23" ht="12.75" x14ac:dyDescent="0.2">
      <c r="L978" s="36"/>
      <c r="S978" s="37"/>
      <c r="W978" s="36"/>
    </row>
    <row r="979" spans="12:23" ht="12.75" x14ac:dyDescent="0.2">
      <c r="L979" s="36"/>
      <c r="S979" s="37"/>
      <c r="W979" s="36"/>
    </row>
    <row r="980" spans="12:23" ht="12.75" x14ac:dyDescent="0.2">
      <c r="L980" s="36"/>
      <c r="S980" s="37"/>
      <c r="W980" s="36"/>
    </row>
  </sheetData>
  <mergeCells count="15">
    <mergeCell ref="A1:A2"/>
    <mergeCell ref="B1:B2"/>
    <mergeCell ref="C1:L1"/>
    <mergeCell ref="M1:W1"/>
    <mergeCell ref="X1:Z1"/>
    <mergeCell ref="AA1:AB1"/>
    <mergeCell ref="C2:E2"/>
    <mergeCell ref="S2:T2"/>
    <mergeCell ref="U2:V2"/>
    <mergeCell ref="X2:Y2"/>
    <mergeCell ref="F2:H2"/>
    <mergeCell ref="I2:K2"/>
    <mergeCell ref="M2:N2"/>
    <mergeCell ref="O2:P2"/>
    <mergeCell ref="Q2:R2"/>
  </mergeCells>
  <conditionalFormatting sqref="AB3:AB68">
    <cfRule type="containsText" dxfId="11" priority="1" operator="containsText" text="Renovar inmediatamente">
      <formula>NOT(ISERROR(SEARCH(("Renovar inmediatamente"),(AB3))))</formula>
    </cfRule>
  </conditionalFormatting>
  <conditionalFormatting sqref="AB3:AB68">
    <cfRule type="containsText" dxfId="10" priority="2" operator="containsText" text="en un año">
      <formula>NOT(ISERROR(SEARCH(("en un año"),(AB3))))</formula>
    </cfRule>
  </conditionalFormatting>
  <conditionalFormatting sqref="AB3:AB68">
    <cfRule type="containsText" dxfId="9" priority="3" operator="containsText" text="dos años">
      <formula>NOT(ISERROR(SEARCH(("dos años"),(AB3))))</formula>
    </cfRule>
  </conditionalFormatting>
  <conditionalFormatting sqref="W1:W980">
    <cfRule type="cellIs" dxfId="8" priority="4" operator="greaterThanOrEqual">
      <formula>0.27</formula>
    </cfRule>
  </conditionalFormatting>
  <conditionalFormatting sqref="W1:W980">
    <cfRule type="cellIs" dxfId="7" priority="5" operator="between">
      <formula>0.13</formula>
      <formula>0.27</formula>
    </cfRule>
  </conditionalFormatting>
  <conditionalFormatting sqref="W1:W980">
    <cfRule type="cellIs" dxfId="6" priority="6" operator="lessThanOrEqual">
      <formula>0.13</formula>
    </cfRule>
  </conditionalFormatting>
  <conditionalFormatting sqref="Z1:Z980">
    <cfRule type="cellIs" dxfId="5" priority="7" operator="greaterThanOrEqual">
      <formula>0.2</formula>
    </cfRule>
  </conditionalFormatting>
  <conditionalFormatting sqref="Z1:Z980">
    <cfRule type="cellIs" dxfId="4" priority="8" operator="between">
      <formula>0.1</formula>
      <formula>0.2</formula>
    </cfRule>
  </conditionalFormatting>
  <conditionalFormatting sqref="Z1:Z980">
    <cfRule type="cellIs" dxfId="3" priority="9" operator="lessThanOrEqual">
      <formula>0.1</formula>
    </cfRule>
  </conditionalFormatting>
  <conditionalFormatting sqref="L1:L980">
    <cfRule type="cellIs" dxfId="2" priority="10" operator="greaterThanOrEqual">
      <formula>0.2</formula>
    </cfRule>
  </conditionalFormatting>
  <conditionalFormatting sqref="L1:L980">
    <cfRule type="cellIs" dxfId="1" priority="11" operator="between">
      <formula>0.1</formula>
      <formula>0.2</formula>
    </cfRule>
  </conditionalFormatting>
  <conditionalFormatting sqref="L1:L980">
    <cfRule type="cellIs" dxfId="0" priority="12" operator="lessThanOrEqual">
      <formula>0.1</formula>
    </cfRule>
  </conditionalFormatting>
  <dataValidations count="1">
    <dataValidation type="list" allowBlank="1" sqref="D3:D68 G3:G68 J3:J68" xr:uid="{00000000-0002-0000-0000-000000000000}">
      <formula1>"Alta,Mediana,Baja,Ninguna"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workbookViewId="0"/>
  </sheetViews>
  <sheetFormatPr baseColWidth="10" defaultColWidth="11.25" defaultRowHeight="15" customHeight="1" x14ac:dyDescent="0.25"/>
  <cols>
    <col min="1" max="1" width="35.125" customWidth="1"/>
    <col min="2" max="2" width="12.25" customWidth="1"/>
    <col min="3" max="3" width="14.25" customWidth="1"/>
    <col min="4" max="4" width="13.375" customWidth="1"/>
    <col min="5" max="5" width="11.25" customWidth="1"/>
    <col min="6" max="6" width="10.75" customWidth="1"/>
    <col min="7" max="7" width="14.5" customWidth="1"/>
    <col min="8" max="26" width="10.5" customWidth="1"/>
  </cols>
  <sheetData>
    <row r="1" spans="1:17" ht="55.5" customHeight="1" x14ac:dyDescent="0.25">
      <c r="A1" s="2" t="s">
        <v>7</v>
      </c>
      <c r="B1" s="3" t="s">
        <v>0</v>
      </c>
      <c r="C1" s="3" t="s">
        <v>1</v>
      </c>
      <c r="D1" s="3" t="s">
        <v>2</v>
      </c>
      <c r="E1" s="4"/>
      <c r="F1" s="4"/>
      <c r="G1" s="5"/>
      <c r="H1" s="6"/>
      <c r="I1" s="7" t="s">
        <v>8</v>
      </c>
      <c r="J1" s="6"/>
      <c r="K1" s="6"/>
      <c r="L1" s="6"/>
      <c r="M1" s="1"/>
      <c r="N1" s="8"/>
      <c r="O1" s="8"/>
      <c r="P1" s="1"/>
      <c r="Q1" s="1"/>
    </row>
    <row r="2" spans="1:17" ht="28.5" customHeight="1" x14ac:dyDescent="0.25">
      <c r="A2" s="9" t="s">
        <v>0</v>
      </c>
      <c r="B2" s="10">
        <v>1</v>
      </c>
      <c r="C2" s="11">
        <v>2</v>
      </c>
      <c r="D2" s="11">
        <v>3</v>
      </c>
      <c r="E2" s="12"/>
      <c r="F2" s="12"/>
      <c r="G2" s="5"/>
      <c r="H2" s="13"/>
      <c r="I2" s="14">
        <f t="shared" ref="I2:I4" si="0">E9*100</f>
        <v>54.994560729758355</v>
      </c>
      <c r="J2" s="13"/>
      <c r="K2" s="13"/>
      <c r="L2" s="13"/>
      <c r="M2" s="1"/>
      <c r="N2" s="13"/>
      <c r="O2" s="13"/>
      <c r="P2" s="13"/>
      <c r="Q2" s="1"/>
    </row>
    <row r="3" spans="1:17" ht="22.5" customHeight="1" x14ac:dyDescent="0.25">
      <c r="A3" s="9" t="s">
        <v>1</v>
      </c>
      <c r="B3" s="15">
        <f>1/C2</f>
        <v>0.5</v>
      </c>
      <c r="C3" s="10">
        <v>1</v>
      </c>
      <c r="D3" s="11">
        <v>1</v>
      </c>
      <c r="E3" s="12"/>
      <c r="F3" s="12"/>
      <c r="G3" s="5"/>
      <c r="H3" s="13"/>
      <c r="I3" s="14">
        <f t="shared" si="0"/>
        <v>24.02108696013546</v>
      </c>
      <c r="J3" s="13"/>
      <c r="K3" s="13"/>
      <c r="L3" s="13"/>
      <c r="M3" s="1"/>
      <c r="N3" s="13"/>
      <c r="O3" s="13"/>
      <c r="P3" s="13"/>
      <c r="Q3" s="1"/>
    </row>
    <row r="4" spans="1:17" ht="15.75" customHeight="1" x14ac:dyDescent="0.25">
      <c r="A4" s="9" t="s">
        <v>2</v>
      </c>
      <c r="B4" s="15">
        <f>1/D2</f>
        <v>0.33333333333333331</v>
      </c>
      <c r="C4" s="15">
        <f>1/D3</f>
        <v>1</v>
      </c>
      <c r="D4" s="10">
        <v>1</v>
      </c>
      <c r="E4" s="12"/>
      <c r="F4" s="12"/>
      <c r="G4" s="5"/>
      <c r="H4" s="13"/>
      <c r="I4" s="14">
        <f t="shared" si="0"/>
        <v>20.984352310106182</v>
      </c>
      <c r="J4" s="13"/>
      <c r="K4" s="13"/>
      <c r="L4" s="13"/>
      <c r="M4" s="1"/>
      <c r="N4" s="13"/>
      <c r="O4" s="13"/>
      <c r="P4" s="13"/>
      <c r="Q4" s="1"/>
    </row>
    <row r="5" spans="1:17" ht="15.75" customHeight="1" x14ac:dyDescent="0.25">
      <c r="A5" s="16" t="s">
        <v>9</v>
      </c>
      <c r="B5" s="17">
        <f t="shared" ref="B5:D5" si="1">SUM(B2:B4)</f>
        <v>1.8333333333333333</v>
      </c>
      <c r="C5" s="17">
        <f t="shared" si="1"/>
        <v>4</v>
      </c>
      <c r="D5" s="17">
        <f t="shared" si="1"/>
        <v>5</v>
      </c>
      <c r="E5" s="12"/>
      <c r="F5" s="12"/>
      <c r="G5" s="5"/>
      <c r="H5" s="5"/>
      <c r="I5" s="5"/>
      <c r="J5" s="1"/>
      <c r="K5" s="1"/>
      <c r="L5" s="1"/>
      <c r="M5" s="1"/>
      <c r="N5" s="1"/>
      <c r="O5" s="1"/>
      <c r="P5" s="1"/>
      <c r="Q5" s="1"/>
    </row>
    <row r="6" spans="1:17" ht="15.75" customHeight="1" x14ac:dyDescent="0.25">
      <c r="A6" s="5"/>
      <c r="B6" s="5"/>
      <c r="C6" s="5"/>
      <c r="D6" s="5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</row>
    <row r="7" spans="1:17" ht="15.75" customHeight="1" x14ac:dyDescent="0.25">
      <c r="A7" s="5"/>
      <c r="B7" s="5"/>
      <c r="C7" s="5"/>
      <c r="D7" s="5"/>
      <c r="E7" s="5"/>
      <c r="F7" s="5"/>
      <c r="G7" s="5"/>
      <c r="H7" s="5"/>
      <c r="I7" s="5"/>
      <c r="J7" s="1"/>
      <c r="K7" s="1"/>
      <c r="L7" s="1"/>
      <c r="M7" s="1"/>
      <c r="N7" s="1"/>
      <c r="O7" s="1"/>
      <c r="P7" s="1"/>
      <c r="Q7" s="1"/>
    </row>
    <row r="8" spans="1:17" ht="15.75" customHeight="1" x14ac:dyDescent="0.25">
      <c r="A8" s="18" t="s">
        <v>10</v>
      </c>
      <c r="B8" s="19">
        <v>1</v>
      </c>
      <c r="C8" s="5"/>
      <c r="D8" s="20" t="s">
        <v>11</v>
      </c>
      <c r="E8" s="20" t="s">
        <v>12</v>
      </c>
      <c r="F8" s="20" t="s">
        <v>13</v>
      </c>
      <c r="G8" s="5"/>
      <c r="H8" s="21" t="s">
        <v>12</v>
      </c>
      <c r="I8" s="22">
        <f>(F12-3)/(3-1)</f>
        <v>9.1473536448152259E-3</v>
      </c>
      <c r="J8" s="1"/>
      <c r="K8" s="1"/>
      <c r="L8" s="1"/>
      <c r="M8" s="1"/>
      <c r="N8" s="1"/>
      <c r="O8" s="1"/>
      <c r="P8" s="1"/>
      <c r="Q8" s="1"/>
    </row>
    <row r="9" spans="1:17" ht="15.75" customHeight="1" x14ac:dyDescent="0.25">
      <c r="A9" s="18" t="s">
        <v>14</v>
      </c>
      <c r="B9" s="19">
        <v>3</v>
      </c>
      <c r="C9" s="5"/>
      <c r="D9" s="23">
        <f t="shared" ref="D9:D11" si="2">POWER((B2*C2*D2),(1/3))</f>
        <v>1.8171205928321397</v>
      </c>
      <c r="E9" s="23">
        <f t="shared" ref="E9:E11" si="3">D9/$D$12</f>
        <v>0.54994560729758357</v>
      </c>
      <c r="F9" s="23">
        <f>E9*B5</f>
        <v>1.0082336133789032</v>
      </c>
      <c r="G9" s="4"/>
      <c r="H9" s="24" t="s">
        <v>15</v>
      </c>
      <c r="I9" s="22">
        <f>1.98*(3-2)/3</f>
        <v>0.66</v>
      </c>
      <c r="K9" s="25"/>
      <c r="L9" s="25"/>
      <c r="M9" s="1"/>
      <c r="N9" s="1"/>
      <c r="O9" s="1"/>
      <c r="P9" s="1"/>
      <c r="Q9" s="1"/>
    </row>
    <row r="10" spans="1:17" ht="15.75" customHeight="1" x14ac:dyDescent="0.25">
      <c r="A10" s="18" t="s">
        <v>16</v>
      </c>
      <c r="B10" s="19">
        <v>5</v>
      </c>
      <c r="C10" s="5"/>
      <c r="D10" s="23">
        <f t="shared" si="2"/>
        <v>0.79370052598409979</v>
      </c>
      <c r="E10" s="23">
        <f t="shared" si="3"/>
        <v>0.2402108696013546</v>
      </c>
      <c r="F10" s="23">
        <f>E10*C5</f>
        <v>0.96084347840541839</v>
      </c>
      <c r="G10" s="26"/>
      <c r="H10" s="24" t="s">
        <v>17</v>
      </c>
      <c r="I10" s="27">
        <f>I8/I9</f>
        <v>1.3859626734568524E-2</v>
      </c>
      <c r="J10" s="28" t="s">
        <v>18</v>
      </c>
      <c r="K10" s="29"/>
      <c r="L10" s="29"/>
      <c r="M10" s="1"/>
      <c r="N10" s="1"/>
      <c r="O10" s="1"/>
      <c r="P10" s="1"/>
      <c r="Q10" s="1"/>
    </row>
    <row r="11" spans="1:17" ht="15.75" customHeight="1" x14ac:dyDescent="0.25">
      <c r="A11" s="18" t="s">
        <v>19</v>
      </c>
      <c r="B11" s="19">
        <v>7</v>
      </c>
      <c r="C11" s="5"/>
      <c r="D11" s="23">
        <f t="shared" si="2"/>
        <v>0.69336127435063466</v>
      </c>
      <c r="E11" s="23">
        <f t="shared" si="3"/>
        <v>0.2098435231010618</v>
      </c>
      <c r="F11" s="23">
        <f>E11*D5</f>
        <v>1.049217615505309</v>
      </c>
      <c r="G11" s="26"/>
      <c r="H11" s="26"/>
      <c r="I11" s="25"/>
      <c r="K11" s="29"/>
      <c r="L11" s="29"/>
      <c r="M11" s="1"/>
      <c r="N11" s="1"/>
      <c r="O11" s="1"/>
      <c r="P11" s="1"/>
      <c r="Q11" s="1"/>
    </row>
    <row r="12" spans="1:17" ht="15.75" customHeight="1" x14ac:dyDescent="0.25">
      <c r="A12" s="18" t="s">
        <v>20</v>
      </c>
      <c r="B12" s="19">
        <v>9</v>
      </c>
      <c r="C12" s="5"/>
      <c r="D12" s="30">
        <f>SUM(D9:D11)</f>
        <v>3.3041823931668741</v>
      </c>
      <c r="E12" s="31"/>
      <c r="F12" s="30">
        <f>SUM(F9:F11)</f>
        <v>3.0182947072896305</v>
      </c>
      <c r="G12" s="26"/>
      <c r="H12" s="32"/>
      <c r="K12" s="25"/>
      <c r="L12" s="25"/>
      <c r="M12" s="1"/>
      <c r="N12" s="1"/>
      <c r="O12" s="1"/>
      <c r="P12" s="1"/>
      <c r="Q12" s="1"/>
    </row>
    <row r="13" spans="1:17" ht="15.75" customHeight="1" x14ac:dyDescent="0.25">
      <c r="A13" s="18" t="s">
        <v>21</v>
      </c>
      <c r="B13" s="19" t="s">
        <v>22</v>
      </c>
      <c r="C13" s="5"/>
      <c r="D13" s="31"/>
      <c r="E13" s="31"/>
      <c r="F13" s="31"/>
      <c r="G13" s="26"/>
      <c r="H13" s="32"/>
      <c r="I13" s="26"/>
      <c r="J13" s="25"/>
      <c r="K13" s="25"/>
      <c r="L13" s="25"/>
      <c r="M13" s="1"/>
      <c r="N13" s="1"/>
      <c r="O13" s="1"/>
      <c r="P13" s="1"/>
      <c r="Q13" s="1"/>
    </row>
    <row r="14" spans="1:17" ht="15.75" customHeight="1" x14ac:dyDescent="0.25">
      <c r="A14" s="5"/>
      <c r="B14" s="5"/>
      <c r="C14" s="5"/>
      <c r="G14" s="26"/>
      <c r="H14" s="32"/>
      <c r="I14" s="26"/>
      <c r="J14" s="25"/>
      <c r="K14" s="25"/>
      <c r="L14" s="25"/>
      <c r="M14" s="1"/>
      <c r="N14" s="1"/>
      <c r="O14" s="1"/>
      <c r="P14" s="1"/>
      <c r="Q14" s="1"/>
    </row>
    <row r="15" spans="1:17" ht="15.7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1"/>
      <c r="K15" s="1"/>
      <c r="L15" s="1"/>
      <c r="M15" s="1"/>
      <c r="N15" s="1"/>
      <c r="O15" s="1"/>
      <c r="P15" s="1"/>
      <c r="Q15" s="1"/>
    </row>
    <row r="16" spans="1:17" ht="15.75" customHeight="1" x14ac:dyDescent="0.25">
      <c r="A16" s="33"/>
      <c r="B16" s="33"/>
      <c r="C16" s="33"/>
      <c r="D16" s="33"/>
      <c r="E16" s="33"/>
      <c r="F16" s="33"/>
      <c r="G16" s="33"/>
      <c r="H16" s="33"/>
      <c r="I16" s="33"/>
    </row>
    <row r="17" spans="1:9" ht="15.75" customHeight="1" x14ac:dyDescent="0.25">
      <c r="A17" s="33"/>
      <c r="B17" s="33"/>
      <c r="C17" s="33"/>
      <c r="D17" s="33"/>
      <c r="E17" s="33"/>
      <c r="F17" s="33"/>
      <c r="G17" s="33"/>
      <c r="H17" s="33"/>
      <c r="I17" s="33"/>
    </row>
    <row r="18" spans="1:9" ht="15.75" customHeight="1" x14ac:dyDescent="0.25"/>
    <row r="19" spans="1:9" ht="15.75" customHeight="1" x14ac:dyDescent="0.25"/>
    <row r="20" spans="1:9" ht="15.75" customHeight="1" x14ac:dyDescent="0.25"/>
    <row r="21" spans="1:9" ht="15.75" customHeight="1" x14ac:dyDescent="0.25"/>
    <row r="22" spans="1:9" ht="15.75" customHeight="1" x14ac:dyDescent="0.25"/>
    <row r="23" spans="1:9" ht="15.75" customHeight="1" x14ac:dyDescent="0.25"/>
    <row r="24" spans="1:9" ht="15.75" customHeight="1" x14ac:dyDescent="0.25"/>
    <row r="25" spans="1:9" ht="15.75" customHeight="1" x14ac:dyDescent="0.25"/>
    <row r="26" spans="1:9" ht="15.75" customHeight="1" x14ac:dyDescent="0.25"/>
    <row r="27" spans="1:9" ht="15.75" customHeight="1" x14ac:dyDescent="0.25"/>
    <row r="28" spans="1:9" ht="15.75" customHeight="1" x14ac:dyDescent="0.25"/>
    <row r="29" spans="1:9" ht="15.75" customHeight="1" x14ac:dyDescent="0.25"/>
    <row r="30" spans="1:9" ht="15.75" customHeight="1" x14ac:dyDescent="0.25"/>
    <row r="31" spans="1:9" ht="15.75" customHeight="1" x14ac:dyDescent="0.25"/>
    <row r="32" spans="1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baseColWidth="10" defaultColWidth="11.25" defaultRowHeight="15" customHeight="1" x14ac:dyDescent="0.25"/>
  <cols>
    <col min="1" max="1" width="35.125" customWidth="1"/>
    <col min="2" max="2" width="12.25" customWidth="1"/>
    <col min="3" max="3" width="16.875" customWidth="1"/>
    <col min="4" max="4" width="12.125" customWidth="1"/>
    <col min="5" max="5" width="11.25" customWidth="1"/>
    <col min="6" max="6" width="10.75" customWidth="1"/>
    <col min="7" max="7" width="14.5" customWidth="1"/>
    <col min="8" max="26" width="10.5" customWidth="1"/>
  </cols>
  <sheetData>
    <row r="1" spans="1:17" ht="55.5" customHeight="1" x14ac:dyDescent="0.25">
      <c r="A1" s="2" t="s">
        <v>23</v>
      </c>
      <c r="B1" s="3" t="s">
        <v>24</v>
      </c>
      <c r="C1" s="3" t="s">
        <v>25</v>
      </c>
      <c r="D1" s="3" t="s">
        <v>4</v>
      </c>
      <c r="E1" s="3" t="s">
        <v>5</v>
      </c>
      <c r="F1" s="3" t="s">
        <v>6</v>
      </c>
      <c r="G1" s="5"/>
      <c r="H1" s="6"/>
      <c r="I1" s="7" t="s">
        <v>8</v>
      </c>
      <c r="J1" s="6"/>
      <c r="K1" s="6"/>
      <c r="L1" s="6"/>
      <c r="M1" s="1"/>
      <c r="N1" s="8"/>
      <c r="O1" s="8"/>
      <c r="P1" s="1"/>
      <c r="Q1" s="1"/>
    </row>
    <row r="2" spans="1:17" ht="31.5" customHeight="1" x14ac:dyDescent="0.25">
      <c r="A2" s="9" t="s">
        <v>24</v>
      </c>
      <c r="B2" s="10">
        <v>1</v>
      </c>
      <c r="C2" s="15">
        <f>1/B3</f>
        <v>0.25</v>
      </c>
      <c r="D2" s="15">
        <f>1/B4</f>
        <v>0.25</v>
      </c>
      <c r="E2" s="15">
        <f>1/B5</f>
        <v>0.33333333333333331</v>
      </c>
      <c r="F2" s="15">
        <f>1/B6</f>
        <v>2</v>
      </c>
      <c r="G2" s="5"/>
      <c r="H2" s="13"/>
      <c r="I2" s="14">
        <f t="shared" ref="I2:I6" si="0">E11*100</f>
        <v>8.2085143311789341</v>
      </c>
      <c r="J2" s="13"/>
      <c r="K2" s="13"/>
      <c r="L2" s="13"/>
      <c r="M2" s="1"/>
      <c r="N2" s="13"/>
      <c r="O2" s="13"/>
      <c r="P2" s="13"/>
      <c r="Q2" s="1"/>
    </row>
    <row r="3" spans="1:17" ht="33.75" customHeight="1" x14ac:dyDescent="0.25">
      <c r="A3" s="9" t="s">
        <v>25</v>
      </c>
      <c r="B3" s="11">
        <v>4</v>
      </c>
      <c r="C3" s="10">
        <v>1</v>
      </c>
      <c r="D3" s="15">
        <f>1/C4</f>
        <v>0.33333333333333331</v>
      </c>
      <c r="E3" s="11">
        <v>2</v>
      </c>
      <c r="F3" s="11">
        <v>3</v>
      </c>
      <c r="G3" s="5"/>
      <c r="H3" s="13"/>
      <c r="I3" s="14">
        <f t="shared" si="0"/>
        <v>23.492260419452883</v>
      </c>
      <c r="J3" s="13"/>
      <c r="K3" s="13"/>
      <c r="L3" s="13"/>
      <c r="M3" s="1"/>
      <c r="N3" s="13"/>
      <c r="O3" s="13"/>
      <c r="P3" s="13"/>
      <c r="Q3" s="1"/>
    </row>
    <row r="4" spans="1:17" ht="15.75" customHeight="1" x14ac:dyDescent="0.25">
      <c r="A4" s="9" t="s">
        <v>4</v>
      </c>
      <c r="B4" s="11">
        <v>4</v>
      </c>
      <c r="C4" s="11">
        <v>3</v>
      </c>
      <c r="D4" s="10">
        <v>1</v>
      </c>
      <c r="E4" s="11">
        <v>3</v>
      </c>
      <c r="F4" s="11">
        <v>6</v>
      </c>
      <c r="G4" s="5"/>
      <c r="H4" s="13"/>
      <c r="I4" s="14">
        <f t="shared" si="0"/>
        <v>45.414816037747435</v>
      </c>
      <c r="J4" s="13"/>
      <c r="K4" s="13"/>
      <c r="L4" s="13"/>
      <c r="M4" s="1"/>
      <c r="N4" s="13"/>
      <c r="O4" s="13"/>
      <c r="P4" s="13"/>
      <c r="Q4" s="1"/>
    </row>
    <row r="5" spans="1:17" ht="15.75" customHeight="1" x14ac:dyDescent="0.25">
      <c r="A5" s="9" t="s">
        <v>5</v>
      </c>
      <c r="B5" s="11">
        <v>3</v>
      </c>
      <c r="C5" s="15">
        <f>1/E3</f>
        <v>0.5</v>
      </c>
      <c r="D5" s="15">
        <f>1/E4</f>
        <v>0.33333333333333331</v>
      </c>
      <c r="E5" s="10">
        <v>1</v>
      </c>
      <c r="F5" s="11">
        <v>3</v>
      </c>
      <c r="G5" s="5"/>
      <c r="H5" s="13"/>
      <c r="I5" s="14">
        <f t="shared" si="0"/>
        <v>16.808349152754925</v>
      </c>
      <c r="J5" s="13"/>
      <c r="K5" s="13"/>
      <c r="L5" s="13"/>
      <c r="M5" s="1"/>
      <c r="N5" s="13"/>
      <c r="O5" s="13"/>
      <c r="P5" s="13"/>
      <c r="Q5" s="1"/>
    </row>
    <row r="6" spans="1:17" ht="15.75" customHeight="1" x14ac:dyDescent="0.25">
      <c r="A6" s="9" t="s">
        <v>6</v>
      </c>
      <c r="B6" s="11">
        <v>0.5</v>
      </c>
      <c r="C6" s="15">
        <f>1/F3</f>
        <v>0.33333333333333331</v>
      </c>
      <c r="D6" s="15">
        <f>1/F4</f>
        <v>0.16666666666666666</v>
      </c>
      <c r="E6" s="15">
        <f>1/F5</f>
        <v>0.33333333333333331</v>
      </c>
      <c r="F6" s="10">
        <v>1</v>
      </c>
      <c r="G6" s="5"/>
      <c r="H6" s="13"/>
      <c r="I6" s="14">
        <f t="shared" si="0"/>
        <v>6.0760600588658242</v>
      </c>
      <c r="J6" s="13"/>
      <c r="K6" s="13"/>
      <c r="L6" s="13"/>
      <c r="M6" s="1"/>
      <c r="N6" s="13"/>
      <c r="O6" s="13"/>
      <c r="P6" s="13"/>
      <c r="Q6" s="1"/>
    </row>
    <row r="7" spans="1:17" ht="15.75" customHeight="1" x14ac:dyDescent="0.25">
      <c r="A7" s="16" t="s">
        <v>9</v>
      </c>
      <c r="B7" s="17">
        <f t="shared" ref="B7:F7" si="1">SUM(B2:B6)</f>
        <v>12.5</v>
      </c>
      <c r="C7" s="17">
        <f t="shared" si="1"/>
        <v>5.083333333333333</v>
      </c>
      <c r="D7" s="17">
        <f t="shared" si="1"/>
        <v>2.083333333333333</v>
      </c>
      <c r="E7" s="17">
        <f t="shared" si="1"/>
        <v>6.666666666666667</v>
      </c>
      <c r="F7" s="17">
        <f t="shared" si="1"/>
        <v>15</v>
      </c>
      <c r="G7" s="5"/>
      <c r="H7" s="5"/>
      <c r="I7" s="5"/>
      <c r="J7" s="1"/>
      <c r="K7" s="1"/>
      <c r="L7" s="1"/>
      <c r="M7" s="1"/>
      <c r="N7" s="1"/>
      <c r="O7" s="1"/>
      <c r="P7" s="1"/>
      <c r="Q7" s="1"/>
    </row>
    <row r="8" spans="1:17" ht="15.75" customHeight="1" x14ac:dyDescent="0.25">
      <c r="A8" s="5"/>
      <c r="B8" s="5"/>
      <c r="C8" s="5"/>
      <c r="D8" s="5"/>
      <c r="E8" s="5"/>
      <c r="F8" s="5"/>
      <c r="G8" s="5"/>
      <c r="H8" s="5"/>
      <c r="I8" s="5"/>
      <c r="J8" s="1"/>
      <c r="K8" s="1"/>
      <c r="L8" s="1"/>
      <c r="M8" s="1"/>
      <c r="N8" s="1"/>
      <c r="O8" s="1"/>
      <c r="P8" s="1"/>
      <c r="Q8" s="1"/>
    </row>
    <row r="9" spans="1:17" ht="15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1"/>
      <c r="K9" s="1"/>
      <c r="L9" s="1"/>
      <c r="M9" s="1"/>
      <c r="N9" s="1"/>
      <c r="O9" s="1"/>
      <c r="P9" s="1"/>
      <c r="Q9" s="1"/>
    </row>
    <row r="10" spans="1:17" ht="15.75" customHeight="1" x14ac:dyDescent="0.25">
      <c r="A10" s="18" t="s">
        <v>10</v>
      </c>
      <c r="B10" s="19">
        <v>1</v>
      </c>
      <c r="C10" s="5"/>
      <c r="D10" s="20" t="s">
        <v>11</v>
      </c>
      <c r="E10" s="20" t="s">
        <v>12</v>
      </c>
      <c r="F10" s="20" t="s">
        <v>13</v>
      </c>
      <c r="G10" s="5"/>
      <c r="H10" s="21" t="s">
        <v>12</v>
      </c>
      <c r="I10" s="22">
        <f>(F16-5)/(5-1)</f>
        <v>4.9590453963207048E-2</v>
      </c>
      <c r="J10" s="1"/>
      <c r="K10" s="1"/>
      <c r="L10" s="1"/>
      <c r="M10" s="1"/>
      <c r="N10" s="1"/>
      <c r="O10" s="1"/>
      <c r="P10" s="1"/>
      <c r="Q10" s="1"/>
    </row>
    <row r="11" spans="1:17" ht="15.75" customHeight="1" x14ac:dyDescent="0.25">
      <c r="A11" s="18" t="s">
        <v>14</v>
      </c>
      <c r="B11" s="19">
        <v>3</v>
      </c>
      <c r="C11" s="5"/>
      <c r="D11" s="23">
        <f t="shared" ref="D11:D15" si="2">POWER((B2*C2*D2*E2*F2),(1/5))</f>
        <v>0.52961192052440609</v>
      </c>
      <c r="E11" s="23">
        <f t="shared" ref="E11:E15" si="3">D11/$D$16</f>
        <v>8.2085143311789344E-2</v>
      </c>
      <c r="F11" s="23">
        <f>E11*B7</f>
        <v>1.0260642913973668</v>
      </c>
      <c r="G11" s="4"/>
      <c r="H11" s="24" t="s">
        <v>15</v>
      </c>
      <c r="I11" s="22">
        <f>1.98*(5-2)/5</f>
        <v>1.1879999999999999</v>
      </c>
      <c r="K11" s="25"/>
      <c r="L11" s="25"/>
      <c r="M11" s="1"/>
      <c r="N11" s="1"/>
      <c r="O11" s="1"/>
      <c r="P11" s="1"/>
      <c r="Q11" s="1"/>
    </row>
    <row r="12" spans="1:17" ht="15.75" customHeight="1" x14ac:dyDescent="0.25">
      <c r="A12" s="18" t="s">
        <v>16</v>
      </c>
      <c r="B12" s="19">
        <v>5</v>
      </c>
      <c r="C12" s="5"/>
      <c r="D12" s="23">
        <f t="shared" si="2"/>
        <v>1.515716566510398</v>
      </c>
      <c r="E12" s="23">
        <f t="shared" si="3"/>
        <v>0.23492260419452882</v>
      </c>
      <c r="F12" s="23">
        <f>E12*C7</f>
        <v>1.1941899046555213</v>
      </c>
      <c r="G12" s="26"/>
      <c r="H12" s="24" t="s">
        <v>17</v>
      </c>
      <c r="I12" s="27">
        <f>I10/I11</f>
        <v>4.1742806366335899E-2</v>
      </c>
      <c r="J12" s="28" t="s">
        <v>18</v>
      </c>
      <c r="K12" s="29"/>
      <c r="L12" s="29"/>
      <c r="M12" s="1"/>
      <c r="N12" s="1"/>
      <c r="O12" s="1"/>
      <c r="P12" s="1"/>
      <c r="Q12" s="1"/>
    </row>
    <row r="13" spans="1:17" ht="15.75" customHeight="1" x14ac:dyDescent="0.25">
      <c r="A13" s="18" t="s">
        <v>19</v>
      </c>
      <c r="B13" s="19">
        <v>7</v>
      </c>
      <c r="C13" s="5"/>
      <c r="D13" s="23">
        <f t="shared" si="2"/>
        <v>2.9301560515835217</v>
      </c>
      <c r="E13" s="23">
        <f t="shared" si="3"/>
        <v>0.45414816037747435</v>
      </c>
      <c r="F13" s="23">
        <f>E13*D7</f>
        <v>0.94614200078640476</v>
      </c>
      <c r="G13" s="26"/>
      <c r="H13" s="26"/>
      <c r="I13" s="25"/>
      <c r="K13" s="29"/>
      <c r="L13" s="29"/>
      <c r="M13" s="1"/>
      <c r="N13" s="1"/>
      <c r="O13" s="1"/>
      <c r="P13" s="1"/>
      <c r="Q13" s="1"/>
    </row>
    <row r="14" spans="1:17" ht="15.75" customHeight="1" x14ac:dyDescent="0.25">
      <c r="A14" s="18" t="s">
        <v>20</v>
      </c>
      <c r="B14" s="19">
        <v>9</v>
      </c>
      <c r="C14" s="5"/>
      <c r="D14" s="23">
        <f t="shared" si="2"/>
        <v>1.0844717711976986</v>
      </c>
      <c r="E14" s="23">
        <f t="shared" si="3"/>
        <v>0.16808349152754926</v>
      </c>
      <c r="F14" s="23">
        <f>E14*E7</f>
        <v>1.1205566101836617</v>
      </c>
      <c r="G14" s="26"/>
      <c r="H14" s="32"/>
      <c r="K14" s="25"/>
      <c r="L14" s="25"/>
      <c r="M14" s="1"/>
      <c r="N14" s="1"/>
      <c r="O14" s="1"/>
      <c r="P14" s="1"/>
      <c r="Q14" s="1"/>
    </row>
    <row r="15" spans="1:17" ht="15.75" customHeight="1" x14ac:dyDescent="0.25">
      <c r="A15" s="18" t="s">
        <v>21</v>
      </c>
      <c r="B15" s="19" t="s">
        <v>22</v>
      </c>
      <c r="C15" s="5"/>
      <c r="D15" s="23">
        <f t="shared" si="2"/>
        <v>0.39202634084155785</v>
      </c>
      <c r="E15" s="23">
        <f t="shared" si="3"/>
        <v>6.0760600588658245E-2</v>
      </c>
      <c r="F15" s="23">
        <f>E15*F7</f>
        <v>0.91140900882987363</v>
      </c>
      <c r="G15" s="26"/>
      <c r="H15" s="32"/>
      <c r="I15" s="26"/>
      <c r="J15" s="25"/>
      <c r="K15" s="25"/>
      <c r="L15" s="25"/>
      <c r="M15" s="1"/>
      <c r="N15" s="1"/>
      <c r="O15" s="1"/>
      <c r="P15" s="1"/>
      <c r="Q15" s="1"/>
    </row>
    <row r="16" spans="1:17" ht="15.75" customHeight="1" x14ac:dyDescent="0.25">
      <c r="A16" s="5"/>
      <c r="B16" s="5"/>
      <c r="C16" s="5"/>
      <c r="D16" s="34">
        <f>SUM(D11:D15)</f>
        <v>6.4519826506575821</v>
      </c>
      <c r="E16" s="31"/>
      <c r="F16" s="34">
        <f>SUM(F11:F15)</f>
        <v>5.1983618158528282</v>
      </c>
      <c r="G16" s="26"/>
      <c r="H16" s="32"/>
      <c r="I16" s="26"/>
      <c r="J16" s="25"/>
      <c r="K16" s="25"/>
      <c r="L16" s="25"/>
      <c r="M16" s="1"/>
      <c r="N16" s="1"/>
      <c r="O16" s="1"/>
      <c r="P16" s="1"/>
      <c r="Q16" s="1"/>
    </row>
    <row r="17" spans="1:17" ht="15.7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1"/>
      <c r="K17" s="1"/>
      <c r="L17" s="1"/>
      <c r="M17" s="1"/>
      <c r="N17" s="1"/>
      <c r="O17" s="1"/>
      <c r="P17" s="1"/>
      <c r="Q17" s="1"/>
    </row>
    <row r="18" spans="1:17" ht="15.75" customHeight="1" x14ac:dyDescent="0.25">
      <c r="A18" s="33"/>
      <c r="B18" s="33"/>
      <c r="C18" s="33"/>
      <c r="D18" s="33"/>
      <c r="E18" s="33"/>
      <c r="F18" s="33"/>
      <c r="G18" s="33"/>
      <c r="H18" s="33"/>
      <c r="I18" s="33"/>
    </row>
    <row r="19" spans="1:17" ht="15.75" customHeight="1" x14ac:dyDescent="0.25">
      <c r="A19" s="33"/>
      <c r="B19" s="33"/>
      <c r="C19" s="33"/>
      <c r="D19" s="33"/>
      <c r="E19" s="33"/>
      <c r="F19" s="33"/>
      <c r="G19" s="33"/>
      <c r="H19" s="33"/>
      <c r="I19" s="33"/>
    </row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Modelo de evaluación de obs</vt:lpstr>
      <vt:lpstr>Ponderación criterio clínico</vt:lpstr>
      <vt:lpstr>Ponderación criterio técnico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Zapata</dc:creator>
  <cp:lastModifiedBy>User</cp:lastModifiedBy>
  <dcterms:created xsi:type="dcterms:W3CDTF">2019-08-02T21:16:43Z</dcterms:created>
  <dcterms:modified xsi:type="dcterms:W3CDTF">2022-10-12T18:16:51Z</dcterms:modified>
</cp:coreProperties>
</file>